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Commercial\Pricing\Electricity\2021\2021_01V2\"/>
    </mc:Choice>
  </mc:AlternateContent>
  <xr:revisionPtr revIDLastSave="0" documentId="8_{033AFCD3-DAEA-43DC-8DC8-4C3272904781}" xr6:coauthVersionLast="45" xr6:coauthVersionMax="45" xr10:uidLastSave="{00000000-0000-0000-0000-000000000000}"/>
  <workbookProtection workbookAlgorithmName="SHA-512" workbookHashValue="DPULWyvSAAjscIW0x9Zz2LjQZhT4ffUk1xohEUQeBL5Y63p2pI/KR6fzJBW0h8QrytCDhw1QV1ip4DX/i2PmCg==" workbookSaltValue="17cOFYJfFd135ALwfVsIkw==" workbookSpinCount="100000" lockStructure="1"/>
  <bookViews>
    <workbookView xWindow="-108" yWindow="-108" windowWidth="23256" windowHeight="12576" firstSheet="1" activeTab="2" xr2:uid="{00000000-000D-0000-FFFF-FFFF00000000}"/>
  </bookViews>
  <sheets>
    <sheet name="Multisite Test" sheetId="12" state="veryHidden" r:id="rId1"/>
    <sheet name="Multisite" sheetId="17" r:id="rId2"/>
    <sheet name="Tool" sheetId="1" r:id="rId3"/>
    <sheet name="Errors" sheetId="5" state="veryHidden" r:id="rId4"/>
    <sheet name="Calcs" sheetId="3" state="veryHidden" r:id="rId5"/>
    <sheet name="MPAN" sheetId="13" state="veryHidden" r:id="rId6"/>
    <sheet name="Lookups" sheetId="14" state="veryHidden" r:id="rId7"/>
    <sheet name="HH LLFs" sheetId="15" state="veryHidden" r:id="rId8"/>
    <sheet name="Flat Rates" sheetId="4" state="veryHidden" r:id="rId9"/>
    <sheet name="Dropdowns" sheetId="16" state="veryHidden" r:id="rId10"/>
    <sheet name="New HHTOU Flat Rates" sheetId="9" state="hidden" r:id="rId11"/>
  </sheets>
  <definedNames>
    <definedName name="_xlnm._FilterDatabase" localSheetId="8" hidden="1">'Flat Rates'!$A$1:$M$3422</definedName>
    <definedName name="_xlnm._FilterDatabase" localSheetId="7" hidden="1">'HH LLFs'!$A$1:$K$282</definedName>
    <definedName name="_xlnm._FilterDatabase" localSheetId="6" hidden="1">Lookups!$B$1:$F$4557</definedName>
    <definedName name="_xlnm._FilterDatabase" localSheetId="10" hidden="1">'New HHTOU Flat Rates'!$B$1:$N$1765</definedName>
    <definedName name="Acquisition">Dropdowns!$A$2:$A$6</definedName>
    <definedName name="Renewal">Dropdowns!$B$2:$B$6</definedName>
    <definedName name="SmartPay">Dropdowns!$C$2:$C$4</definedName>
    <definedName name="SmartPay_Renewal">Dropdowns!$D$2:$D$4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" i="3" l="1"/>
  <c r="R2" i="4"/>
  <c r="R3" i="4" s="1"/>
  <c r="V20" i="17" l="1"/>
  <c r="V24" i="17"/>
  <c r="V28" i="17"/>
  <c r="V32" i="17"/>
  <c r="V36" i="17"/>
  <c r="V40" i="17"/>
  <c r="V44" i="17"/>
  <c r="V48" i="17"/>
  <c r="V52" i="17"/>
  <c r="V56" i="17"/>
  <c r="V60" i="17"/>
  <c r="V64" i="17"/>
  <c r="V68" i="17"/>
  <c r="V72" i="17"/>
  <c r="V76" i="17"/>
  <c r="V80" i="17"/>
  <c r="V84" i="17"/>
  <c r="V88" i="17"/>
  <c r="V92" i="17"/>
  <c r="V96" i="17"/>
  <c r="V100" i="17"/>
  <c r="V104" i="17"/>
  <c r="V108" i="17"/>
  <c r="V112" i="17"/>
  <c r="V21" i="17"/>
  <c r="V25" i="17"/>
  <c r="V29" i="17"/>
  <c r="V33" i="17"/>
  <c r="V37" i="17"/>
  <c r="V41" i="17"/>
  <c r="V45" i="17"/>
  <c r="V49" i="17"/>
  <c r="V53" i="17"/>
  <c r="V57" i="17"/>
  <c r="V61" i="17"/>
  <c r="V65" i="17"/>
  <c r="V69" i="17"/>
  <c r="V73" i="17"/>
  <c r="V77" i="17"/>
  <c r="V81" i="17"/>
  <c r="V85" i="17"/>
  <c r="V89" i="17"/>
  <c r="V93" i="17"/>
  <c r="V97" i="17"/>
  <c r="V101" i="17"/>
  <c r="V105" i="17"/>
  <c r="V109" i="17"/>
  <c r="V113" i="17"/>
  <c r="V22" i="17"/>
  <c r="V26" i="17"/>
  <c r="V30" i="17"/>
  <c r="V34" i="17"/>
  <c r="V38" i="17"/>
  <c r="V42" i="17"/>
  <c r="V46" i="17"/>
  <c r="V50" i="17"/>
  <c r="V54" i="17"/>
  <c r="V58" i="17"/>
  <c r="V62" i="17"/>
  <c r="V66" i="17"/>
  <c r="V70" i="17"/>
  <c r="V74" i="17"/>
  <c r="V78" i="17"/>
  <c r="V82" i="17"/>
  <c r="V86" i="17"/>
  <c r="V90" i="17"/>
  <c r="V94" i="17"/>
  <c r="V98" i="17"/>
  <c r="V102" i="17"/>
  <c r="V106" i="17"/>
  <c r="V110" i="17"/>
  <c r="V114" i="17"/>
  <c r="V35" i="17"/>
  <c r="V51" i="17"/>
  <c r="V67" i="17"/>
  <c r="V83" i="17"/>
  <c r="V99" i="17"/>
  <c r="V115" i="17"/>
  <c r="V119" i="17"/>
  <c r="V123" i="17"/>
  <c r="V127" i="17"/>
  <c r="V131" i="17"/>
  <c r="V135" i="17"/>
  <c r="V139" i="17"/>
  <c r="V143" i="17"/>
  <c r="V147" i="17"/>
  <c r="V151" i="17"/>
  <c r="V155" i="17"/>
  <c r="V159" i="17"/>
  <c r="V163" i="17"/>
  <c r="V167" i="17"/>
  <c r="V171" i="17"/>
  <c r="V175" i="17"/>
  <c r="V179" i="17"/>
  <c r="V183" i="17"/>
  <c r="V187" i="17"/>
  <c r="V191" i="17"/>
  <c r="V195" i="17"/>
  <c r="V199" i="17"/>
  <c r="V203" i="17"/>
  <c r="V207" i="17"/>
  <c r="V211" i="17"/>
  <c r="V215" i="17"/>
  <c r="V219" i="17"/>
  <c r="V223" i="17"/>
  <c r="V227" i="17"/>
  <c r="V231" i="17"/>
  <c r="V235" i="17"/>
  <c r="V239" i="17"/>
  <c r="V243" i="17"/>
  <c r="V247" i="17"/>
  <c r="V251" i="17"/>
  <c r="V255" i="17"/>
  <c r="V259" i="17"/>
  <c r="V263" i="17"/>
  <c r="V267" i="17"/>
  <c r="V271" i="17"/>
  <c r="V275" i="17"/>
  <c r="V279" i="17"/>
  <c r="V283" i="17"/>
  <c r="V287" i="17"/>
  <c r="V291" i="17"/>
  <c r="V295" i="17"/>
  <c r="V299" i="17"/>
  <c r="V303" i="17"/>
  <c r="V307" i="17"/>
  <c r="V311" i="17"/>
  <c r="V315" i="17"/>
  <c r="V319" i="17"/>
  <c r="V323" i="17"/>
  <c r="V327" i="17"/>
  <c r="V331" i="17"/>
  <c r="V335" i="17"/>
  <c r="V339" i="17"/>
  <c r="V343" i="17"/>
  <c r="V347" i="17"/>
  <c r="V351" i="17"/>
  <c r="V355" i="17"/>
  <c r="V359" i="17"/>
  <c r="V363" i="17"/>
  <c r="V367" i="17"/>
  <c r="V371" i="17"/>
  <c r="V23" i="17"/>
  <c r="V39" i="17"/>
  <c r="V55" i="17"/>
  <c r="V71" i="17"/>
  <c r="V87" i="17"/>
  <c r="V103" i="17"/>
  <c r="V116" i="17"/>
  <c r="V120" i="17"/>
  <c r="V124" i="17"/>
  <c r="V128" i="17"/>
  <c r="V132" i="17"/>
  <c r="V136" i="17"/>
  <c r="V140" i="17"/>
  <c r="V144" i="17"/>
  <c r="V148" i="17"/>
  <c r="V152" i="17"/>
  <c r="V156" i="17"/>
  <c r="V160" i="17"/>
  <c r="V164" i="17"/>
  <c r="V168" i="17"/>
  <c r="V172" i="17"/>
  <c r="V176" i="17"/>
  <c r="V180" i="17"/>
  <c r="V184" i="17"/>
  <c r="V188" i="17"/>
  <c r="V192" i="17"/>
  <c r="V196" i="17"/>
  <c r="V200" i="17"/>
  <c r="V204" i="17"/>
  <c r="V208" i="17"/>
  <c r="V212" i="17"/>
  <c r="V216" i="17"/>
  <c r="V220" i="17"/>
  <c r="V224" i="17"/>
  <c r="V228" i="17"/>
  <c r="V232" i="17"/>
  <c r="V236" i="17"/>
  <c r="V240" i="17"/>
  <c r="V244" i="17"/>
  <c r="V248" i="17"/>
  <c r="V252" i="17"/>
  <c r="V256" i="17"/>
  <c r="V260" i="17"/>
  <c r="V264" i="17"/>
  <c r="V268" i="17"/>
  <c r="V272" i="17"/>
  <c r="V276" i="17"/>
  <c r="V280" i="17"/>
  <c r="V284" i="17"/>
  <c r="V288" i="17"/>
  <c r="V292" i="17"/>
  <c r="V296" i="17"/>
  <c r="V300" i="17"/>
  <c r="V304" i="17"/>
  <c r="V308" i="17"/>
  <c r="V312" i="17"/>
  <c r="V316" i="17"/>
  <c r="V320" i="17"/>
  <c r="V324" i="17"/>
  <c r="V328" i="17"/>
  <c r="V332" i="17"/>
  <c r="V336" i="17"/>
  <c r="V340" i="17"/>
  <c r="V344" i="17"/>
  <c r="V348" i="17"/>
  <c r="V352" i="17"/>
  <c r="V356" i="17"/>
  <c r="V360" i="17"/>
  <c r="V364" i="17"/>
  <c r="V368" i="17"/>
  <c r="V27" i="17"/>
  <c r="V43" i="17"/>
  <c r="V59" i="17"/>
  <c r="V75" i="17"/>
  <c r="V91" i="17"/>
  <c r="V107" i="17"/>
  <c r="V117" i="17"/>
  <c r="V121" i="17"/>
  <c r="V125" i="17"/>
  <c r="V129" i="17"/>
  <c r="V133" i="17"/>
  <c r="V137" i="17"/>
  <c r="V141" i="17"/>
  <c r="V145" i="17"/>
  <c r="V149" i="17"/>
  <c r="V153" i="17"/>
  <c r="V157" i="17"/>
  <c r="V161" i="17"/>
  <c r="V165" i="17"/>
  <c r="V169" i="17"/>
  <c r="V173" i="17"/>
  <c r="V177" i="17"/>
  <c r="V181" i="17"/>
  <c r="V185" i="17"/>
  <c r="V189" i="17"/>
  <c r="V193" i="17"/>
  <c r="V197" i="17"/>
  <c r="V201" i="17"/>
  <c r="V205" i="17"/>
  <c r="V209" i="17"/>
  <c r="V213" i="17"/>
  <c r="V217" i="17"/>
  <c r="V221" i="17"/>
  <c r="V225" i="17"/>
  <c r="V229" i="17"/>
  <c r="V233" i="17"/>
  <c r="V237" i="17"/>
  <c r="V241" i="17"/>
  <c r="V245" i="17"/>
  <c r="V249" i="17"/>
  <c r="V253" i="17"/>
  <c r="V257" i="17"/>
  <c r="V261" i="17"/>
  <c r="V265" i="17"/>
  <c r="V269" i="17"/>
  <c r="V273" i="17"/>
  <c r="V277" i="17"/>
  <c r="V281" i="17"/>
  <c r="V285" i="17"/>
  <c r="V289" i="17"/>
  <c r="V293" i="17"/>
  <c r="V297" i="17"/>
  <c r="V301" i="17"/>
  <c r="V305" i="17"/>
  <c r="V309" i="17"/>
  <c r="V313" i="17"/>
  <c r="V317" i="17"/>
  <c r="V321" i="17"/>
  <c r="V325" i="17"/>
  <c r="V329" i="17"/>
  <c r="V333" i="17"/>
  <c r="V337" i="17"/>
  <c r="V341" i="17"/>
  <c r="V345" i="17"/>
  <c r="V349" i="17"/>
  <c r="V353" i="17"/>
  <c r="V357" i="17"/>
  <c r="V361" i="17"/>
  <c r="V365" i="17"/>
  <c r="V369" i="17"/>
  <c r="V373" i="17"/>
  <c r="V377" i="17"/>
  <c r="V381" i="17"/>
  <c r="V47" i="17"/>
  <c r="V111" i="17"/>
  <c r="V130" i="17"/>
  <c r="V146" i="17"/>
  <c r="V162" i="17"/>
  <c r="V178" i="17"/>
  <c r="V194" i="17"/>
  <c r="V210" i="17"/>
  <c r="V226" i="17"/>
  <c r="V242" i="17"/>
  <c r="V258" i="17"/>
  <c r="V274" i="17"/>
  <c r="V290" i="17"/>
  <c r="V306" i="17"/>
  <c r="V322" i="17"/>
  <c r="V338" i="17"/>
  <c r="V354" i="17"/>
  <c r="V370" i="17"/>
  <c r="V376" i="17"/>
  <c r="V382" i="17"/>
  <c r="V386" i="17"/>
  <c r="V390" i="17"/>
  <c r="V394" i="17"/>
  <c r="V398" i="17"/>
  <c r="V402" i="17"/>
  <c r="V406" i="17"/>
  <c r="V410" i="17"/>
  <c r="V414" i="17"/>
  <c r="V418" i="17"/>
  <c r="V422" i="17"/>
  <c r="V426" i="17"/>
  <c r="V430" i="17"/>
  <c r="V434" i="17"/>
  <c r="V438" i="17"/>
  <c r="V442" i="17"/>
  <c r="V446" i="17"/>
  <c r="V450" i="17"/>
  <c r="V454" i="17"/>
  <c r="V458" i="17"/>
  <c r="V462" i="17"/>
  <c r="V466" i="17"/>
  <c r="V470" i="17"/>
  <c r="V474" i="17"/>
  <c r="V478" i="17"/>
  <c r="V482" i="17"/>
  <c r="V486" i="17"/>
  <c r="V490" i="17"/>
  <c r="V494" i="17"/>
  <c r="V498" i="17"/>
  <c r="V502" i="17"/>
  <c r="V506" i="17"/>
  <c r="V510" i="17"/>
  <c r="V514" i="17"/>
  <c r="V518" i="17"/>
  <c r="V63" i="17"/>
  <c r="V118" i="17"/>
  <c r="V134" i="17"/>
  <c r="V150" i="17"/>
  <c r="V166" i="17"/>
  <c r="V182" i="17"/>
  <c r="V198" i="17"/>
  <c r="V214" i="17"/>
  <c r="V230" i="17"/>
  <c r="V246" i="17"/>
  <c r="V262" i="17"/>
  <c r="V278" i="17"/>
  <c r="V294" i="17"/>
  <c r="V310" i="17"/>
  <c r="V326" i="17"/>
  <c r="V342" i="17"/>
  <c r="V358" i="17"/>
  <c r="V372" i="17"/>
  <c r="V378" i="17"/>
  <c r="V383" i="17"/>
  <c r="V387" i="17"/>
  <c r="V391" i="17"/>
  <c r="V395" i="17"/>
  <c r="V399" i="17"/>
  <c r="V403" i="17"/>
  <c r="V407" i="17"/>
  <c r="V411" i="17"/>
  <c r="V415" i="17"/>
  <c r="V419" i="17"/>
  <c r="V423" i="17"/>
  <c r="V427" i="17"/>
  <c r="V431" i="17"/>
  <c r="V435" i="17"/>
  <c r="V439" i="17"/>
  <c r="V443" i="17"/>
  <c r="V447" i="17"/>
  <c r="V451" i="17"/>
  <c r="V455" i="17"/>
  <c r="V459" i="17"/>
  <c r="V463" i="17"/>
  <c r="V467" i="17"/>
  <c r="V471" i="17"/>
  <c r="V475" i="17"/>
  <c r="V483" i="17"/>
  <c r="V491" i="17"/>
  <c r="V503" i="17"/>
  <c r="V515" i="17"/>
  <c r="V79" i="17"/>
  <c r="V122" i="17"/>
  <c r="V138" i="17"/>
  <c r="V154" i="17"/>
  <c r="V170" i="17"/>
  <c r="V186" i="17"/>
  <c r="V202" i="17"/>
  <c r="V218" i="17"/>
  <c r="V234" i="17"/>
  <c r="V250" i="17"/>
  <c r="V266" i="17"/>
  <c r="V282" i="17"/>
  <c r="V298" i="17"/>
  <c r="V314" i="17"/>
  <c r="V330" i="17"/>
  <c r="V346" i="17"/>
  <c r="V362" i="17"/>
  <c r="V374" i="17"/>
  <c r="V379" i="17"/>
  <c r="V384" i="17"/>
  <c r="V388" i="17"/>
  <c r="V392" i="17"/>
  <c r="V396" i="17"/>
  <c r="V400" i="17"/>
  <c r="V404" i="17"/>
  <c r="V408" i="17"/>
  <c r="V412" i="17"/>
  <c r="V416" i="17"/>
  <c r="V420" i="17"/>
  <c r="V424" i="17"/>
  <c r="V428" i="17"/>
  <c r="V432" i="17"/>
  <c r="V436" i="17"/>
  <c r="V440" i="17"/>
  <c r="V444" i="17"/>
  <c r="V448" i="17"/>
  <c r="V452" i="17"/>
  <c r="V456" i="17"/>
  <c r="V460" i="17"/>
  <c r="V464" i="17"/>
  <c r="V468" i="17"/>
  <c r="V472" i="17"/>
  <c r="V476" i="17"/>
  <c r="V480" i="17"/>
  <c r="V484" i="17"/>
  <c r="V488" i="17"/>
  <c r="V492" i="17"/>
  <c r="V496" i="17"/>
  <c r="V500" i="17"/>
  <c r="V504" i="17"/>
  <c r="V508" i="17"/>
  <c r="V512" i="17"/>
  <c r="V516" i="17"/>
  <c r="V31" i="17"/>
  <c r="V95" i="17"/>
  <c r="V126" i="17"/>
  <c r="V142" i="17"/>
  <c r="V158" i="17"/>
  <c r="V174" i="17"/>
  <c r="V190" i="17"/>
  <c r="V206" i="17"/>
  <c r="V222" i="17"/>
  <c r="V238" i="17"/>
  <c r="V254" i="17"/>
  <c r="V270" i="17"/>
  <c r="V286" i="17"/>
  <c r="V302" i="17"/>
  <c r="V318" i="17"/>
  <c r="V334" i="17"/>
  <c r="V350" i="17"/>
  <c r="V366" i="17"/>
  <c r="V375" i="17"/>
  <c r="V380" i="17"/>
  <c r="V385" i="17"/>
  <c r="V389" i="17"/>
  <c r="V393" i="17"/>
  <c r="V397" i="17"/>
  <c r="V401" i="17"/>
  <c r="V405" i="17"/>
  <c r="V409" i="17"/>
  <c r="V413" i="17"/>
  <c r="V417" i="17"/>
  <c r="V421" i="17"/>
  <c r="V425" i="17"/>
  <c r="V429" i="17"/>
  <c r="V433" i="17"/>
  <c r="V437" i="17"/>
  <c r="V441" i="17"/>
  <c r="V445" i="17"/>
  <c r="V449" i="17"/>
  <c r="V453" i="17"/>
  <c r="V457" i="17"/>
  <c r="V461" i="17"/>
  <c r="V465" i="17"/>
  <c r="V469" i="17"/>
  <c r="V473" i="17"/>
  <c r="V477" i="17"/>
  <c r="V481" i="17"/>
  <c r="V485" i="17"/>
  <c r="V489" i="17"/>
  <c r="V493" i="17"/>
  <c r="V497" i="17"/>
  <c r="V501" i="17"/>
  <c r="V505" i="17"/>
  <c r="V509" i="17"/>
  <c r="V513" i="17"/>
  <c r="V517" i="17"/>
  <c r="V479" i="17"/>
  <c r="V487" i="17"/>
  <c r="V495" i="17"/>
  <c r="V499" i="17"/>
  <c r="V507" i="17"/>
  <c r="V511" i="17"/>
  <c r="V19" i="17"/>
  <c r="I4" i="3"/>
  <c r="A3311" i="4"/>
  <c r="A3312" i="4"/>
  <c r="A3313" i="4"/>
  <c r="A3314" i="4"/>
  <c r="A3315" i="4"/>
  <c r="A3316" i="4"/>
  <c r="A3317" i="4"/>
  <c r="A3318" i="4"/>
  <c r="A3319" i="4"/>
  <c r="A3320" i="4"/>
  <c r="A3321" i="4"/>
  <c r="A3322" i="4"/>
  <c r="A3323" i="4"/>
  <c r="A3324" i="4"/>
  <c r="A3325" i="4"/>
  <c r="A3326" i="4"/>
  <c r="A3327" i="4"/>
  <c r="A3328" i="4"/>
  <c r="A3329" i="4"/>
  <c r="A3330" i="4"/>
  <c r="A3331" i="4"/>
  <c r="A3332" i="4"/>
  <c r="A3333" i="4"/>
  <c r="A3334" i="4"/>
  <c r="A3335" i="4"/>
  <c r="A3336" i="4"/>
  <c r="A3337" i="4"/>
  <c r="A3338" i="4"/>
  <c r="A3339" i="4"/>
  <c r="A3340" i="4"/>
  <c r="A3341" i="4"/>
  <c r="A3342" i="4"/>
  <c r="A3343" i="4"/>
  <c r="A3344" i="4"/>
  <c r="A3345" i="4"/>
  <c r="A3346" i="4"/>
  <c r="A3347" i="4"/>
  <c r="A3348" i="4"/>
  <c r="A3349" i="4"/>
  <c r="A3350" i="4"/>
  <c r="A3351" i="4"/>
  <c r="A3352" i="4"/>
  <c r="A3353" i="4"/>
  <c r="A3354" i="4"/>
  <c r="A3355" i="4"/>
  <c r="A3356" i="4"/>
  <c r="A3357" i="4"/>
  <c r="A3358" i="4"/>
  <c r="A3359" i="4"/>
  <c r="A3360" i="4"/>
  <c r="A3361" i="4"/>
  <c r="A3362" i="4"/>
  <c r="A3363" i="4"/>
  <c r="A3364" i="4"/>
  <c r="A3365" i="4"/>
  <c r="A3366" i="4"/>
  <c r="A3367" i="4"/>
  <c r="A3368" i="4"/>
  <c r="A3369" i="4"/>
  <c r="A3370" i="4"/>
  <c r="A3371" i="4"/>
  <c r="A3372" i="4"/>
  <c r="A3373" i="4"/>
  <c r="A3374" i="4"/>
  <c r="A3375" i="4"/>
  <c r="A3376" i="4"/>
  <c r="A3377" i="4"/>
  <c r="A3378" i="4"/>
  <c r="A3379" i="4"/>
  <c r="A3380" i="4"/>
  <c r="A3381" i="4"/>
  <c r="A3382" i="4"/>
  <c r="A3383" i="4"/>
  <c r="A3384" i="4"/>
  <c r="A3385" i="4"/>
  <c r="A3386" i="4"/>
  <c r="A3387" i="4"/>
  <c r="A3388" i="4"/>
  <c r="A3389" i="4"/>
  <c r="A3390" i="4"/>
  <c r="A3391" i="4"/>
  <c r="A3392" i="4"/>
  <c r="A3393" i="4"/>
  <c r="A3394" i="4"/>
  <c r="A3395" i="4"/>
  <c r="A3396" i="4"/>
  <c r="A3397" i="4"/>
  <c r="A3398" i="4"/>
  <c r="A3399" i="4"/>
  <c r="A3400" i="4"/>
  <c r="A3401" i="4"/>
  <c r="A3402" i="4"/>
  <c r="A3403" i="4"/>
  <c r="A3404" i="4"/>
  <c r="A3405" i="4"/>
  <c r="A3406" i="4"/>
  <c r="A3407" i="4"/>
  <c r="A3408" i="4"/>
  <c r="A3409" i="4"/>
  <c r="A3410" i="4"/>
  <c r="A3411" i="4"/>
  <c r="A3412" i="4"/>
  <c r="A3413" i="4"/>
  <c r="A3414" i="4"/>
  <c r="A3415" i="4"/>
  <c r="A3416" i="4"/>
  <c r="A3417" i="4"/>
  <c r="A3418" i="4"/>
  <c r="A3419" i="4"/>
  <c r="A3420" i="4"/>
  <c r="A3421" i="4"/>
  <c r="A3422" i="4"/>
  <c r="AN20" i="17"/>
  <c r="AN21" i="17"/>
  <c r="AN22" i="17"/>
  <c r="AN23" i="17"/>
  <c r="AN24" i="17"/>
  <c r="AU24" i="17" s="1"/>
  <c r="AV24" i="17" s="1"/>
  <c r="AN25" i="17"/>
  <c r="AN26" i="17"/>
  <c r="AN27" i="17"/>
  <c r="AN28" i="17"/>
  <c r="AN29" i="17"/>
  <c r="AN30" i="17"/>
  <c r="AN31" i="17"/>
  <c r="AN32" i="17"/>
  <c r="AU32" i="17" s="1"/>
  <c r="AV32" i="17" s="1"/>
  <c r="AN33" i="17"/>
  <c r="AN34" i="17"/>
  <c r="AN35" i="17"/>
  <c r="AN36" i="17"/>
  <c r="AN37" i="17"/>
  <c r="AN38" i="17"/>
  <c r="AN39" i="17"/>
  <c r="AN40" i="17"/>
  <c r="AU40" i="17" s="1"/>
  <c r="AV40" i="17" s="1"/>
  <c r="AN41" i="17"/>
  <c r="AN42" i="17"/>
  <c r="AN43" i="17"/>
  <c r="AN44" i="17"/>
  <c r="AN45" i="17"/>
  <c r="AN46" i="17"/>
  <c r="AN47" i="17"/>
  <c r="AN48" i="17"/>
  <c r="AN49" i="17"/>
  <c r="AN50" i="17"/>
  <c r="AN51" i="17"/>
  <c r="AN52" i="17"/>
  <c r="AN53" i="17"/>
  <c r="AN54" i="17"/>
  <c r="AN55" i="17"/>
  <c r="AN56" i="17"/>
  <c r="AN57" i="17"/>
  <c r="AN58" i="17"/>
  <c r="AN59" i="17"/>
  <c r="AN60" i="17"/>
  <c r="AN61" i="17"/>
  <c r="AN62" i="17"/>
  <c r="AN63" i="17"/>
  <c r="AN64" i="17"/>
  <c r="AN65" i="17"/>
  <c r="AN66" i="17"/>
  <c r="AN67" i="17"/>
  <c r="AN68" i="17"/>
  <c r="AN69" i="17"/>
  <c r="AN70" i="17"/>
  <c r="AN71" i="17"/>
  <c r="AN72" i="17"/>
  <c r="AN73" i="17"/>
  <c r="AN74" i="17"/>
  <c r="AN75" i="17"/>
  <c r="AN76" i="17"/>
  <c r="AN77" i="17"/>
  <c r="AN78" i="17"/>
  <c r="AN79" i="17"/>
  <c r="AN80" i="17"/>
  <c r="AU80" i="17" s="1"/>
  <c r="AV80" i="17" s="1"/>
  <c r="AN81" i="17"/>
  <c r="AN82" i="17"/>
  <c r="AN83" i="17"/>
  <c r="AN84" i="17"/>
  <c r="AN85" i="17"/>
  <c r="AN86" i="17"/>
  <c r="AN87" i="17"/>
  <c r="AN88" i="17"/>
  <c r="AU88" i="17" s="1"/>
  <c r="AV88" i="17" s="1"/>
  <c r="AN89" i="17"/>
  <c r="AN90" i="17"/>
  <c r="AN91" i="17"/>
  <c r="AN92" i="17"/>
  <c r="AN93" i="17"/>
  <c r="AN94" i="17"/>
  <c r="AN95" i="17"/>
  <c r="AN96" i="17"/>
  <c r="AU96" i="17" s="1"/>
  <c r="AV96" i="17" s="1"/>
  <c r="AN97" i="17"/>
  <c r="AN98" i="17"/>
  <c r="AN99" i="17"/>
  <c r="AN100" i="17"/>
  <c r="AN101" i="17"/>
  <c r="AN102" i="17"/>
  <c r="AN103" i="17"/>
  <c r="AN104" i="17"/>
  <c r="AU104" i="17" s="1"/>
  <c r="AV104" i="17" s="1"/>
  <c r="AN105" i="17"/>
  <c r="AN106" i="17"/>
  <c r="AN107" i="17"/>
  <c r="AN108" i="17"/>
  <c r="AN109" i="17"/>
  <c r="AN110" i="17"/>
  <c r="AN111" i="17"/>
  <c r="AN112" i="17"/>
  <c r="AN113" i="17"/>
  <c r="AN114" i="17"/>
  <c r="AN115" i="17"/>
  <c r="AN116" i="17"/>
  <c r="AN117" i="17"/>
  <c r="AN118" i="17"/>
  <c r="AN119" i="17"/>
  <c r="AN120" i="17"/>
  <c r="AN121" i="17"/>
  <c r="AN122" i="17"/>
  <c r="AN123" i="17"/>
  <c r="AN124" i="17"/>
  <c r="AN125" i="17"/>
  <c r="AN126" i="17"/>
  <c r="AN127" i="17"/>
  <c r="AN128" i="17"/>
  <c r="AN129" i="17"/>
  <c r="AN130" i="17"/>
  <c r="AN131" i="17"/>
  <c r="AN132" i="17"/>
  <c r="AN133" i="17"/>
  <c r="AN134" i="17"/>
  <c r="AN135" i="17"/>
  <c r="AN136" i="17"/>
  <c r="AN137" i="17"/>
  <c r="AN138" i="17"/>
  <c r="AN139" i="17"/>
  <c r="AN140" i="17"/>
  <c r="AN141" i="17"/>
  <c r="AN142" i="17"/>
  <c r="AN143" i="17"/>
  <c r="AN144" i="17"/>
  <c r="AU144" i="17" s="1"/>
  <c r="AV144" i="17" s="1"/>
  <c r="AN145" i="17"/>
  <c r="AN146" i="17"/>
  <c r="AN147" i="17"/>
  <c r="AN148" i="17"/>
  <c r="AN149" i="17"/>
  <c r="AN150" i="17"/>
  <c r="AN151" i="17"/>
  <c r="AN152" i="17"/>
  <c r="AU152" i="17" s="1"/>
  <c r="AV152" i="17" s="1"/>
  <c r="AN153" i="17"/>
  <c r="AN154" i="17"/>
  <c r="AN155" i="17"/>
  <c r="AN156" i="17"/>
  <c r="AN157" i="17"/>
  <c r="AN158" i="17"/>
  <c r="AN159" i="17"/>
  <c r="AN160" i="17"/>
  <c r="AU160" i="17" s="1"/>
  <c r="AV160" i="17" s="1"/>
  <c r="AN161" i="17"/>
  <c r="AN162" i="17"/>
  <c r="AN163" i="17"/>
  <c r="AN164" i="17"/>
  <c r="AN165" i="17"/>
  <c r="AN166" i="17"/>
  <c r="AN167" i="17"/>
  <c r="AN168" i="17"/>
  <c r="AU168" i="17" s="1"/>
  <c r="AV168" i="17" s="1"/>
  <c r="AN169" i="17"/>
  <c r="AN170" i="17"/>
  <c r="AN171" i="17"/>
  <c r="AN172" i="17"/>
  <c r="AN173" i="17"/>
  <c r="AN174" i="17"/>
  <c r="AN175" i="17"/>
  <c r="AN176" i="17"/>
  <c r="AN177" i="17"/>
  <c r="AN178" i="17"/>
  <c r="AN179" i="17"/>
  <c r="AN180" i="17"/>
  <c r="AN181" i="17"/>
  <c r="AN182" i="17"/>
  <c r="AN183" i="17"/>
  <c r="AN184" i="17"/>
  <c r="AN185" i="17"/>
  <c r="AN186" i="17"/>
  <c r="AN187" i="17"/>
  <c r="AN188" i="17"/>
  <c r="AN189" i="17"/>
  <c r="AN190" i="17"/>
  <c r="AN191" i="17"/>
  <c r="AN192" i="17"/>
  <c r="AN193" i="17"/>
  <c r="AN194" i="17"/>
  <c r="AU194" i="17" s="1"/>
  <c r="AV194" i="17" s="1"/>
  <c r="AN195" i="17"/>
  <c r="AN196" i="17"/>
  <c r="AU196" i="17" s="1"/>
  <c r="AV196" i="17" s="1"/>
  <c r="AN197" i="17"/>
  <c r="AN198" i="17"/>
  <c r="AU198" i="17" s="1"/>
  <c r="AV198" i="17" s="1"/>
  <c r="AN199" i="17"/>
  <c r="AN200" i="17"/>
  <c r="AU200" i="17" s="1"/>
  <c r="AV200" i="17" s="1"/>
  <c r="AN201" i="17"/>
  <c r="AN202" i="17"/>
  <c r="AU202" i="17" s="1"/>
  <c r="AV202" i="17" s="1"/>
  <c r="AN203" i="17"/>
  <c r="AN204" i="17"/>
  <c r="AU204" i="17" s="1"/>
  <c r="AV204" i="17" s="1"/>
  <c r="AN205" i="17"/>
  <c r="AN206" i="17"/>
  <c r="AU206" i="17" s="1"/>
  <c r="AV206" i="17" s="1"/>
  <c r="AN207" i="17"/>
  <c r="AN208" i="17"/>
  <c r="AU208" i="17" s="1"/>
  <c r="AV208" i="17" s="1"/>
  <c r="AN209" i="17"/>
  <c r="AN210" i="17"/>
  <c r="AU210" i="17" s="1"/>
  <c r="AV210" i="17" s="1"/>
  <c r="AN211" i="17"/>
  <c r="AN212" i="17"/>
  <c r="AU212" i="17" s="1"/>
  <c r="AV212" i="17" s="1"/>
  <c r="AN213" i="17"/>
  <c r="AN214" i="17"/>
  <c r="AU214" i="17" s="1"/>
  <c r="AV214" i="17" s="1"/>
  <c r="AN215" i="17"/>
  <c r="AN216" i="17"/>
  <c r="AU216" i="17" s="1"/>
  <c r="AV216" i="17" s="1"/>
  <c r="AN217" i="17"/>
  <c r="AN218" i="17"/>
  <c r="AU218" i="17" s="1"/>
  <c r="AV218" i="17" s="1"/>
  <c r="AN219" i="17"/>
  <c r="AN220" i="17"/>
  <c r="AU220" i="17" s="1"/>
  <c r="AV220" i="17" s="1"/>
  <c r="AN221" i="17"/>
  <c r="AN222" i="17"/>
  <c r="AU222" i="17" s="1"/>
  <c r="AV222" i="17" s="1"/>
  <c r="AN223" i="17"/>
  <c r="AN224" i="17"/>
  <c r="AU224" i="17" s="1"/>
  <c r="AV224" i="17" s="1"/>
  <c r="AN225" i="17"/>
  <c r="AN226" i="17"/>
  <c r="AU226" i="17" s="1"/>
  <c r="AV226" i="17" s="1"/>
  <c r="AN227" i="17"/>
  <c r="AN228" i="17"/>
  <c r="AU228" i="17" s="1"/>
  <c r="AV228" i="17" s="1"/>
  <c r="AN229" i="17"/>
  <c r="AN230" i="17"/>
  <c r="AU230" i="17" s="1"/>
  <c r="AV230" i="17" s="1"/>
  <c r="AN231" i="17"/>
  <c r="AN232" i="17"/>
  <c r="AU232" i="17" s="1"/>
  <c r="AV232" i="17" s="1"/>
  <c r="AN233" i="17"/>
  <c r="AN234" i="17"/>
  <c r="AU234" i="17" s="1"/>
  <c r="AV234" i="17" s="1"/>
  <c r="AN235" i="17"/>
  <c r="AN236" i="17"/>
  <c r="AU236" i="17" s="1"/>
  <c r="AV236" i="17" s="1"/>
  <c r="AN237" i="17"/>
  <c r="AN238" i="17"/>
  <c r="AU238" i="17" s="1"/>
  <c r="AV238" i="17" s="1"/>
  <c r="AN239" i="17"/>
  <c r="AN240" i="17"/>
  <c r="AU240" i="17" s="1"/>
  <c r="AV240" i="17" s="1"/>
  <c r="AN241" i="17"/>
  <c r="AN242" i="17"/>
  <c r="AU242" i="17" s="1"/>
  <c r="AV242" i="17" s="1"/>
  <c r="AN243" i="17"/>
  <c r="AN244" i="17"/>
  <c r="AU244" i="17" s="1"/>
  <c r="AV244" i="17" s="1"/>
  <c r="AN245" i="17"/>
  <c r="AN246" i="17"/>
  <c r="AU246" i="17" s="1"/>
  <c r="AV246" i="17" s="1"/>
  <c r="AN247" i="17"/>
  <c r="AN248" i="17"/>
  <c r="AU248" i="17" s="1"/>
  <c r="AV248" i="17" s="1"/>
  <c r="AN249" i="17"/>
  <c r="AN250" i="17"/>
  <c r="AU250" i="17" s="1"/>
  <c r="AV250" i="17" s="1"/>
  <c r="AN251" i="17"/>
  <c r="AN252" i="17"/>
  <c r="AU252" i="17" s="1"/>
  <c r="AV252" i="17" s="1"/>
  <c r="AN253" i="17"/>
  <c r="AN254" i="17"/>
  <c r="AU254" i="17" s="1"/>
  <c r="AV254" i="17" s="1"/>
  <c r="AN255" i="17"/>
  <c r="AN256" i="17"/>
  <c r="AU256" i="17" s="1"/>
  <c r="AV256" i="17" s="1"/>
  <c r="AN257" i="17"/>
  <c r="AN258" i="17"/>
  <c r="AU258" i="17" s="1"/>
  <c r="AV258" i="17" s="1"/>
  <c r="AN259" i="17"/>
  <c r="AN260" i="17"/>
  <c r="AU260" i="17" s="1"/>
  <c r="AV260" i="17" s="1"/>
  <c r="AN261" i="17"/>
  <c r="AN262" i="17"/>
  <c r="AU262" i="17" s="1"/>
  <c r="AV262" i="17" s="1"/>
  <c r="AN263" i="17"/>
  <c r="AN264" i="17"/>
  <c r="AU264" i="17" s="1"/>
  <c r="AV264" i="17" s="1"/>
  <c r="AN265" i="17"/>
  <c r="AN266" i="17"/>
  <c r="AU266" i="17" s="1"/>
  <c r="AV266" i="17" s="1"/>
  <c r="AN267" i="17"/>
  <c r="AN268" i="17"/>
  <c r="AU268" i="17" s="1"/>
  <c r="AV268" i="17" s="1"/>
  <c r="AN269" i="17"/>
  <c r="AN270" i="17"/>
  <c r="AU270" i="17" s="1"/>
  <c r="AV270" i="17" s="1"/>
  <c r="AN271" i="17"/>
  <c r="AN272" i="17"/>
  <c r="AU272" i="17" s="1"/>
  <c r="AV272" i="17" s="1"/>
  <c r="AN273" i="17"/>
  <c r="AN274" i="17"/>
  <c r="AU274" i="17" s="1"/>
  <c r="AV274" i="17" s="1"/>
  <c r="AN275" i="17"/>
  <c r="AN276" i="17"/>
  <c r="AU276" i="17" s="1"/>
  <c r="AV276" i="17" s="1"/>
  <c r="AN277" i="17"/>
  <c r="AN278" i="17"/>
  <c r="AU278" i="17" s="1"/>
  <c r="AV278" i="17" s="1"/>
  <c r="AN279" i="17"/>
  <c r="AN280" i="17"/>
  <c r="AU280" i="17" s="1"/>
  <c r="AV280" i="17" s="1"/>
  <c r="AN281" i="17"/>
  <c r="AN282" i="17"/>
  <c r="AU282" i="17" s="1"/>
  <c r="AV282" i="17" s="1"/>
  <c r="AN283" i="17"/>
  <c r="AN284" i="17"/>
  <c r="AU284" i="17" s="1"/>
  <c r="AV284" i="17" s="1"/>
  <c r="AN285" i="17"/>
  <c r="AN286" i="17"/>
  <c r="AU286" i="17" s="1"/>
  <c r="AV286" i="17" s="1"/>
  <c r="AN287" i="17"/>
  <c r="AN288" i="17"/>
  <c r="AU288" i="17" s="1"/>
  <c r="AV288" i="17" s="1"/>
  <c r="AN289" i="17"/>
  <c r="AN290" i="17"/>
  <c r="AU290" i="17" s="1"/>
  <c r="AV290" i="17" s="1"/>
  <c r="AN291" i="17"/>
  <c r="AN292" i="17"/>
  <c r="AU292" i="17" s="1"/>
  <c r="AV292" i="17" s="1"/>
  <c r="AN293" i="17"/>
  <c r="AN294" i="17"/>
  <c r="AU294" i="17" s="1"/>
  <c r="AV294" i="17" s="1"/>
  <c r="AN295" i="17"/>
  <c r="AN296" i="17"/>
  <c r="AU296" i="17" s="1"/>
  <c r="AV296" i="17" s="1"/>
  <c r="AN297" i="17"/>
  <c r="AN298" i="17"/>
  <c r="AU298" i="17" s="1"/>
  <c r="AV298" i="17" s="1"/>
  <c r="AN299" i="17"/>
  <c r="AN300" i="17"/>
  <c r="AU300" i="17" s="1"/>
  <c r="AV300" i="17" s="1"/>
  <c r="AN301" i="17"/>
  <c r="AN302" i="17"/>
  <c r="AU302" i="17" s="1"/>
  <c r="AV302" i="17" s="1"/>
  <c r="AN303" i="17"/>
  <c r="AN304" i="17"/>
  <c r="AU304" i="17" s="1"/>
  <c r="AV304" i="17" s="1"/>
  <c r="AN305" i="17"/>
  <c r="AN306" i="17"/>
  <c r="AU306" i="17" s="1"/>
  <c r="AV306" i="17" s="1"/>
  <c r="AN307" i="17"/>
  <c r="AN308" i="17"/>
  <c r="AU308" i="17" s="1"/>
  <c r="AV308" i="17" s="1"/>
  <c r="AN309" i="17"/>
  <c r="AN310" i="17"/>
  <c r="AU310" i="17" s="1"/>
  <c r="AV310" i="17" s="1"/>
  <c r="AN311" i="17"/>
  <c r="AN312" i="17"/>
  <c r="AU312" i="17" s="1"/>
  <c r="AV312" i="17" s="1"/>
  <c r="AN313" i="17"/>
  <c r="AN314" i="17"/>
  <c r="AU314" i="17" s="1"/>
  <c r="AV314" i="17" s="1"/>
  <c r="AN315" i="17"/>
  <c r="AN316" i="17"/>
  <c r="AU316" i="17" s="1"/>
  <c r="AV316" i="17" s="1"/>
  <c r="AN317" i="17"/>
  <c r="AN318" i="17"/>
  <c r="AU318" i="17" s="1"/>
  <c r="AV318" i="17" s="1"/>
  <c r="AN319" i="17"/>
  <c r="AN320" i="17"/>
  <c r="AU320" i="17" s="1"/>
  <c r="AV320" i="17" s="1"/>
  <c r="AN321" i="17"/>
  <c r="AN322" i="17"/>
  <c r="AU322" i="17" s="1"/>
  <c r="AV322" i="17" s="1"/>
  <c r="AN323" i="17"/>
  <c r="AN324" i="17"/>
  <c r="AU324" i="17" s="1"/>
  <c r="AV324" i="17" s="1"/>
  <c r="AN325" i="17"/>
  <c r="AN326" i="17"/>
  <c r="AU326" i="17" s="1"/>
  <c r="AV326" i="17" s="1"/>
  <c r="AN327" i="17"/>
  <c r="AN328" i="17"/>
  <c r="AU328" i="17" s="1"/>
  <c r="AV328" i="17" s="1"/>
  <c r="AN329" i="17"/>
  <c r="AN330" i="17"/>
  <c r="AU330" i="17" s="1"/>
  <c r="AV330" i="17" s="1"/>
  <c r="AN331" i="17"/>
  <c r="AN332" i="17"/>
  <c r="AU332" i="17" s="1"/>
  <c r="AV332" i="17" s="1"/>
  <c r="AN333" i="17"/>
  <c r="AN334" i="17"/>
  <c r="AU334" i="17" s="1"/>
  <c r="AV334" i="17" s="1"/>
  <c r="AN335" i="17"/>
  <c r="AN336" i="17"/>
  <c r="AU336" i="17" s="1"/>
  <c r="AV336" i="17" s="1"/>
  <c r="AN337" i="17"/>
  <c r="AN338" i="17"/>
  <c r="AU338" i="17" s="1"/>
  <c r="AV338" i="17" s="1"/>
  <c r="AN339" i="17"/>
  <c r="AN340" i="17"/>
  <c r="AU340" i="17" s="1"/>
  <c r="AV340" i="17" s="1"/>
  <c r="AN341" i="17"/>
  <c r="AN342" i="17"/>
  <c r="AU342" i="17" s="1"/>
  <c r="AV342" i="17" s="1"/>
  <c r="AN343" i="17"/>
  <c r="AN344" i="17"/>
  <c r="AU344" i="17" s="1"/>
  <c r="AV344" i="17" s="1"/>
  <c r="AN345" i="17"/>
  <c r="AN346" i="17"/>
  <c r="AU346" i="17" s="1"/>
  <c r="AV346" i="17" s="1"/>
  <c r="AN347" i="17"/>
  <c r="AN348" i="17"/>
  <c r="AU348" i="17" s="1"/>
  <c r="AV348" i="17" s="1"/>
  <c r="AN349" i="17"/>
  <c r="AN350" i="17"/>
  <c r="AU350" i="17" s="1"/>
  <c r="AV350" i="17" s="1"/>
  <c r="AN351" i="17"/>
  <c r="AN352" i="17"/>
  <c r="AU352" i="17" s="1"/>
  <c r="AV352" i="17" s="1"/>
  <c r="AN353" i="17"/>
  <c r="AN354" i="17"/>
  <c r="AU354" i="17" s="1"/>
  <c r="AV354" i="17" s="1"/>
  <c r="AN355" i="17"/>
  <c r="AN356" i="17"/>
  <c r="AU356" i="17" s="1"/>
  <c r="AV356" i="17" s="1"/>
  <c r="AN357" i="17"/>
  <c r="AN358" i="17"/>
  <c r="AU358" i="17" s="1"/>
  <c r="AV358" i="17" s="1"/>
  <c r="AN359" i="17"/>
  <c r="AN360" i="17"/>
  <c r="AU360" i="17" s="1"/>
  <c r="AV360" i="17" s="1"/>
  <c r="AN361" i="17"/>
  <c r="AN362" i="17"/>
  <c r="AU362" i="17" s="1"/>
  <c r="AV362" i="17" s="1"/>
  <c r="AN363" i="17"/>
  <c r="AN364" i="17"/>
  <c r="AU364" i="17" s="1"/>
  <c r="AV364" i="17" s="1"/>
  <c r="AN365" i="17"/>
  <c r="AN366" i="17"/>
  <c r="AU366" i="17" s="1"/>
  <c r="AV366" i="17" s="1"/>
  <c r="AN367" i="17"/>
  <c r="AN368" i="17"/>
  <c r="AU368" i="17" s="1"/>
  <c r="AV368" i="17" s="1"/>
  <c r="AN369" i="17"/>
  <c r="AN370" i="17"/>
  <c r="AU370" i="17" s="1"/>
  <c r="AV370" i="17" s="1"/>
  <c r="AN371" i="17"/>
  <c r="AN372" i="17"/>
  <c r="AU372" i="17" s="1"/>
  <c r="AV372" i="17" s="1"/>
  <c r="AN373" i="17"/>
  <c r="AN374" i="17"/>
  <c r="AU374" i="17" s="1"/>
  <c r="AV374" i="17" s="1"/>
  <c r="AN375" i="17"/>
  <c r="AN376" i="17"/>
  <c r="AU376" i="17" s="1"/>
  <c r="AV376" i="17" s="1"/>
  <c r="AN377" i="17"/>
  <c r="AN378" i="17"/>
  <c r="AU378" i="17" s="1"/>
  <c r="AV378" i="17" s="1"/>
  <c r="AN379" i="17"/>
  <c r="AN380" i="17"/>
  <c r="AU380" i="17" s="1"/>
  <c r="AV380" i="17" s="1"/>
  <c r="AN381" i="17"/>
  <c r="AN382" i="17"/>
  <c r="AU382" i="17" s="1"/>
  <c r="AV382" i="17" s="1"/>
  <c r="AN383" i="17"/>
  <c r="AN384" i="17"/>
  <c r="AU384" i="17" s="1"/>
  <c r="AV384" i="17" s="1"/>
  <c r="AN385" i="17"/>
  <c r="AN386" i="17"/>
  <c r="AU386" i="17" s="1"/>
  <c r="AV386" i="17" s="1"/>
  <c r="AN387" i="17"/>
  <c r="AN388" i="17"/>
  <c r="AU388" i="17" s="1"/>
  <c r="AV388" i="17" s="1"/>
  <c r="AN389" i="17"/>
  <c r="AN390" i="17"/>
  <c r="AU390" i="17" s="1"/>
  <c r="AV390" i="17" s="1"/>
  <c r="AN391" i="17"/>
  <c r="AN392" i="17"/>
  <c r="AU392" i="17" s="1"/>
  <c r="AV392" i="17" s="1"/>
  <c r="AN393" i="17"/>
  <c r="AN394" i="17"/>
  <c r="AU394" i="17" s="1"/>
  <c r="AV394" i="17" s="1"/>
  <c r="AN395" i="17"/>
  <c r="AN396" i="17"/>
  <c r="AU396" i="17" s="1"/>
  <c r="AV396" i="17" s="1"/>
  <c r="AN397" i="17"/>
  <c r="AN398" i="17"/>
  <c r="AU398" i="17" s="1"/>
  <c r="AV398" i="17" s="1"/>
  <c r="AN399" i="17"/>
  <c r="AN400" i="17"/>
  <c r="AU400" i="17" s="1"/>
  <c r="AV400" i="17" s="1"/>
  <c r="AN401" i="17"/>
  <c r="AN402" i="17"/>
  <c r="AU402" i="17" s="1"/>
  <c r="AV402" i="17" s="1"/>
  <c r="AN403" i="17"/>
  <c r="AN404" i="17"/>
  <c r="AU404" i="17" s="1"/>
  <c r="AV404" i="17" s="1"/>
  <c r="AN405" i="17"/>
  <c r="AN406" i="17"/>
  <c r="AU406" i="17" s="1"/>
  <c r="AV406" i="17" s="1"/>
  <c r="AN407" i="17"/>
  <c r="AN408" i="17"/>
  <c r="AU408" i="17" s="1"/>
  <c r="AV408" i="17" s="1"/>
  <c r="AN409" i="17"/>
  <c r="AN410" i="17"/>
  <c r="AU410" i="17" s="1"/>
  <c r="AV410" i="17" s="1"/>
  <c r="AN411" i="17"/>
  <c r="AN412" i="17"/>
  <c r="AU412" i="17" s="1"/>
  <c r="AV412" i="17" s="1"/>
  <c r="AN413" i="17"/>
  <c r="AN414" i="17"/>
  <c r="AU414" i="17" s="1"/>
  <c r="AV414" i="17" s="1"/>
  <c r="AN415" i="17"/>
  <c r="AN416" i="17"/>
  <c r="AU416" i="17" s="1"/>
  <c r="AV416" i="17" s="1"/>
  <c r="AN417" i="17"/>
  <c r="AN418" i="17"/>
  <c r="AU418" i="17" s="1"/>
  <c r="AV418" i="17" s="1"/>
  <c r="AN419" i="17"/>
  <c r="AN420" i="17"/>
  <c r="AU420" i="17" s="1"/>
  <c r="AV420" i="17" s="1"/>
  <c r="AN421" i="17"/>
  <c r="AU421" i="17" s="1"/>
  <c r="AV421" i="17" s="1"/>
  <c r="AN422" i="17"/>
  <c r="AU422" i="17" s="1"/>
  <c r="AV422" i="17" s="1"/>
  <c r="AN423" i="17"/>
  <c r="AU423" i="17" s="1"/>
  <c r="AV423" i="17" s="1"/>
  <c r="AN424" i="17"/>
  <c r="AU424" i="17" s="1"/>
  <c r="AV424" i="17" s="1"/>
  <c r="AN425" i="17"/>
  <c r="AU425" i="17" s="1"/>
  <c r="AV425" i="17" s="1"/>
  <c r="AN426" i="17"/>
  <c r="AU426" i="17" s="1"/>
  <c r="AV426" i="17" s="1"/>
  <c r="AN427" i="17"/>
  <c r="AU427" i="17" s="1"/>
  <c r="AV427" i="17" s="1"/>
  <c r="AN428" i="17"/>
  <c r="AU428" i="17" s="1"/>
  <c r="AV428" i="17" s="1"/>
  <c r="AN429" i="17"/>
  <c r="AU429" i="17" s="1"/>
  <c r="AV429" i="17" s="1"/>
  <c r="AN430" i="17"/>
  <c r="AU430" i="17" s="1"/>
  <c r="AV430" i="17" s="1"/>
  <c r="AN431" i="17"/>
  <c r="AU431" i="17" s="1"/>
  <c r="AV431" i="17" s="1"/>
  <c r="AN432" i="17"/>
  <c r="AU432" i="17" s="1"/>
  <c r="AV432" i="17" s="1"/>
  <c r="AN433" i="17"/>
  <c r="AU433" i="17" s="1"/>
  <c r="AV433" i="17" s="1"/>
  <c r="AN434" i="17"/>
  <c r="AU434" i="17" s="1"/>
  <c r="AV434" i="17" s="1"/>
  <c r="AN435" i="17"/>
  <c r="AU435" i="17" s="1"/>
  <c r="AV435" i="17" s="1"/>
  <c r="AN436" i="17"/>
  <c r="AU436" i="17" s="1"/>
  <c r="AV436" i="17" s="1"/>
  <c r="AN437" i="17"/>
  <c r="AU437" i="17" s="1"/>
  <c r="AV437" i="17" s="1"/>
  <c r="AN438" i="17"/>
  <c r="AU438" i="17" s="1"/>
  <c r="AV438" i="17" s="1"/>
  <c r="AN439" i="17"/>
  <c r="AU439" i="17" s="1"/>
  <c r="AV439" i="17" s="1"/>
  <c r="AN440" i="17"/>
  <c r="AU440" i="17" s="1"/>
  <c r="AV440" i="17" s="1"/>
  <c r="AN441" i="17"/>
  <c r="AU441" i="17" s="1"/>
  <c r="AV441" i="17" s="1"/>
  <c r="AN442" i="17"/>
  <c r="AU442" i="17" s="1"/>
  <c r="AV442" i="17" s="1"/>
  <c r="AN443" i="17"/>
  <c r="AU443" i="17" s="1"/>
  <c r="AV443" i="17" s="1"/>
  <c r="AN444" i="17"/>
  <c r="AU444" i="17" s="1"/>
  <c r="AV444" i="17" s="1"/>
  <c r="AN445" i="17"/>
  <c r="AU445" i="17" s="1"/>
  <c r="AV445" i="17" s="1"/>
  <c r="AN446" i="17"/>
  <c r="AU446" i="17" s="1"/>
  <c r="AV446" i="17" s="1"/>
  <c r="AN447" i="17"/>
  <c r="AU447" i="17" s="1"/>
  <c r="AV447" i="17" s="1"/>
  <c r="AN448" i="17"/>
  <c r="AU448" i="17" s="1"/>
  <c r="AV448" i="17" s="1"/>
  <c r="AN449" i="17"/>
  <c r="AU449" i="17" s="1"/>
  <c r="AV449" i="17" s="1"/>
  <c r="AN450" i="17"/>
  <c r="AU450" i="17" s="1"/>
  <c r="AV450" i="17" s="1"/>
  <c r="AN451" i="17"/>
  <c r="AU451" i="17" s="1"/>
  <c r="AV451" i="17" s="1"/>
  <c r="AN452" i="17"/>
  <c r="AU452" i="17" s="1"/>
  <c r="AV452" i="17" s="1"/>
  <c r="AN453" i="17"/>
  <c r="AU453" i="17" s="1"/>
  <c r="AV453" i="17" s="1"/>
  <c r="AN454" i="17"/>
  <c r="AU454" i="17" s="1"/>
  <c r="AV454" i="17" s="1"/>
  <c r="AN455" i="17"/>
  <c r="AU455" i="17" s="1"/>
  <c r="AV455" i="17" s="1"/>
  <c r="AN456" i="17"/>
  <c r="AU456" i="17" s="1"/>
  <c r="AV456" i="17" s="1"/>
  <c r="AN457" i="17"/>
  <c r="AU457" i="17" s="1"/>
  <c r="AV457" i="17" s="1"/>
  <c r="AN458" i="17"/>
  <c r="AU458" i="17" s="1"/>
  <c r="AV458" i="17" s="1"/>
  <c r="AN459" i="17"/>
  <c r="AU459" i="17" s="1"/>
  <c r="AV459" i="17" s="1"/>
  <c r="AN460" i="17"/>
  <c r="AU460" i="17" s="1"/>
  <c r="AV460" i="17" s="1"/>
  <c r="AN461" i="17"/>
  <c r="AU461" i="17" s="1"/>
  <c r="AV461" i="17" s="1"/>
  <c r="AN462" i="17"/>
  <c r="AU462" i="17" s="1"/>
  <c r="AV462" i="17" s="1"/>
  <c r="AN463" i="17"/>
  <c r="AU463" i="17" s="1"/>
  <c r="AV463" i="17" s="1"/>
  <c r="AN464" i="17"/>
  <c r="AU464" i="17" s="1"/>
  <c r="AV464" i="17" s="1"/>
  <c r="AN465" i="17"/>
  <c r="AU465" i="17" s="1"/>
  <c r="AV465" i="17" s="1"/>
  <c r="AN466" i="17"/>
  <c r="AU466" i="17" s="1"/>
  <c r="AV466" i="17" s="1"/>
  <c r="AN467" i="17"/>
  <c r="AU467" i="17" s="1"/>
  <c r="AV467" i="17" s="1"/>
  <c r="AN468" i="17"/>
  <c r="AU468" i="17" s="1"/>
  <c r="AV468" i="17" s="1"/>
  <c r="AN469" i="17"/>
  <c r="AU469" i="17" s="1"/>
  <c r="AV469" i="17" s="1"/>
  <c r="AN470" i="17"/>
  <c r="AU470" i="17" s="1"/>
  <c r="AV470" i="17" s="1"/>
  <c r="AN471" i="17"/>
  <c r="AU471" i="17" s="1"/>
  <c r="AV471" i="17" s="1"/>
  <c r="AN472" i="17"/>
  <c r="AU472" i="17" s="1"/>
  <c r="AV472" i="17" s="1"/>
  <c r="AN473" i="17"/>
  <c r="AU473" i="17" s="1"/>
  <c r="AV473" i="17" s="1"/>
  <c r="AN474" i="17"/>
  <c r="AU474" i="17" s="1"/>
  <c r="AV474" i="17" s="1"/>
  <c r="AN475" i="17"/>
  <c r="AU475" i="17" s="1"/>
  <c r="AV475" i="17" s="1"/>
  <c r="AN476" i="17"/>
  <c r="AU476" i="17" s="1"/>
  <c r="AV476" i="17" s="1"/>
  <c r="AN477" i="17"/>
  <c r="AU477" i="17" s="1"/>
  <c r="AV477" i="17" s="1"/>
  <c r="AN478" i="17"/>
  <c r="AU478" i="17" s="1"/>
  <c r="AV478" i="17" s="1"/>
  <c r="AN479" i="17"/>
  <c r="AU479" i="17" s="1"/>
  <c r="AV479" i="17" s="1"/>
  <c r="AN480" i="17"/>
  <c r="AU480" i="17" s="1"/>
  <c r="AV480" i="17" s="1"/>
  <c r="AN481" i="17"/>
  <c r="AU481" i="17" s="1"/>
  <c r="AV481" i="17" s="1"/>
  <c r="AN482" i="17"/>
  <c r="AU482" i="17" s="1"/>
  <c r="AV482" i="17" s="1"/>
  <c r="AN483" i="17"/>
  <c r="AU483" i="17" s="1"/>
  <c r="AV483" i="17" s="1"/>
  <c r="AN484" i="17"/>
  <c r="AU484" i="17" s="1"/>
  <c r="AV484" i="17" s="1"/>
  <c r="AN485" i="17"/>
  <c r="AU485" i="17" s="1"/>
  <c r="AV485" i="17" s="1"/>
  <c r="AN486" i="17"/>
  <c r="AU486" i="17" s="1"/>
  <c r="AV486" i="17" s="1"/>
  <c r="AN487" i="17"/>
  <c r="AU487" i="17" s="1"/>
  <c r="AV487" i="17" s="1"/>
  <c r="AN488" i="17"/>
  <c r="AU488" i="17" s="1"/>
  <c r="AV488" i="17" s="1"/>
  <c r="AN489" i="17"/>
  <c r="AU489" i="17" s="1"/>
  <c r="AV489" i="17" s="1"/>
  <c r="AN490" i="17"/>
  <c r="AU490" i="17" s="1"/>
  <c r="AV490" i="17" s="1"/>
  <c r="AN491" i="17"/>
  <c r="AU491" i="17" s="1"/>
  <c r="AV491" i="17" s="1"/>
  <c r="AN492" i="17"/>
  <c r="AU492" i="17" s="1"/>
  <c r="AV492" i="17" s="1"/>
  <c r="AN493" i="17"/>
  <c r="AU493" i="17" s="1"/>
  <c r="AV493" i="17" s="1"/>
  <c r="AN494" i="17"/>
  <c r="AU494" i="17" s="1"/>
  <c r="AV494" i="17" s="1"/>
  <c r="AN495" i="17"/>
  <c r="AU495" i="17" s="1"/>
  <c r="AV495" i="17" s="1"/>
  <c r="AN496" i="17"/>
  <c r="AU496" i="17" s="1"/>
  <c r="AV496" i="17" s="1"/>
  <c r="AN497" i="17"/>
  <c r="AU497" i="17" s="1"/>
  <c r="AV497" i="17" s="1"/>
  <c r="AN498" i="17"/>
  <c r="AU498" i="17" s="1"/>
  <c r="AV498" i="17" s="1"/>
  <c r="AN499" i="17"/>
  <c r="AU499" i="17" s="1"/>
  <c r="AV499" i="17" s="1"/>
  <c r="AN500" i="17"/>
  <c r="AU500" i="17" s="1"/>
  <c r="AV500" i="17" s="1"/>
  <c r="AN501" i="17"/>
  <c r="AU501" i="17" s="1"/>
  <c r="AV501" i="17" s="1"/>
  <c r="AN502" i="17"/>
  <c r="AU502" i="17" s="1"/>
  <c r="AV502" i="17" s="1"/>
  <c r="AN503" i="17"/>
  <c r="AU503" i="17" s="1"/>
  <c r="AV503" i="17" s="1"/>
  <c r="AN504" i="17"/>
  <c r="AU504" i="17" s="1"/>
  <c r="AV504" i="17" s="1"/>
  <c r="AN505" i="17"/>
  <c r="AU505" i="17" s="1"/>
  <c r="AV505" i="17" s="1"/>
  <c r="AN506" i="17"/>
  <c r="AU506" i="17" s="1"/>
  <c r="AV506" i="17" s="1"/>
  <c r="AN507" i="17"/>
  <c r="AU507" i="17" s="1"/>
  <c r="AV507" i="17" s="1"/>
  <c r="AN508" i="17"/>
  <c r="AU508" i="17" s="1"/>
  <c r="AV508" i="17" s="1"/>
  <c r="AN509" i="17"/>
  <c r="AU509" i="17" s="1"/>
  <c r="AV509" i="17" s="1"/>
  <c r="AN510" i="17"/>
  <c r="AU510" i="17" s="1"/>
  <c r="AV510" i="17" s="1"/>
  <c r="AN511" i="17"/>
  <c r="AU511" i="17" s="1"/>
  <c r="AV511" i="17" s="1"/>
  <c r="AN512" i="17"/>
  <c r="AU512" i="17" s="1"/>
  <c r="AV512" i="17" s="1"/>
  <c r="AN513" i="17"/>
  <c r="AU513" i="17" s="1"/>
  <c r="AV513" i="17" s="1"/>
  <c r="AN514" i="17"/>
  <c r="AU514" i="17" s="1"/>
  <c r="AV514" i="17" s="1"/>
  <c r="AN515" i="17"/>
  <c r="AU515" i="17" s="1"/>
  <c r="AV515" i="17" s="1"/>
  <c r="AN516" i="17"/>
  <c r="AU516" i="17" s="1"/>
  <c r="AV516" i="17" s="1"/>
  <c r="AN517" i="17"/>
  <c r="AU517" i="17" s="1"/>
  <c r="AV517" i="17" s="1"/>
  <c r="AN518" i="17"/>
  <c r="AU518" i="17" s="1"/>
  <c r="AV518" i="17" s="1"/>
  <c r="AN19" i="17"/>
  <c r="AL21" i="17"/>
  <c r="AL22" i="17"/>
  <c r="AL23" i="17"/>
  <c r="AL24" i="17"/>
  <c r="AL25" i="17"/>
  <c r="AL26" i="17"/>
  <c r="AL27" i="17"/>
  <c r="AL28" i="17"/>
  <c r="AL29" i="17"/>
  <c r="AL30" i="17"/>
  <c r="AL31" i="17"/>
  <c r="AL32" i="17"/>
  <c r="AL33" i="17"/>
  <c r="AL34" i="17"/>
  <c r="AL35" i="17"/>
  <c r="AL36" i="17"/>
  <c r="AL37" i="17"/>
  <c r="AL38" i="17"/>
  <c r="AL39" i="17"/>
  <c r="AL40" i="17"/>
  <c r="AL41" i="17"/>
  <c r="AL42" i="17"/>
  <c r="AL43" i="17"/>
  <c r="AL44" i="17"/>
  <c r="AL45" i="17"/>
  <c r="AL46" i="17"/>
  <c r="AL47" i="17"/>
  <c r="AL48" i="17"/>
  <c r="AL49" i="17"/>
  <c r="AL50" i="17"/>
  <c r="AL51" i="17"/>
  <c r="AL52" i="17"/>
  <c r="AL53" i="17"/>
  <c r="AL54" i="17"/>
  <c r="AL55" i="17"/>
  <c r="AL56" i="17"/>
  <c r="AL57" i="17"/>
  <c r="AL58" i="17"/>
  <c r="AL59" i="17"/>
  <c r="AL60" i="17"/>
  <c r="AL61" i="17"/>
  <c r="AL62" i="17"/>
  <c r="AL63" i="17"/>
  <c r="AL64" i="17"/>
  <c r="AL65" i="17"/>
  <c r="AL66" i="17"/>
  <c r="AL67" i="17"/>
  <c r="AL68" i="17"/>
  <c r="AL69" i="17"/>
  <c r="AL70" i="17"/>
  <c r="AL71" i="17"/>
  <c r="AL72" i="17"/>
  <c r="AL73" i="17"/>
  <c r="AL74" i="17"/>
  <c r="AL75" i="17"/>
  <c r="AL76" i="17"/>
  <c r="AL77" i="17"/>
  <c r="AL78" i="17"/>
  <c r="AL79" i="17"/>
  <c r="AL80" i="17"/>
  <c r="AL81" i="17"/>
  <c r="AL82" i="17"/>
  <c r="AL83" i="17"/>
  <c r="AL84" i="17"/>
  <c r="AL85" i="17"/>
  <c r="AL86" i="17"/>
  <c r="AL87" i="17"/>
  <c r="AL88" i="17"/>
  <c r="AL89" i="17"/>
  <c r="AL90" i="17"/>
  <c r="AL91" i="17"/>
  <c r="AL92" i="17"/>
  <c r="AL93" i="17"/>
  <c r="AL94" i="17"/>
  <c r="AL95" i="17"/>
  <c r="AL96" i="17"/>
  <c r="AL97" i="17"/>
  <c r="AL98" i="17"/>
  <c r="AL99" i="17"/>
  <c r="AL100" i="17"/>
  <c r="AL101" i="17"/>
  <c r="AL102" i="17"/>
  <c r="AL103" i="17"/>
  <c r="AL104" i="17"/>
  <c r="AL105" i="17"/>
  <c r="AL106" i="17"/>
  <c r="AL107" i="17"/>
  <c r="AL108" i="17"/>
  <c r="AL109" i="17"/>
  <c r="AL110" i="17"/>
  <c r="AL111" i="17"/>
  <c r="AL112" i="17"/>
  <c r="AL113" i="17"/>
  <c r="AL114" i="17"/>
  <c r="AL115" i="17"/>
  <c r="AL116" i="17"/>
  <c r="AL117" i="17"/>
  <c r="AL118" i="17"/>
  <c r="AL119" i="17"/>
  <c r="AL120" i="17"/>
  <c r="AL121" i="17"/>
  <c r="AL122" i="17"/>
  <c r="AL123" i="17"/>
  <c r="AL124" i="17"/>
  <c r="AL125" i="17"/>
  <c r="AL126" i="17"/>
  <c r="AL127" i="17"/>
  <c r="AL128" i="17"/>
  <c r="AL129" i="17"/>
  <c r="AL130" i="17"/>
  <c r="AL131" i="17"/>
  <c r="AL132" i="17"/>
  <c r="AL133" i="17"/>
  <c r="AL134" i="17"/>
  <c r="AL135" i="17"/>
  <c r="AL136" i="17"/>
  <c r="AL137" i="17"/>
  <c r="AL138" i="17"/>
  <c r="AL139" i="17"/>
  <c r="AL140" i="17"/>
  <c r="AL141" i="17"/>
  <c r="AL142" i="17"/>
  <c r="AL143" i="17"/>
  <c r="AL144" i="17"/>
  <c r="AL145" i="17"/>
  <c r="AL146" i="17"/>
  <c r="AL147" i="17"/>
  <c r="AL148" i="17"/>
  <c r="AL149" i="17"/>
  <c r="AL150" i="17"/>
  <c r="AL151" i="17"/>
  <c r="AL152" i="17"/>
  <c r="AL153" i="17"/>
  <c r="AL154" i="17"/>
  <c r="AL155" i="17"/>
  <c r="AL156" i="17"/>
  <c r="AL157" i="17"/>
  <c r="AL158" i="17"/>
  <c r="AL159" i="17"/>
  <c r="AL160" i="17"/>
  <c r="AL161" i="17"/>
  <c r="AL162" i="17"/>
  <c r="AL163" i="17"/>
  <c r="AL164" i="17"/>
  <c r="AL165" i="17"/>
  <c r="AL166" i="17"/>
  <c r="AL167" i="17"/>
  <c r="AL168" i="17"/>
  <c r="AL169" i="17"/>
  <c r="AL170" i="17"/>
  <c r="AL171" i="17"/>
  <c r="AL172" i="17"/>
  <c r="AL173" i="17"/>
  <c r="AL174" i="17"/>
  <c r="AL175" i="17"/>
  <c r="AL176" i="17"/>
  <c r="AL177" i="17"/>
  <c r="AL178" i="17"/>
  <c r="AL179" i="17"/>
  <c r="AL180" i="17"/>
  <c r="AL181" i="17"/>
  <c r="AL182" i="17"/>
  <c r="AL183" i="17"/>
  <c r="AL184" i="17"/>
  <c r="AL185" i="17"/>
  <c r="AL186" i="17"/>
  <c r="AL187" i="17"/>
  <c r="AL188" i="17"/>
  <c r="AL189" i="17"/>
  <c r="AL190" i="17"/>
  <c r="AL191" i="17"/>
  <c r="AL192" i="17"/>
  <c r="AL193" i="17"/>
  <c r="AL194" i="17"/>
  <c r="AL195" i="17"/>
  <c r="AL196" i="17"/>
  <c r="AL197" i="17"/>
  <c r="AL198" i="17"/>
  <c r="AL199" i="17"/>
  <c r="AL200" i="17"/>
  <c r="AL201" i="17"/>
  <c r="AL202" i="17"/>
  <c r="AL203" i="17"/>
  <c r="AL204" i="17"/>
  <c r="AL205" i="17"/>
  <c r="AL206" i="17"/>
  <c r="AL207" i="17"/>
  <c r="AL208" i="17"/>
  <c r="AL209" i="17"/>
  <c r="AL210" i="17"/>
  <c r="AL211" i="17"/>
  <c r="AL212" i="17"/>
  <c r="AL213" i="17"/>
  <c r="AL214" i="17"/>
  <c r="AL215" i="17"/>
  <c r="AL216" i="17"/>
  <c r="AL217" i="17"/>
  <c r="AL218" i="17"/>
  <c r="AL219" i="17"/>
  <c r="AL220" i="17"/>
  <c r="AL221" i="17"/>
  <c r="AL222" i="17"/>
  <c r="AL223" i="17"/>
  <c r="AL224" i="17"/>
  <c r="AL225" i="17"/>
  <c r="AL226" i="17"/>
  <c r="AL227" i="17"/>
  <c r="AL228" i="17"/>
  <c r="AL229" i="17"/>
  <c r="AL230" i="17"/>
  <c r="AL231" i="17"/>
  <c r="AL232" i="17"/>
  <c r="AL233" i="17"/>
  <c r="AL234" i="17"/>
  <c r="AL235" i="17"/>
  <c r="AL236" i="17"/>
  <c r="AL237" i="17"/>
  <c r="AL238" i="17"/>
  <c r="AL239" i="17"/>
  <c r="AL240" i="17"/>
  <c r="AL241" i="17"/>
  <c r="AL242" i="17"/>
  <c r="AL243" i="17"/>
  <c r="AL244" i="17"/>
  <c r="AL245" i="17"/>
  <c r="AL246" i="17"/>
  <c r="AL247" i="17"/>
  <c r="AL248" i="17"/>
  <c r="AL249" i="17"/>
  <c r="AL250" i="17"/>
  <c r="AL251" i="17"/>
  <c r="AL252" i="17"/>
  <c r="AL253" i="17"/>
  <c r="AL254" i="17"/>
  <c r="AL255" i="17"/>
  <c r="AL256" i="17"/>
  <c r="AL257" i="17"/>
  <c r="AL258" i="17"/>
  <c r="AL259" i="17"/>
  <c r="AL260" i="17"/>
  <c r="AL261" i="17"/>
  <c r="AL262" i="17"/>
  <c r="AL263" i="17"/>
  <c r="AL264" i="17"/>
  <c r="AL265" i="17"/>
  <c r="AL266" i="17"/>
  <c r="AL267" i="17"/>
  <c r="AL268" i="17"/>
  <c r="AL269" i="17"/>
  <c r="AL270" i="17"/>
  <c r="AL271" i="17"/>
  <c r="AL272" i="17"/>
  <c r="AL273" i="17"/>
  <c r="AL274" i="17"/>
  <c r="AL275" i="17"/>
  <c r="AL276" i="17"/>
  <c r="AL277" i="17"/>
  <c r="AL278" i="17"/>
  <c r="AL279" i="17"/>
  <c r="AL280" i="17"/>
  <c r="AL281" i="17"/>
  <c r="AL282" i="17"/>
  <c r="AL283" i="17"/>
  <c r="AL284" i="17"/>
  <c r="AL285" i="17"/>
  <c r="AL286" i="17"/>
  <c r="AL287" i="17"/>
  <c r="AL288" i="17"/>
  <c r="AL289" i="17"/>
  <c r="AL290" i="17"/>
  <c r="AL291" i="17"/>
  <c r="AL292" i="17"/>
  <c r="AL293" i="17"/>
  <c r="AL294" i="17"/>
  <c r="AL295" i="17"/>
  <c r="AL296" i="17"/>
  <c r="AL297" i="17"/>
  <c r="AL298" i="17"/>
  <c r="AL299" i="17"/>
  <c r="AL300" i="17"/>
  <c r="AL301" i="17"/>
  <c r="AL302" i="17"/>
  <c r="AL303" i="17"/>
  <c r="AL304" i="17"/>
  <c r="AL305" i="17"/>
  <c r="AL306" i="17"/>
  <c r="AL307" i="17"/>
  <c r="AL308" i="17"/>
  <c r="AL309" i="17"/>
  <c r="AL310" i="17"/>
  <c r="AL311" i="17"/>
  <c r="AL312" i="17"/>
  <c r="AL313" i="17"/>
  <c r="AL314" i="17"/>
  <c r="AL315" i="17"/>
  <c r="AL316" i="17"/>
  <c r="AL317" i="17"/>
  <c r="AL318" i="17"/>
  <c r="AL319" i="17"/>
  <c r="AL320" i="17"/>
  <c r="AL321" i="17"/>
  <c r="AL322" i="17"/>
  <c r="AL323" i="17"/>
  <c r="AL324" i="17"/>
  <c r="AL325" i="17"/>
  <c r="AL326" i="17"/>
  <c r="AL327" i="17"/>
  <c r="AL328" i="17"/>
  <c r="AL329" i="17"/>
  <c r="AL330" i="17"/>
  <c r="AL331" i="17"/>
  <c r="AL332" i="17"/>
  <c r="AL333" i="17"/>
  <c r="AL334" i="17"/>
  <c r="AL335" i="17"/>
  <c r="AL336" i="17"/>
  <c r="AL337" i="17"/>
  <c r="AL338" i="17"/>
  <c r="AL339" i="17"/>
  <c r="AL340" i="17"/>
  <c r="AL341" i="17"/>
  <c r="AL342" i="17"/>
  <c r="AL343" i="17"/>
  <c r="AL344" i="17"/>
  <c r="AL345" i="17"/>
  <c r="AL346" i="17"/>
  <c r="AL347" i="17"/>
  <c r="AL348" i="17"/>
  <c r="AL349" i="17"/>
  <c r="AL350" i="17"/>
  <c r="AL351" i="17"/>
  <c r="AL352" i="17"/>
  <c r="AL353" i="17"/>
  <c r="AL354" i="17"/>
  <c r="AL355" i="17"/>
  <c r="AL356" i="17"/>
  <c r="AL357" i="17"/>
  <c r="AL358" i="17"/>
  <c r="AL359" i="17"/>
  <c r="AL360" i="17"/>
  <c r="AL361" i="17"/>
  <c r="AL362" i="17"/>
  <c r="AL363" i="17"/>
  <c r="AL364" i="17"/>
  <c r="AL365" i="17"/>
  <c r="AL366" i="17"/>
  <c r="AL367" i="17"/>
  <c r="AL368" i="17"/>
  <c r="AL369" i="17"/>
  <c r="AL370" i="17"/>
  <c r="AL371" i="17"/>
  <c r="AL372" i="17"/>
  <c r="AL373" i="17"/>
  <c r="AL374" i="17"/>
  <c r="AL375" i="17"/>
  <c r="AL376" i="17"/>
  <c r="AL377" i="17"/>
  <c r="AL378" i="17"/>
  <c r="AL379" i="17"/>
  <c r="AL380" i="17"/>
  <c r="AL381" i="17"/>
  <c r="AL382" i="17"/>
  <c r="AL383" i="17"/>
  <c r="AL384" i="17"/>
  <c r="AL385" i="17"/>
  <c r="AL386" i="17"/>
  <c r="AL387" i="17"/>
  <c r="AL388" i="17"/>
  <c r="AL389" i="17"/>
  <c r="AL390" i="17"/>
  <c r="AL391" i="17"/>
  <c r="AL392" i="17"/>
  <c r="AL393" i="17"/>
  <c r="AL394" i="17"/>
  <c r="AL395" i="17"/>
  <c r="AL396" i="17"/>
  <c r="AL397" i="17"/>
  <c r="AL398" i="17"/>
  <c r="AL399" i="17"/>
  <c r="AL400" i="17"/>
  <c r="AL401" i="17"/>
  <c r="AL402" i="17"/>
  <c r="AL403" i="17"/>
  <c r="AL404" i="17"/>
  <c r="AL405" i="17"/>
  <c r="AL406" i="17"/>
  <c r="AL407" i="17"/>
  <c r="AL408" i="17"/>
  <c r="AL409" i="17"/>
  <c r="AL410" i="17"/>
  <c r="AL411" i="17"/>
  <c r="AL412" i="17"/>
  <c r="AL413" i="17"/>
  <c r="AL414" i="17"/>
  <c r="AL415" i="17"/>
  <c r="AL416" i="17"/>
  <c r="AL417" i="17"/>
  <c r="AL418" i="17"/>
  <c r="AL419" i="17"/>
  <c r="AL420" i="17"/>
  <c r="AL421" i="17"/>
  <c r="AL422" i="17"/>
  <c r="AL423" i="17"/>
  <c r="AL424" i="17"/>
  <c r="AL425" i="17"/>
  <c r="AL426" i="17"/>
  <c r="AL427" i="17"/>
  <c r="AL428" i="17"/>
  <c r="AL429" i="17"/>
  <c r="AL430" i="17"/>
  <c r="AL431" i="17"/>
  <c r="AL432" i="17"/>
  <c r="AL433" i="17"/>
  <c r="AL434" i="17"/>
  <c r="AL435" i="17"/>
  <c r="AL436" i="17"/>
  <c r="AL437" i="17"/>
  <c r="AL438" i="17"/>
  <c r="AL439" i="17"/>
  <c r="AL440" i="17"/>
  <c r="AL441" i="17"/>
  <c r="AL442" i="17"/>
  <c r="AL443" i="17"/>
  <c r="AL444" i="17"/>
  <c r="AL445" i="17"/>
  <c r="AL446" i="17"/>
  <c r="AL447" i="17"/>
  <c r="AL448" i="17"/>
  <c r="AL449" i="17"/>
  <c r="AL450" i="17"/>
  <c r="AL451" i="17"/>
  <c r="AL452" i="17"/>
  <c r="AL453" i="17"/>
  <c r="AL454" i="17"/>
  <c r="AL455" i="17"/>
  <c r="AL456" i="17"/>
  <c r="AL457" i="17"/>
  <c r="AL458" i="17"/>
  <c r="AL459" i="17"/>
  <c r="AL460" i="17"/>
  <c r="AL461" i="17"/>
  <c r="AL462" i="17"/>
  <c r="AL463" i="17"/>
  <c r="AL464" i="17"/>
  <c r="AL465" i="17"/>
  <c r="AL466" i="17"/>
  <c r="AL467" i="17"/>
  <c r="AL468" i="17"/>
  <c r="AL469" i="17"/>
  <c r="AL470" i="17"/>
  <c r="AL471" i="17"/>
  <c r="AL472" i="17"/>
  <c r="AL473" i="17"/>
  <c r="AL474" i="17"/>
  <c r="AL475" i="17"/>
  <c r="AL476" i="17"/>
  <c r="AL477" i="17"/>
  <c r="AL478" i="17"/>
  <c r="AL479" i="17"/>
  <c r="AL480" i="17"/>
  <c r="AL481" i="17"/>
  <c r="AL482" i="17"/>
  <c r="AL483" i="17"/>
  <c r="AL484" i="17"/>
  <c r="AL485" i="17"/>
  <c r="AL486" i="17"/>
  <c r="AL487" i="17"/>
  <c r="AL488" i="17"/>
  <c r="AL489" i="17"/>
  <c r="AL490" i="17"/>
  <c r="AL491" i="17"/>
  <c r="AL492" i="17"/>
  <c r="AL493" i="17"/>
  <c r="AL494" i="17"/>
  <c r="AL495" i="17"/>
  <c r="AL496" i="17"/>
  <c r="AL497" i="17"/>
  <c r="AL498" i="17"/>
  <c r="AL499" i="17"/>
  <c r="AL500" i="17"/>
  <c r="AL501" i="17"/>
  <c r="AL502" i="17"/>
  <c r="AL503" i="17"/>
  <c r="AL504" i="17"/>
  <c r="AL505" i="17"/>
  <c r="AL506" i="17"/>
  <c r="AL507" i="17"/>
  <c r="AL508" i="17"/>
  <c r="AL509" i="17"/>
  <c r="AL510" i="17"/>
  <c r="AL511" i="17"/>
  <c r="AL512" i="17"/>
  <c r="AL513" i="17"/>
  <c r="AL514" i="17"/>
  <c r="AL515" i="17"/>
  <c r="AL516" i="17"/>
  <c r="AL517" i="17"/>
  <c r="AL518" i="17"/>
  <c r="AL19" i="17"/>
  <c r="AL20" i="17"/>
  <c r="AU136" i="17" l="1"/>
  <c r="AV136" i="17" s="1"/>
  <c r="AU72" i="17"/>
  <c r="AV72" i="17" s="1"/>
  <c r="AU192" i="17"/>
  <c r="AV192" i="17" s="1"/>
  <c r="AU128" i="17"/>
  <c r="AV128" i="17" s="1"/>
  <c r="AU64" i="17"/>
  <c r="AV64" i="17" s="1"/>
  <c r="AU184" i="17"/>
  <c r="AV184" i="17" s="1"/>
  <c r="AU120" i="17"/>
  <c r="AV120" i="17" s="1"/>
  <c r="AU56" i="17"/>
  <c r="AV56" i="17" s="1"/>
  <c r="AU176" i="17"/>
  <c r="AV176" i="17" s="1"/>
  <c r="AU112" i="17"/>
  <c r="AV112" i="17" s="1"/>
  <c r="AU48" i="17"/>
  <c r="AV48" i="17" s="1"/>
  <c r="AU419" i="17"/>
  <c r="AV419" i="17" s="1"/>
  <c r="AU415" i="17"/>
  <c r="AV415" i="17" s="1"/>
  <c r="AU411" i="17"/>
  <c r="AV411" i="17" s="1"/>
  <c r="AU407" i="17"/>
  <c r="AV407" i="17" s="1"/>
  <c r="AU403" i="17"/>
  <c r="AV403" i="17" s="1"/>
  <c r="AU399" i="17"/>
  <c r="AV399" i="17" s="1"/>
  <c r="AU395" i="17"/>
  <c r="AV395" i="17" s="1"/>
  <c r="AU391" i="17"/>
  <c r="AV391" i="17" s="1"/>
  <c r="AU387" i="17"/>
  <c r="AV387" i="17" s="1"/>
  <c r="AU383" i="17"/>
  <c r="AV383" i="17" s="1"/>
  <c r="AU379" i="17"/>
  <c r="AV379" i="17" s="1"/>
  <c r="AU375" i="17"/>
  <c r="AV375" i="17" s="1"/>
  <c r="AU371" i="17"/>
  <c r="AV371" i="17" s="1"/>
  <c r="AU367" i="17"/>
  <c r="AV367" i="17" s="1"/>
  <c r="AU363" i="17"/>
  <c r="AV363" i="17" s="1"/>
  <c r="AU359" i="17"/>
  <c r="AV359" i="17" s="1"/>
  <c r="AU355" i="17"/>
  <c r="AV355" i="17" s="1"/>
  <c r="AU351" i="17"/>
  <c r="AV351" i="17" s="1"/>
  <c r="AU347" i="17"/>
  <c r="AV347" i="17" s="1"/>
  <c r="AU343" i="17"/>
  <c r="AV343" i="17" s="1"/>
  <c r="AU339" i="17"/>
  <c r="AV339" i="17" s="1"/>
  <c r="AU335" i="17"/>
  <c r="AV335" i="17" s="1"/>
  <c r="AU331" i="17"/>
  <c r="AV331" i="17" s="1"/>
  <c r="AU327" i="17"/>
  <c r="AV327" i="17" s="1"/>
  <c r="AU323" i="17"/>
  <c r="AV323" i="17" s="1"/>
  <c r="AU319" i="17"/>
  <c r="AV319" i="17" s="1"/>
  <c r="AU315" i="17"/>
  <c r="AV315" i="17" s="1"/>
  <c r="AU311" i="17"/>
  <c r="AV311" i="17" s="1"/>
  <c r="AU307" i="17"/>
  <c r="AV307" i="17" s="1"/>
  <c r="AU303" i="17"/>
  <c r="AV303" i="17" s="1"/>
  <c r="AU299" i="17"/>
  <c r="AV299" i="17" s="1"/>
  <c r="AU295" i="17"/>
  <c r="AV295" i="17" s="1"/>
  <c r="AU291" i="17"/>
  <c r="AV291" i="17" s="1"/>
  <c r="AU287" i="17"/>
  <c r="AV287" i="17" s="1"/>
  <c r="AU283" i="17"/>
  <c r="AV283" i="17" s="1"/>
  <c r="AU279" i="17"/>
  <c r="AV279" i="17" s="1"/>
  <c r="AU275" i="17"/>
  <c r="AV275" i="17" s="1"/>
  <c r="AU271" i="17"/>
  <c r="AV271" i="17" s="1"/>
  <c r="AU267" i="17"/>
  <c r="AV267" i="17" s="1"/>
  <c r="AU263" i="17"/>
  <c r="AV263" i="17" s="1"/>
  <c r="AU259" i="17"/>
  <c r="AV259" i="17" s="1"/>
  <c r="AU255" i="17"/>
  <c r="AV255" i="17" s="1"/>
  <c r="AU251" i="17"/>
  <c r="AV251" i="17" s="1"/>
  <c r="AU247" i="17"/>
  <c r="AV247" i="17" s="1"/>
  <c r="AU243" i="17"/>
  <c r="AV243" i="17" s="1"/>
  <c r="AU239" i="17"/>
  <c r="AV239" i="17" s="1"/>
  <c r="AU235" i="17"/>
  <c r="AV235" i="17" s="1"/>
  <c r="AU231" i="17"/>
  <c r="AV231" i="17" s="1"/>
  <c r="AU227" i="17"/>
  <c r="AV227" i="17" s="1"/>
  <c r="AU223" i="17"/>
  <c r="AV223" i="17" s="1"/>
  <c r="AU219" i="17"/>
  <c r="AV219" i="17" s="1"/>
  <c r="AU215" i="17"/>
  <c r="AV215" i="17" s="1"/>
  <c r="AU211" i="17"/>
  <c r="AV211" i="17" s="1"/>
  <c r="AU207" i="17"/>
  <c r="AV207" i="17" s="1"/>
  <c r="AU203" i="17"/>
  <c r="AV203" i="17" s="1"/>
  <c r="AU199" i="17"/>
  <c r="AV199" i="17" s="1"/>
  <c r="AU195" i="17"/>
  <c r="AV195" i="17" s="1"/>
  <c r="AU191" i="17"/>
  <c r="AV191" i="17" s="1"/>
  <c r="AU187" i="17"/>
  <c r="AV187" i="17" s="1"/>
  <c r="AU183" i="17"/>
  <c r="AV183" i="17" s="1"/>
  <c r="AU179" i="17"/>
  <c r="AV179" i="17" s="1"/>
  <c r="AU175" i="17"/>
  <c r="AV175" i="17" s="1"/>
  <c r="AU171" i="17"/>
  <c r="AV171" i="17" s="1"/>
  <c r="AU167" i="17"/>
  <c r="AV167" i="17" s="1"/>
  <c r="AU163" i="17"/>
  <c r="AV163" i="17" s="1"/>
  <c r="AU159" i="17"/>
  <c r="AV159" i="17" s="1"/>
  <c r="AU155" i="17"/>
  <c r="AV155" i="17" s="1"/>
  <c r="AU151" i="17"/>
  <c r="AV151" i="17" s="1"/>
  <c r="AU147" i="17"/>
  <c r="AV147" i="17" s="1"/>
  <c r="AU143" i="17"/>
  <c r="AV143" i="17" s="1"/>
  <c r="AU139" i="17"/>
  <c r="AV139" i="17" s="1"/>
  <c r="AU135" i="17"/>
  <c r="AV135" i="17" s="1"/>
  <c r="AU131" i="17"/>
  <c r="AV131" i="17" s="1"/>
  <c r="AU127" i="17"/>
  <c r="AV127" i="17" s="1"/>
  <c r="AU123" i="17"/>
  <c r="AV123" i="17" s="1"/>
  <c r="AU119" i="17"/>
  <c r="AV119" i="17" s="1"/>
  <c r="AU115" i="17"/>
  <c r="AV115" i="17" s="1"/>
  <c r="AU111" i="17"/>
  <c r="AV111" i="17" s="1"/>
  <c r="AU107" i="17"/>
  <c r="AV107" i="17" s="1"/>
  <c r="AU103" i="17"/>
  <c r="AV103" i="17" s="1"/>
  <c r="AU99" i="17"/>
  <c r="AV99" i="17" s="1"/>
  <c r="AU95" i="17"/>
  <c r="AV95" i="17" s="1"/>
  <c r="AU91" i="17"/>
  <c r="AV91" i="17" s="1"/>
  <c r="AU87" i="17"/>
  <c r="AV87" i="17" s="1"/>
  <c r="AU83" i="17"/>
  <c r="AV83" i="17" s="1"/>
  <c r="AU79" i="17"/>
  <c r="AV79" i="17" s="1"/>
  <c r="AU75" i="17"/>
  <c r="AV75" i="17" s="1"/>
  <c r="AU71" i="17"/>
  <c r="AV71" i="17" s="1"/>
  <c r="AU67" i="17"/>
  <c r="AV67" i="17" s="1"/>
  <c r="AU63" i="17"/>
  <c r="AV63" i="17" s="1"/>
  <c r="AU59" i="17"/>
  <c r="AV59" i="17" s="1"/>
  <c r="AU55" i="17"/>
  <c r="AV55" i="17" s="1"/>
  <c r="AU51" i="17"/>
  <c r="AV51" i="17" s="1"/>
  <c r="AU47" i="17"/>
  <c r="AV47" i="17" s="1"/>
  <c r="AU43" i="17"/>
  <c r="AV43" i="17" s="1"/>
  <c r="AU39" i="17"/>
  <c r="AV39" i="17" s="1"/>
  <c r="AU35" i="17"/>
  <c r="AV35" i="17" s="1"/>
  <c r="AU31" i="17"/>
  <c r="AV31" i="17" s="1"/>
  <c r="AU27" i="17"/>
  <c r="AV27" i="17" s="1"/>
  <c r="AU23" i="17"/>
  <c r="AV23" i="17" s="1"/>
  <c r="AU417" i="17"/>
  <c r="AV417" i="17" s="1"/>
  <c r="AU413" i="17"/>
  <c r="AV413" i="17" s="1"/>
  <c r="AU409" i="17"/>
  <c r="AV409" i="17" s="1"/>
  <c r="AU405" i="17"/>
  <c r="AV405" i="17" s="1"/>
  <c r="AU401" i="17"/>
  <c r="AV401" i="17" s="1"/>
  <c r="AU397" i="17"/>
  <c r="AV397" i="17" s="1"/>
  <c r="AU393" i="17"/>
  <c r="AV393" i="17" s="1"/>
  <c r="AU389" i="17"/>
  <c r="AV389" i="17" s="1"/>
  <c r="AU385" i="17"/>
  <c r="AV385" i="17" s="1"/>
  <c r="AU381" i="17"/>
  <c r="AV381" i="17" s="1"/>
  <c r="AU377" i="17"/>
  <c r="AV377" i="17" s="1"/>
  <c r="AU373" i="17"/>
  <c r="AV373" i="17" s="1"/>
  <c r="AU369" i="17"/>
  <c r="AV369" i="17" s="1"/>
  <c r="AU365" i="17"/>
  <c r="AV365" i="17" s="1"/>
  <c r="AU361" i="17"/>
  <c r="AV361" i="17" s="1"/>
  <c r="AU357" i="17"/>
  <c r="AV357" i="17" s="1"/>
  <c r="AU353" i="17"/>
  <c r="AV353" i="17" s="1"/>
  <c r="AU349" i="17"/>
  <c r="AV349" i="17" s="1"/>
  <c r="AU345" i="17"/>
  <c r="AV345" i="17" s="1"/>
  <c r="AU341" i="17"/>
  <c r="AV341" i="17" s="1"/>
  <c r="AU337" i="17"/>
  <c r="AV337" i="17" s="1"/>
  <c r="AU333" i="17"/>
  <c r="AV333" i="17" s="1"/>
  <c r="AU329" i="17"/>
  <c r="AV329" i="17" s="1"/>
  <c r="AU325" i="17"/>
  <c r="AV325" i="17" s="1"/>
  <c r="AU321" i="17"/>
  <c r="AV321" i="17" s="1"/>
  <c r="AU317" i="17"/>
  <c r="AV317" i="17" s="1"/>
  <c r="AU313" i="17"/>
  <c r="AV313" i="17" s="1"/>
  <c r="AU309" i="17"/>
  <c r="AV309" i="17" s="1"/>
  <c r="AU305" i="17"/>
  <c r="AV305" i="17" s="1"/>
  <c r="AU301" i="17"/>
  <c r="AV301" i="17" s="1"/>
  <c r="AU297" i="17"/>
  <c r="AV297" i="17" s="1"/>
  <c r="AU293" i="17"/>
  <c r="AV293" i="17" s="1"/>
  <c r="AU289" i="17"/>
  <c r="AV289" i="17" s="1"/>
  <c r="AU285" i="17"/>
  <c r="AV285" i="17" s="1"/>
  <c r="AU281" i="17"/>
  <c r="AV281" i="17" s="1"/>
  <c r="AU277" i="17"/>
  <c r="AV277" i="17" s="1"/>
  <c r="AU273" i="17"/>
  <c r="AV273" i="17" s="1"/>
  <c r="AU269" i="17"/>
  <c r="AV269" i="17" s="1"/>
  <c r="AU265" i="17"/>
  <c r="AV265" i="17" s="1"/>
  <c r="AU261" i="17"/>
  <c r="AV261" i="17" s="1"/>
  <c r="AU257" i="17"/>
  <c r="AV257" i="17" s="1"/>
  <c r="AU253" i="17"/>
  <c r="AV253" i="17" s="1"/>
  <c r="AU249" i="17"/>
  <c r="AV249" i="17" s="1"/>
  <c r="AU245" i="17"/>
  <c r="AV245" i="17" s="1"/>
  <c r="AU241" i="17"/>
  <c r="AV241" i="17" s="1"/>
  <c r="AU237" i="17"/>
  <c r="AV237" i="17" s="1"/>
  <c r="AU233" i="17"/>
  <c r="AV233" i="17" s="1"/>
  <c r="AU229" i="17"/>
  <c r="AV229" i="17" s="1"/>
  <c r="AU225" i="17"/>
  <c r="AV225" i="17" s="1"/>
  <c r="AU221" i="17"/>
  <c r="AV221" i="17" s="1"/>
  <c r="AU217" i="17"/>
  <c r="AV217" i="17" s="1"/>
  <c r="AU213" i="17"/>
  <c r="AV213" i="17" s="1"/>
  <c r="AU209" i="17"/>
  <c r="AV209" i="17" s="1"/>
  <c r="AU205" i="17"/>
  <c r="AV205" i="17" s="1"/>
  <c r="AU201" i="17"/>
  <c r="AV201" i="17" s="1"/>
  <c r="AU197" i="17"/>
  <c r="AV197" i="17" s="1"/>
  <c r="AU193" i="17"/>
  <c r="AV193" i="17" s="1"/>
  <c r="AU189" i="17"/>
  <c r="AV189" i="17" s="1"/>
  <c r="AU185" i="17"/>
  <c r="AV185" i="17" s="1"/>
  <c r="AU181" i="17"/>
  <c r="AV181" i="17" s="1"/>
  <c r="AU177" i="17"/>
  <c r="AV177" i="17" s="1"/>
  <c r="AU173" i="17"/>
  <c r="AV173" i="17" s="1"/>
  <c r="AU169" i="17"/>
  <c r="AV169" i="17" s="1"/>
  <c r="AU165" i="17"/>
  <c r="AV165" i="17" s="1"/>
  <c r="AU161" i="17"/>
  <c r="AV161" i="17" s="1"/>
  <c r="AU157" i="17"/>
  <c r="AV157" i="17" s="1"/>
  <c r="AU153" i="17"/>
  <c r="AV153" i="17" s="1"/>
  <c r="AU149" i="17"/>
  <c r="AV149" i="17" s="1"/>
  <c r="AU145" i="17"/>
  <c r="AV145" i="17" s="1"/>
  <c r="AU141" i="17"/>
  <c r="AV141" i="17" s="1"/>
  <c r="AU137" i="17"/>
  <c r="AV137" i="17" s="1"/>
  <c r="AU133" i="17"/>
  <c r="AV133" i="17" s="1"/>
  <c r="AU129" i="17"/>
  <c r="AV129" i="17" s="1"/>
  <c r="AU125" i="17"/>
  <c r="AV125" i="17" s="1"/>
  <c r="AU121" i="17"/>
  <c r="AV121" i="17" s="1"/>
  <c r="AU117" i="17"/>
  <c r="AV117" i="17" s="1"/>
  <c r="AU113" i="17"/>
  <c r="AV113" i="17" s="1"/>
  <c r="AU109" i="17"/>
  <c r="AV109" i="17" s="1"/>
  <c r="AU105" i="17"/>
  <c r="AV105" i="17" s="1"/>
  <c r="AU101" i="17"/>
  <c r="AV101" i="17" s="1"/>
  <c r="AU97" i="17"/>
  <c r="AV97" i="17" s="1"/>
  <c r="AU93" i="17"/>
  <c r="AV93" i="17" s="1"/>
  <c r="AU89" i="17"/>
  <c r="AV89" i="17" s="1"/>
  <c r="AU85" i="17"/>
  <c r="AV85" i="17" s="1"/>
  <c r="AU81" i="17"/>
  <c r="AV81" i="17" s="1"/>
  <c r="AU77" i="17"/>
  <c r="AV77" i="17" s="1"/>
  <c r="AU73" i="17"/>
  <c r="AV73" i="17" s="1"/>
  <c r="AU69" i="17"/>
  <c r="AV69" i="17" s="1"/>
  <c r="AU65" i="17"/>
  <c r="AV65" i="17" s="1"/>
  <c r="AU61" i="17"/>
  <c r="AV61" i="17" s="1"/>
  <c r="AU57" i="17"/>
  <c r="AV57" i="17" s="1"/>
  <c r="AU53" i="17"/>
  <c r="AV53" i="17" s="1"/>
  <c r="AU49" i="17"/>
  <c r="AV49" i="17" s="1"/>
  <c r="AU45" i="17"/>
  <c r="AV45" i="17" s="1"/>
  <c r="AU41" i="17"/>
  <c r="AV41" i="17" s="1"/>
  <c r="AU37" i="17"/>
  <c r="AV37" i="17" s="1"/>
  <c r="AU33" i="17"/>
  <c r="AV33" i="17" s="1"/>
  <c r="AU29" i="17"/>
  <c r="AV29" i="17" s="1"/>
  <c r="AU25" i="17"/>
  <c r="AV25" i="17" s="1"/>
  <c r="AU188" i="17"/>
  <c r="AV188" i="17" s="1"/>
  <c r="AU172" i="17"/>
  <c r="AV172" i="17" s="1"/>
  <c r="AU156" i="17"/>
  <c r="AV156" i="17" s="1"/>
  <c r="AU140" i="17"/>
  <c r="AV140" i="17" s="1"/>
  <c r="AU124" i="17"/>
  <c r="AV124" i="17" s="1"/>
  <c r="AU108" i="17"/>
  <c r="AV108" i="17" s="1"/>
  <c r="AU92" i="17"/>
  <c r="AV92" i="17" s="1"/>
  <c r="AU76" i="17"/>
  <c r="AV76" i="17" s="1"/>
  <c r="AU60" i="17"/>
  <c r="AV60" i="17" s="1"/>
  <c r="AU44" i="17"/>
  <c r="AV44" i="17" s="1"/>
  <c r="AU28" i="17"/>
  <c r="AV28" i="17" s="1"/>
  <c r="AU190" i="17"/>
  <c r="AV190" i="17" s="1"/>
  <c r="AU186" i="17"/>
  <c r="AV186" i="17" s="1"/>
  <c r="AU182" i="17"/>
  <c r="AV182" i="17" s="1"/>
  <c r="AU178" i="17"/>
  <c r="AV178" i="17" s="1"/>
  <c r="AU174" i="17"/>
  <c r="AV174" i="17" s="1"/>
  <c r="AU170" i="17"/>
  <c r="AV170" i="17" s="1"/>
  <c r="AU166" i="17"/>
  <c r="AV166" i="17" s="1"/>
  <c r="AU162" i="17"/>
  <c r="AV162" i="17" s="1"/>
  <c r="AU158" i="17"/>
  <c r="AV158" i="17" s="1"/>
  <c r="AU154" i="17"/>
  <c r="AV154" i="17" s="1"/>
  <c r="AU150" i="17"/>
  <c r="AV150" i="17" s="1"/>
  <c r="AU146" i="17"/>
  <c r="AV146" i="17" s="1"/>
  <c r="AU142" i="17"/>
  <c r="AV142" i="17" s="1"/>
  <c r="AU138" i="17"/>
  <c r="AV138" i="17" s="1"/>
  <c r="AU134" i="17"/>
  <c r="AV134" i="17" s="1"/>
  <c r="AU130" i="17"/>
  <c r="AV130" i="17" s="1"/>
  <c r="AU126" i="17"/>
  <c r="AV126" i="17" s="1"/>
  <c r="AU122" i="17"/>
  <c r="AV122" i="17" s="1"/>
  <c r="AU118" i="17"/>
  <c r="AV118" i="17" s="1"/>
  <c r="AU114" i="17"/>
  <c r="AV114" i="17" s="1"/>
  <c r="AU110" i="17"/>
  <c r="AV110" i="17" s="1"/>
  <c r="AU106" i="17"/>
  <c r="AV106" i="17" s="1"/>
  <c r="AU102" i="17"/>
  <c r="AV102" i="17" s="1"/>
  <c r="AU98" i="17"/>
  <c r="AV98" i="17" s="1"/>
  <c r="AU94" i="17"/>
  <c r="AV94" i="17" s="1"/>
  <c r="AU90" i="17"/>
  <c r="AV90" i="17" s="1"/>
  <c r="AU86" i="17"/>
  <c r="AV86" i="17" s="1"/>
  <c r="AU82" i="17"/>
  <c r="AV82" i="17" s="1"/>
  <c r="AU78" i="17"/>
  <c r="AV78" i="17" s="1"/>
  <c r="AU74" i="17"/>
  <c r="AV74" i="17" s="1"/>
  <c r="AU70" i="17"/>
  <c r="AV70" i="17" s="1"/>
  <c r="AU66" i="17"/>
  <c r="AV66" i="17" s="1"/>
  <c r="AU62" i="17"/>
  <c r="AV62" i="17" s="1"/>
  <c r="AU58" i="17"/>
  <c r="AV58" i="17" s="1"/>
  <c r="AU54" i="17"/>
  <c r="AV54" i="17" s="1"/>
  <c r="AU50" i="17"/>
  <c r="AV50" i="17" s="1"/>
  <c r="AU46" i="17"/>
  <c r="AV46" i="17" s="1"/>
  <c r="AU42" i="17"/>
  <c r="AV42" i="17" s="1"/>
  <c r="AU38" i="17"/>
  <c r="AV38" i="17" s="1"/>
  <c r="AU34" i="17"/>
  <c r="AV34" i="17" s="1"/>
  <c r="AU30" i="17"/>
  <c r="AV30" i="17" s="1"/>
  <c r="AU26" i="17"/>
  <c r="AV26" i="17" s="1"/>
  <c r="AU180" i="17"/>
  <c r="AV180" i="17" s="1"/>
  <c r="AU164" i="17"/>
  <c r="AV164" i="17" s="1"/>
  <c r="AU148" i="17"/>
  <c r="AV148" i="17" s="1"/>
  <c r="AU132" i="17"/>
  <c r="AV132" i="17" s="1"/>
  <c r="AU116" i="17"/>
  <c r="AV116" i="17" s="1"/>
  <c r="AU100" i="17"/>
  <c r="AV100" i="17" s="1"/>
  <c r="AU84" i="17"/>
  <c r="AV84" i="17" s="1"/>
  <c r="AU68" i="17"/>
  <c r="AV68" i="17" s="1"/>
  <c r="AU52" i="17"/>
  <c r="AV52" i="17" s="1"/>
  <c r="AU36" i="17"/>
  <c r="AV36" i="17" s="1"/>
  <c r="W20" i="17"/>
  <c r="W24" i="17"/>
  <c r="W28" i="17"/>
  <c r="W32" i="17"/>
  <c r="W36" i="17"/>
  <c r="W40" i="17"/>
  <c r="W44" i="17"/>
  <c r="W48" i="17"/>
  <c r="W52" i="17"/>
  <c r="W56" i="17"/>
  <c r="W60" i="17"/>
  <c r="W64" i="17"/>
  <c r="W68" i="17"/>
  <c r="W72" i="17"/>
  <c r="W76" i="17"/>
  <c r="W80" i="17"/>
  <c r="W84" i="17"/>
  <c r="W88" i="17"/>
  <c r="W92" i="17"/>
  <c r="W96" i="17"/>
  <c r="W100" i="17"/>
  <c r="W104" i="17"/>
  <c r="W108" i="17"/>
  <c r="W112" i="17"/>
  <c r="W116" i="17"/>
  <c r="W120" i="17"/>
  <c r="W124" i="17"/>
  <c r="W128" i="17"/>
  <c r="W132" i="17"/>
  <c r="W136" i="17"/>
  <c r="W140" i="17"/>
  <c r="W144" i="17"/>
  <c r="W148" i="17"/>
  <c r="W152" i="17"/>
  <c r="W156" i="17"/>
  <c r="W160" i="17"/>
  <c r="W164" i="17"/>
  <c r="W168" i="17"/>
  <c r="W172" i="17"/>
  <c r="W176" i="17"/>
  <c r="W180" i="17"/>
  <c r="W184" i="17"/>
  <c r="W188" i="17"/>
  <c r="W192" i="17"/>
  <c r="W196" i="17"/>
  <c r="W200" i="17"/>
  <c r="W204" i="17"/>
  <c r="W208" i="17"/>
  <c r="W212" i="17"/>
  <c r="W216" i="17"/>
  <c r="W220" i="17"/>
  <c r="W224" i="17"/>
  <c r="W228" i="17"/>
  <c r="W232" i="17"/>
  <c r="W236" i="17"/>
  <c r="W240" i="17"/>
  <c r="W244" i="17"/>
  <c r="W248" i="17"/>
  <c r="W252" i="17"/>
  <c r="W256" i="17"/>
  <c r="W260" i="17"/>
  <c r="W264" i="17"/>
  <c r="W268" i="17"/>
  <c r="W272" i="17"/>
  <c r="W276" i="17"/>
  <c r="W280" i="17"/>
  <c r="W284" i="17"/>
  <c r="W288" i="17"/>
  <c r="W292" i="17"/>
  <c r="W296" i="17"/>
  <c r="W300" i="17"/>
  <c r="W304" i="17"/>
  <c r="W308" i="17"/>
  <c r="W312" i="17"/>
  <c r="W316" i="17"/>
  <c r="W320" i="17"/>
  <c r="W324" i="17"/>
  <c r="W328" i="17"/>
  <c r="W332" i="17"/>
  <c r="W336" i="17"/>
  <c r="W340" i="17"/>
  <c r="W344" i="17"/>
  <c r="W348" i="17"/>
  <c r="W352" i="17"/>
  <c r="W356" i="17"/>
  <c r="W21" i="17"/>
  <c r="W25" i="17"/>
  <c r="W29" i="17"/>
  <c r="W33" i="17"/>
  <c r="W37" i="17"/>
  <c r="W41" i="17"/>
  <c r="W45" i="17"/>
  <c r="W49" i="17"/>
  <c r="W53" i="17"/>
  <c r="W57" i="17"/>
  <c r="W61" i="17"/>
  <c r="W65" i="17"/>
  <c r="W69" i="17"/>
  <c r="W73" i="17"/>
  <c r="W77" i="17"/>
  <c r="W81" i="17"/>
  <c r="W85" i="17"/>
  <c r="W89" i="17"/>
  <c r="W93" i="17"/>
  <c r="W97" i="17"/>
  <c r="W101" i="17"/>
  <c r="W105" i="17"/>
  <c r="W109" i="17"/>
  <c r="W113" i="17"/>
  <c r="W117" i="17"/>
  <c r="W121" i="17"/>
  <c r="W125" i="17"/>
  <c r="W129" i="17"/>
  <c r="W133" i="17"/>
  <c r="W137" i="17"/>
  <c r="W141" i="17"/>
  <c r="W145" i="17"/>
  <c r="W149" i="17"/>
  <c r="W153" i="17"/>
  <c r="W157" i="17"/>
  <c r="W161" i="17"/>
  <c r="W165" i="17"/>
  <c r="W169" i="17"/>
  <c r="W173" i="17"/>
  <c r="W177" i="17"/>
  <c r="W181" i="17"/>
  <c r="W185" i="17"/>
  <c r="W189" i="17"/>
  <c r="W193" i="17"/>
  <c r="W197" i="17"/>
  <c r="W201" i="17"/>
  <c r="W205" i="17"/>
  <c r="W209" i="17"/>
  <c r="W213" i="17"/>
  <c r="W217" i="17"/>
  <c r="W221" i="17"/>
  <c r="W225" i="17"/>
  <c r="W229" i="17"/>
  <c r="W233" i="17"/>
  <c r="W237" i="17"/>
  <c r="W241" i="17"/>
  <c r="W245" i="17"/>
  <c r="W249" i="17"/>
  <c r="W253" i="17"/>
  <c r="W257" i="17"/>
  <c r="W261" i="17"/>
  <c r="W265" i="17"/>
  <c r="W269" i="17"/>
  <c r="W273" i="17"/>
  <c r="W277" i="17"/>
  <c r="W281" i="17"/>
  <c r="W285" i="17"/>
  <c r="W289" i="17"/>
  <c r="W293" i="17"/>
  <c r="W297" i="17"/>
  <c r="W301" i="17"/>
  <c r="W305" i="17"/>
  <c r="W309" i="17"/>
  <c r="W313" i="17"/>
  <c r="W317" i="17"/>
  <c r="W321" i="17"/>
  <c r="W325" i="17"/>
  <c r="W329" i="17"/>
  <c r="W333" i="17"/>
  <c r="W337" i="17"/>
  <c r="W341" i="17"/>
  <c r="W345" i="17"/>
  <c r="W349" i="17"/>
  <c r="W353" i="17"/>
  <c r="W357" i="17"/>
  <c r="W22" i="17"/>
  <c r="W26" i="17"/>
  <c r="W30" i="17"/>
  <c r="W34" i="17"/>
  <c r="W38" i="17"/>
  <c r="W42" i="17"/>
  <c r="W46" i="17"/>
  <c r="W50" i="17"/>
  <c r="W54" i="17"/>
  <c r="W58" i="17"/>
  <c r="W62" i="17"/>
  <c r="W66" i="17"/>
  <c r="W70" i="17"/>
  <c r="W74" i="17"/>
  <c r="W78" i="17"/>
  <c r="W82" i="17"/>
  <c r="W86" i="17"/>
  <c r="W90" i="17"/>
  <c r="W94" i="17"/>
  <c r="W98" i="17"/>
  <c r="W102" i="17"/>
  <c r="W106" i="17"/>
  <c r="W110" i="17"/>
  <c r="W114" i="17"/>
  <c r="W118" i="17"/>
  <c r="W122" i="17"/>
  <c r="W126" i="17"/>
  <c r="W130" i="17"/>
  <c r="W134" i="17"/>
  <c r="W138" i="17"/>
  <c r="W142" i="17"/>
  <c r="W146" i="17"/>
  <c r="W150" i="17"/>
  <c r="W154" i="17"/>
  <c r="W158" i="17"/>
  <c r="W162" i="17"/>
  <c r="W166" i="17"/>
  <c r="W170" i="17"/>
  <c r="W174" i="17"/>
  <c r="W178" i="17"/>
  <c r="W182" i="17"/>
  <c r="W186" i="17"/>
  <c r="W190" i="17"/>
  <c r="W194" i="17"/>
  <c r="W198" i="17"/>
  <c r="W202" i="17"/>
  <c r="W206" i="17"/>
  <c r="W210" i="17"/>
  <c r="W214" i="17"/>
  <c r="W218" i="17"/>
  <c r="W222" i="17"/>
  <c r="W226" i="17"/>
  <c r="W230" i="17"/>
  <c r="W234" i="17"/>
  <c r="W238" i="17"/>
  <c r="W242" i="17"/>
  <c r="W246" i="17"/>
  <c r="W250" i="17"/>
  <c r="W254" i="17"/>
  <c r="W258" i="17"/>
  <c r="W262" i="17"/>
  <c r="W266" i="17"/>
  <c r="W270" i="17"/>
  <c r="W274" i="17"/>
  <c r="W278" i="17"/>
  <c r="W282" i="17"/>
  <c r="W286" i="17"/>
  <c r="W290" i="17"/>
  <c r="W294" i="17"/>
  <c r="W298" i="17"/>
  <c r="W302" i="17"/>
  <c r="W306" i="17"/>
  <c r="W310" i="17"/>
  <c r="W314" i="17"/>
  <c r="W318" i="17"/>
  <c r="W322" i="17"/>
  <c r="W326" i="17"/>
  <c r="W330" i="17"/>
  <c r="W334" i="17"/>
  <c r="W338" i="17"/>
  <c r="W342" i="17"/>
  <c r="W346" i="17"/>
  <c r="W350" i="17"/>
  <c r="W354" i="17"/>
  <c r="W358" i="17"/>
  <c r="W23" i="17"/>
  <c r="W39" i="17"/>
  <c r="W55" i="17"/>
  <c r="W71" i="17"/>
  <c r="W87" i="17"/>
  <c r="W103" i="17"/>
  <c r="W119" i="17"/>
  <c r="W135" i="17"/>
  <c r="W151" i="17"/>
  <c r="W167" i="17"/>
  <c r="W183" i="17"/>
  <c r="W199" i="17"/>
  <c r="W215" i="17"/>
  <c r="W231" i="17"/>
  <c r="W247" i="17"/>
  <c r="W263" i="17"/>
  <c r="W279" i="17"/>
  <c r="W295" i="17"/>
  <c r="W311" i="17"/>
  <c r="W327" i="17"/>
  <c r="W343" i="17"/>
  <c r="W359" i="17"/>
  <c r="W363" i="17"/>
  <c r="W367" i="17"/>
  <c r="W371" i="17"/>
  <c r="W375" i="17"/>
  <c r="W379" i="17"/>
  <c r="W383" i="17"/>
  <c r="W387" i="17"/>
  <c r="W391" i="17"/>
  <c r="W395" i="17"/>
  <c r="W399" i="17"/>
  <c r="W403" i="17"/>
  <c r="W407" i="17"/>
  <c r="W411" i="17"/>
  <c r="W415" i="17"/>
  <c r="W419" i="17"/>
  <c r="W423" i="17"/>
  <c r="W427" i="17"/>
  <c r="W431" i="17"/>
  <c r="W435" i="17"/>
  <c r="W439" i="17"/>
  <c r="W443" i="17"/>
  <c r="W447" i="17"/>
  <c r="W451" i="17"/>
  <c r="W455" i="17"/>
  <c r="W459" i="17"/>
  <c r="W463" i="17"/>
  <c r="W467" i="17"/>
  <c r="W471" i="17"/>
  <c r="W475" i="17"/>
  <c r="W479" i="17"/>
  <c r="W483" i="17"/>
  <c r="W487" i="17"/>
  <c r="W491" i="17"/>
  <c r="W495" i="17"/>
  <c r="W499" i="17"/>
  <c r="W503" i="17"/>
  <c r="W507" i="17"/>
  <c r="W511" i="17"/>
  <c r="W515" i="17"/>
  <c r="W27" i="17"/>
  <c r="W43" i="17"/>
  <c r="W59" i="17"/>
  <c r="W75" i="17"/>
  <c r="W91" i="17"/>
  <c r="W107" i="17"/>
  <c r="W123" i="17"/>
  <c r="W139" i="17"/>
  <c r="W155" i="17"/>
  <c r="W171" i="17"/>
  <c r="W187" i="17"/>
  <c r="W203" i="17"/>
  <c r="W219" i="17"/>
  <c r="W235" i="17"/>
  <c r="W251" i="17"/>
  <c r="W267" i="17"/>
  <c r="W283" i="17"/>
  <c r="W299" i="17"/>
  <c r="W315" i="17"/>
  <c r="W331" i="17"/>
  <c r="W347" i="17"/>
  <c r="W360" i="17"/>
  <c r="W364" i="17"/>
  <c r="W368" i="17"/>
  <c r="W372" i="17"/>
  <c r="W376" i="17"/>
  <c r="W380" i="17"/>
  <c r="W384" i="17"/>
  <c r="W388" i="17"/>
  <c r="W392" i="17"/>
  <c r="W396" i="17"/>
  <c r="W400" i="17"/>
  <c r="W404" i="17"/>
  <c r="W408" i="17"/>
  <c r="W412" i="17"/>
  <c r="W416" i="17"/>
  <c r="W420" i="17"/>
  <c r="W424" i="17"/>
  <c r="W428" i="17"/>
  <c r="W432" i="17"/>
  <c r="W436" i="17"/>
  <c r="W440" i="17"/>
  <c r="W444" i="17"/>
  <c r="W448" i="17"/>
  <c r="W452" i="17"/>
  <c r="W456" i="17"/>
  <c r="W460" i="17"/>
  <c r="W464" i="17"/>
  <c r="W468" i="17"/>
  <c r="W472" i="17"/>
  <c r="W476" i="17"/>
  <c r="W480" i="17"/>
  <c r="W484" i="17"/>
  <c r="W488" i="17"/>
  <c r="W492" i="17"/>
  <c r="W496" i="17"/>
  <c r="W500" i="17"/>
  <c r="W504" i="17"/>
  <c r="W508" i="17"/>
  <c r="W512" i="17"/>
  <c r="W516" i="17"/>
  <c r="W31" i="17"/>
  <c r="W47" i="17"/>
  <c r="W63" i="17"/>
  <c r="W79" i="17"/>
  <c r="W95" i="17"/>
  <c r="W111" i="17"/>
  <c r="W127" i="17"/>
  <c r="W143" i="17"/>
  <c r="W159" i="17"/>
  <c r="W175" i="17"/>
  <c r="W191" i="17"/>
  <c r="W207" i="17"/>
  <c r="W223" i="17"/>
  <c r="W239" i="17"/>
  <c r="W255" i="17"/>
  <c r="W271" i="17"/>
  <c r="W287" i="17"/>
  <c r="W303" i="17"/>
  <c r="W319" i="17"/>
  <c r="W335" i="17"/>
  <c r="W351" i="17"/>
  <c r="W361" i="17"/>
  <c r="W365" i="17"/>
  <c r="W369" i="17"/>
  <c r="W373" i="17"/>
  <c r="W377" i="17"/>
  <c r="W381" i="17"/>
  <c r="W385" i="17"/>
  <c r="W389" i="17"/>
  <c r="W393" i="17"/>
  <c r="W397" i="17"/>
  <c r="W401" i="17"/>
  <c r="W405" i="17"/>
  <c r="W409" i="17"/>
  <c r="W413" i="17"/>
  <c r="W417" i="17"/>
  <c r="W421" i="17"/>
  <c r="W425" i="17"/>
  <c r="W429" i="17"/>
  <c r="W433" i="17"/>
  <c r="W437" i="17"/>
  <c r="W441" i="17"/>
  <c r="W445" i="17"/>
  <c r="W449" i="17"/>
  <c r="W453" i="17"/>
  <c r="W457" i="17"/>
  <c r="W461" i="17"/>
  <c r="W465" i="17"/>
  <c r="W469" i="17"/>
  <c r="W473" i="17"/>
  <c r="W477" i="17"/>
  <c r="W481" i="17"/>
  <c r="W485" i="17"/>
  <c r="W489" i="17"/>
  <c r="W493" i="17"/>
  <c r="W497" i="17"/>
  <c r="W501" i="17"/>
  <c r="W505" i="17"/>
  <c r="W509" i="17"/>
  <c r="W513" i="17"/>
  <c r="W517" i="17"/>
  <c r="W35" i="17"/>
  <c r="W99" i="17"/>
  <c r="W163" i="17"/>
  <c r="W227" i="17"/>
  <c r="W291" i="17"/>
  <c r="W355" i="17"/>
  <c r="W374" i="17"/>
  <c r="W390" i="17"/>
  <c r="W406" i="17"/>
  <c r="W422" i="17"/>
  <c r="W438" i="17"/>
  <c r="W454" i="17"/>
  <c r="W470" i="17"/>
  <c r="W486" i="17"/>
  <c r="W502" i="17"/>
  <c r="W518" i="17"/>
  <c r="W51" i="17"/>
  <c r="W115" i="17"/>
  <c r="W179" i="17"/>
  <c r="W243" i="17"/>
  <c r="W307" i="17"/>
  <c r="W362" i="17"/>
  <c r="W378" i="17"/>
  <c r="W394" i="17"/>
  <c r="W410" i="17"/>
  <c r="W426" i="17"/>
  <c r="W442" i="17"/>
  <c r="W458" i="17"/>
  <c r="W474" i="17"/>
  <c r="W490" i="17"/>
  <c r="W506" i="17"/>
  <c r="W67" i="17"/>
  <c r="W131" i="17"/>
  <c r="W195" i="17"/>
  <c r="W259" i="17"/>
  <c r="W323" i="17"/>
  <c r="W366" i="17"/>
  <c r="W382" i="17"/>
  <c r="W398" i="17"/>
  <c r="W414" i="17"/>
  <c r="W430" i="17"/>
  <c r="W446" i="17"/>
  <c r="W462" i="17"/>
  <c r="W478" i="17"/>
  <c r="W494" i="17"/>
  <c r="W510" i="17"/>
  <c r="W83" i="17"/>
  <c r="W339" i="17"/>
  <c r="W418" i="17"/>
  <c r="W482" i="17"/>
  <c r="W147" i="17"/>
  <c r="W370" i="17"/>
  <c r="W434" i="17"/>
  <c r="W498" i="17"/>
  <c r="W211" i="17"/>
  <c r="W386" i="17"/>
  <c r="W450" i="17"/>
  <c r="W514" i="17"/>
  <c r="W19" i="17"/>
  <c r="W275" i="17"/>
  <c r="W402" i="17"/>
  <c r="W466" i="17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A602" i="4"/>
  <c r="A603" i="4"/>
  <c r="A604" i="4"/>
  <c r="A605" i="4"/>
  <c r="A606" i="4"/>
  <c r="A607" i="4"/>
  <c r="A608" i="4"/>
  <c r="A609" i="4"/>
  <c r="A610" i="4"/>
  <c r="A611" i="4"/>
  <c r="A612" i="4"/>
  <c r="A613" i="4"/>
  <c r="A614" i="4"/>
  <c r="A615" i="4"/>
  <c r="A616" i="4"/>
  <c r="A617" i="4"/>
  <c r="A618" i="4"/>
  <c r="A619" i="4"/>
  <c r="A620" i="4"/>
  <c r="A621" i="4"/>
  <c r="A622" i="4"/>
  <c r="A623" i="4"/>
  <c r="A624" i="4"/>
  <c r="A625" i="4"/>
  <c r="A626" i="4"/>
  <c r="A627" i="4"/>
  <c r="A628" i="4"/>
  <c r="A629" i="4"/>
  <c r="A630" i="4"/>
  <c r="A631" i="4"/>
  <c r="A632" i="4"/>
  <c r="A633" i="4"/>
  <c r="A634" i="4"/>
  <c r="A635" i="4"/>
  <c r="A636" i="4"/>
  <c r="A637" i="4"/>
  <c r="A638" i="4"/>
  <c r="A639" i="4"/>
  <c r="A640" i="4"/>
  <c r="A641" i="4"/>
  <c r="A642" i="4"/>
  <c r="A643" i="4"/>
  <c r="A644" i="4"/>
  <c r="A645" i="4"/>
  <c r="A646" i="4"/>
  <c r="A647" i="4"/>
  <c r="A648" i="4"/>
  <c r="A649" i="4"/>
  <c r="A650" i="4"/>
  <c r="A651" i="4"/>
  <c r="A652" i="4"/>
  <c r="A653" i="4"/>
  <c r="A654" i="4"/>
  <c r="A655" i="4"/>
  <c r="A656" i="4"/>
  <c r="A657" i="4"/>
  <c r="A658" i="4"/>
  <c r="A659" i="4"/>
  <c r="A660" i="4"/>
  <c r="A661" i="4"/>
  <c r="A662" i="4"/>
  <c r="A663" i="4"/>
  <c r="A664" i="4"/>
  <c r="A665" i="4"/>
  <c r="A666" i="4"/>
  <c r="A667" i="4"/>
  <c r="A668" i="4"/>
  <c r="A669" i="4"/>
  <c r="A670" i="4"/>
  <c r="A671" i="4"/>
  <c r="A672" i="4"/>
  <c r="A673" i="4"/>
  <c r="A674" i="4"/>
  <c r="A675" i="4"/>
  <c r="A676" i="4"/>
  <c r="A677" i="4"/>
  <c r="A678" i="4"/>
  <c r="A679" i="4"/>
  <c r="A680" i="4"/>
  <c r="A681" i="4"/>
  <c r="A682" i="4"/>
  <c r="A683" i="4"/>
  <c r="A684" i="4"/>
  <c r="A685" i="4"/>
  <c r="A686" i="4"/>
  <c r="A687" i="4"/>
  <c r="A688" i="4"/>
  <c r="A689" i="4"/>
  <c r="A690" i="4"/>
  <c r="A691" i="4"/>
  <c r="A692" i="4"/>
  <c r="A693" i="4"/>
  <c r="A694" i="4"/>
  <c r="A695" i="4"/>
  <c r="A696" i="4"/>
  <c r="A697" i="4"/>
  <c r="A698" i="4"/>
  <c r="A699" i="4"/>
  <c r="A700" i="4"/>
  <c r="A701" i="4"/>
  <c r="A702" i="4"/>
  <c r="A703" i="4"/>
  <c r="A704" i="4"/>
  <c r="A705" i="4"/>
  <c r="A706" i="4"/>
  <c r="A707" i="4"/>
  <c r="A708" i="4"/>
  <c r="A709" i="4"/>
  <c r="A710" i="4"/>
  <c r="A711" i="4"/>
  <c r="A712" i="4"/>
  <c r="A713" i="4"/>
  <c r="A714" i="4"/>
  <c r="A715" i="4"/>
  <c r="A716" i="4"/>
  <c r="A717" i="4"/>
  <c r="A718" i="4"/>
  <c r="A719" i="4"/>
  <c r="A720" i="4"/>
  <c r="A721" i="4"/>
  <c r="A722" i="4"/>
  <c r="A723" i="4"/>
  <c r="A724" i="4"/>
  <c r="A725" i="4"/>
  <c r="A726" i="4"/>
  <c r="A727" i="4"/>
  <c r="A728" i="4"/>
  <c r="A729" i="4"/>
  <c r="A730" i="4"/>
  <c r="A731" i="4"/>
  <c r="A732" i="4"/>
  <c r="A733" i="4"/>
  <c r="A734" i="4"/>
  <c r="A735" i="4"/>
  <c r="A736" i="4"/>
  <c r="A737" i="4"/>
  <c r="A738" i="4"/>
  <c r="A739" i="4"/>
  <c r="A740" i="4"/>
  <c r="A741" i="4"/>
  <c r="A742" i="4"/>
  <c r="A743" i="4"/>
  <c r="A744" i="4"/>
  <c r="A745" i="4"/>
  <c r="A746" i="4"/>
  <c r="A747" i="4"/>
  <c r="A748" i="4"/>
  <c r="A749" i="4"/>
  <c r="A750" i="4"/>
  <c r="A751" i="4"/>
  <c r="A752" i="4"/>
  <c r="A753" i="4"/>
  <c r="A754" i="4"/>
  <c r="A755" i="4"/>
  <c r="A756" i="4"/>
  <c r="A757" i="4"/>
  <c r="A758" i="4"/>
  <c r="A759" i="4"/>
  <c r="A760" i="4"/>
  <c r="A761" i="4"/>
  <c r="A762" i="4"/>
  <c r="A763" i="4"/>
  <c r="A764" i="4"/>
  <c r="A765" i="4"/>
  <c r="A766" i="4"/>
  <c r="A767" i="4"/>
  <c r="A768" i="4"/>
  <c r="A769" i="4"/>
  <c r="A770" i="4"/>
  <c r="A771" i="4"/>
  <c r="A772" i="4"/>
  <c r="A773" i="4"/>
  <c r="A774" i="4"/>
  <c r="A775" i="4"/>
  <c r="A776" i="4"/>
  <c r="A777" i="4"/>
  <c r="A778" i="4"/>
  <c r="A779" i="4"/>
  <c r="A780" i="4"/>
  <c r="A781" i="4"/>
  <c r="A782" i="4"/>
  <c r="A783" i="4"/>
  <c r="A784" i="4"/>
  <c r="A785" i="4"/>
  <c r="A786" i="4"/>
  <c r="A787" i="4"/>
  <c r="A788" i="4"/>
  <c r="A789" i="4"/>
  <c r="A790" i="4"/>
  <c r="A791" i="4"/>
  <c r="A792" i="4"/>
  <c r="A793" i="4"/>
  <c r="A794" i="4"/>
  <c r="A795" i="4"/>
  <c r="A796" i="4"/>
  <c r="A797" i="4"/>
  <c r="A798" i="4"/>
  <c r="A799" i="4"/>
  <c r="A800" i="4"/>
  <c r="A801" i="4"/>
  <c r="A802" i="4"/>
  <c r="A803" i="4"/>
  <c r="A804" i="4"/>
  <c r="A805" i="4"/>
  <c r="A806" i="4"/>
  <c r="A807" i="4"/>
  <c r="A808" i="4"/>
  <c r="A809" i="4"/>
  <c r="A810" i="4"/>
  <c r="A811" i="4"/>
  <c r="A812" i="4"/>
  <c r="A813" i="4"/>
  <c r="A814" i="4"/>
  <c r="A815" i="4"/>
  <c r="A816" i="4"/>
  <c r="A817" i="4"/>
  <c r="A818" i="4"/>
  <c r="A819" i="4"/>
  <c r="A820" i="4"/>
  <c r="A821" i="4"/>
  <c r="A822" i="4"/>
  <c r="A823" i="4"/>
  <c r="A824" i="4"/>
  <c r="A825" i="4"/>
  <c r="A826" i="4"/>
  <c r="A827" i="4"/>
  <c r="A828" i="4"/>
  <c r="A829" i="4"/>
  <c r="A830" i="4"/>
  <c r="A831" i="4"/>
  <c r="A832" i="4"/>
  <c r="A833" i="4"/>
  <c r="A834" i="4"/>
  <c r="A835" i="4"/>
  <c r="A836" i="4"/>
  <c r="A837" i="4"/>
  <c r="A838" i="4"/>
  <c r="A839" i="4"/>
  <c r="A840" i="4"/>
  <c r="A841" i="4"/>
  <c r="A842" i="4"/>
  <c r="A843" i="4"/>
  <c r="A844" i="4"/>
  <c r="A845" i="4"/>
  <c r="A846" i="4"/>
  <c r="A847" i="4"/>
  <c r="A848" i="4"/>
  <c r="A849" i="4"/>
  <c r="A850" i="4"/>
  <c r="A851" i="4"/>
  <c r="A852" i="4"/>
  <c r="A853" i="4"/>
  <c r="A854" i="4"/>
  <c r="A855" i="4"/>
  <c r="A856" i="4"/>
  <c r="A857" i="4"/>
  <c r="A858" i="4"/>
  <c r="A859" i="4"/>
  <c r="A860" i="4"/>
  <c r="A861" i="4"/>
  <c r="A862" i="4"/>
  <c r="A863" i="4"/>
  <c r="A864" i="4"/>
  <c r="A865" i="4"/>
  <c r="A866" i="4"/>
  <c r="A867" i="4"/>
  <c r="A868" i="4"/>
  <c r="A869" i="4"/>
  <c r="A870" i="4"/>
  <c r="A871" i="4"/>
  <c r="A872" i="4"/>
  <c r="A873" i="4"/>
  <c r="A874" i="4"/>
  <c r="A875" i="4"/>
  <c r="A876" i="4"/>
  <c r="A877" i="4"/>
  <c r="A878" i="4"/>
  <c r="A879" i="4"/>
  <c r="A880" i="4"/>
  <c r="A881" i="4"/>
  <c r="A882" i="4"/>
  <c r="A883" i="4"/>
  <c r="A884" i="4"/>
  <c r="A885" i="4"/>
  <c r="A886" i="4"/>
  <c r="A887" i="4"/>
  <c r="A888" i="4"/>
  <c r="A889" i="4"/>
  <c r="A890" i="4"/>
  <c r="A891" i="4"/>
  <c r="A892" i="4"/>
  <c r="A893" i="4"/>
  <c r="A894" i="4"/>
  <c r="A895" i="4"/>
  <c r="A896" i="4"/>
  <c r="A897" i="4"/>
  <c r="A898" i="4"/>
  <c r="A899" i="4"/>
  <c r="A900" i="4"/>
  <c r="A901" i="4"/>
  <c r="A902" i="4"/>
  <c r="A903" i="4"/>
  <c r="A904" i="4"/>
  <c r="A905" i="4"/>
  <c r="A906" i="4"/>
  <c r="A907" i="4"/>
  <c r="A908" i="4"/>
  <c r="A909" i="4"/>
  <c r="A910" i="4"/>
  <c r="A911" i="4"/>
  <c r="A912" i="4"/>
  <c r="A913" i="4"/>
  <c r="A914" i="4"/>
  <c r="A915" i="4"/>
  <c r="A916" i="4"/>
  <c r="A917" i="4"/>
  <c r="A918" i="4"/>
  <c r="A919" i="4"/>
  <c r="A920" i="4"/>
  <c r="A921" i="4"/>
  <c r="A922" i="4"/>
  <c r="A923" i="4"/>
  <c r="A924" i="4"/>
  <c r="A925" i="4"/>
  <c r="A926" i="4"/>
  <c r="A927" i="4"/>
  <c r="A928" i="4"/>
  <c r="A929" i="4"/>
  <c r="A930" i="4"/>
  <c r="A931" i="4"/>
  <c r="A932" i="4"/>
  <c r="A933" i="4"/>
  <c r="A934" i="4"/>
  <c r="A935" i="4"/>
  <c r="A936" i="4"/>
  <c r="A937" i="4"/>
  <c r="A938" i="4"/>
  <c r="A939" i="4"/>
  <c r="A940" i="4"/>
  <c r="A941" i="4"/>
  <c r="A942" i="4"/>
  <c r="A943" i="4"/>
  <c r="A944" i="4"/>
  <c r="A945" i="4"/>
  <c r="A946" i="4"/>
  <c r="A947" i="4"/>
  <c r="A948" i="4"/>
  <c r="A949" i="4"/>
  <c r="A950" i="4"/>
  <c r="A951" i="4"/>
  <c r="A952" i="4"/>
  <c r="A953" i="4"/>
  <c r="A954" i="4"/>
  <c r="A955" i="4"/>
  <c r="A956" i="4"/>
  <c r="A957" i="4"/>
  <c r="A958" i="4"/>
  <c r="A959" i="4"/>
  <c r="A960" i="4"/>
  <c r="A961" i="4"/>
  <c r="A962" i="4"/>
  <c r="A963" i="4"/>
  <c r="A964" i="4"/>
  <c r="A965" i="4"/>
  <c r="A966" i="4"/>
  <c r="A967" i="4"/>
  <c r="A968" i="4"/>
  <c r="A969" i="4"/>
  <c r="A970" i="4"/>
  <c r="A971" i="4"/>
  <c r="A972" i="4"/>
  <c r="A973" i="4"/>
  <c r="A974" i="4"/>
  <c r="A975" i="4"/>
  <c r="A976" i="4"/>
  <c r="A977" i="4"/>
  <c r="A978" i="4"/>
  <c r="A979" i="4"/>
  <c r="A980" i="4"/>
  <c r="A981" i="4"/>
  <c r="A982" i="4"/>
  <c r="A983" i="4"/>
  <c r="A984" i="4"/>
  <c r="A985" i="4"/>
  <c r="A986" i="4"/>
  <c r="A987" i="4"/>
  <c r="A988" i="4"/>
  <c r="A989" i="4"/>
  <c r="A990" i="4"/>
  <c r="A991" i="4"/>
  <c r="A992" i="4"/>
  <c r="A993" i="4"/>
  <c r="A994" i="4"/>
  <c r="A995" i="4"/>
  <c r="A996" i="4"/>
  <c r="A997" i="4"/>
  <c r="A998" i="4"/>
  <c r="A999" i="4"/>
  <c r="A1000" i="4"/>
  <c r="A1001" i="4"/>
  <c r="A1002" i="4"/>
  <c r="A1003" i="4"/>
  <c r="A1004" i="4"/>
  <c r="A1005" i="4"/>
  <c r="A1006" i="4"/>
  <c r="A1007" i="4"/>
  <c r="A1008" i="4"/>
  <c r="A1009" i="4"/>
  <c r="A1010" i="4"/>
  <c r="A1011" i="4"/>
  <c r="A1012" i="4"/>
  <c r="A1013" i="4"/>
  <c r="A1014" i="4"/>
  <c r="A1015" i="4"/>
  <c r="A1016" i="4"/>
  <c r="A1017" i="4"/>
  <c r="A1018" i="4"/>
  <c r="A1019" i="4"/>
  <c r="A1020" i="4"/>
  <c r="A1021" i="4"/>
  <c r="A1022" i="4"/>
  <c r="A1023" i="4"/>
  <c r="A1024" i="4"/>
  <c r="A1025" i="4"/>
  <c r="A1026" i="4"/>
  <c r="A1027" i="4"/>
  <c r="A1028" i="4"/>
  <c r="A1029" i="4"/>
  <c r="A1030" i="4"/>
  <c r="A1031" i="4"/>
  <c r="A1032" i="4"/>
  <c r="A1033" i="4"/>
  <c r="A1034" i="4"/>
  <c r="A1035" i="4"/>
  <c r="A1036" i="4"/>
  <c r="A1037" i="4"/>
  <c r="A1038" i="4"/>
  <c r="A1039" i="4"/>
  <c r="A1040" i="4"/>
  <c r="A1041" i="4"/>
  <c r="A1042" i="4"/>
  <c r="A1043" i="4"/>
  <c r="A1044" i="4"/>
  <c r="A1045" i="4"/>
  <c r="A1046" i="4"/>
  <c r="A1047" i="4"/>
  <c r="A1048" i="4"/>
  <c r="A1049" i="4"/>
  <c r="A1050" i="4"/>
  <c r="A1051" i="4"/>
  <c r="A1052" i="4"/>
  <c r="A1053" i="4"/>
  <c r="A1054" i="4"/>
  <c r="A1055" i="4"/>
  <c r="A1056" i="4"/>
  <c r="A1057" i="4"/>
  <c r="A1058" i="4"/>
  <c r="A1059" i="4"/>
  <c r="A1060" i="4"/>
  <c r="A1061" i="4"/>
  <c r="A1062" i="4"/>
  <c r="A1063" i="4"/>
  <c r="A1064" i="4"/>
  <c r="A1065" i="4"/>
  <c r="A1066" i="4"/>
  <c r="A1067" i="4"/>
  <c r="A1068" i="4"/>
  <c r="A1069" i="4"/>
  <c r="A1070" i="4"/>
  <c r="A1071" i="4"/>
  <c r="A1072" i="4"/>
  <c r="A1073" i="4"/>
  <c r="A1074" i="4"/>
  <c r="A1075" i="4"/>
  <c r="A1076" i="4"/>
  <c r="A1077" i="4"/>
  <c r="A1078" i="4"/>
  <c r="A1079" i="4"/>
  <c r="A1080" i="4"/>
  <c r="A1081" i="4"/>
  <c r="A1082" i="4"/>
  <c r="A1083" i="4"/>
  <c r="A1084" i="4"/>
  <c r="A1085" i="4"/>
  <c r="A1086" i="4"/>
  <c r="A1087" i="4"/>
  <c r="A1088" i="4"/>
  <c r="A1089" i="4"/>
  <c r="A1090" i="4"/>
  <c r="A1091" i="4"/>
  <c r="A1092" i="4"/>
  <c r="A1093" i="4"/>
  <c r="A1094" i="4"/>
  <c r="A1095" i="4"/>
  <c r="A1096" i="4"/>
  <c r="A1097" i="4"/>
  <c r="A1098" i="4"/>
  <c r="A1099" i="4"/>
  <c r="A1100" i="4"/>
  <c r="A1101" i="4"/>
  <c r="A1102" i="4"/>
  <c r="A1103" i="4"/>
  <c r="A1104" i="4"/>
  <c r="A1105" i="4"/>
  <c r="A1106" i="4"/>
  <c r="A1107" i="4"/>
  <c r="A1108" i="4"/>
  <c r="A1109" i="4"/>
  <c r="A1110" i="4"/>
  <c r="A1111" i="4"/>
  <c r="A1112" i="4"/>
  <c r="A1113" i="4"/>
  <c r="A1114" i="4"/>
  <c r="A1115" i="4"/>
  <c r="A1116" i="4"/>
  <c r="A1117" i="4"/>
  <c r="A1118" i="4"/>
  <c r="A1119" i="4"/>
  <c r="A1120" i="4"/>
  <c r="A1121" i="4"/>
  <c r="A1122" i="4"/>
  <c r="A1123" i="4"/>
  <c r="A1124" i="4"/>
  <c r="A1125" i="4"/>
  <c r="A1126" i="4"/>
  <c r="A1127" i="4"/>
  <c r="A1128" i="4"/>
  <c r="A1129" i="4"/>
  <c r="A1130" i="4"/>
  <c r="A1131" i="4"/>
  <c r="A1132" i="4"/>
  <c r="A1133" i="4"/>
  <c r="A1134" i="4"/>
  <c r="A1135" i="4"/>
  <c r="A1136" i="4"/>
  <c r="A1137" i="4"/>
  <c r="A1138" i="4"/>
  <c r="A1139" i="4"/>
  <c r="A1140" i="4"/>
  <c r="A1141" i="4"/>
  <c r="A1142" i="4"/>
  <c r="A1143" i="4"/>
  <c r="A1144" i="4"/>
  <c r="A1145" i="4"/>
  <c r="A1146" i="4"/>
  <c r="A1147" i="4"/>
  <c r="A1148" i="4"/>
  <c r="A1149" i="4"/>
  <c r="A1150" i="4"/>
  <c r="A1151" i="4"/>
  <c r="A1152" i="4"/>
  <c r="A1153" i="4"/>
  <c r="A1154" i="4"/>
  <c r="A1155" i="4"/>
  <c r="A1156" i="4"/>
  <c r="A1157" i="4"/>
  <c r="A1158" i="4"/>
  <c r="A1159" i="4"/>
  <c r="A1160" i="4"/>
  <c r="A1161" i="4"/>
  <c r="A1162" i="4"/>
  <c r="A1163" i="4"/>
  <c r="A1164" i="4"/>
  <c r="A1165" i="4"/>
  <c r="A1166" i="4"/>
  <c r="A1167" i="4"/>
  <c r="A1168" i="4"/>
  <c r="A1169" i="4"/>
  <c r="A1170" i="4"/>
  <c r="A1171" i="4"/>
  <c r="A1172" i="4"/>
  <c r="A1173" i="4"/>
  <c r="A1174" i="4"/>
  <c r="A1175" i="4"/>
  <c r="A1176" i="4"/>
  <c r="A1177" i="4"/>
  <c r="A1178" i="4"/>
  <c r="A1179" i="4"/>
  <c r="A1180" i="4"/>
  <c r="A1181" i="4"/>
  <c r="A1182" i="4"/>
  <c r="A1183" i="4"/>
  <c r="A1184" i="4"/>
  <c r="A1185" i="4"/>
  <c r="A1186" i="4"/>
  <c r="A1187" i="4"/>
  <c r="A1188" i="4"/>
  <c r="A1189" i="4"/>
  <c r="A1190" i="4"/>
  <c r="A1191" i="4"/>
  <c r="A1192" i="4"/>
  <c r="A1193" i="4"/>
  <c r="A1194" i="4"/>
  <c r="A1195" i="4"/>
  <c r="A1196" i="4"/>
  <c r="A1197" i="4"/>
  <c r="A1198" i="4"/>
  <c r="A1199" i="4"/>
  <c r="A1200" i="4"/>
  <c r="A1201" i="4"/>
  <c r="A1202" i="4"/>
  <c r="A1203" i="4"/>
  <c r="A1204" i="4"/>
  <c r="A1205" i="4"/>
  <c r="A1206" i="4"/>
  <c r="A1207" i="4"/>
  <c r="A1208" i="4"/>
  <c r="A1209" i="4"/>
  <c r="A1210" i="4"/>
  <c r="A1211" i="4"/>
  <c r="A1212" i="4"/>
  <c r="A1213" i="4"/>
  <c r="A1214" i="4"/>
  <c r="A1215" i="4"/>
  <c r="A1216" i="4"/>
  <c r="A1217" i="4"/>
  <c r="A1218" i="4"/>
  <c r="A1219" i="4"/>
  <c r="A1220" i="4"/>
  <c r="A1221" i="4"/>
  <c r="A1222" i="4"/>
  <c r="A1223" i="4"/>
  <c r="A1224" i="4"/>
  <c r="A1225" i="4"/>
  <c r="A1226" i="4"/>
  <c r="A1227" i="4"/>
  <c r="A1228" i="4"/>
  <c r="A1229" i="4"/>
  <c r="A1230" i="4"/>
  <c r="A1231" i="4"/>
  <c r="A1232" i="4"/>
  <c r="A1233" i="4"/>
  <c r="A1234" i="4"/>
  <c r="A1235" i="4"/>
  <c r="A1236" i="4"/>
  <c r="A1237" i="4"/>
  <c r="A1238" i="4"/>
  <c r="A1239" i="4"/>
  <c r="A1240" i="4"/>
  <c r="A1241" i="4"/>
  <c r="A1242" i="4"/>
  <c r="A1243" i="4"/>
  <c r="A1244" i="4"/>
  <c r="A1245" i="4"/>
  <c r="A1246" i="4"/>
  <c r="A1247" i="4"/>
  <c r="A1248" i="4"/>
  <c r="A1249" i="4"/>
  <c r="A1250" i="4"/>
  <c r="A1251" i="4"/>
  <c r="A1252" i="4"/>
  <c r="A1253" i="4"/>
  <c r="A1254" i="4"/>
  <c r="A1255" i="4"/>
  <c r="A1256" i="4"/>
  <c r="A1257" i="4"/>
  <c r="A1258" i="4"/>
  <c r="A1259" i="4"/>
  <c r="A1260" i="4"/>
  <c r="A1261" i="4"/>
  <c r="A1262" i="4"/>
  <c r="A1263" i="4"/>
  <c r="A1264" i="4"/>
  <c r="A1265" i="4"/>
  <c r="A1266" i="4"/>
  <c r="A1267" i="4"/>
  <c r="A1268" i="4"/>
  <c r="A1269" i="4"/>
  <c r="A1270" i="4"/>
  <c r="A1271" i="4"/>
  <c r="A1272" i="4"/>
  <c r="A1273" i="4"/>
  <c r="A1274" i="4"/>
  <c r="A1275" i="4"/>
  <c r="A1276" i="4"/>
  <c r="A1277" i="4"/>
  <c r="A1278" i="4"/>
  <c r="A1279" i="4"/>
  <c r="A1280" i="4"/>
  <c r="A1281" i="4"/>
  <c r="A1282" i="4"/>
  <c r="A1283" i="4"/>
  <c r="A1284" i="4"/>
  <c r="A1285" i="4"/>
  <c r="A1286" i="4"/>
  <c r="A1287" i="4"/>
  <c r="A1288" i="4"/>
  <c r="A1289" i="4"/>
  <c r="A1290" i="4"/>
  <c r="A1291" i="4"/>
  <c r="A1292" i="4"/>
  <c r="A1293" i="4"/>
  <c r="A1294" i="4"/>
  <c r="A1295" i="4"/>
  <c r="A1296" i="4"/>
  <c r="A1297" i="4"/>
  <c r="A1298" i="4"/>
  <c r="A1299" i="4"/>
  <c r="A1300" i="4"/>
  <c r="A1301" i="4"/>
  <c r="A1302" i="4"/>
  <c r="A1303" i="4"/>
  <c r="A1304" i="4"/>
  <c r="A1305" i="4"/>
  <c r="A1306" i="4"/>
  <c r="A1307" i="4"/>
  <c r="A1308" i="4"/>
  <c r="A1309" i="4"/>
  <c r="A1310" i="4"/>
  <c r="A1311" i="4"/>
  <c r="A1312" i="4"/>
  <c r="A1313" i="4"/>
  <c r="A1314" i="4"/>
  <c r="A1315" i="4"/>
  <c r="A1316" i="4"/>
  <c r="A1317" i="4"/>
  <c r="A1318" i="4"/>
  <c r="A1319" i="4"/>
  <c r="A1320" i="4"/>
  <c r="A1321" i="4"/>
  <c r="A1322" i="4"/>
  <c r="A1323" i="4"/>
  <c r="A1324" i="4"/>
  <c r="A1325" i="4"/>
  <c r="A1326" i="4"/>
  <c r="A1327" i="4"/>
  <c r="A1328" i="4"/>
  <c r="A1329" i="4"/>
  <c r="A1330" i="4"/>
  <c r="A1331" i="4"/>
  <c r="A1332" i="4"/>
  <c r="A1333" i="4"/>
  <c r="A1334" i="4"/>
  <c r="A1335" i="4"/>
  <c r="A1336" i="4"/>
  <c r="A1337" i="4"/>
  <c r="A1338" i="4"/>
  <c r="A1339" i="4"/>
  <c r="A1340" i="4"/>
  <c r="A1341" i="4"/>
  <c r="A1342" i="4"/>
  <c r="A1343" i="4"/>
  <c r="A1344" i="4"/>
  <c r="A1345" i="4"/>
  <c r="A1346" i="4"/>
  <c r="A1347" i="4"/>
  <c r="A1348" i="4"/>
  <c r="A1349" i="4"/>
  <c r="A1350" i="4"/>
  <c r="A1351" i="4"/>
  <c r="A1352" i="4"/>
  <c r="A1353" i="4"/>
  <c r="A1354" i="4"/>
  <c r="A1355" i="4"/>
  <c r="A1356" i="4"/>
  <c r="A1357" i="4"/>
  <c r="A1358" i="4"/>
  <c r="A1359" i="4"/>
  <c r="A1360" i="4"/>
  <c r="A1361" i="4"/>
  <c r="A1362" i="4"/>
  <c r="A1363" i="4"/>
  <c r="A1364" i="4"/>
  <c r="A1365" i="4"/>
  <c r="A1366" i="4"/>
  <c r="A1367" i="4"/>
  <c r="A1368" i="4"/>
  <c r="A1369" i="4"/>
  <c r="A1370" i="4"/>
  <c r="A1371" i="4"/>
  <c r="A1372" i="4"/>
  <c r="A1373" i="4"/>
  <c r="A1374" i="4"/>
  <c r="A1375" i="4"/>
  <c r="A1376" i="4"/>
  <c r="A1377" i="4"/>
  <c r="A1378" i="4"/>
  <c r="A1379" i="4"/>
  <c r="A1380" i="4"/>
  <c r="A1381" i="4"/>
  <c r="A1382" i="4"/>
  <c r="A1383" i="4"/>
  <c r="A1384" i="4"/>
  <c r="A1385" i="4"/>
  <c r="A1386" i="4"/>
  <c r="A1387" i="4"/>
  <c r="A1388" i="4"/>
  <c r="A1389" i="4"/>
  <c r="A1390" i="4"/>
  <c r="A1391" i="4"/>
  <c r="A1392" i="4"/>
  <c r="A1393" i="4"/>
  <c r="A1394" i="4"/>
  <c r="A1395" i="4"/>
  <c r="A1396" i="4"/>
  <c r="A1397" i="4"/>
  <c r="A1398" i="4"/>
  <c r="A1399" i="4"/>
  <c r="A1400" i="4"/>
  <c r="A1401" i="4"/>
  <c r="A1402" i="4"/>
  <c r="A1403" i="4"/>
  <c r="A1404" i="4"/>
  <c r="A1405" i="4"/>
  <c r="A1406" i="4"/>
  <c r="A1407" i="4"/>
  <c r="A1408" i="4"/>
  <c r="A1409" i="4"/>
  <c r="A1410" i="4"/>
  <c r="A1411" i="4"/>
  <c r="A1412" i="4"/>
  <c r="A1413" i="4"/>
  <c r="A1414" i="4"/>
  <c r="A1415" i="4"/>
  <c r="A1416" i="4"/>
  <c r="A1417" i="4"/>
  <c r="A1418" i="4"/>
  <c r="A1419" i="4"/>
  <c r="A1420" i="4"/>
  <c r="A1421" i="4"/>
  <c r="A1422" i="4"/>
  <c r="A1423" i="4"/>
  <c r="A1424" i="4"/>
  <c r="A1425" i="4"/>
  <c r="A1426" i="4"/>
  <c r="A1427" i="4"/>
  <c r="A1428" i="4"/>
  <c r="A1429" i="4"/>
  <c r="A1430" i="4"/>
  <c r="A1431" i="4"/>
  <c r="A1432" i="4"/>
  <c r="A1433" i="4"/>
  <c r="A1434" i="4"/>
  <c r="A1435" i="4"/>
  <c r="A1436" i="4"/>
  <c r="A1437" i="4"/>
  <c r="A1438" i="4"/>
  <c r="A1439" i="4"/>
  <c r="A1440" i="4"/>
  <c r="A1441" i="4"/>
  <c r="A1442" i="4"/>
  <c r="A1443" i="4"/>
  <c r="A1444" i="4"/>
  <c r="A1445" i="4"/>
  <c r="A1446" i="4"/>
  <c r="A1447" i="4"/>
  <c r="A1448" i="4"/>
  <c r="A1449" i="4"/>
  <c r="A1450" i="4"/>
  <c r="A1451" i="4"/>
  <c r="A1452" i="4"/>
  <c r="A1453" i="4"/>
  <c r="A1454" i="4"/>
  <c r="A1455" i="4"/>
  <c r="A1456" i="4"/>
  <c r="A1457" i="4"/>
  <c r="A1458" i="4"/>
  <c r="A1459" i="4"/>
  <c r="A1460" i="4"/>
  <c r="A1461" i="4"/>
  <c r="A1462" i="4"/>
  <c r="A1463" i="4"/>
  <c r="A1464" i="4"/>
  <c r="A1465" i="4"/>
  <c r="A1466" i="4"/>
  <c r="A1467" i="4"/>
  <c r="A1468" i="4"/>
  <c r="A1469" i="4"/>
  <c r="A1470" i="4"/>
  <c r="A1471" i="4"/>
  <c r="A1472" i="4"/>
  <c r="A1473" i="4"/>
  <c r="A1474" i="4"/>
  <c r="A1475" i="4"/>
  <c r="A1476" i="4"/>
  <c r="A1477" i="4"/>
  <c r="A1478" i="4"/>
  <c r="A1479" i="4"/>
  <c r="A1480" i="4"/>
  <c r="A1481" i="4"/>
  <c r="A1482" i="4"/>
  <c r="A1483" i="4"/>
  <c r="A1484" i="4"/>
  <c r="A1485" i="4"/>
  <c r="A1486" i="4"/>
  <c r="A1487" i="4"/>
  <c r="A1488" i="4"/>
  <c r="A1489" i="4"/>
  <c r="A1490" i="4"/>
  <c r="A1491" i="4"/>
  <c r="A1492" i="4"/>
  <c r="A1493" i="4"/>
  <c r="A1494" i="4"/>
  <c r="A1495" i="4"/>
  <c r="A1496" i="4"/>
  <c r="A1497" i="4"/>
  <c r="A1498" i="4"/>
  <c r="A1499" i="4"/>
  <c r="A1500" i="4"/>
  <c r="A1501" i="4"/>
  <c r="A1502" i="4"/>
  <c r="A1503" i="4"/>
  <c r="A1504" i="4"/>
  <c r="A1505" i="4"/>
  <c r="A1506" i="4"/>
  <c r="A1507" i="4"/>
  <c r="A1508" i="4"/>
  <c r="A1509" i="4"/>
  <c r="A1510" i="4"/>
  <c r="A1511" i="4"/>
  <c r="A1512" i="4"/>
  <c r="A1513" i="4"/>
  <c r="A1514" i="4"/>
  <c r="A1515" i="4"/>
  <c r="A1516" i="4"/>
  <c r="A1517" i="4"/>
  <c r="A1518" i="4"/>
  <c r="A1519" i="4"/>
  <c r="A1520" i="4"/>
  <c r="A1521" i="4"/>
  <c r="A1522" i="4"/>
  <c r="A1523" i="4"/>
  <c r="A1524" i="4"/>
  <c r="A1525" i="4"/>
  <c r="A1526" i="4"/>
  <c r="A1527" i="4"/>
  <c r="A1528" i="4"/>
  <c r="A1529" i="4"/>
  <c r="A1530" i="4"/>
  <c r="A1531" i="4"/>
  <c r="A1532" i="4"/>
  <c r="A1533" i="4"/>
  <c r="A1534" i="4"/>
  <c r="A1535" i="4"/>
  <c r="A1536" i="4"/>
  <c r="A1537" i="4"/>
  <c r="A1538" i="4"/>
  <c r="A1539" i="4"/>
  <c r="A1540" i="4"/>
  <c r="A1541" i="4"/>
  <c r="A1542" i="4"/>
  <c r="A1543" i="4"/>
  <c r="A1544" i="4"/>
  <c r="A1545" i="4"/>
  <c r="A1546" i="4"/>
  <c r="A1547" i="4"/>
  <c r="A1548" i="4"/>
  <c r="A1549" i="4"/>
  <c r="A1550" i="4"/>
  <c r="A1551" i="4"/>
  <c r="A1552" i="4"/>
  <c r="A1553" i="4"/>
  <c r="A1554" i="4"/>
  <c r="A1555" i="4"/>
  <c r="A1556" i="4"/>
  <c r="A1557" i="4"/>
  <c r="A1558" i="4"/>
  <c r="A1559" i="4"/>
  <c r="A1560" i="4"/>
  <c r="A1561" i="4"/>
  <c r="A1562" i="4"/>
  <c r="A1563" i="4"/>
  <c r="A1564" i="4"/>
  <c r="A1565" i="4"/>
  <c r="A1566" i="4"/>
  <c r="A1567" i="4"/>
  <c r="A1568" i="4"/>
  <c r="A1569" i="4"/>
  <c r="A1570" i="4"/>
  <c r="A1571" i="4"/>
  <c r="A1572" i="4"/>
  <c r="A1573" i="4"/>
  <c r="A1574" i="4"/>
  <c r="A1575" i="4"/>
  <c r="A1576" i="4"/>
  <c r="A1577" i="4"/>
  <c r="A1578" i="4"/>
  <c r="A1579" i="4"/>
  <c r="A1580" i="4"/>
  <c r="A1581" i="4"/>
  <c r="A1582" i="4"/>
  <c r="A1583" i="4"/>
  <c r="A1584" i="4"/>
  <c r="A1585" i="4"/>
  <c r="A1586" i="4"/>
  <c r="A1587" i="4"/>
  <c r="A1588" i="4"/>
  <c r="A1589" i="4"/>
  <c r="A1590" i="4"/>
  <c r="A1591" i="4"/>
  <c r="A1592" i="4"/>
  <c r="A1593" i="4"/>
  <c r="A1594" i="4"/>
  <c r="A1595" i="4"/>
  <c r="A1596" i="4"/>
  <c r="A1597" i="4"/>
  <c r="A1598" i="4"/>
  <c r="A1599" i="4"/>
  <c r="A1600" i="4"/>
  <c r="A1601" i="4"/>
  <c r="A1602" i="4"/>
  <c r="A1603" i="4"/>
  <c r="A1604" i="4"/>
  <c r="A1605" i="4"/>
  <c r="A1606" i="4"/>
  <c r="A1607" i="4"/>
  <c r="A1608" i="4"/>
  <c r="A1609" i="4"/>
  <c r="A1610" i="4"/>
  <c r="A1611" i="4"/>
  <c r="A1612" i="4"/>
  <c r="A1613" i="4"/>
  <c r="A1614" i="4"/>
  <c r="A1615" i="4"/>
  <c r="A1616" i="4"/>
  <c r="A1617" i="4"/>
  <c r="A1618" i="4"/>
  <c r="A1619" i="4"/>
  <c r="A1620" i="4"/>
  <c r="A1621" i="4"/>
  <c r="A1622" i="4"/>
  <c r="A1623" i="4"/>
  <c r="A1624" i="4"/>
  <c r="A1625" i="4"/>
  <c r="A1626" i="4"/>
  <c r="A1627" i="4"/>
  <c r="A1628" i="4"/>
  <c r="A1629" i="4"/>
  <c r="A1630" i="4"/>
  <c r="A1631" i="4"/>
  <c r="A1632" i="4"/>
  <c r="A1633" i="4"/>
  <c r="A1634" i="4"/>
  <c r="A1635" i="4"/>
  <c r="A1636" i="4"/>
  <c r="A1637" i="4"/>
  <c r="A1638" i="4"/>
  <c r="A1639" i="4"/>
  <c r="A1640" i="4"/>
  <c r="A1641" i="4"/>
  <c r="A1642" i="4"/>
  <c r="A1643" i="4"/>
  <c r="A1644" i="4"/>
  <c r="A1645" i="4"/>
  <c r="A1646" i="4"/>
  <c r="A1647" i="4"/>
  <c r="A1648" i="4"/>
  <c r="A1649" i="4"/>
  <c r="A1650" i="4"/>
  <c r="A1651" i="4"/>
  <c r="A1652" i="4"/>
  <c r="A1653" i="4"/>
  <c r="A1654" i="4"/>
  <c r="A1655" i="4"/>
  <c r="A1656" i="4"/>
  <c r="A1657" i="4"/>
  <c r="A1658" i="4"/>
  <c r="A1659" i="4"/>
  <c r="A1660" i="4"/>
  <c r="A1661" i="4"/>
  <c r="A1662" i="4"/>
  <c r="A1663" i="4"/>
  <c r="A1664" i="4"/>
  <c r="A1665" i="4"/>
  <c r="A1666" i="4"/>
  <c r="A1667" i="4"/>
  <c r="A1668" i="4"/>
  <c r="A1669" i="4"/>
  <c r="A1670" i="4"/>
  <c r="A1671" i="4"/>
  <c r="A1672" i="4"/>
  <c r="A1673" i="4"/>
  <c r="A1674" i="4"/>
  <c r="A1675" i="4"/>
  <c r="A1676" i="4"/>
  <c r="A1677" i="4"/>
  <c r="A1678" i="4"/>
  <c r="A1679" i="4"/>
  <c r="A1680" i="4"/>
  <c r="A1681" i="4"/>
  <c r="A1682" i="4"/>
  <c r="A1683" i="4"/>
  <c r="A1684" i="4"/>
  <c r="A1685" i="4"/>
  <c r="A1686" i="4"/>
  <c r="A1687" i="4"/>
  <c r="A1688" i="4"/>
  <c r="A1689" i="4"/>
  <c r="A1690" i="4"/>
  <c r="A1691" i="4"/>
  <c r="A1692" i="4"/>
  <c r="A1693" i="4"/>
  <c r="A1694" i="4"/>
  <c r="A1695" i="4"/>
  <c r="A1696" i="4"/>
  <c r="A1697" i="4"/>
  <c r="A1698" i="4"/>
  <c r="A1699" i="4"/>
  <c r="A1700" i="4"/>
  <c r="A1701" i="4"/>
  <c r="A1702" i="4"/>
  <c r="A1703" i="4"/>
  <c r="A1704" i="4"/>
  <c r="A1705" i="4"/>
  <c r="A1706" i="4"/>
  <c r="A1707" i="4"/>
  <c r="A1708" i="4"/>
  <c r="A1709" i="4"/>
  <c r="A1710" i="4"/>
  <c r="A1711" i="4"/>
  <c r="A1712" i="4"/>
  <c r="A1713" i="4"/>
  <c r="A1714" i="4"/>
  <c r="A1715" i="4"/>
  <c r="A1716" i="4"/>
  <c r="A1717" i="4"/>
  <c r="A1718" i="4"/>
  <c r="A1719" i="4"/>
  <c r="A1720" i="4"/>
  <c r="A1721" i="4"/>
  <c r="A1722" i="4"/>
  <c r="A1723" i="4"/>
  <c r="A1724" i="4"/>
  <c r="A1725" i="4"/>
  <c r="A1726" i="4"/>
  <c r="A1727" i="4"/>
  <c r="A1728" i="4"/>
  <c r="A1729" i="4"/>
  <c r="A1730" i="4"/>
  <c r="A1731" i="4"/>
  <c r="A1732" i="4"/>
  <c r="A1733" i="4"/>
  <c r="A1734" i="4"/>
  <c r="A1735" i="4"/>
  <c r="A1736" i="4"/>
  <c r="A1737" i="4"/>
  <c r="A1738" i="4"/>
  <c r="A1739" i="4"/>
  <c r="A1740" i="4"/>
  <c r="A1741" i="4"/>
  <c r="A1742" i="4"/>
  <c r="A1743" i="4"/>
  <c r="A1744" i="4"/>
  <c r="A1745" i="4"/>
  <c r="A1746" i="4"/>
  <c r="A1747" i="4"/>
  <c r="A1748" i="4"/>
  <c r="A1749" i="4"/>
  <c r="A1750" i="4"/>
  <c r="A1751" i="4"/>
  <c r="A1752" i="4"/>
  <c r="A1753" i="4"/>
  <c r="A1754" i="4"/>
  <c r="A1755" i="4"/>
  <c r="A1756" i="4"/>
  <c r="A1757" i="4"/>
  <c r="A1758" i="4"/>
  <c r="A1759" i="4"/>
  <c r="A1760" i="4"/>
  <c r="A1761" i="4"/>
  <c r="A1762" i="4"/>
  <c r="A1763" i="4"/>
  <c r="A1764" i="4"/>
  <c r="A1765" i="4"/>
  <c r="A1766" i="4"/>
  <c r="A1767" i="4"/>
  <c r="A1768" i="4"/>
  <c r="A1769" i="4"/>
  <c r="A1770" i="4"/>
  <c r="A1771" i="4"/>
  <c r="A1772" i="4"/>
  <c r="A1773" i="4"/>
  <c r="A1774" i="4"/>
  <c r="A1775" i="4"/>
  <c r="A1776" i="4"/>
  <c r="A1777" i="4"/>
  <c r="A1778" i="4"/>
  <c r="A1779" i="4"/>
  <c r="A1780" i="4"/>
  <c r="A1781" i="4"/>
  <c r="A1782" i="4"/>
  <c r="A1783" i="4"/>
  <c r="A1784" i="4"/>
  <c r="A1785" i="4"/>
  <c r="A1786" i="4"/>
  <c r="A1787" i="4"/>
  <c r="A1788" i="4"/>
  <c r="A1789" i="4"/>
  <c r="A1790" i="4"/>
  <c r="A1791" i="4"/>
  <c r="A1792" i="4"/>
  <c r="A1793" i="4"/>
  <c r="A1794" i="4"/>
  <c r="A1795" i="4"/>
  <c r="A1796" i="4"/>
  <c r="A1797" i="4"/>
  <c r="A1798" i="4"/>
  <c r="A1799" i="4"/>
  <c r="A1800" i="4"/>
  <c r="A1801" i="4"/>
  <c r="A1802" i="4"/>
  <c r="A1803" i="4"/>
  <c r="A1804" i="4"/>
  <c r="A1805" i="4"/>
  <c r="A1806" i="4"/>
  <c r="A1807" i="4"/>
  <c r="A1808" i="4"/>
  <c r="A1809" i="4"/>
  <c r="A1810" i="4"/>
  <c r="A1811" i="4"/>
  <c r="A1812" i="4"/>
  <c r="A1813" i="4"/>
  <c r="A1814" i="4"/>
  <c r="A1815" i="4"/>
  <c r="A1816" i="4"/>
  <c r="A1817" i="4"/>
  <c r="A1818" i="4"/>
  <c r="A1819" i="4"/>
  <c r="A1820" i="4"/>
  <c r="A1821" i="4"/>
  <c r="A1822" i="4"/>
  <c r="A1823" i="4"/>
  <c r="A1824" i="4"/>
  <c r="A1825" i="4"/>
  <c r="A1826" i="4"/>
  <c r="A1827" i="4"/>
  <c r="A1828" i="4"/>
  <c r="A1829" i="4"/>
  <c r="A1830" i="4"/>
  <c r="A1831" i="4"/>
  <c r="A1832" i="4"/>
  <c r="A1833" i="4"/>
  <c r="A1834" i="4"/>
  <c r="A1835" i="4"/>
  <c r="A1836" i="4"/>
  <c r="A1837" i="4"/>
  <c r="A1838" i="4"/>
  <c r="A1839" i="4"/>
  <c r="A1840" i="4"/>
  <c r="A1841" i="4"/>
  <c r="A1842" i="4"/>
  <c r="A1843" i="4"/>
  <c r="A1844" i="4"/>
  <c r="A1845" i="4"/>
  <c r="A1846" i="4"/>
  <c r="A1847" i="4"/>
  <c r="A1848" i="4"/>
  <c r="A1849" i="4"/>
  <c r="A1850" i="4"/>
  <c r="A1851" i="4"/>
  <c r="A1852" i="4"/>
  <c r="A1853" i="4"/>
  <c r="A1854" i="4"/>
  <c r="A1855" i="4"/>
  <c r="A1856" i="4"/>
  <c r="A1857" i="4"/>
  <c r="A1858" i="4"/>
  <c r="A1859" i="4"/>
  <c r="A1860" i="4"/>
  <c r="A1861" i="4"/>
  <c r="A1862" i="4"/>
  <c r="A1863" i="4"/>
  <c r="A1864" i="4"/>
  <c r="A1865" i="4"/>
  <c r="A1866" i="4"/>
  <c r="A1867" i="4"/>
  <c r="A1868" i="4"/>
  <c r="A1869" i="4"/>
  <c r="A1870" i="4"/>
  <c r="A1871" i="4"/>
  <c r="A1872" i="4"/>
  <c r="A1873" i="4"/>
  <c r="A1874" i="4"/>
  <c r="A1875" i="4"/>
  <c r="A1876" i="4"/>
  <c r="A1877" i="4"/>
  <c r="A1878" i="4"/>
  <c r="A1879" i="4"/>
  <c r="A1880" i="4"/>
  <c r="A1881" i="4"/>
  <c r="A1882" i="4"/>
  <c r="A1883" i="4"/>
  <c r="A1884" i="4"/>
  <c r="A1885" i="4"/>
  <c r="A1886" i="4"/>
  <c r="A1887" i="4"/>
  <c r="A1888" i="4"/>
  <c r="A1889" i="4"/>
  <c r="A1890" i="4"/>
  <c r="A1891" i="4"/>
  <c r="A1892" i="4"/>
  <c r="A1893" i="4"/>
  <c r="A1894" i="4"/>
  <c r="A1895" i="4"/>
  <c r="A1896" i="4"/>
  <c r="A1897" i="4"/>
  <c r="A1898" i="4"/>
  <c r="A1899" i="4"/>
  <c r="A1900" i="4"/>
  <c r="A1901" i="4"/>
  <c r="A1902" i="4"/>
  <c r="A1903" i="4"/>
  <c r="A1904" i="4"/>
  <c r="A1905" i="4"/>
  <c r="A1906" i="4"/>
  <c r="A1907" i="4"/>
  <c r="A1908" i="4"/>
  <c r="A1909" i="4"/>
  <c r="A1910" i="4"/>
  <c r="A1911" i="4"/>
  <c r="A1912" i="4"/>
  <c r="A1913" i="4"/>
  <c r="A1914" i="4"/>
  <c r="A1915" i="4"/>
  <c r="A1916" i="4"/>
  <c r="A1917" i="4"/>
  <c r="A1918" i="4"/>
  <c r="A1919" i="4"/>
  <c r="A1920" i="4"/>
  <c r="A1921" i="4"/>
  <c r="A1922" i="4"/>
  <c r="A1923" i="4"/>
  <c r="A1924" i="4"/>
  <c r="A1925" i="4"/>
  <c r="A1926" i="4"/>
  <c r="A1927" i="4"/>
  <c r="A1928" i="4"/>
  <c r="A1929" i="4"/>
  <c r="A1930" i="4"/>
  <c r="A1931" i="4"/>
  <c r="A1932" i="4"/>
  <c r="A1933" i="4"/>
  <c r="A1934" i="4"/>
  <c r="A1935" i="4"/>
  <c r="A1936" i="4"/>
  <c r="A1937" i="4"/>
  <c r="A1938" i="4"/>
  <c r="A1939" i="4"/>
  <c r="A1940" i="4"/>
  <c r="A1941" i="4"/>
  <c r="A1942" i="4"/>
  <c r="A1943" i="4"/>
  <c r="A1944" i="4"/>
  <c r="A1945" i="4"/>
  <c r="A1946" i="4"/>
  <c r="A1947" i="4"/>
  <c r="A1948" i="4"/>
  <c r="A1949" i="4"/>
  <c r="A1950" i="4"/>
  <c r="A1951" i="4"/>
  <c r="A1952" i="4"/>
  <c r="A1953" i="4"/>
  <c r="A1954" i="4"/>
  <c r="A1955" i="4"/>
  <c r="A1956" i="4"/>
  <c r="A1957" i="4"/>
  <c r="A1958" i="4"/>
  <c r="A1959" i="4"/>
  <c r="A1960" i="4"/>
  <c r="A1961" i="4"/>
  <c r="A1962" i="4"/>
  <c r="A1963" i="4"/>
  <c r="A1964" i="4"/>
  <c r="A1965" i="4"/>
  <c r="A1966" i="4"/>
  <c r="A1967" i="4"/>
  <c r="A1968" i="4"/>
  <c r="A1969" i="4"/>
  <c r="A1970" i="4"/>
  <c r="A1971" i="4"/>
  <c r="A1972" i="4"/>
  <c r="A1973" i="4"/>
  <c r="A1974" i="4"/>
  <c r="A1975" i="4"/>
  <c r="A1976" i="4"/>
  <c r="A1977" i="4"/>
  <c r="A1978" i="4"/>
  <c r="A1979" i="4"/>
  <c r="A1980" i="4"/>
  <c r="A1981" i="4"/>
  <c r="A1982" i="4"/>
  <c r="A1983" i="4"/>
  <c r="A1984" i="4"/>
  <c r="A1985" i="4"/>
  <c r="A1986" i="4"/>
  <c r="A1987" i="4"/>
  <c r="A1988" i="4"/>
  <c r="A1989" i="4"/>
  <c r="A1990" i="4"/>
  <c r="A1991" i="4"/>
  <c r="A1992" i="4"/>
  <c r="A1993" i="4"/>
  <c r="A1994" i="4"/>
  <c r="A1995" i="4"/>
  <c r="A1996" i="4"/>
  <c r="A1997" i="4"/>
  <c r="A1998" i="4"/>
  <c r="A1999" i="4"/>
  <c r="A2000" i="4"/>
  <c r="A2001" i="4"/>
  <c r="A2002" i="4"/>
  <c r="A2003" i="4"/>
  <c r="A2004" i="4"/>
  <c r="A2005" i="4"/>
  <c r="A2006" i="4"/>
  <c r="A2007" i="4"/>
  <c r="A2008" i="4"/>
  <c r="A2009" i="4"/>
  <c r="A2010" i="4"/>
  <c r="A2011" i="4"/>
  <c r="A2012" i="4"/>
  <c r="A2013" i="4"/>
  <c r="A2014" i="4"/>
  <c r="A2015" i="4"/>
  <c r="A2016" i="4"/>
  <c r="A2017" i="4"/>
  <c r="A2018" i="4"/>
  <c r="A2019" i="4"/>
  <c r="A2020" i="4"/>
  <c r="A2021" i="4"/>
  <c r="A2022" i="4"/>
  <c r="A2023" i="4"/>
  <c r="A2024" i="4"/>
  <c r="A2025" i="4"/>
  <c r="A2026" i="4"/>
  <c r="A2027" i="4"/>
  <c r="A2028" i="4"/>
  <c r="A2029" i="4"/>
  <c r="A2030" i="4"/>
  <c r="A2031" i="4"/>
  <c r="A2032" i="4"/>
  <c r="A2033" i="4"/>
  <c r="A2034" i="4"/>
  <c r="A2035" i="4"/>
  <c r="A2036" i="4"/>
  <c r="A2037" i="4"/>
  <c r="A2038" i="4"/>
  <c r="A2039" i="4"/>
  <c r="A2040" i="4"/>
  <c r="A2041" i="4"/>
  <c r="A2042" i="4"/>
  <c r="A2043" i="4"/>
  <c r="A2044" i="4"/>
  <c r="A2045" i="4"/>
  <c r="A2046" i="4"/>
  <c r="A2047" i="4"/>
  <c r="A2048" i="4"/>
  <c r="A2049" i="4"/>
  <c r="A2050" i="4"/>
  <c r="A2051" i="4"/>
  <c r="A2052" i="4"/>
  <c r="A2053" i="4"/>
  <c r="A2054" i="4"/>
  <c r="A2055" i="4"/>
  <c r="A2056" i="4"/>
  <c r="A2057" i="4"/>
  <c r="A2058" i="4"/>
  <c r="A2059" i="4"/>
  <c r="A2060" i="4"/>
  <c r="A2061" i="4"/>
  <c r="A2062" i="4"/>
  <c r="A2063" i="4"/>
  <c r="A2064" i="4"/>
  <c r="A2065" i="4"/>
  <c r="A2066" i="4"/>
  <c r="A2067" i="4"/>
  <c r="A2068" i="4"/>
  <c r="A2069" i="4"/>
  <c r="A2070" i="4"/>
  <c r="A2071" i="4"/>
  <c r="A2072" i="4"/>
  <c r="A2073" i="4"/>
  <c r="A2074" i="4"/>
  <c r="A2075" i="4"/>
  <c r="A2076" i="4"/>
  <c r="A2077" i="4"/>
  <c r="A2078" i="4"/>
  <c r="A2079" i="4"/>
  <c r="A2080" i="4"/>
  <c r="A2081" i="4"/>
  <c r="A2082" i="4"/>
  <c r="A2083" i="4"/>
  <c r="A2084" i="4"/>
  <c r="A2085" i="4"/>
  <c r="A2086" i="4"/>
  <c r="A2087" i="4"/>
  <c r="A2088" i="4"/>
  <c r="A2089" i="4"/>
  <c r="A2090" i="4"/>
  <c r="A2091" i="4"/>
  <c r="A2092" i="4"/>
  <c r="A2093" i="4"/>
  <c r="A2094" i="4"/>
  <c r="A2095" i="4"/>
  <c r="A2096" i="4"/>
  <c r="A2097" i="4"/>
  <c r="A2098" i="4"/>
  <c r="A2099" i="4"/>
  <c r="A2100" i="4"/>
  <c r="A2101" i="4"/>
  <c r="A2102" i="4"/>
  <c r="A2103" i="4"/>
  <c r="A2104" i="4"/>
  <c r="A2105" i="4"/>
  <c r="A2106" i="4"/>
  <c r="A2107" i="4"/>
  <c r="A2108" i="4"/>
  <c r="A2109" i="4"/>
  <c r="A2110" i="4"/>
  <c r="A2111" i="4"/>
  <c r="A2112" i="4"/>
  <c r="A2113" i="4"/>
  <c r="A2114" i="4"/>
  <c r="A2115" i="4"/>
  <c r="A2116" i="4"/>
  <c r="A2117" i="4"/>
  <c r="A2118" i="4"/>
  <c r="A2119" i="4"/>
  <c r="A2120" i="4"/>
  <c r="A2121" i="4"/>
  <c r="A2122" i="4"/>
  <c r="A2123" i="4"/>
  <c r="A2124" i="4"/>
  <c r="A2125" i="4"/>
  <c r="A2126" i="4"/>
  <c r="A2127" i="4"/>
  <c r="A2128" i="4"/>
  <c r="A2129" i="4"/>
  <c r="A2130" i="4"/>
  <c r="A2131" i="4"/>
  <c r="A2132" i="4"/>
  <c r="A2133" i="4"/>
  <c r="A2134" i="4"/>
  <c r="A2135" i="4"/>
  <c r="A2136" i="4"/>
  <c r="A2137" i="4"/>
  <c r="A2138" i="4"/>
  <c r="A2139" i="4"/>
  <c r="A2140" i="4"/>
  <c r="A2141" i="4"/>
  <c r="A2142" i="4"/>
  <c r="A2143" i="4"/>
  <c r="A2144" i="4"/>
  <c r="A2145" i="4"/>
  <c r="A2146" i="4"/>
  <c r="A2147" i="4"/>
  <c r="A2148" i="4"/>
  <c r="A2149" i="4"/>
  <c r="A2150" i="4"/>
  <c r="A2151" i="4"/>
  <c r="A2152" i="4"/>
  <c r="A2153" i="4"/>
  <c r="A2154" i="4"/>
  <c r="A2155" i="4"/>
  <c r="A2156" i="4"/>
  <c r="A2157" i="4"/>
  <c r="A2158" i="4"/>
  <c r="A2159" i="4"/>
  <c r="A2160" i="4"/>
  <c r="A2161" i="4"/>
  <c r="A2162" i="4"/>
  <c r="A2163" i="4"/>
  <c r="A2164" i="4"/>
  <c r="A2165" i="4"/>
  <c r="A2166" i="4"/>
  <c r="A2167" i="4"/>
  <c r="A2168" i="4"/>
  <c r="A2169" i="4"/>
  <c r="A2170" i="4"/>
  <c r="A2171" i="4"/>
  <c r="A2172" i="4"/>
  <c r="A2173" i="4"/>
  <c r="A2174" i="4"/>
  <c r="A2175" i="4"/>
  <c r="A2176" i="4"/>
  <c r="A2177" i="4"/>
  <c r="A2178" i="4"/>
  <c r="A2179" i="4"/>
  <c r="A2180" i="4"/>
  <c r="A2181" i="4"/>
  <c r="A2182" i="4"/>
  <c r="A2183" i="4"/>
  <c r="A2184" i="4"/>
  <c r="A2185" i="4"/>
  <c r="A2186" i="4"/>
  <c r="A2187" i="4"/>
  <c r="A2188" i="4"/>
  <c r="A2189" i="4"/>
  <c r="A2190" i="4"/>
  <c r="A2191" i="4"/>
  <c r="A2192" i="4"/>
  <c r="A2193" i="4"/>
  <c r="A2194" i="4"/>
  <c r="A2195" i="4"/>
  <c r="A2196" i="4"/>
  <c r="A2197" i="4"/>
  <c r="A2198" i="4"/>
  <c r="A2199" i="4"/>
  <c r="A2200" i="4"/>
  <c r="A2201" i="4"/>
  <c r="A2202" i="4"/>
  <c r="A2203" i="4"/>
  <c r="A2204" i="4"/>
  <c r="A2205" i="4"/>
  <c r="A2206" i="4"/>
  <c r="A2207" i="4"/>
  <c r="A2208" i="4"/>
  <c r="A2209" i="4"/>
  <c r="A2210" i="4"/>
  <c r="A2211" i="4"/>
  <c r="A2212" i="4"/>
  <c r="A2213" i="4"/>
  <c r="A2214" i="4"/>
  <c r="A2215" i="4"/>
  <c r="A2216" i="4"/>
  <c r="A2217" i="4"/>
  <c r="A2218" i="4"/>
  <c r="A2219" i="4"/>
  <c r="A2220" i="4"/>
  <c r="A2221" i="4"/>
  <c r="A2222" i="4"/>
  <c r="A2223" i="4"/>
  <c r="A2224" i="4"/>
  <c r="A2225" i="4"/>
  <c r="A2226" i="4"/>
  <c r="A2227" i="4"/>
  <c r="A2228" i="4"/>
  <c r="A2229" i="4"/>
  <c r="A2230" i="4"/>
  <c r="A2231" i="4"/>
  <c r="A2232" i="4"/>
  <c r="A2233" i="4"/>
  <c r="A2234" i="4"/>
  <c r="A2235" i="4"/>
  <c r="A2236" i="4"/>
  <c r="A2237" i="4"/>
  <c r="A2238" i="4"/>
  <c r="A2239" i="4"/>
  <c r="A2240" i="4"/>
  <c r="A2241" i="4"/>
  <c r="A2242" i="4"/>
  <c r="A2243" i="4"/>
  <c r="A2244" i="4"/>
  <c r="A2245" i="4"/>
  <c r="A2246" i="4"/>
  <c r="A2247" i="4"/>
  <c r="A2248" i="4"/>
  <c r="A2249" i="4"/>
  <c r="A2250" i="4"/>
  <c r="A2251" i="4"/>
  <c r="A2252" i="4"/>
  <c r="A2253" i="4"/>
  <c r="A2254" i="4"/>
  <c r="A2255" i="4"/>
  <c r="A2256" i="4"/>
  <c r="A2257" i="4"/>
  <c r="A2258" i="4"/>
  <c r="A2259" i="4"/>
  <c r="A2260" i="4"/>
  <c r="A2261" i="4"/>
  <c r="A2262" i="4"/>
  <c r="A2263" i="4"/>
  <c r="A2264" i="4"/>
  <c r="A2265" i="4"/>
  <c r="A2266" i="4"/>
  <c r="A2267" i="4"/>
  <c r="A2268" i="4"/>
  <c r="A2269" i="4"/>
  <c r="A2270" i="4"/>
  <c r="A2271" i="4"/>
  <c r="A2272" i="4"/>
  <c r="A2273" i="4"/>
  <c r="A2274" i="4"/>
  <c r="A2275" i="4"/>
  <c r="A2276" i="4"/>
  <c r="A2277" i="4"/>
  <c r="A2278" i="4"/>
  <c r="A2279" i="4"/>
  <c r="A2280" i="4"/>
  <c r="A2281" i="4"/>
  <c r="A2282" i="4"/>
  <c r="A2283" i="4"/>
  <c r="A2284" i="4"/>
  <c r="A2285" i="4"/>
  <c r="A2286" i="4"/>
  <c r="A2287" i="4"/>
  <c r="A2288" i="4"/>
  <c r="A2289" i="4"/>
  <c r="A2290" i="4"/>
  <c r="A2291" i="4"/>
  <c r="A2292" i="4"/>
  <c r="A2293" i="4"/>
  <c r="A2294" i="4"/>
  <c r="A2295" i="4"/>
  <c r="A2296" i="4"/>
  <c r="A2297" i="4"/>
  <c r="A2298" i="4"/>
  <c r="A2299" i="4"/>
  <c r="A2300" i="4"/>
  <c r="A2301" i="4"/>
  <c r="A2302" i="4"/>
  <c r="A2303" i="4"/>
  <c r="A2304" i="4"/>
  <c r="A2305" i="4"/>
  <c r="A2306" i="4"/>
  <c r="A2307" i="4"/>
  <c r="A2308" i="4"/>
  <c r="A2309" i="4"/>
  <c r="A2310" i="4"/>
  <c r="A2311" i="4"/>
  <c r="A2312" i="4"/>
  <c r="A2313" i="4"/>
  <c r="A2314" i="4"/>
  <c r="A2315" i="4"/>
  <c r="A2316" i="4"/>
  <c r="A2317" i="4"/>
  <c r="A2318" i="4"/>
  <c r="A2319" i="4"/>
  <c r="A2320" i="4"/>
  <c r="A2321" i="4"/>
  <c r="A2322" i="4"/>
  <c r="A2323" i="4"/>
  <c r="A2324" i="4"/>
  <c r="A2325" i="4"/>
  <c r="A2326" i="4"/>
  <c r="A2327" i="4"/>
  <c r="A2328" i="4"/>
  <c r="A2329" i="4"/>
  <c r="A2330" i="4"/>
  <c r="A2331" i="4"/>
  <c r="A2332" i="4"/>
  <c r="A2333" i="4"/>
  <c r="A2334" i="4"/>
  <c r="A2335" i="4"/>
  <c r="A2336" i="4"/>
  <c r="A2337" i="4"/>
  <c r="A2338" i="4"/>
  <c r="A2339" i="4"/>
  <c r="A2340" i="4"/>
  <c r="A2341" i="4"/>
  <c r="A2342" i="4"/>
  <c r="A2343" i="4"/>
  <c r="A2344" i="4"/>
  <c r="A2345" i="4"/>
  <c r="A2346" i="4"/>
  <c r="A2347" i="4"/>
  <c r="A2348" i="4"/>
  <c r="A2349" i="4"/>
  <c r="A2350" i="4"/>
  <c r="A2351" i="4"/>
  <c r="A2352" i="4"/>
  <c r="A2353" i="4"/>
  <c r="A2354" i="4"/>
  <c r="A2355" i="4"/>
  <c r="A2356" i="4"/>
  <c r="A2357" i="4"/>
  <c r="A2358" i="4"/>
  <c r="A2359" i="4"/>
  <c r="A2360" i="4"/>
  <c r="A2361" i="4"/>
  <c r="A2362" i="4"/>
  <c r="A2363" i="4"/>
  <c r="A2364" i="4"/>
  <c r="A2365" i="4"/>
  <c r="A2366" i="4"/>
  <c r="A2367" i="4"/>
  <c r="A2368" i="4"/>
  <c r="A2369" i="4"/>
  <c r="A2370" i="4"/>
  <c r="A2371" i="4"/>
  <c r="A2372" i="4"/>
  <c r="A2373" i="4"/>
  <c r="A2374" i="4"/>
  <c r="A2375" i="4"/>
  <c r="A2376" i="4"/>
  <c r="A2377" i="4"/>
  <c r="A2378" i="4"/>
  <c r="A2379" i="4"/>
  <c r="A2380" i="4"/>
  <c r="A2381" i="4"/>
  <c r="A2382" i="4"/>
  <c r="A2383" i="4"/>
  <c r="A2384" i="4"/>
  <c r="A2385" i="4"/>
  <c r="A2386" i="4"/>
  <c r="A2387" i="4"/>
  <c r="A2388" i="4"/>
  <c r="A2389" i="4"/>
  <c r="A2390" i="4"/>
  <c r="A2391" i="4"/>
  <c r="A2392" i="4"/>
  <c r="A2393" i="4"/>
  <c r="A2394" i="4"/>
  <c r="A2395" i="4"/>
  <c r="A2396" i="4"/>
  <c r="A2397" i="4"/>
  <c r="A2398" i="4"/>
  <c r="A2399" i="4"/>
  <c r="A2400" i="4"/>
  <c r="A2401" i="4"/>
  <c r="A2402" i="4"/>
  <c r="A2403" i="4"/>
  <c r="A2404" i="4"/>
  <c r="A2405" i="4"/>
  <c r="A2406" i="4"/>
  <c r="A2407" i="4"/>
  <c r="A2408" i="4"/>
  <c r="A2409" i="4"/>
  <c r="A2410" i="4"/>
  <c r="A2411" i="4"/>
  <c r="A2412" i="4"/>
  <c r="A2413" i="4"/>
  <c r="A2414" i="4"/>
  <c r="A2415" i="4"/>
  <c r="A2416" i="4"/>
  <c r="A2417" i="4"/>
  <c r="A2418" i="4"/>
  <c r="A2419" i="4"/>
  <c r="A2420" i="4"/>
  <c r="A2421" i="4"/>
  <c r="A2422" i="4"/>
  <c r="A2423" i="4"/>
  <c r="A2424" i="4"/>
  <c r="A2425" i="4"/>
  <c r="A2426" i="4"/>
  <c r="A2427" i="4"/>
  <c r="A2428" i="4"/>
  <c r="A2429" i="4"/>
  <c r="A2430" i="4"/>
  <c r="A2431" i="4"/>
  <c r="A2432" i="4"/>
  <c r="A2433" i="4"/>
  <c r="A2434" i="4"/>
  <c r="A2435" i="4"/>
  <c r="A2436" i="4"/>
  <c r="A2437" i="4"/>
  <c r="C43" i="5" l="1"/>
  <c r="AF20" i="17" l="1"/>
  <c r="AF21" i="17"/>
  <c r="AF22" i="17"/>
  <c r="AF23" i="17"/>
  <c r="AF24" i="17"/>
  <c r="AF25" i="17"/>
  <c r="AF26" i="17"/>
  <c r="AF27" i="17"/>
  <c r="AF28" i="17"/>
  <c r="AF29" i="17"/>
  <c r="AF30" i="17"/>
  <c r="AF31" i="17"/>
  <c r="AF32" i="17"/>
  <c r="AF33" i="17"/>
  <c r="AF34" i="17"/>
  <c r="AF35" i="17"/>
  <c r="AF36" i="17"/>
  <c r="AF37" i="17"/>
  <c r="AF38" i="17"/>
  <c r="AF39" i="17"/>
  <c r="AF40" i="17"/>
  <c r="AF41" i="17"/>
  <c r="AF42" i="17"/>
  <c r="AF43" i="17"/>
  <c r="AF44" i="17"/>
  <c r="AF45" i="17"/>
  <c r="AF46" i="17"/>
  <c r="AF47" i="17"/>
  <c r="AF48" i="17"/>
  <c r="AF49" i="17"/>
  <c r="AF50" i="17"/>
  <c r="AF51" i="17"/>
  <c r="AF52" i="17"/>
  <c r="AF53" i="17"/>
  <c r="AF54" i="17"/>
  <c r="AF55" i="17"/>
  <c r="AF56" i="17"/>
  <c r="AF57" i="17"/>
  <c r="AF58" i="17"/>
  <c r="AF59" i="17"/>
  <c r="AF60" i="17"/>
  <c r="AF61" i="17"/>
  <c r="AF62" i="17"/>
  <c r="AF63" i="17"/>
  <c r="AF64" i="17"/>
  <c r="AF65" i="17"/>
  <c r="AF66" i="17"/>
  <c r="AF67" i="17"/>
  <c r="AF68" i="17"/>
  <c r="AF69" i="17"/>
  <c r="AF70" i="17"/>
  <c r="AF71" i="17"/>
  <c r="AF72" i="17"/>
  <c r="AF73" i="17"/>
  <c r="AF74" i="17"/>
  <c r="AF75" i="17"/>
  <c r="AF76" i="17"/>
  <c r="AF77" i="17"/>
  <c r="AF78" i="17"/>
  <c r="AF79" i="17"/>
  <c r="AF80" i="17"/>
  <c r="AF81" i="17"/>
  <c r="AF82" i="17"/>
  <c r="AF83" i="17"/>
  <c r="AF84" i="17"/>
  <c r="AF85" i="17"/>
  <c r="AF86" i="17"/>
  <c r="AF87" i="17"/>
  <c r="AF88" i="17"/>
  <c r="AF89" i="17"/>
  <c r="AF90" i="17"/>
  <c r="AF91" i="17"/>
  <c r="AF92" i="17"/>
  <c r="AF93" i="17"/>
  <c r="AF94" i="17"/>
  <c r="AF95" i="17"/>
  <c r="AF96" i="17"/>
  <c r="AF97" i="17"/>
  <c r="AF98" i="17"/>
  <c r="AF99" i="17"/>
  <c r="AF100" i="17"/>
  <c r="AF101" i="17"/>
  <c r="AF102" i="17"/>
  <c r="AF103" i="17"/>
  <c r="AF104" i="17"/>
  <c r="AF105" i="17"/>
  <c r="AF106" i="17"/>
  <c r="AF107" i="17"/>
  <c r="AF108" i="17"/>
  <c r="AF109" i="17"/>
  <c r="AF110" i="17"/>
  <c r="AF111" i="17"/>
  <c r="AF112" i="17"/>
  <c r="AF113" i="17"/>
  <c r="AF114" i="17"/>
  <c r="AF115" i="17"/>
  <c r="AF116" i="17"/>
  <c r="AF117" i="17"/>
  <c r="AF118" i="17"/>
  <c r="AF119" i="17"/>
  <c r="AF120" i="17"/>
  <c r="AF121" i="17"/>
  <c r="AF122" i="17"/>
  <c r="AF123" i="17"/>
  <c r="AF124" i="17"/>
  <c r="AF125" i="17"/>
  <c r="AF126" i="17"/>
  <c r="AF127" i="17"/>
  <c r="AF128" i="17"/>
  <c r="AF129" i="17"/>
  <c r="AF130" i="17"/>
  <c r="AF131" i="17"/>
  <c r="AF132" i="17"/>
  <c r="AF133" i="17"/>
  <c r="AF134" i="17"/>
  <c r="AF135" i="17"/>
  <c r="AF136" i="17"/>
  <c r="AF137" i="17"/>
  <c r="AF138" i="17"/>
  <c r="AF139" i="17"/>
  <c r="AF140" i="17"/>
  <c r="AF141" i="17"/>
  <c r="AF142" i="17"/>
  <c r="AF143" i="17"/>
  <c r="AF144" i="17"/>
  <c r="AF145" i="17"/>
  <c r="AF146" i="17"/>
  <c r="AF147" i="17"/>
  <c r="AF148" i="17"/>
  <c r="AF149" i="17"/>
  <c r="AF150" i="17"/>
  <c r="AF151" i="17"/>
  <c r="AF152" i="17"/>
  <c r="AF153" i="17"/>
  <c r="AF154" i="17"/>
  <c r="AF155" i="17"/>
  <c r="AF156" i="17"/>
  <c r="AF157" i="17"/>
  <c r="AF158" i="17"/>
  <c r="AF159" i="17"/>
  <c r="AF160" i="17"/>
  <c r="AF161" i="17"/>
  <c r="AF162" i="17"/>
  <c r="AF163" i="17"/>
  <c r="AF164" i="17"/>
  <c r="AF165" i="17"/>
  <c r="AF166" i="17"/>
  <c r="AF167" i="17"/>
  <c r="AF168" i="17"/>
  <c r="AF169" i="17"/>
  <c r="AF170" i="17"/>
  <c r="AF171" i="17"/>
  <c r="AF172" i="17"/>
  <c r="AF173" i="17"/>
  <c r="AF174" i="17"/>
  <c r="AF175" i="17"/>
  <c r="AF176" i="17"/>
  <c r="AF177" i="17"/>
  <c r="AF178" i="17"/>
  <c r="AF179" i="17"/>
  <c r="AF180" i="17"/>
  <c r="AF181" i="17"/>
  <c r="AF182" i="17"/>
  <c r="AF183" i="17"/>
  <c r="AF184" i="17"/>
  <c r="AF185" i="17"/>
  <c r="AF186" i="17"/>
  <c r="AF187" i="17"/>
  <c r="AF188" i="17"/>
  <c r="AF189" i="17"/>
  <c r="AF190" i="17"/>
  <c r="AF191" i="17"/>
  <c r="AF192" i="17"/>
  <c r="AF193" i="17"/>
  <c r="AF194" i="17"/>
  <c r="AF195" i="17"/>
  <c r="AF196" i="17"/>
  <c r="AF197" i="17"/>
  <c r="AF198" i="17"/>
  <c r="AF199" i="17"/>
  <c r="AF200" i="17"/>
  <c r="AF201" i="17"/>
  <c r="AF202" i="17"/>
  <c r="AF203" i="17"/>
  <c r="AF204" i="17"/>
  <c r="AF205" i="17"/>
  <c r="AF206" i="17"/>
  <c r="AF207" i="17"/>
  <c r="AF208" i="17"/>
  <c r="AF209" i="17"/>
  <c r="AF210" i="17"/>
  <c r="AF211" i="17"/>
  <c r="AF212" i="17"/>
  <c r="AF213" i="17"/>
  <c r="AF214" i="17"/>
  <c r="AF215" i="17"/>
  <c r="AF216" i="17"/>
  <c r="AF217" i="17"/>
  <c r="AF218" i="17"/>
  <c r="AF219" i="17"/>
  <c r="AF220" i="17"/>
  <c r="AF221" i="17"/>
  <c r="AF222" i="17"/>
  <c r="AF223" i="17"/>
  <c r="AF224" i="17"/>
  <c r="AF225" i="17"/>
  <c r="AF226" i="17"/>
  <c r="AF227" i="17"/>
  <c r="AF228" i="17"/>
  <c r="AF229" i="17"/>
  <c r="AF230" i="17"/>
  <c r="AF231" i="17"/>
  <c r="AF232" i="17"/>
  <c r="AF233" i="17"/>
  <c r="AF234" i="17"/>
  <c r="AF235" i="17"/>
  <c r="AF236" i="17"/>
  <c r="AF237" i="17"/>
  <c r="AF238" i="17"/>
  <c r="AF239" i="17"/>
  <c r="AF240" i="17"/>
  <c r="AF241" i="17"/>
  <c r="AF242" i="17"/>
  <c r="AF243" i="17"/>
  <c r="AF244" i="17"/>
  <c r="AF245" i="17"/>
  <c r="AF246" i="17"/>
  <c r="AF247" i="17"/>
  <c r="AF248" i="17"/>
  <c r="AF249" i="17"/>
  <c r="AF250" i="17"/>
  <c r="AF251" i="17"/>
  <c r="AF252" i="17"/>
  <c r="AF253" i="17"/>
  <c r="AF254" i="17"/>
  <c r="AF255" i="17"/>
  <c r="AF256" i="17"/>
  <c r="AF257" i="17"/>
  <c r="AF258" i="17"/>
  <c r="AF259" i="17"/>
  <c r="AF260" i="17"/>
  <c r="AF261" i="17"/>
  <c r="AF262" i="17"/>
  <c r="AF263" i="17"/>
  <c r="AF264" i="17"/>
  <c r="AF265" i="17"/>
  <c r="AF266" i="17"/>
  <c r="AF267" i="17"/>
  <c r="AF268" i="17"/>
  <c r="AF269" i="17"/>
  <c r="AF270" i="17"/>
  <c r="AF271" i="17"/>
  <c r="AF272" i="17"/>
  <c r="AF273" i="17"/>
  <c r="AF274" i="17"/>
  <c r="AF275" i="17"/>
  <c r="AF276" i="17"/>
  <c r="AF277" i="17"/>
  <c r="AF278" i="17"/>
  <c r="AF279" i="17"/>
  <c r="AF280" i="17"/>
  <c r="AF281" i="17"/>
  <c r="AF282" i="17"/>
  <c r="AF283" i="17"/>
  <c r="AF284" i="17"/>
  <c r="AF285" i="17"/>
  <c r="AF286" i="17"/>
  <c r="AF287" i="17"/>
  <c r="AF288" i="17"/>
  <c r="AF289" i="17"/>
  <c r="AF290" i="17"/>
  <c r="AF291" i="17"/>
  <c r="AF292" i="17"/>
  <c r="AF293" i="17"/>
  <c r="AF294" i="17"/>
  <c r="AF295" i="17"/>
  <c r="AF296" i="17"/>
  <c r="AF297" i="17"/>
  <c r="AF298" i="17"/>
  <c r="AF299" i="17"/>
  <c r="AF300" i="17"/>
  <c r="AF301" i="17"/>
  <c r="AF302" i="17"/>
  <c r="AF303" i="17"/>
  <c r="AF304" i="17"/>
  <c r="AF305" i="17"/>
  <c r="AF306" i="17"/>
  <c r="AF307" i="17"/>
  <c r="AF308" i="17"/>
  <c r="AF309" i="17"/>
  <c r="AF310" i="17"/>
  <c r="AF311" i="17"/>
  <c r="AF312" i="17"/>
  <c r="AF313" i="17"/>
  <c r="AF314" i="17"/>
  <c r="AF315" i="17"/>
  <c r="AF316" i="17"/>
  <c r="AF317" i="17"/>
  <c r="AF318" i="17"/>
  <c r="AF319" i="17"/>
  <c r="AF320" i="17"/>
  <c r="AF321" i="17"/>
  <c r="AF322" i="17"/>
  <c r="AF323" i="17"/>
  <c r="AF324" i="17"/>
  <c r="AF325" i="17"/>
  <c r="AF326" i="17"/>
  <c r="AF327" i="17"/>
  <c r="AF328" i="17"/>
  <c r="AF329" i="17"/>
  <c r="AF330" i="17"/>
  <c r="AF331" i="17"/>
  <c r="AF332" i="17"/>
  <c r="AF333" i="17"/>
  <c r="AF334" i="17"/>
  <c r="AF335" i="17"/>
  <c r="AF336" i="17"/>
  <c r="AF337" i="17"/>
  <c r="AF338" i="17"/>
  <c r="AF339" i="17"/>
  <c r="AF340" i="17"/>
  <c r="AF341" i="17"/>
  <c r="AF342" i="17"/>
  <c r="AF343" i="17"/>
  <c r="AF344" i="17"/>
  <c r="AF345" i="17"/>
  <c r="AF346" i="17"/>
  <c r="AF347" i="17"/>
  <c r="AF348" i="17"/>
  <c r="AF349" i="17"/>
  <c r="AF350" i="17"/>
  <c r="AF351" i="17"/>
  <c r="AF352" i="17"/>
  <c r="AF353" i="17"/>
  <c r="AF354" i="17"/>
  <c r="AF355" i="17"/>
  <c r="AF356" i="17"/>
  <c r="AF357" i="17"/>
  <c r="AF358" i="17"/>
  <c r="AF359" i="17"/>
  <c r="AF360" i="17"/>
  <c r="AF361" i="17"/>
  <c r="AF362" i="17"/>
  <c r="AF363" i="17"/>
  <c r="AF364" i="17"/>
  <c r="AF365" i="17"/>
  <c r="AF366" i="17"/>
  <c r="AF367" i="17"/>
  <c r="AF368" i="17"/>
  <c r="AF369" i="17"/>
  <c r="AF370" i="17"/>
  <c r="AF371" i="17"/>
  <c r="AF372" i="17"/>
  <c r="AF373" i="17"/>
  <c r="AF374" i="17"/>
  <c r="AF375" i="17"/>
  <c r="AF376" i="17"/>
  <c r="AF377" i="17"/>
  <c r="AF378" i="17"/>
  <c r="AF379" i="17"/>
  <c r="AF380" i="17"/>
  <c r="AF381" i="17"/>
  <c r="AF382" i="17"/>
  <c r="AF383" i="17"/>
  <c r="AF384" i="17"/>
  <c r="AF385" i="17"/>
  <c r="AF386" i="17"/>
  <c r="AF387" i="17"/>
  <c r="AF388" i="17"/>
  <c r="AF389" i="17"/>
  <c r="AF390" i="17"/>
  <c r="AF391" i="17"/>
  <c r="AF392" i="17"/>
  <c r="AF393" i="17"/>
  <c r="AF394" i="17"/>
  <c r="AF395" i="17"/>
  <c r="AF396" i="17"/>
  <c r="AF397" i="17"/>
  <c r="AF398" i="17"/>
  <c r="AF399" i="17"/>
  <c r="AF400" i="17"/>
  <c r="AF401" i="17"/>
  <c r="AF402" i="17"/>
  <c r="AF403" i="17"/>
  <c r="AF404" i="17"/>
  <c r="AF405" i="17"/>
  <c r="AF406" i="17"/>
  <c r="AF407" i="17"/>
  <c r="AF408" i="17"/>
  <c r="AF409" i="17"/>
  <c r="AF410" i="17"/>
  <c r="AF411" i="17"/>
  <c r="AF412" i="17"/>
  <c r="AF413" i="17"/>
  <c r="AF414" i="17"/>
  <c r="AF415" i="17"/>
  <c r="AF416" i="17"/>
  <c r="AF417" i="17"/>
  <c r="AF418" i="17"/>
  <c r="AF419" i="17"/>
  <c r="AF420" i="17"/>
  <c r="AF421" i="17"/>
  <c r="AF422" i="17"/>
  <c r="AF423" i="17"/>
  <c r="AF424" i="17"/>
  <c r="AF425" i="17"/>
  <c r="AF426" i="17"/>
  <c r="AF427" i="17"/>
  <c r="AF428" i="17"/>
  <c r="AF429" i="17"/>
  <c r="AF430" i="17"/>
  <c r="AF431" i="17"/>
  <c r="AF432" i="17"/>
  <c r="AF433" i="17"/>
  <c r="AF434" i="17"/>
  <c r="AF435" i="17"/>
  <c r="AF436" i="17"/>
  <c r="AF437" i="17"/>
  <c r="AF438" i="17"/>
  <c r="AF439" i="17"/>
  <c r="AF440" i="17"/>
  <c r="AF441" i="17"/>
  <c r="AF442" i="17"/>
  <c r="AF443" i="17"/>
  <c r="AF444" i="17"/>
  <c r="AF445" i="17"/>
  <c r="AF446" i="17"/>
  <c r="AF447" i="17"/>
  <c r="AF448" i="17"/>
  <c r="AF449" i="17"/>
  <c r="AF450" i="17"/>
  <c r="AF451" i="17"/>
  <c r="AF452" i="17"/>
  <c r="AF453" i="17"/>
  <c r="AF454" i="17"/>
  <c r="AF455" i="17"/>
  <c r="AF456" i="17"/>
  <c r="AF457" i="17"/>
  <c r="AF458" i="17"/>
  <c r="AF459" i="17"/>
  <c r="AF460" i="17"/>
  <c r="AF461" i="17"/>
  <c r="AF462" i="17"/>
  <c r="AF463" i="17"/>
  <c r="AF464" i="17"/>
  <c r="AF465" i="17"/>
  <c r="AF466" i="17"/>
  <c r="AF467" i="17"/>
  <c r="AF468" i="17"/>
  <c r="AF469" i="17"/>
  <c r="AF470" i="17"/>
  <c r="AF471" i="17"/>
  <c r="AF472" i="17"/>
  <c r="AF473" i="17"/>
  <c r="AF474" i="17"/>
  <c r="AF475" i="17"/>
  <c r="AF476" i="17"/>
  <c r="AF477" i="17"/>
  <c r="AF478" i="17"/>
  <c r="AF479" i="17"/>
  <c r="AF480" i="17"/>
  <c r="AF481" i="17"/>
  <c r="AF482" i="17"/>
  <c r="AF483" i="17"/>
  <c r="AF484" i="17"/>
  <c r="AF485" i="17"/>
  <c r="AF486" i="17"/>
  <c r="AF487" i="17"/>
  <c r="AF488" i="17"/>
  <c r="AF489" i="17"/>
  <c r="AF490" i="17"/>
  <c r="AF491" i="17"/>
  <c r="AF492" i="17"/>
  <c r="AF493" i="17"/>
  <c r="AF494" i="17"/>
  <c r="AF495" i="17"/>
  <c r="AF496" i="17"/>
  <c r="AF497" i="17"/>
  <c r="AF498" i="17"/>
  <c r="AF499" i="17"/>
  <c r="AF500" i="17"/>
  <c r="AF501" i="17"/>
  <c r="AF502" i="17"/>
  <c r="AF503" i="17"/>
  <c r="AF504" i="17"/>
  <c r="AF505" i="17"/>
  <c r="AF506" i="17"/>
  <c r="AF507" i="17"/>
  <c r="AF508" i="17"/>
  <c r="AF509" i="17"/>
  <c r="AF510" i="17"/>
  <c r="AF511" i="17"/>
  <c r="AF512" i="17"/>
  <c r="AF513" i="17"/>
  <c r="AF514" i="17"/>
  <c r="AF515" i="17"/>
  <c r="AF516" i="17"/>
  <c r="AF517" i="17"/>
  <c r="AF518" i="17"/>
  <c r="AF19" i="17"/>
  <c r="AK518" i="17" l="1"/>
  <c r="Y518" i="17"/>
  <c r="S518" i="17"/>
  <c r="R518" i="17"/>
  <c r="Q518" i="17"/>
  <c r="AG518" i="17" s="1"/>
  <c r="B518" i="17"/>
  <c r="P518" i="17" s="1"/>
  <c r="AK517" i="17"/>
  <c r="Y517" i="17"/>
  <c r="S517" i="17"/>
  <c r="R517" i="17"/>
  <c r="Q517" i="17"/>
  <c r="AG517" i="17" s="1"/>
  <c r="B517" i="17"/>
  <c r="M517" i="17" s="1"/>
  <c r="AK516" i="17"/>
  <c r="Y516" i="17"/>
  <c r="S516" i="17"/>
  <c r="R516" i="17"/>
  <c r="Q516" i="17"/>
  <c r="AG516" i="17" s="1"/>
  <c r="B516" i="17"/>
  <c r="P516" i="17" s="1"/>
  <c r="AK515" i="17"/>
  <c r="Y515" i="17"/>
  <c r="AJ515" i="17"/>
  <c r="S515" i="17"/>
  <c r="R515" i="17"/>
  <c r="Q515" i="17"/>
  <c r="AG515" i="17" s="1"/>
  <c r="B515" i="17"/>
  <c r="P515" i="17" s="1"/>
  <c r="AK514" i="17"/>
  <c r="Y514" i="17"/>
  <c r="S514" i="17"/>
  <c r="R514" i="17"/>
  <c r="Q514" i="17"/>
  <c r="AG514" i="17" s="1"/>
  <c r="B514" i="17"/>
  <c r="AK513" i="17"/>
  <c r="Y513" i="17"/>
  <c r="S513" i="17"/>
  <c r="R513" i="17"/>
  <c r="Q513" i="17"/>
  <c r="AG513" i="17" s="1"/>
  <c r="B513" i="17"/>
  <c r="AK512" i="17"/>
  <c r="Y512" i="17"/>
  <c r="S512" i="17"/>
  <c r="R512" i="17"/>
  <c r="Q512" i="17"/>
  <c r="AG512" i="17" s="1"/>
  <c r="B512" i="17"/>
  <c r="AK511" i="17"/>
  <c r="Y511" i="17"/>
  <c r="AJ511" i="17"/>
  <c r="S511" i="17"/>
  <c r="R511" i="17"/>
  <c r="Q511" i="17"/>
  <c r="AG511" i="17" s="1"/>
  <c r="B511" i="17"/>
  <c r="P511" i="17" s="1"/>
  <c r="AK510" i="17"/>
  <c r="Y510" i="17"/>
  <c r="S510" i="17"/>
  <c r="R510" i="17"/>
  <c r="Q510" i="17"/>
  <c r="AG510" i="17" s="1"/>
  <c r="B510" i="17"/>
  <c r="P510" i="17" s="1"/>
  <c r="AK509" i="17"/>
  <c r="Y509" i="17"/>
  <c r="S509" i="17"/>
  <c r="R509" i="17"/>
  <c r="Q509" i="17"/>
  <c r="AG509" i="17" s="1"/>
  <c r="B509" i="17"/>
  <c r="O509" i="17" s="1"/>
  <c r="AK508" i="17"/>
  <c r="Y508" i="17"/>
  <c r="S508" i="17"/>
  <c r="R508" i="17"/>
  <c r="Q508" i="17"/>
  <c r="AG508" i="17" s="1"/>
  <c r="B508" i="17"/>
  <c r="AK507" i="17"/>
  <c r="Y507" i="17"/>
  <c r="S507" i="17"/>
  <c r="R507" i="17"/>
  <c r="Q507" i="17"/>
  <c r="AG507" i="17" s="1"/>
  <c r="B507" i="17"/>
  <c r="O507" i="17" s="1"/>
  <c r="AK506" i="17"/>
  <c r="Y506" i="17"/>
  <c r="AJ506" i="17"/>
  <c r="S506" i="17"/>
  <c r="R506" i="17"/>
  <c r="Q506" i="17"/>
  <c r="AG506" i="17" s="1"/>
  <c r="B506" i="17"/>
  <c r="AK505" i="17"/>
  <c r="Y505" i="17"/>
  <c r="S505" i="17"/>
  <c r="R505" i="17"/>
  <c r="Q505" i="17"/>
  <c r="AG505" i="17" s="1"/>
  <c r="B505" i="17"/>
  <c r="AK504" i="17"/>
  <c r="Y504" i="17"/>
  <c r="AJ504" i="17"/>
  <c r="S504" i="17"/>
  <c r="R504" i="17"/>
  <c r="Q504" i="17"/>
  <c r="AG504" i="17" s="1"/>
  <c r="B504" i="17"/>
  <c r="N504" i="17" s="1"/>
  <c r="AK503" i="17"/>
  <c r="Y503" i="17"/>
  <c r="S503" i="17"/>
  <c r="R503" i="17"/>
  <c r="Q503" i="17"/>
  <c r="AG503" i="17" s="1"/>
  <c r="B503" i="17"/>
  <c r="O503" i="17" s="1"/>
  <c r="AK502" i="17"/>
  <c r="Y502" i="17"/>
  <c r="S502" i="17"/>
  <c r="R502" i="17"/>
  <c r="Q502" i="17"/>
  <c r="AG502" i="17" s="1"/>
  <c r="B502" i="17"/>
  <c r="AK501" i="17"/>
  <c r="Y501" i="17"/>
  <c r="AJ501" i="17"/>
  <c r="S501" i="17"/>
  <c r="R501" i="17"/>
  <c r="Q501" i="17"/>
  <c r="AG501" i="17" s="1"/>
  <c r="B501" i="17"/>
  <c r="M501" i="17" s="1"/>
  <c r="AK500" i="17"/>
  <c r="Y500" i="17"/>
  <c r="S500" i="17"/>
  <c r="R500" i="17"/>
  <c r="Q500" i="17"/>
  <c r="AG500" i="17" s="1"/>
  <c r="B500" i="17"/>
  <c r="AK499" i="17"/>
  <c r="Y499" i="17"/>
  <c r="S499" i="17"/>
  <c r="R499" i="17"/>
  <c r="Q499" i="17"/>
  <c r="AG499" i="17" s="1"/>
  <c r="B499" i="17"/>
  <c r="AK498" i="17"/>
  <c r="Y498" i="17"/>
  <c r="S498" i="17"/>
  <c r="R498" i="17"/>
  <c r="Q498" i="17"/>
  <c r="AG498" i="17" s="1"/>
  <c r="B498" i="17"/>
  <c r="AK497" i="17"/>
  <c r="Y497" i="17"/>
  <c r="S497" i="17"/>
  <c r="R497" i="17"/>
  <c r="Q497" i="17"/>
  <c r="AG497" i="17" s="1"/>
  <c r="B497" i="17"/>
  <c r="AK496" i="17"/>
  <c r="Y496" i="17"/>
  <c r="S496" i="17"/>
  <c r="R496" i="17"/>
  <c r="Q496" i="17"/>
  <c r="AG496" i="17" s="1"/>
  <c r="B496" i="17"/>
  <c r="N496" i="17" s="1"/>
  <c r="AW496" i="17" s="1"/>
  <c r="AK495" i="17"/>
  <c r="Y495" i="17"/>
  <c r="AJ495" i="17"/>
  <c r="S495" i="17"/>
  <c r="R495" i="17"/>
  <c r="Q495" i="17"/>
  <c r="AG495" i="17" s="1"/>
  <c r="B495" i="17"/>
  <c r="AK494" i="17"/>
  <c r="Y494" i="17"/>
  <c r="S494" i="17"/>
  <c r="R494" i="17"/>
  <c r="Q494" i="17"/>
  <c r="AG494" i="17" s="1"/>
  <c r="B494" i="17"/>
  <c r="P494" i="17" s="1"/>
  <c r="AK493" i="17"/>
  <c r="Y493" i="17"/>
  <c r="S493" i="17"/>
  <c r="R493" i="17"/>
  <c r="Q493" i="17"/>
  <c r="AG493" i="17" s="1"/>
  <c r="B493" i="17"/>
  <c r="P493" i="17" s="1"/>
  <c r="AK492" i="17"/>
  <c r="Y492" i="17"/>
  <c r="S492" i="17"/>
  <c r="R492" i="17"/>
  <c r="Q492" i="17"/>
  <c r="AG492" i="17" s="1"/>
  <c r="B492" i="17"/>
  <c r="N492" i="17" s="1"/>
  <c r="AW492" i="17" s="1"/>
  <c r="AK491" i="17"/>
  <c r="Y491" i="17"/>
  <c r="S491" i="17"/>
  <c r="R491" i="17"/>
  <c r="Q491" i="17"/>
  <c r="AG491" i="17" s="1"/>
  <c r="B491" i="17"/>
  <c r="P491" i="17" s="1"/>
  <c r="AK490" i="17"/>
  <c r="Y490" i="17"/>
  <c r="S490" i="17"/>
  <c r="R490" i="17"/>
  <c r="Q490" i="17"/>
  <c r="AG490" i="17" s="1"/>
  <c r="B490" i="17"/>
  <c r="P490" i="17" s="1"/>
  <c r="AK489" i="17"/>
  <c r="Y489" i="17"/>
  <c r="S489" i="17"/>
  <c r="R489" i="17"/>
  <c r="Q489" i="17"/>
  <c r="AG489" i="17" s="1"/>
  <c r="B489" i="17"/>
  <c r="AK488" i="17"/>
  <c r="Y488" i="17"/>
  <c r="S488" i="17"/>
  <c r="R488" i="17"/>
  <c r="Q488" i="17"/>
  <c r="AG488" i="17" s="1"/>
  <c r="B488" i="17"/>
  <c r="M488" i="17" s="1"/>
  <c r="AK487" i="17"/>
  <c r="Y487" i="17"/>
  <c r="S487" i="17"/>
  <c r="R487" i="17"/>
  <c r="Q487" i="17"/>
  <c r="AG487" i="17" s="1"/>
  <c r="B487" i="17"/>
  <c r="AK486" i="17"/>
  <c r="Y486" i="17"/>
  <c r="S486" i="17"/>
  <c r="R486" i="17"/>
  <c r="Q486" i="17"/>
  <c r="AG486" i="17" s="1"/>
  <c r="B486" i="17"/>
  <c r="AK485" i="17"/>
  <c r="Y485" i="17"/>
  <c r="AJ485" i="17"/>
  <c r="S485" i="17"/>
  <c r="R485" i="17"/>
  <c r="Q485" i="17"/>
  <c r="AG485" i="17" s="1"/>
  <c r="B485" i="17"/>
  <c r="M485" i="17" s="1"/>
  <c r="AK484" i="17"/>
  <c r="Y484" i="17"/>
  <c r="S484" i="17"/>
  <c r="R484" i="17"/>
  <c r="Q484" i="17"/>
  <c r="AG484" i="17" s="1"/>
  <c r="B484" i="17"/>
  <c r="AK483" i="17"/>
  <c r="Y483" i="17"/>
  <c r="S483" i="17"/>
  <c r="R483" i="17"/>
  <c r="Q483" i="17"/>
  <c r="AG483" i="17" s="1"/>
  <c r="B483" i="17"/>
  <c r="P483" i="17" s="1"/>
  <c r="AK482" i="17"/>
  <c r="Y482" i="17"/>
  <c r="S482" i="17"/>
  <c r="R482" i="17"/>
  <c r="Q482" i="17"/>
  <c r="AG482" i="17" s="1"/>
  <c r="B482" i="17"/>
  <c r="N482" i="17" s="1"/>
  <c r="AW482" i="17" s="1"/>
  <c r="AK481" i="17"/>
  <c r="Y481" i="17"/>
  <c r="S481" i="17"/>
  <c r="R481" i="17"/>
  <c r="Q481" i="17"/>
  <c r="AG481" i="17" s="1"/>
  <c r="B481" i="17"/>
  <c r="AK480" i="17"/>
  <c r="Y480" i="17"/>
  <c r="AJ480" i="17"/>
  <c r="S480" i="17"/>
  <c r="R480" i="17"/>
  <c r="Q480" i="17"/>
  <c r="AG480" i="17" s="1"/>
  <c r="B480" i="17"/>
  <c r="M480" i="17" s="1"/>
  <c r="AK479" i="17"/>
  <c r="Y479" i="17"/>
  <c r="AJ479" i="17"/>
  <c r="S479" i="17"/>
  <c r="R479" i="17"/>
  <c r="Q479" i="17"/>
  <c r="AG479" i="17" s="1"/>
  <c r="B479" i="17"/>
  <c r="M479" i="17" s="1"/>
  <c r="AK478" i="17"/>
  <c r="Y478" i="17"/>
  <c r="S478" i="17"/>
  <c r="R478" i="17"/>
  <c r="Q478" i="17"/>
  <c r="AG478" i="17" s="1"/>
  <c r="B478" i="17"/>
  <c r="M478" i="17" s="1"/>
  <c r="AK477" i="17"/>
  <c r="Y477" i="17"/>
  <c r="S477" i="17"/>
  <c r="R477" i="17"/>
  <c r="Q477" i="17"/>
  <c r="AG477" i="17" s="1"/>
  <c r="B477" i="17"/>
  <c r="AK476" i="17"/>
  <c r="Y476" i="17"/>
  <c r="S476" i="17"/>
  <c r="R476" i="17"/>
  <c r="Q476" i="17"/>
  <c r="AG476" i="17" s="1"/>
  <c r="B476" i="17"/>
  <c r="AK475" i="17"/>
  <c r="Y475" i="17"/>
  <c r="S475" i="17"/>
  <c r="R475" i="17"/>
  <c r="Q475" i="17"/>
  <c r="AG475" i="17" s="1"/>
  <c r="B475" i="17"/>
  <c r="AK474" i="17"/>
  <c r="Y474" i="17"/>
  <c r="S474" i="17"/>
  <c r="R474" i="17"/>
  <c r="Q474" i="17"/>
  <c r="AG474" i="17" s="1"/>
  <c r="B474" i="17"/>
  <c r="N474" i="17" s="1"/>
  <c r="AK473" i="17"/>
  <c r="Y473" i="17"/>
  <c r="S473" i="17"/>
  <c r="R473" i="17"/>
  <c r="Q473" i="17"/>
  <c r="AG473" i="17" s="1"/>
  <c r="B473" i="17"/>
  <c r="P473" i="17" s="1"/>
  <c r="AK472" i="17"/>
  <c r="Y472" i="17"/>
  <c r="S472" i="17"/>
  <c r="R472" i="17"/>
  <c r="Q472" i="17"/>
  <c r="AG472" i="17" s="1"/>
  <c r="B472" i="17"/>
  <c r="N472" i="17" s="1"/>
  <c r="AW472" i="17" s="1"/>
  <c r="AK471" i="17"/>
  <c r="Y471" i="17"/>
  <c r="S471" i="17"/>
  <c r="R471" i="17"/>
  <c r="Q471" i="17"/>
  <c r="AG471" i="17" s="1"/>
  <c r="B471" i="17"/>
  <c r="O471" i="17" s="1"/>
  <c r="AK470" i="17"/>
  <c r="Y470" i="17"/>
  <c r="S470" i="17"/>
  <c r="R470" i="17"/>
  <c r="Q470" i="17"/>
  <c r="AG470" i="17" s="1"/>
  <c r="B470" i="17"/>
  <c r="O470" i="17" s="1"/>
  <c r="AK469" i="17"/>
  <c r="Y469" i="17"/>
  <c r="S469" i="17"/>
  <c r="R469" i="17"/>
  <c r="Q469" i="17"/>
  <c r="AG469" i="17" s="1"/>
  <c r="B469" i="17"/>
  <c r="AK468" i="17"/>
  <c r="Y468" i="17"/>
  <c r="S468" i="17"/>
  <c r="R468" i="17"/>
  <c r="Q468" i="17"/>
  <c r="AG468" i="17" s="1"/>
  <c r="B468" i="17"/>
  <c r="O468" i="17" s="1"/>
  <c r="AK467" i="17"/>
  <c r="Y467" i="17"/>
  <c r="S467" i="17"/>
  <c r="R467" i="17"/>
  <c r="Q467" i="17"/>
  <c r="AG467" i="17" s="1"/>
  <c r="B467" i="17"/>
  <c r="N467" i="17" s="1"/>
  <c r="AK466" i="17"/>
  <c r="Y466" i="17"/>
  <c r="S466" i="17"/>
  <c r="R466" i="17"/>
  <c r="Q466" i="17"/>
  <c r="AG466" i="17" s="1"/>
  <c r="B466" i="17"/>
  <c r="AK465" i="17"/>
  <c r="Y465" i="17"/>
  <c r="S465" i="17"/>
  <c r="R465" i="17"/>
  <c r="Q465" i="17"/>
  <c r="AG465" i="17" s="1"/>
  <c r="B465" i="17"/>
  <c r="P465" i="17" s="1"/>
  <c r="AK464" i="17"/>
  <c r="Y464" i="17"/>
  <c r="AJ464" i="17"/>
  <c r="S464" i="17"/>
  <c r="R464" i="17"/>
  <c r="Q464" i="17"/>
  <c r="AG464" i="17" s="1"/>
  <c r="B464" i="17"/>
  <c r="N464" i="17" s="1"/>
  <c r="AK463" i="17"/>
  <c r="Y463" i="17"/>
  <c r="AJ463" i="17"/>
  <c r="S463" i="17"/>
  <c r="R463" i="17"/>
  <c r="Q463" i="17"/>
  <c r="AG463" i="17" s="1"/>
  <c r="B463" i="17"/>
  <c r="P463" i="17" s="1"/>
  <c r="AK462" i="17"/>
  <c r="Y462" i="17"/>
  <c r="S462" i="17"/>
  <c r="R462" i="17"/>
  <c r="Q462" i="17"/>
  <c r="AG462" i="17" s="1"/>
  <c r="B462" i="17"/>
  <c r="AK461" i="17"/>
  <c r="Y461" i="17"/>
  <c r="AJ461" i="17"/>
  <c r="S461" i="17"/>
  <c r="R461" i="17"/>
  <c r="Q461" i="17"/>
  <c r="AG461" i="17" s="1"/>
  <c r="B461" i="17"/>
  <c r="P461" i="17" s="1"/>
  <c r="AK460" i="17"/>
  <c r="Y460" i="17"/>
  <c r="S460" i="17"/>
  <c r="R460" i="17"/>
  <c r="Q460" i="17"/>
  <c r="AG460" i="17" s="1"/>
  <c r="B460" i="17"/>
  <c r="P460" i="17" s="1"/>
  <c r="AK459" i="17"/>
  <c r="Y459" i="17"/>
  <c r="AJ459" i="17"/>
  <c r="S459" i="17"/>
  <c r="R459" i="17"/>
  <c r="Q459" i="17"/>
  <c r="AG459" i="17" s="1"/>
  <c r="B459" i="17"/>
  <c r="N459" i="17" s="1"/>
  <c r="AK458" i="17"/>
  <c r="Y458" i="17"/>
  <c r="S458" i="17"/>
  <c r="R458" i="17"/>
  <c r="Q458" i="17"/>
  <c r="AG458" i="17" s="1"/>
  <c r="B458" i="17"/>
  <c r="AK457" i="17"/>
  <c r="Y457" i="17"/>
  <c r="S457" i="17"/>
  <c r="R457" i="17"/>
  <c r="Q457" i="17"/>
  <c r="AG457" i="17" s="1"/>
  <c r="B457" i="17"/>
  <c r="P457" i="17" s="1"/>
  <c r="AK456" i="17"/>
  <c r="Y456" i="17"/>
  <c r="AJ456" i="17"/>
  <c r="S456" i="17"/>
  <c r="R456" i="17"/>
  <c r="Q456" i="17"/>
  <c r="AG456" i="17" s="1"/>
  <c r="B456" i="17"/>
  <c r="AK455" i="17"/>
  <c r="Y455" i="17"/>
  <c r="S455" i="17"/>
  <c r="R455" i="17"/>
  <c r="Q455" i="17"/>
  <c r="AG455" i="17" s="1"/>
  <c r="B455" i="17"/>
  <c r="P455" i="17" s="1"/>
  <c r="AK454" i="17"/>
  <c r="Y454" i="17"/>
  <c r="S454" i="17"/>
  <c r="R454" i="17"/>
  <c r="Q454" i="17"/>
  <c r="AG454" i="17" s="1"/>
  <c r="B454" i="17"/>
  <c r="AK453" i="17"/>
  <c r="Y453" i="17"/>
  <c r="AJ453" i="17"/>
  <c r="S453" i="17"/>
  <c r="R453" i="17"/>
  <c r="Q453" i="17"/>
  <c r="AG453" i="17" s="1"/>
  <c r="B453" i="17"/>
  <c r="AK452" i="17"/>
  <c r="Y452" i="17"/>
  <c r="S452" i="17"/>
  <c r="R452" i="17"/>
  <c r="Q452" i="17"/>
  <c r="AG452" i="17" s="1"/>
  <c r="B452" i="17"/>
  <c r="P452" i="17" s="1"/>
  <c r="AK451" i="17"/>
  <c r="Y451" i="17"/>
  <c r="S451" i="17"/>
  <c r="R451" i="17"/>
  <c r="Q451" i="17"/>
  <c r="AG451" i="17" s="1"/>
  <c r="B451" i="17"/>
  <c r="AK450" i="17"/>
  <c r="Y450" i="17"/>
  <c r="AJ450" i="17"/>
  <c r="S450" i="17"/>
  <c r="R450" i="17"/>
  <c r="Q450" i="17"/>
  <c r="AG450" i="17" s="1"/>
  <c r="B450" i="17"/>
  <c r="P450" i="17" s="1"/>
  <c r="AK449" i="17"/>
  <c r="Y449" i="17"/>
  <c r="S449" i="17"/>
  <c r="R449" i="17"/>
  <c r="Q449" i="17"/>
  <c r="AG449" i="17" s="1"/>
  <c r="B449" i="17"/>
  <c r="AK448" i="17"/>
  <c r="Y448" i="17"/>
  <c r="S448" i="17"/>
  <c r="R448" i="17"/>
  <c r="Q448" i="17"/>
  <c r="AG448" i="17" s="1"/>
  <c r="B448" i="17"/>
  <c r="AK447" i="17"/>
  <c r="Y447" i="17"/>
  <c r="S447" i="17"/>
  <c r="R447" i="17"/>
  <c r="Q447" i="17"/>
  <c r="AG447" i="17" s="1"/>
  <c r="B447" i="17"/>
  <c r="P447" i="17" s="1"/>
  <c r="AK446" i="17"/>
  <c r="Y446" i="17"/>
  <c r="S446" i="17"/>
  <c r="R446" i="17"/>
  <c r="Q446" i="17"/>
  <c r="AG446" i="17" s="1"/>
  <c r="B446" i="17"/>
  <c r="M446" i="17" s="1"/>
  <c r="AK445" i="17"/>
  <c r="Y445" i="17"/>
  <c r="AJ445" i="17"/>
  <c r="S445" i="17"/>
  <c r="R445" i="17"/>
  <c r="Q445" i="17"/>
  <c r="AG445" i="17" s="1"/>
  <c r="B445" i="17"/>
  <c r="P445" i="17" s="1"/>
  <c r="AK444" i="17"/>
  <c r="Y444" i="17"/>
  <c r="AJ444" i="17"/>
  <c r="S444" i="17"/>
  <c r="R444" i="17"/>
  <c r="Q444" i="17"/>
  <c r="AG444" i="17" s="1"/>
  <c r="B444" i="17"/>
  <c r="AK443" i="17"/>
  <c r="Y443" i="17"/>
  <c r="S443" i="17"/>
  <c r="R443" i="17"/>
  <c r="Q443" i="17"/>
  <c r="AG443" i="17" s="1"/>
  <c r="B443" i="17"/>
  <c r="M443" i="17" s="1"/>
  <c r="AK442" i="17"/>
  <c r="Y442" i="17"/>
  <c r="S442" i="17"/>
  <c r="R442" i="17"/>
  <c r="Q442" i="17"/>
  <c r="AG442" i="17" s="1"/>
  <c r="B442" i="17"/>
  <c r="M442" i="17" s="1"/>
  <c r="AK441" i="17"/>
  <c r="Y441" i="17"/>
  <c r="AJ441" i="17"/>
  <c r="S441" i="17"/>
  <c r="R441" i="17"/>
  <c r="Q441" i="17"/>
  <c r="AG441" i="17" s="1"/>
  <c r="B441" i="17"/>
  <c r="P441" i="17" s="1"/>
  <c r="AK440" i="17"/>
  <c r="Y440" i="17"/>
  <c r="S440" i="17"/>
  <c r="R440" i="17"/>
  <c r="Q440" i="17"/>
  <c r="AG440" i="17" s="1"/>
  <c r="B440" i="17"/>
  <c r="O440" i="17" s="1"/>
  <c r="AK439" i="17"/>
  <c r="Y439" i="17"/>
  <c r="S439" i="17"/>
  <c r="R439" i="17"/>
  <c r="Q439" i="17"/>
  <c r="AG439" i="17" s="1"/>
  <c r="B439" i="17"/>
  <c r="P439" i="17" s="1"/>
  <c r="AK438" i="17"/>
  <c r="Y438" i="17"/>
  <c r="S438" i="17"/>
  <c r="R438" i="17"/>
  <c r="Q438" i="17"/>
  <c r="AG438" i="17" s="1"/>
  <c r="B438" i="17"/>
  <c r="M438" i="17" s="1"/>
  <c r="AK437" i="17"/>
  <c r="Y437" i="17"/>
  <c r="S437" i="17"/>
  <c r="R437" i="17"/>
  <c r="Q437" i="17"/>
  <c r="AG437" i="17" s="1"/>
  <c r="B437" i="17"/>
  <c r="P437" i="17" s="1"/>
  <c r="AK436" i="17"/>
  <c r="Y436" i="17"/>
  <c r="AJ436" i="17"/>
  <c r="S436" i="17"/>
  <c r="R436" i="17"/>
  <c r="Q436" i="17"/>
  <c r="AG436" i="17" s="1"/>
  <c r="B436" i="17"/>
  <c r="AK435" i="17"/>
  <c r="Y435" i="17"/>
  <c r="S435" i="17"/>
  <c r="R435" i="17"/>
  <c r="Q435" i="17"/>
  <c r="AG435" i="17" s="1"/>
  <c r="B435" i="17"/>
  <c r="P435" i="17" s="1"/>
  <c r="AK434" i="17"/>
  <c r="Y434" i="17"/>
  <c r="S434" i="17"/>
  <c r="R434" i="17"/>
  <c r="Q434" i="17"/>
  <c r="AG434" i="17" s="1"/>
  <c r="B434" i="17"/>
  <c r="M434" i="17" s="1"/>
  <c r="AK433" i="17"/>
  <c r="Y433" i="17"/>
  <c r="S433" i="17"/>
  <c r="R433" i="17"/>
  <c r="Q433" i="17"/>
  <c r="AG433" i="17" s="1"/>
  <c r="B433" i="17"/>
  <c r="P433" i="17" s="1"/>
  <c r="AK432" i="17"/>
  <c r="Y432" i="17"/>
  <c r="AJ432" i="17"/>
  <c r="S432" i="17"/>
  <c r="R432" i="17"/>
  <c r="Q432" i="17"/>
  <c r="AG432" i="17" s="1"/>
  <c r="B432" i="17"/>
  <c r="O432" i="17" s="1"/>
  <c r="AK431" i="17"/>
  <c r="Y431" i="17"/>
  <c r="S431" i="17"/>
  <c r="R431" i="17"/>
  <c r="Q431" i="17"/>
  <c r="AG431" i="17" s="1"/>
  <c r="B431" i="17"/>
  <c r="AK430" i="17"/>
  <c r="Y430" i="17"/>
  <c r="AJ430" i="17"/>
  <c r="S430" i="17"/>
  <c r="R430" i="17"/>
  <c r="Q430" i="17"/>
  <c r="AG430" i="17" s="1"/>
  <c r="B430" i="17"/>
  <c r="M430" i="17" s="1"/>
  <c r="AK429" i="17"/>
  <c r="Y429" i="17"/>
  <c r="AJ429" i="17"/>
  <c r="S429" i="17"/>
  <c r="R429" i="17"/>
  <c r="Q429" i="17"/>
  <c r="AG429" i="17" s="1"/>
  <c r="B429" i="17"/>
  <c r="P429" i="17" s="1"/>
  <c r="AK428" i="17"/>
  <c r="Y428" i="17"/>
  <c r="AJ428" i="17"/>
  <c r="S428" i="17"/>
  <c r="R428" i="17"/>
  <c r="Q428" i="17"/>
  <c r="AG428" i="17" s="1"/>
  <c r="B428" i="17"/>
  <c r="AK427" i="17"/>
  <c r="Y427" i="17"/>
  <c r="S427" i="17"/>
  <c r="R427" i="17"/>
  <c r="Q427" i="17"/>
  <c r="AG427" i="17" s="1"/>
  <c r="B427" i="17"/>
  <c r="P427" i="17" s="1"/>
  <c r="AK426" i="17"/>
  <c r="Y426" i="17"/>
  <c r="S426" i="17"/>
  <c r="R426" i="17"/>
  <c r="Q426" i="17"/>
  <c r="AG426" i="17" s="1"/>
  <c r="B426" i="17"/>
  <c r="M426" i="17" s="1"/>
  <c r="AK425" i="17"/>
  <c r="Y425" i="17"/>
  <c r="S425" i="17"/>
  <c r="R425" i="17"/>
  <c r="Q425" i="17"/>
  <c r="AG425" i="17" s="1"/>
  <c r="B425" i="17"/>
  <c r="AK424" i="17"/>
  <c r="Y424" i="17"/>
  <c r="AJ424" i="17"/>
  <c r="S424" i="17"/>
  <c r="R424" i="17"/>
  <c r="Q424" i="17"/>
  <c r="AG424" i="17" s="1"/>
  <c r="B424" i="17"/>
  <c r="AK423" i="17"/>
  <c r="Y423" i="17"/>
  <c r="S423" i="17"/>
  <c r="R423" i="17"/>
  <c r="Q423" i="17"/>
  <c r="AG423" i="17" s="1"/>
  <c r="B423" i="17"/>
  <c r="AK422" i="17"/>
  <c r="Y422" i="17"/>
  <c r="S422" i="17"/>
  <c r="R422" i="17"/>
  <c r="Q422" i="17"/>
  <c r="AG422" i="17" s="1"/>
  <c r="B422" i="17"/>
  <c r="AK421" i="17"/>
  <c r="Y421" i="17"/>
  <c r="S421" i="17"/>
  <c r="R421" i="17"/>
  <c r="Q421" i="17"/>
  <c r="AG421" i="17" s="1"/>
  <c r="B421" i="17"/>
  <c r="P421" i="17" s="1"/>
  <c r="AK420" i="17"/>
  <c r="Y420" i="17"/>
  <c r="AJ420" i="17"/>
  <c r="S420" i="17"/>
  <c r="R420" i="17"/>
  <c r="Q420" i="17"/>
  <c r="AG420" i="17" s="1"/>
  <c r="B420" i="17"/>
  <c r="O420" i="17" s="1"/>
  <c r="AK419" i="17"/>
  <c r="Y419" i="17"/>
  <c r="S419" i="17"/>
  <c r="R419" i="17"/>
  <c r="Q419" i="17"/>
  <c r="AG419" i="17" s="1"/>
  <c r="B419" i="17"/>
  <c r="AK418" i="17"/>
  <c r="Y418" i="17"/>
  <c r="AJ418" i="17"/>
  <c r="S418" i="17"/>
  <c r="R418" i="17"/>
  <c r="Q418" i="17"/>
  <c r="AG418" i="17" s="1"/>
  <c r="B418" i="17"/>
  <c r="M418" i="17" s="1"/>
  <c r="AK417" i="17"/>
  <c r="Y417" i="17"/>
  <c r="AJ417" i="17"/>
  <c r="S417" i="17"/>
  <c r="R417" i="17"/>
  <c r="Q417" i="17"/>
  <c r="AG417" i="17" s="1"/>
  <c r="B417" i="17"/>
  <c r="M417" i="17" s="1"/>
  <c r="AK416" i="17"/>
  <c r="Y416" i="17"/>
  <c r="S416" i="17"/>
  <c r="R416" i="17"/>
  <c r="Q416" i="17"/>
  <c r="AG416" i="17" s="1"/>
  <c r="B416" i="17"/>
  <c r="AK415" i="17"/>
  <c r="Y415" i="17"/>
  <c r="AJ415" i="17"/>
  <c r="S415" i="17"/>
  <c r="R415" i="17"/>
  <c r="Q415" i="17"/>
  <c r="AG415" i="17" s="1"/>
  <c r="B415" i="17"/>
  <c r="P415" i="17" s="1"/>
  <c r="AK414" i="17"/>
  <c r="Y414" i="17"/>
  <c r="S414" i="17"/>
  <c r="R414" i="17"/>
  <c r="Q414" i="17"/>
  <c r="AG414" i="17" s="1"/>
  <c r="B414" i="17"/>
  <c r="O414" i="17" s="1"/>
  <c r="AK413" i="17"/>
  <c r="Y413" i="17"/>
  <c r="S413" i="17"/>
  <c r="R413" i="17"/>
  <c r="Q413" i="17"/>
  <c r="AG413" i="17" s="1"/>
  <c r="B413" i="17"/>
  <c r="AK412" i="17"/>
  <c r="Y412" i="17"/>
  <c r="S412" i="17"/>
  <c r="R412" i="17"/>
  <c r="Q412" i="17"/>
  <c r="AG412" i="17" s="1"/>
  <c r="B412" i="17"/>
  <c r="AK411" i="17"/>
  <c r="Y411" i="17"/>
  <c r="AJ411" i="17"/>
  <c r="S411" i="17"/>
  <c r="R411" i="17"/>
  <c r="Q411" i="17"/>
  <c r="AG411" i="17" s="1"/>
  <c r="B411" i="17"/>
  <c r="N411" i="17" s="1"/>
  <c r="AW411" i="17" s="1"/>
  <c r="AK410" i="17"/>
  <c r="Y410" i="17"/>
  <c r="AJ410" i="17"/>
  <c r="S410" i="17"/>
  <c r="R410" i="17"/>
  <c r="Q410" i="17"/>
  <c r="AG410" i="17" s="1"/>
  <c r="B410" i="17"/>
  <c r="P410" i="17" s="1"/>
  <c r="AK409" i="17"/>
  <c r="Y409" i="17"/>
  <c r="AJ409" i="17"/>
  <c r="S409" i="17"/>
  <c r="R409" i="17"/>
  <c r="Q409" i="17"/>
  <c r="AG409" i="17" s="1"/>
  <c r="B409" i="17"/>
  <c r="AK408" i="17"/>
  <c r="Y408" i="17"/>
  <c r="S408" i="17"/>
  <c r="R408" i="17"/>
  <c r="Q408" i="17"/>
  <c r="AG408" i="17" s="1"/>
  <c r="B408" i="17"/>
  <c r="M408" i="17" s="1"/>
  <c r="AK407" i="17"/>
  <c r="Y407" i="17"/>
  <c r="S407" i="17"/>
  <c r="R407" i="17"/>
  <c r="Q407" i="17"/>
  <c r="AG407" i="17" s="1"/>
  <c r="B407" i="17"/>
  <c r="O407" i="17" s="1"/>
  <c r="AK406" i="17"/>
  <c r="Y406" i="17"/>
  <c r="AJ406" i="17"/>
  <c r="S406" i="17"/>
  <c r="R406" i="17"/>
  <c r="Q406" i="17"/>
  <c r="AG406" i="17" s="1"/>
  <c r="B406" i="17"/>
  <c r="M406" i="17" s="1"/>
  <c r="AK405" i="17"/>
  <c r="Y405" i="17"/>
  <c r="S405" i="17"/>
  <c r="R405" i="17"/>
  <c r="Q405" i="17"/>
  <c r="AG405" i="17" s="1"/>
  <c r="B405" i="17"/>
  <c r="M405" i="17" s="1"/>
  <c r="AK404" i="17"/>
  <c r="Y404" i="17"/>
  <c r="S404" i="17"/>
  <c r="R404" i="17"/>
  <c r="Q404" i="17"/>
  <c r="AG404" i="17" s="1"/>
  <c r="B404" i="17"/>
  <c r="AK403" i="17"/>
  <c r="Y403" i="17"/>
  <c r="S403" i="17"/>
  <c r="R403" i="17"/>
  <c r="Q403" i="17"/>
  <c r="AG403" i="17" s="1"/>
  <c r="B403" i="17"/>
  <c r="N403" i="17" s="1"/>
  <c r="AW403" i="17" s="1"/>
  <c r="AK402" i="17"/>
  <c r="Y402" i="17"/>
  <c r="AJ402" i="17"/>
  <c r="S402" i="17"/>
  <c r="R402" i="17"/>
  <c r="Q402" i="17"/>
  <c r="AG402" i="17" s="1"/>
  <c r="B402" i="17"/>
  <c r="N402" i="17" s="1"/>
  <c r="AW402" i="17" s="1"/>
  <c r="AK401" i="17"/>
  <c r="Y401" i="17"/>
  <c r="S401" i="17"/>
  <c r="R401" i="17"/>
  <c r="Q401" i="17"/>
  <c r="AG401" i="17" s="1"/>
  <c r="B401" i="17"/>
  <c r="AK400" i="17"/>
  <c r="Y400" i="17"/>
  <c r="S400" i="17"/>
  <c r="R400" i="17"/>
  <c r="Q400" i="17"/>
  <c r="AG400" i="17" s="1"/>
  <c r="B400" i="17"/>
  <c r="AK399" i="17"/>
  <c r="Y399" i="17"/>
  <c r="AJ399" i="17"/>
  <c r="S399" i="17"/>
  <c r="R399" i="17"/>
  <c r="Q399" i="17"/>
  <c r="AG399" i="17" s="1"/>
  <c r="B399" i="17"/>
  <c r="O399" i="17" s="1"/>
  <c r="AK398" i="17"/>
  <c r="Y398" i="17"/>
  <c r="S398" i="17"/>
  <c r="R398" i="17"/>
  <c r="Q398" i="17"/>
  <c r="AG398" i="17" s="1"/>
  <c r="B398" i="17"/>
  <c r="P398" i="17" s="1"/>
  <c r="AK397" i="17"/>
  <c r="Y397" i="17"/>
  <c r="S397" i="17"/>
  <c r="R397" i="17"/>
  <c r="Q397" i="17"/>
  <c r="AG397" i="17" s="1"/>
  <c r="B397" i="17"/>
  <c r="O397" i="17" s="1"/>
  <c r="AK396" i="17"/>
  <c r="Y396" i="17"/>
  <c r="S396" i="17"/>
  <c r="R396" i="17"/>
  <c r="Q396" i="17"/>
  <c r="AG396" i="17" s="1"/>
  <c r="B396" i="17"/>
  <c r="AK395" i="17"/>
  <c r="Y395" i="17"/>
  <c r="AJ395" i="17"/>
  <c r="S395" i="17"/>
  <c r="R395" i="17"/>
  <c r="Q395" i="17"/>
  <c r="AG395" i="17" s="1"/>
  <c r="B395" i="17"/>
  <c r="M395" i="17" s="1"/>
  <c r="AK394" i="17"/>
  <c r="Y394" i="17"/>
  <c r="S394" i="17"/>
  <c r="R394" i="17"/>
  <c r="Q394" i="17"/>
  <c r="AG394" i="17" s="1"/>
  <c r="B394" i="17"/>
  <c r="AK393" i="17"/>
  <c r="Y393" i="17"/>
  <c r="AJ393" i="17"/>
  <c r="S393" i="17"/>
  <c r="R393" i="17"/>
  <c r="Q393" i="17"/>
  <c r="AG393" i="17" s="1"/>
  <c r="B393" i="17"/>
  <c r="O393" i="17" s="1"/>
  <c r="AK392" i="17"/>
  <c r="Y392" i="17"/>
  <c r="S392" i="17"/>
  <c r="R392" i="17"/>
  <c r="Q392" i="17"/>
  <c r="AG392" i="17" s="1"/>
  <c r="B392" i="17"/>
  <c r="O392" i="17" s="1"/>
  <c r="AK391" i="17"/>
  <c r="Y391" i="17"/>
  <c r="S391" i="17"/>
  <c r="R391" i="17"/>
  <c r="Q391" i="17"/>
  <c r="AG391" i="17" s="1"/>
  <c r="B391" i="17"/>
  <c r="AK390" i="17"/>
  <c r="Y390" i="17"/>
  <c r="S390" i="17"/>
  <c r="R390" i="17"/>
  <c r="Q390" i="17"/>
  <c r="AG390" i="17" s="1"/>
  <c r="B390" i="17"/>
  <c r="AK389" i="17"/>
  <c r="Y389" i="17"/>
  <c r="S389" i="17"/>
  <c r="R389" i="17"/>
  <c r="Q389" i="17"/>
  <c r="AG389" i="17" s="1"/>
  <c r="B389" i="17"/>
  <c r="P389" i="17" s="1"/>
  <c r="AK388" i="17"/>
  <c r="Y388" i="17"/>
  <c r="S388" i="17"/>
  <c r="R388" i="17"/>
  <c r="Q388" i="17"/>
  <c r="AG388" i="17" s="1"/>
  <c r="B388" i="17"/>
  <c r="AK387" i="17"/>
  <c r="Y387" i="17"/>
  <c r="AJ387" i="17"/>
  <c r="S387" i="17"/>
  <c r="R387" i="17"/>
  <c r="Q387" i="17"/>
  <c r="AG387" i="17" s="1"/>
  <c r="B387" i="17"/>
  <c r="M387" i="17" s="1"/>
  <c r="AK386" i="17"/>
  <c r="Y386" i="17"/>
  <c r="S386" i="17"/>
  <c r="R386" i="17"/>
  <c r="Q386" i="17"/>
  <c r="AG386" i="17" s="1"/>
  <c r="B386" i="17"/>
  <c r="M386" i="17" s="1"/>
  <c r="AK385" i="17"/>
  <c r="Y385" i="17"/>
  <c r="AJ385" i="17"/>
  <c r="S385" i="17"/>
  <c r="R385" i="17"/>
  <c r="Q385" i="17"/>
  <c r="AG385" i="17" s="1"/>
  <c r="B385" i="17"/>
  <c r="AK384" i="17"/>
  <c r="Y384" i="17"/>
  <c r="S384" i="17"/>
  <c r="R384" i="17"/>
  <c r="Q384" i="17"/>
  <c r="AG384" i="17" s="1"/>
  <c r="B384" i="17"/>
  <c r="O384" i="17" s="1"/>
  <c r="AK383" i="17"/>
  <c r="Y383" i="17"/>
  <c r="S383" i="17"/>
  <c r="R383" i="17"/>
  <c r="Q383" i="17"/>
  <c r="AG383" i="17" s="1"/>
  <c r="B383" i="17"/>
  <c r="AK382" i="17"/>
  <c r="Y382" i="17"/>
  <c r="S382" i="17"/>
  <c r="R382" i="17"/>
  <c r="Q382" i="17"/>
  <c r="AG382" i="17" s="1"/>
  <c r="B382" i="17"/>
  <c r="AK381" i="17"/>
  <c r="Y381" i="17"/>
  <c r="AJ381" i="17"/>
  <c r="S381" i="17"/>
  <c r="R381" i="17"/>
  <c r="Q381" i="17"/>
  <c r="AG381" i="17" s="1"/>
  <c r="B381" i="17"/>
  <c r="P381" i="17" s="1"/>
  <c r="AK380" i="17"/>
  <c r="Y380" i="17"/>
  <c r="S380" i="17"/>
  <c r="R380" i="17"/>
  <c r="Q380" i="17"/>
  <c r="AG380" i="17" s="1"/>
  <c r="B380" i="17"/>
  <c r="O380" i="17" s="1"/>
  <c r="AK379" i="17"/>
  <c r="Y379" i="17"/>
  <c r="AJ379" i="17"/>
  <c r="S379" i="17"/>
  <c r="R379" i="17"/>
  <c r="Q379" i="17"/>
  <c r="AG379" i="17" s="1"/>
  <c r="B379" i="17"/>
  <c r="M379" i="17" s="1"/>
  <c r="AK378" i="17"/>
  <c r="Y378" i="17"/>
  <c r="S378" i="17"/>
  <c r="R378" i="17"/>
  <c r="Q378" i="17"/>
  <c r="AG378" i="17" s="1"/>
  <c r="B378" i="17"/>
  <c r="AK377" i="17"/>
  <c r="Y377" i="17"/>
  <c r="AJ377" i="17"/>
  <c r="S377" i="17"/>
  <c r="R377" i="17"/>
  <c r="Q377" i="17"/>
  <c r="AG377" i="17" s="1"/>
  <c r="B377" i="17"/>
  <c r="AK376" i="17"/>
  <c r="Y376" i="17"/>
  <c r="S376" i="17"/>
  <c r="R376" i="17"/>
  <c r="Q376" i="17"/>
  <c r="AG376" i="17" s="1"/>
  <c r="B376" i="17"/>
  <c r="AK375" i="17"/>
  <c r="Y375" i="17"/>
  <c r="S375" i="17"/>
  <c r="R375" i="17"/>
  <c r="Q375" i="17"/>
  <c r="AG375" i="17" s="1"/>
  <c r="B375" i="17"/>
  <c r="M375" i="17" s="1"/>
  <c r="AK374" i="17"/>
  <c r="Y374" i="17"/>
  <c r="S374" i="17"/>
  <c r="R374" i="17"/>
  <c r="Q374" i="17"/>
  <c r="AG374" i="17" s="1"/>
  <c r="B374" i="17"/>
  <c r="O374" i="17" s="1"/>
  <c r="AK373" i="17"/>
  <c r="Y373" i="17"/>
  <c r="S373" i="17"/>
  <c r="R373" i="17"/>
  <c r="Q373" i="17"/>
  <c r="AG373" i="17" s="1"/>
  <c r="B373" i="17"/>
  <c r="P373" i="17" s="1"/>
  <c r="AK372" i="17"/>
  <c r="Y372" i="17"/>
  <c r="S372" i="17"/>
  <c r="R372" i="17"/>
  <c r="Q372" i="17"/>
  <c r="AG372" i="17" s="1"/>
  <c r="B372" i="17"/>
  <c r="AK371" i="17"/>
  <c r="Y371" i="17"/>
  <c r="S371" i="17"/>
  <c r="R371" i="17"/>
  <c r="Q371" i="17"/>
  <c r="AG371" i="17" s="1"/>
  <c r="B371" i="17"/>
  <c r="M371" i="17" s="1"/>
  <c r="AK370" i="17"/>
  <c r="Y370" i="17"/>
  <c r="S370" i="17"/>
  <c r="R370" i="17"/>
  <c r="Q370" i="17"/>
  <c r="AG370" i="17" s="1"/>
  <c r="B370" i="17"/>
  <c r="O370" i="17" s="1"/>
  <c r="AK369" i="17"/>
  <c r="Y369" i="17"/>
  <c r="AJ369" i="17"/>
  <c r="S369" i="17"/>
  <c r="R369" i="17"/>
  <c r="Q369" i="17"/>
  <c r="AG369" i="17" s="1"/>
  <c r="B369" i="17"/>
  <c r="AK368" i="17"/>
  <c r="Y368" i="17"/>
  <c r="AJ368" i="17"/>
  <c r="S368" i="17"/>
  <c r="R368" i="17"/>
  <c r="Q368" i="17"/>
  <c r="AG368" i="17" s="1"/>
  <c r="B368" i="17"/>
  <c r="N368" i="17" s="1"/>
  <c r="AW368" i="17" s="1"/>
  <c r="AK367" i="17"/>
  <c r="Y367" i="17"/>
  <c r="S367" i="17"/>
  <c r="R367" i="17"/>
  <c r="Q367" i="17"/>
  <c r="AG367" i="17" s="1"/>
  <c r="B367" i="17"/>
  <c r="O367" i="17" s="1"/>
  <c r="AK366" i="17"/>
  <c r="Y366" i="17"/>
  <c r="S366" i="17"/>
  <c r="R366" i="17"/>
  <c r="Q366" i="17"/>
  <c r="AG366" i="17" s="1"/>
  <c r="B366" i="17"/>
  <c r="P366" i="17" s="1"/>
  <c r="AK365" i="17"/>
  <c r="Y365" i="17"/>
  <c r="S365" i="17"/>
  <c r="R365" i="17"/>
  <c r="Q365" i="17"/>
  <c r="AG365" i="17" s="1"/>
  <c r="B365" i="17"/>
  <c r="M365" i="17" s="1"/>
  <c r="AK364" i="17"/>
  <c r="Y364" i="17"/>
  <c r="S364" i="17"/>
  <c r="R364" i="17"/>
  <c r="Q364" i="17"/>
  <c r="AG364" i="17" s="1"/>
  <c r="B364" i="17"/>
  <c r="AK363" i="17"/>
  <c r="Y363" i="17"/>
  <c r="S363" i="17"/>
  <c r="R363" i="17"/>
  <c r="Q363" i="17"/>
  <c r="AG363" i="17" s="1"/>
  <c r="B363" i="17"/>
  <c r="AK362" i="17"/>
  <c r="Y362" i="17"/>
  <c r="S362" i="17"/>
  <c r="R362" i="17"/>
  <c r="Q362" i="17"/>
  <c r="AG362" i="17" s="1"/>
  <c r="B362" i="17"/>
  <c r="P362" i="17" s="1"/>
  <c r="AK361" i="17"/>
  <c r="Y361" i="17"/>
  <c r="S361" i="17"/>
  <c r="R361" i="17"/>
  <c r="Q361" i="17"/>
  <c r="AG361" i="17" s="1"/>
  <c r="B361" i="17"/>
  <c r="AK360" i="17"/>
  <c r="Y360" i="17"/>
  <c r="S360" i="17"/>
  <c r="R360" i="17"/>
  <c r="Q360" i="17"/>
  <c r="AG360" i="17" s="1"/>
  <c r="B360" i="17"/>
  <c r="N360" i="17" s="1"/>
  <c r="AW360" i="17" s="1"/>
  <c r="AK359" i="17"/>
  <c r="Y359" i="17"/>
  <c r="S359" i="17"/>
  <c r="R359" i="17"/>
  <c r="Q359" i="17"/>
  <c r="AG359" i="17" s="1"/>
  <c r="B359" i="17"/>
  <c r="AK358" i="17"/>
  <c r="Y358" i="17"/>
  <c r="S358" i="17"/>
  <c r="R358" i="17"/>
  <c r="Q358" i="17"/>
  <c r="AG358" i="17" s="1"/>
  <c r="B358" i="17"/>
  <c r="P358" i="17" s="1"/>
  <c r="AK357" i="17"/>
  <c r="Y357" i="17"/>
  <c r="S357" i="17"/>
  <c r="R357" i="17"/>
  <c r="Q357" i="17"/>
  <c r="AG357" i="17" s="1"/>
  <c r="B357" i="17"/>
  <c r="AK356" i="17"/>
  <c r="Y356" i="17"/>
  <c r="AJ356" i="17"/>
  <c r="S356" i="17"/>
  <c r="R356" i="17"/>
  <c r="Q356" i="17"/>
  <c r="AG356" i="17" s="1"/>
  <c r="B356" i="17"/>
  <c r="N356" i="17" s="1"/>
  <c r="AK355" i="17"/>
  <c r="Y355" i="17"/>
  <c r="S355" i="17"/>
  <c r="R355" i="17"/>
  <c r="Q355" i="17"/>
  <c r="AG355" i="17" s="1"/>
  <c r="B355" i="17"/>
  <c r="P355" i="17" s="1"/>
  <c r="AK354" i="17"/>
  <c r="Y354" i="17"/>
  <c r="S354" i="17"/>
  <c r="R354" i="17"/>
  <c r="Q354" i="17"/>
  <c r="AG354" i="17" s="1"/>
  <c r="B354" i="17"/>
  <c r="P354" i="17" s="1"/>
  <c r="AK353" i="17"/>
  <c r="Y353" i="17"/>
  <c r="S353" i="17"/>
  <c r="R353" i="17"/>
  <c r="Q353" i="17"/>
  <c r="AG353" i="17" s="1"/>
  <c r="B353" i="17"/>
  <c r="O353" i="17" s="1"/>
  <c r="AK352" i="17"/>
  <c r="Y352" i="17"/>
  <c r="AJ352" i="17"/>
  <c r="S352" i="17"/>
  <c r="R352" i="17"/>
  <c r="Q352" i="17"/>
  <c r="AG352" i="17" s="1"/>
  <c r="B352" i="17"/>
  <c r="P352" i="17" s="1"/>
  <c r="AK351" i="17"/>
  <c r="Y351" i="17"/>
  <c r="S351" i="17"/>
  <c r="R351" i="17"/>
  <c r="Q351" i="17"/>
  <c r="AG351" i="17" s="1"/>
  <c r="B351" i="17"/>
  <c r="O351" i="17" s="1"/>
  <c r="AK350" i="17"/>
  <c r="Y350" i="17"/>
  <c r="AJ350" i="17"/>
  <c r="S350" i="17"/>
  <c r="R350" i="17"/>
  <c r="Q350" i="17"/>
  <c r="AG350" i="17" s="1"/>
  <c r="B350" i="17"/>
  <c r="P350" i="17" s="1"/>
  <c r="AK349" i="17"/>
  <c r="Y349" i="17"/>
  <c r="AJ349" i="17"/>
  <c r="S349" i="17"/>
  <c r="R349" i="17"/>
  <c r="Q349" i="17"/>
  <c r="AG349" i="17" s="1"/>
  <c r="B349" i="17"/>
  <c r="AK348" i="17"/>
  <c r="Y348" i="17"/>
  <c r="AJ348" i="17"/>
  <c r="S348" i="17"/>
  <c r="R348" i="17"/>
  <c r="Q348" i="17"/>
  <c r="AG348" i="17" s="1"/>
  <c r="B348" i="17"/>
  <c r="P348" i="17" s="1"/>
  <c r="AK347" i="17"/>
  <c r="Y347" i="17"/>
  <c r="S347" i="17"/>
  <c r="R347" i="17"/>
  <c r="Q347" i="17"/>
  <c r="AG347" i="17" s="1"/>
  <c r="B347" i="17"/>
  <c r="AK346" i="17"/>
  <c r="Y346" i="17"/>
  <c r="S346" i="17"/>
  <c r="R346" i="17"/>
  <c r="Q346" i="17"/>
  <c r="AG346" i="17" s="1"/>
  <c r="B346" i="17"/>
  <c r="P346" i="17" s="1"/>
  <c r="AK345" i="17"/>
  <c r="Y345" i="17"/>
  <c r="S345" i="17"/>
  <c r="R345" i="17"/>
  <c r="Q345" i="17"/>
  <c r="AG345" i="17" s="1"/>
  <c r="B345" i="17"/>
  <c r="P345" i="17" s="1"/>
  <c r="AK344" i="17"/>
  <c r="Y344" i="17"/>
  <c r="AJ344" i="17"/>
  <c r="S344" i="17"/>
  <c r="R344" i="17"/>
  <c r="Q344" i="17"/>
  <c r="AG344" i="17" s="1"/>
  <c r="B344" i="17"/>
  <c r="P344" i="17" s="1"/>
  <c r="AK343" i="17"/>
  <c r="Y343" i="17"/>
  <c r="S343" i="17"/>
  <c r="R343" i="17"/>
  <c r="Q343" i="17"/>
  <c r="AG343" i="17" s="1"/>
  <c r="B343" i="17"/>
  <c r="AK342" i="17"/>
  <c r="Y342" i="17"/>
  <c r="S342" i="17"/>
  <c r="R342" i="17"/>
  <c r="Q342" i="17"/>
  <c r="AG342" i="17" s="1"/>
  <c r="B342" i="17"/>
  <c r="AK341" i="17"/>
  <c r="Y341" i="17"/>
  <c r="S341" i="17"/>
  <c r="R341" i="17"/>
  <c r="Q341" i="17"/>
  <c r="AG341" i="17" s="1"/>
  <c r="B341" i="17"/>
  <c r="AK340" i="17"/>
  <c r="Y340" i="17"/>
  <c r="AJ340" i="17"/>
  <c r="S340" i="17"/>
  <c r="R340" i="17"/>
  <c r="Q340" i="17"/>
  <c r="AG340" i="17" s="1"/>
  <c r="B340" i="17"/>
  <c r="M340" i="17" s="1"/>
  <c r="AK339" i="17"/>
  <c r="Y339" i="17"/>
  <c r="S339" i="17"/>
  <c r="R339" i="17"/>
  <c r="Q339" i="17"/>
  <c r="AG339" i="17" s="1"/>
  <c r="B339" i="17"/>
  <c r="AK338" i="17"/>
  <c r="Y338" i="17"/>
  <c r="AJ338" i="17"/>
  <c r="S338" i="17"/>
  <c r="R338" i="17"/>
  <c r="Q338" i="17"/>
  <c r="AG338" i="17" s="1"/>
  <c r="B338" i="17"/>
  <c r="P338" i="17" s="1"/>
  <c r="AK337" i="17"/>
  <c r="Y337" i="17"/>
  <c r="AJ337" i="17"/>
  <c r="S337" i="17"/>
  <c r="R337" i="17"/>
  <c r="Q337" i="17"/>
  <c r="AG337" i="17" s="1"/>
  <c r="B337" i="17"/>
  <c r="M337" i="17" s="1"/>
  <c r="AK336" i="17"/>
  <c r="Y336" i="17"/>
  <c r="S336" i="17"/>
  <c r="R336" i="17"/>
  <c r="Q336" i="17"/>
  <c r="AG336" i="17" s="1"/>
  <c r="B336" i="17"/>
  <c r="P336" i="17" s="1"/>
  <c r="AK335" i="17"/>
  <c r="Y335" i="17"/>
  <c r="AJ335" i="17"/>
  <c r="S335" i="17"/>
  <c r="R335" i="17"/>
  <c r="Q335" i="17"/>
  <c r="AG335" i="17" s="1"/>
  <c r="B335" i="17"/>
  <c r="N335" i="17" s="1"/>
  <c r="AW335" i="17" s="1"/>
  <c r="AK334" i="17"/>
  <c r="Y334" i="17"/>
  <c r="S334" i="17"/>
  <c r="R334" i="17"/>
  <c r="Q334" i="17"/>
  <c r="AG334" i="17" s="1"/>
  <c r="B334" i="17"/>
  <c r="O334" i="17" s="1"/>
  <c r="AK333" i="17"/>
  <c r="Y333" i="17"/>
  <c r="S333" i="17"/>
  <c r="R333" i="17"/>
  <c r="Q333" i="17"/>
  <c r="AG333" i="17" s="1"/>
  <c r="B333" i="17"/>
  <c r="M333" i="17" s="1"/>
  <c r="AK332" i="17"/>
  <c r="Y332" i="17"/>
  <c r="S332" i="17"/>
  <c r="R332" i="17"/>
  <c r="Q332" i="17"/>
  <c r="AG332" i="17" s="1"/>
  <c r="B332" i="17"/>
  <c r="AK331" i="17"/>
  <c r="Y331" i="17"/>
  <c r="S331" i="17"/>
  <c r="R331" i="17"/>
  <c r="Q331" i="17"/>
  <c r="AG331" i="17" s="1"/>
  <c r="B331" i="17"/>
  <c r="AK330" i="17"/>
  <c r="Y330" i="17"/>
  <c r="S330" i="17"/>
  <c r="R330" i="17"/>
  <c r="Q330" i="17"/>
  <c r="AG330" i="17" s="1"/>
  <c r="B330" i="17"/>
  <c r="P330" i="17" s="1"/>
  <c r="AK329" i="17"/>
  <c r="Y329" i="17"/>
  <c r="S329" i="17"/>
  <c r="R329" i="17"/>
  <c r="Q329" i="17"/>
  <c r="AG329" i="17" s="1"/>
  <c r="B329" i="17"/>
  <c r="P329" i="17" s="1"/>
  <c r="AK328" i="17"/>
  <c r="Y328" i="17"/>
  <c r="S328" i="17"/>
  <c r="R328" i="17"/>
  <c r="Q328" i="17"/>
  <c r="AG328" i="17" s="1"/>
  <c r="B328" i="17"/>
  <c r="AK327" i="17"/>
  <c r="Y327" i="17"/>
  <c r="AJ327" i="17"/>
  <c r="S327" i="17"/>
  <c r="R327" i="17"/>
  <c r="Q327" i="17"/>
  <c r="AG327" i="17" s="1"/>
  <c r="B327" i="17"/>
  <c r="O327" i="17" s="1"/>
  <c r="AK326" i="17"/>
  <c r="Y326" i="17"/>
  <c r="S326" i="17"/>
  <c r="R326" i="17"/>
  <c r="Q326" i="17"/>
  <c r="AG326" i="17" s="1"/>
  <c r="B326" i="17"/>
  <c r="P326" i="17" s="1"/>
  <c r="AK325" i="17"/>
  <c r="Y325" i="17"/>
  <c r="S325" i="17"/>
  <c r="R325" i="17"/>
  <c r="Q325" i="17"/>
  <c r="AG325" i="17" s="1"/>
  <c r="B325" i="17"/>
  <c r="P325" i="17" s="1"/>
  <c r="AK324" i="17"/>
  <c r="Y324" i="17"/>
  <c r="S324" i="17"/>
  <c r="R324" i="17"/>
  <c r="Q324" i="17"/>
  <c r="AG324" i="17" s="1"/>
  <c r="B324" i="17"/>
  <c r="M324" i="17" s="1"/>
  <c r="AK323" i="17"/>
  <c r="Y323" i="17"/>
  <c r="S323" i="17"/>
  <c r="R323" i="17"/>
  <c r="Q323" i="17"/>
  <c r="AG323" i="17" s="1"/>
  <c r="B323" i="17"/>
  <c r="O323" i="17" s="1"/>
  <c r="AK322" i="17"/>
  <c r="Y322" i="17"/>
  <c r="AJ322" i="17"/>
  <c r="S322" i="17"/>
  <c r="R322" i="17"/>
  <c r="Q322" i="17"/>
  <c r="AG322" i="17" s="1"/>
  <c r="B322" i="17"/>
  <c r="N322" i="17" s="1"/>
  <c r="AK321" i="17"/>
  <c r="Y321" i="17"/>
  <c r="AJ321" i="17"/>
  <c r="S321" i="17"/>
  <c r="R321" i="17"/>
  <c r="Q321" i="17"/>
  <c r="AG321" i="17" s="1"/>
  <c r="B321" i="17"/>
  <c r="AK320" i="17"/>
  <c r="Y320" i="17"/>
  <c r="S320" i="17"/>
  <c r="R320" i="17"/>
  <c r="Q320" i="17"/>
  <c r="AG320" i="17" s="1"/>
  <c r="B320" i="17"/>
  <c r="P320" i="17" s="1"/>
  <c r="AK319" i="17"/>
  <c r="Y319" i="17"/>
  <c r="S319" i="17"/>
  <c r="R319" i="17"/>
  <c r="Q319" i="17"/>
  <c r="AG319" i="17" s="1"/>
  <c r="B319" i="17"/>
  <c r="N319" i="17" s="1"/>
  <c r="AK318" i="17"/>
  <c r="Y318" i="17"/>
  <c r="S318" i="17"/>
  <c r="R318" i="17"/>
  <c r="Q318" i="17"/>
  <c r="AG318" i="17" s="1"/>
  <c r="B318" i="17"/>
  <c r="O318" i="17" s="1"/>
  <c r="AK317" i="17"/>
  <c r="Y317" i="17"/>
  <c r="AJ317" i="17"/>
  <c r="S317" i="17"/>
  <c r="R317" i="17"/>
  <c r="Q317" i="17"/>
  <c r="AG317" i="17" s="1"/>
  <c r="B317" i="17"/>
  <c r="N317" i="17" s="1"/>
  <c r="AW317" i="17" s="1"/>
  <c r="AK316" i="17"/>
  <c r="Y316" i="17"/>
  <c r="S316" i="17"/>
  <c r="R316" i="17"/>
  <c r="Q316" i="17"/>
  <c r="AG316" i="17" s="1"/>
  <c r="B316" i="17"/>
  <c r="AK315" i="17"/>
  <c r="Y315" i="17"/>
  <c r="S315" i="17"/>
  <c r="R315" i="17"/>
  <c r="Q315" i="17"/>
  <c r="AG315" i="17" s="1"/>
  <c r="B315" i="17"/>
  <c r="AK314" i="17"/>
  <c r="Y314" i="17"/>
  <c r="AJ314" i="17"/>
  <c r="S314" i="17"/>
  <c r="R314" i="17"/>
  <c r="Q314" i="17"/>
  <c r="AG314" i="17" s="1"/>
  <c r="B314" i="17"/>
  <c r="P314" i="17" s="1"/>
  <c r="AK313" i="17"/>
  <c r="Y313" i="17"/>
  <c r="S313" i="17"/>
  <c r="R313" i="17"/>
  <c r="Q313" i="17"/>
  <c r="AG313" i="17" s="1"/>
  <c r="B313" i="17"/>
  <c r="P313" i="17" s="1"/>
  <c r="AK312" i="17"/>
  <c r="Y312" i="17"/>
  <c r="AJ312" i="17"/>
  <c r="S312" i="17"/>
  <c r="R312" i="17"/>
  <c r="Q312" i="17"/>
  <c r="AG312" i="17" s="1"/>
  <c r="B312" i="17"/>
  <c r="AK311" i="17"/>
  <c r="Y311" i="17"/>
  <c r="S311" i="17"/>
  <c r="R311" i="17"/>
  <c r="Q311" i="17"/>
  <c r="AG311" i="17" s="1"/>
  <c r="B311" i="17"/>
  <c r="N311" i="17" s="1"/>
  <c r="AW311" i="17" s="1"/>
  <c r="AK310" i="17"/>
  <c r="Y310" i="17"/>
  <c r="S310" i="17"/>
  <c r="R310" i="17"/>
  <c r="Q310" i="17"/>
  <c r="AG310" i="17" s="1"/>
  <c r="B310" i="17"/>
  <c r="AK309" i="17"/>
  <c r="Y309" i="17"/>
  <c r="S309" i="17"/>
  <c r="R309" i="17"/>
  <c r="Q309" i="17"/>
  <c r="AG309" i="17" s="1"/>
  <c r="B309" i="17"/>
  <c r="AK308" i="17"/>
  <c r="Y308" i="17"/>
  <c r="AJ308" i="17"/>
  <c r="S308" i="17"/>
  <c r="R308" i="17"/>
  <c r="Q308" i="17"/>
  <c r="AG308" i="17" s="1"/>
  <c r="B308" i="17"/>
  <c r="O308" i="17" s="1"/>
  <c r="AK307" i="17"/>
  <c r="Y307" i="17"/>
  <c r="S307" i="17"/>
  <c r="R307" i="17"/>
  <c r="Q307" i="17"/>
  <c r="AG307" i="17" s="1"/>
  <c r="B307" i="17"/>
  <c r="M307" i="17" s="1"/>
  <c r="AK306" i="17"/>
  <c r="Y306" i="17"/>
  <c r="S306" i="17"/>
  <c r="R306" i="17"/>
  <c r="Q306" i="17"/>
  <c r="AG306" i="17" s="1"/>
  <c r="B306" i="17"/>
  <c r="P306" i="17" s="1"/>
  <c r="AK305" i="17"/>
  <c r="Y305" i="17"/>
  <c r="AJ305" i="17"/>
  <c r="S305" i="17"/>
  <c r="R305" i="17"/>
  <c r="Q305" i="17"/>
  <c r="AG305" i="17" s="1"/>
  <c r="B305" i="17"/>
  <c r="N305" i="17" s="1"/>
  <c r="AW305" i="17" s="1"/>
  <c r="AK304" i="17"/>
  <c r="Y304" i="17"/>
  <c r="AJ304" i="17"/>
  <c r="S304" i="17"/>
  <c r="R304" i="17"/>
  <c r="Q304" i="17"/>
  <c r="AG304" i="17" s="1"/>
  <c r="B304" i="17"/>
  <c r="M304" i="17" s="1"/>
  <c r="AK303" i="17"/>
  <c r="Y303" i="17"/>
  <c r="S303" i="17"/>
  <c r="R303" i="17"/>
  <c r="Q303" i="17"/>
  <c r="AG303" i="17" s="1"/>
  <c r="B303" i="17"/>
  <c r="AK302" i="17"/>
  <c r="Y302" i="17"/>
  <c r="S302" i="17"/>
  <c r="R302" i="17"/>
  <c r="Q302" i="17"/>
  <c r="AG302" i="17" s="1"/>
  <c r="B302" i="17"/>
  <c r="O302" i="17" s="1"/>
  <c r="AK301" i="17"/>
  <c r="Y301" i="17"/>
  <c r="AJ301" i="17"/>
  <c r="S301" i="17"/>
  <c r="R301" i="17"/>
  <c r="Q301" i="17"/>
  <c r="AG301" i="17" s="1"/>
  <c r="B301" i="17"/>
  <c r="N301" i="17" s="1"/>
  <c r="AW301" i="17" s="1"/>
  <c r="AK300" i="17"/>
  <c r="Y300" i="17"/>
  <c r="S300" i="17"/>
  <c r="R300" i="17"/>
  <c r="Q300" i="17"/>
  <c r="AG300" i="17" s="1"/>
  <c r="B300" i="17"/>
  <c r="AK299" i="17"/>
  <c r="Y299" i="17"/>
  <c r="S299" i="17"/>
  <c r="R299" i="17"/>
  <c r="Q299" i="17"/>
  <c r="AG299" i="17" s="1"/>
  <c r="B299" i="17"/>
  <c r="O299" i="17" s="1"/>
  <c r="AK298" i="17"/>
  <c r="Y298" i="17"/>
  <c r="AJ298" i="17"/>
  <c r="S298" i="17"/>
  <c r="R298" i="17"/>
  <c r="Q298" i="17"/>
  <c r="AG298" i="17" s="1"/>
  <c r="B298" i="17"/>
  <c r="AK297" i="17"/>
  <c r="Y297" i="17"/>
  <c r="S297" i="17"/>
  <c r="R297" i="17"/>
  <c r="Q297" i="17"/>
  <c r="AG297" i="17" s="1"/>
  <c r="B297" i="17"/>
  <c r="P297" i="17" s="1"/>
  <c r="AK296" i="17"/>
  <c r="Y296" i="17"/>
  <c r="AJ296" i="17"/>
  <c r="S296" i="17"/>
  <c r="R296" i="17"/>
  <c r="Q296" i="17"/>
  <c r="AG296" i="17" s="1"/>
  <c r="B296" i="17"/>
  <c r="AK295" i="17"/>
  <c r="Y295" i="17"/>
  <c r="S295" i="17"/>
  <c r="R295" i="17"/>
  <c r="Q295" i="17"/>
  <c r="AG295" i="17" s="1"/>
  <c r="B295" i="17"/>
  <c r="AK294" i="17"/>
  <c r="Y294" i="17"/>
  <c r="S294" i="17"/>
  <c r="R294" i="17"/>
  <c r="Q294" i="17"/>
  <c r="AG294" i="17" s="1"/>
  <c r="B294" i="17"/>
  <c r="N294" i="17" s="1"/>
  <c r="AK293" i="17"/>
  <c r="Y293" i="17"/>
  <c r="S293" i="17"/>
  <c r="R293" i="17"/>
  <c r="Q293" i="17"/>
  <c r="AG293" i="17" s="1"/>
  <c r="B293" i="17"/>
  <c r="AK292" i="17"/>
  <c r="Y292" i="17"/>
  <c r="AJ292" i="17"/>
  <c r="S292" i="17"/>
  <c r="R292" i="17"/>
  <c r="Q292" i="17"/>
  <c r="AG292" i="17" s="1"/>
  <c r="B292" i="17"/>
  <c r="P292" i="17" s="1"/>
  <c r="AK291" i="17"/>
  <c r="Y291" i="17"/>
  <c r="S291" i="17"/>
  <c r="R291" i="17"/>
  <c r="Q291" i="17"/>
  <c r="AG291" i="17" s="1"/>
  <c r="B291" i="17"/>
  <c r="M291" i="17" s="1"/>
  <c r="AK290" i="17"/>
  <c r="Y290" i="17"/>
  <c r="S290" i="17"/>
  <c r="R290" i="17"/>
  <c r="Q290" i="17"/>
  <c r="AG290" i="17" s="1"/>
  <c r="B290" i="17"/>
  <c r="P290" i="17" s="1"/>
  <c r="AK289" i="17"/>
  <c r="Y289" i="17"/>
  <c r="S289" i="17"/>
  <c r="R289" i="17"/>
  <c r="Q289" i="17"/>
  <c r="AG289" i="17" s="1"/>
  <c r="B289" i="17"/>
  <c r="M289" i="17" s="1"/>
  <c r="AK288" i="17"/>
  <c r="Y288" i="17"/>
  <c r="S288" i="17"/>
  <c r="R288" i="17"/>
  <c r="Q288" i="17"/>
  <c r="AG288" i="17" s="1"/>
  <c r="B288" i="17"/>
  <c r="AK287" i="17"/>
  <c r="Y287" i="17"/>
  <c r="AJ287" i="17"/>
  <c r="S287" i="17"/>
  <c r="R287" i="17"/>
  <c r="Q287" i="17"/>
  <c r="AG287" i="17" s="1"/>
  <c r="B287" i="17"/>
  <c r="P287" i="17" s="1"/>
  <c r="AK286" i="17"/>
  <c r="Y286" i="17"/>
  <c r="S286" i="17"/>
  <c r="R286" i="17"/>
  <c r="Q286" i="17"/>
  <c r="AG286" i="17" s="1"/>
  <c r="B286" i="17"/>
  <c r="P286" i="17" s="1"/>
  <c r="AK285" i="17"/>
  <c r="Y285" i="17"/>
  <c r="S285" i="17"/>
  <c r="R285" i="17"/>
  <c r="Q285" i="17"/>
  <c r="AG285" i="17" s="1"/>
  <c r="B285" i="17"/>
  <c r="M285" i="17" s="1"/>
  <c r="AK284" i="17"/>
  <c r="Y284" i="17"/>
  <c r="AJ284" i="17"/>
  <c r="S284" i="17"/>
  <c r="R284" i="17"/>
  <c r="Q284" i="17"/>
  <c r="AG284" i="17" s="1"/>
  <c r="B284" i="17"/>
  <c r="O284" i="17" s="1"/>
  <c r="AK283" i="17"/>
  <c r="Y283" i="17"/>
  <c r="AJ283" i="17"/>
  <c r="S283" i="17"/>
  <c r="R283" i="17"/>
  <c r="Q283" i="17"/>
  <c r="AG283" i="17" s="1"/>
  <c r="B283" i="17"/>
  <c r="AK282" i="17"/>
  <c r="Y282" i="17"/>
  <c r="S282" i="17"/>
  <c r="R282" i="17"/>
  <c r="Q282" i="17"/>
  <c r="AG282" i="17" s="1"/>
  <c r="B282" i="17"/>
  <c r="P282" i="17" s="1"/>
  <c r="AK281" i="17"/>
  <c r="Y281" i="17"/>
  <c r="AJ281" i="17"/>
  <c r="S281" i="17"/>
  <c r="R281" i="17"/>
  <c r="Q281" i="17"/>
  <c r="AG281" i="17" s="1"/>
  <c r="B281" i="17"/>
  <c r="M281" i="17" s="1"/>
  <c r="AK280" i="17"/>
  <c r="Y280" i="17"/>
  <c r="S280" i="17"/>
  <c r="R280" i="17"/>
  <c r="Q280" i="17"/>
  <c r="AG280" i="17" s="1"/>
  <c r="B280" i="17"/>
  <c r="AK279" i="17"/>
  <c r="Y279" i="17"/>
  <c r="AJ279" i="17"/>
  <c r="S279" i="17"/>
  <c r="R279" i="17"/>
  <c r="Q279" i="17"/>
  <c r="AG279" i="17" s="1"/>
  <c r="B279" i="17"/>
  <c r="M279" i="17" s="1"/>
  <c r="AK278" i="17"/>
  <c r="Y278" i="17"/>
  <c r="S278" i="17"/>
  <c r="R278" i="17"/>
  <c r="Q278" i="17"/>
  <c r="AG278" i="17" s="1"/>
  <c r="B278" i="17"/>
  <c r="P278" i="17" s="1"/>
  <c r="AK277" i="17"/>
  <c r="Y277" i="17"/>
  <c r="S277" i="17"/>
  <c r="R277" i="17"/>
  <c r="Q277" i="17"/>
  <c r="AG277" i="17" s="1"/>
  <c r="B277" i="17"/>
  <c r="M277" i="17" s="1"/>
  <c r="AK276" i="17"/>
  <c r="Y276" i="17"/>
  <c r="S276" i="17"/>
  <c r="R276" i="17"/>
  <c r="Q276" i="17"/>
  <c r="AG276" i="17" s="1"/>
  <c r="B276" i="17"/>
  <c r="O276" i="17" s="1"/>
  <c r="AK275" i="17"/>
  <c r="Y275" i="17"/>
  <c r="AJ275" i="17"/>
  <c r="S275" i="17"/>
  <c r="R275" i="17"/>
  <c r="Q275" i="17"/>
  <c r="AG275" i="17" s="1"/>
  <c r="B275" i="17"/>
  <c r="M275" i="17" s="1"/>
  <c r="AK274" i="17"/>
  <c r="Y274" i="17"/>
  <c r="S274" i="17"/>
  <c r="R274" i="17"/>
  <c r="Q274" i="17"/>
  <c r="AG274" i="17" s="1"/>
  <c r="B274" i="17"/>
  <c r="P274" i="17" s="1"/>
  <c r="AK273" i="17"/>
  <c r="Y273" i="17"/>
  <c r="S273" i="17"/>
  <c r="R273" i="17"/>
  <c r="Q273" i="17"/>
  <c r="AG273" i="17" s="1"/>
  <c r="B273" i="17"/>
  <c r="AK272" i="17"/>
  <c r="Y272" i="17"/>
  <c r="S272" i="17"/>
  <c r="R272" i="17"/>
  <c r="Q272" i="17"/>
  <c r="AG272" i="17" s="1"/>
  <c r="B272" i="17"/>
  <c r="AK271" i="17"/>
  <c r="Y271" i="17"/>
  <c r="AJ271" i="17"/>
  <c r="S271" i="17"/>
  <c r="R271" i="17"/>
  <c r="Q271" i="17"/>
  <c r="AG271" i="17" s="1"/>
  <c r="B271" i="17"/>
  <c r="P271" i="17" s="1"/>
  <c r="AK270" i="17"/>
  <c r="Y270" i="17"/>
  <c r="S270" i="17"/>
  <c r="R270" i="17"/>
  <c r="Q270" i="17"/>
  <c r="AG270" i="17" s="1"/>
  <c r="B270" i="17"/>
  <c r="AK269" i="17"/>
  <c r="Y269" i="17"/>
  <c r="S269" i="17"/>
  <c r="R269" i="17"/>
  <c r="Q269" i="17"/>
  <c r="AG269" i="17" s="1"/>
  <c r="B269" i="17"/>
  <c r="P269" i="17" s="1"/>
  <c r="AK268" i="17"/>
  <c r="Y268" i="17"/>
  <c r="AJ268" i="17"/>
  <c r="S268" i="17"/>
  <c r="R268" i="17"/>
  <c r="Q268" i="17"/>
  <c r="AG268" i="17" s="1"/>
  <c r="B268" i="17"/>
  <c r="AK267" i="17"/>
  <c r="Y267" i="17"/>
  <c r="S267" i="17"/>
  <c r="R267" i="17"/>
  <c r="Q267" i="17"/>
  <c r="AG267" i="17" s="1"/>
  <c r="B267" i="17"/>
  <c r="O267" i="17" s="1"/>
  <c r="AK266" i="17"/>
  <c r="Y266" i="17"/>
  <c r="S266" i="17"/>
  <c r="R266" i="17"/>
  <c r="Q266" i="17"/>
  <c r="AG266" i="17" s="1"/>
  <c r="B266" i="17"/>
  <c r="AK265" i="17"/>
  <c r="Y265" i="17"/>
  <c r="AJ265" i="17"/>
  <c r="S265" i="17"/>
  <c r="R265" i="17"/>
  <c r="Q265" i="17"/>
  <c r="AG265" i="17" s="1"/>
  <c r="B265" i="17"/>
  <c r="M265" i="17" s="1"/>
  <c r="AK264" i="17"/>
  <c r="Y264" i="17"/>
  <c r="S264" i="17"/>
  <c r="R264" i="17"/>
  <c r="Q264" i="17"/>
  <c r="AG264" i="17" s="1"/>
  <c r="B264" i="17"/>
  <c r="M264" i="17" s="1"/>
  <c r="AK263" i="17"/>
  <c r="Y263" i="17"/>
  <c r="S263" i="17"/>
  <c r="R263" i="17"/>
  <c r="Q263" i="17"/>
  <c r="AG263" i="17" s="1"/>
  <c r="B263" i="17"/>
  <c r="O263" i="17" s="1"/>
  <c r="AK262" i="17"/>
  <c r="Y262" i="17"/>
  <c r="S262" i="17"/>
  <c r="R262" i="17"/>
  <c r="Q262" i="17"/>
  <c r="AG262" i="17" s="1"/>
  <c r="B262" i="17"/>
  <c r="AK261" i="17"/>
  <c r="Y261" i="17"/>
  <c r="AJ261" i="17"/>
  <c r="S261" i="17"/>
  <c r="R261" i="17"/>
  <c r="Q261" i="17"/>
  <c r="AG261" i="17" s="1"/>
  <c r="B261" i="17"/>
  <c r="M261" i="17" s="1"/>
  <c r="AK260" i="17"/>
  <c r="Y260" i="17"/>
  <c r="S260" i="17"/>
  <c r="R260" i="17"/>
  <c r="Q260" i="17"/>
  <c r="AG260" i="17" s="1"/>
  <c r="B260" i="17"/>
  <c r="P260" i="17" s="1"/>
  <c r="AK259" i="17"/>
  <c r="Y259" i="17"/>
  <c r="S259" i="17"/>
  <c r="R259" i="17"/>
  <c r="Q259" i="17"/>
  <c r="AG259" i="17" s="1"/>
  <c r="B259" i="17"/>
  <c r="AK258" i="17"/>
  <c r="Y258" i="17"/>
  <c r="S258" i="17"/>
  <c r="R258" i="17"/>
  <c r="Q258" i="17"/>
  <c r="AG258" i="17" s="1"/>
  <c r="B258" i="17"/>
  <c r="AK257" i="17"/>
  <c r="Y257" i="17"/>
  <c r="AJ257" i="17"/>
  <c r="S257" i="17"/>
  <c r="R257" i="17"/>
  <c r="Q257" i="17"/>
  <c r="AG257" i="17" s="1"/>
  <c r="B257" i="17"/>
  <c r="M257" i="17" s="1"/>
  <c r="AK256" i="17"/>
  <c r="Y256" i="17"/>
  <c r="S256" i="17"/>
  <c r="R256" i="17"/>
  <c r="Q256" i="17"/>
  <c r="AG256" i="17" s="1"/>
  <c r="B256" i="17"/>
  <c r="P256" i="17" s="1"/>
  <c r="AK255" i="17"/>
  <c r="Y255" i="17"/>
  <c r="S255" i="17"/>
  <c r="R255" i="17"/>
  <c r="Q255" i="17"/>
  <c r="AG255" i="17" s="1"/>
  <c r="B255" i="17"/>
  <c r="N255" i="17" s="1"/>
  <c r="AW255" i="17" s="1"/>
  <c r="AK254" i="17"/>
  <c r="Y254" i="17"/>
  <c r="AJ254" i="17"/>
  <c r="S254" i="17"/>
  <c r="R254" i="17"/>
  <c r="Q254" i="17"/>
  <c r="AG254" i="17" s="1"/>
  <c r="B254" i="17"/>
  <c r="AK253" i="17"/>
  <c r="Y253" i="17"/>
  <c r="AJ253" i="17"/>
  <c r="S253" i="17"/>
  <c r="R253" i="17"/>
  <c r="Q253" i="17"/>
  <c r="AG253" i="17" s="1"/>
  <c r="B253" i="17"/>
  <c r="M253" i="17" s="1"/>
  <c r="AK252" i="17"/>
  <c r="Y252" i="17"/>
  <c r="S252" i="17"/>
  <c r="R252" i="17"/>
  <c r="Q252" i="17"/>
  <c r="AG252" i="17" s="1"/>
  <c r="B252" i="17"/>
  <c r="AK251" i="17"/>
  <c r="Y251" i="17"/>
  <c r="AJ251" i="17"/>
  <c r="S251" i="17"/>
  <c r="R251" i="17"/>
  <c r="Q251" i="17"/>
  <c r="AG251" i="17" s="1"/>
  <c r="B251" i="17"/>
  <c r="M251" i="17" s="1"/>
  <c r="AK250" i="17"/>
  <c r="Y250" i="17"/>
  <c r="S250" i="17"/>
  <c r="R250" i="17"/>
  <c r="Q250" i="17"/>
  <c r="AG250" i="17" s="1"/>
  <c r="B250" i="17"/>
  <c r="AK249" i="17"/>
  <c r="Y249" i="17"/>
  <c r="AJ249" i="17"/>
  <c r="S249" i="17"/>
  <c r="R249" i="17"/>
  <c r="Q249" i="17"/>
  <c r="AG249" i="17" s="1"/>
  <c r="B249" i="17"/>
  <c r="M249" i="17" s="1"/>
  <c r="AK248" i="17"/>
  <c r="Y248" i="17"/>
  <c r="S248" i="17"/>
  <c r="R248" i="17"/>
  <c r="Q248" i="17"/>
  <c r="AG248" i="17" s="1"/>
  <c r="B248" i="17"/>
  <c r="M248" i="17" s="1"/>
  <c r="AK247" i="17"/>
  <c r="Y247" i="17"/>
  <c r="S247" i="17"/>
  <c r="R247" i="17"/>
  <c r="Q247" i="17"/>
  <c r="AG247" i="17" s="1"/>
  <c r="B247" i="17"/>
  <c r="AK246" i="17"/>
  <c r="Y246" i="17"/>
  <c r="S246" i="17"/>
  <c r="R246" i="17"/>
  <c r="Q246" i="17"/>
  <c r="AG246" i="17" s="1"/>
  <c r="B246" i="17"/>
  <c r="AK245" i="17"/>
  <c r="Y245" i="17"/>
  <c r="AJ245" i="17"/>
  <c r="S245" i="17"/>
  <c r="R245" i="17"/>
  <c r="Q245" i="17"/>
  <c r="AG245" i="17" s="1"/>
  <c r="B245" i="17"/>
  <c r="M245" i="17" s="1"/>
  <c r="AK244" i="17"/>
  <c r="Y244" i="17"/>
  <c r="S244" i="17"/>
  <c r="R244" i="17"/>
  <c r="Q244" i="17"/>
  <c r="AG244" i="17" s="1"/>
  <c r="B244" i="17"/>
  <c r="P244" i="17" s="1"/>
  <c r="AK243" i="17"/>
  <c r="Y243" i="17"/>
  <c r="S243" i="17"/>
  <c r="R243" i="17"/>
  <c r="Q243" i="17"/>
  <c r="AG243" i="17" s="1"/>
  <c r="B243" i="17"/>
  <c r="AK242" i="17"/>
  <c r="Y242" i="17"/>
  <c r="AJ242" i="17"/>
  <c r="S242" i="17"/>
  <c r="R242" i="17"/>
  <c r="Q242" i="17"/>
  <c r="AG242" i="17" s="1"/>
  <c r="B242" i="17"/>
  <c r="M242" i="17" s="1"/>
  <c r="AK241" i="17"/>
  <c r="Y241" i="17"/>
  <c r="S241" i="17"/>
  <c r="R241" i="17"/>
  <c r="Q241" i="17"/>
  <c r="AG241" i="17" s="1"/>
  <c r="B241" i="17"/>
  <c r="O241" i="17" s="1"/>
  <c r="AK240" i="17"/>
  <c r="Y240" i="17"/>
  <c r="S240" i="17"/>
  <c r="R240" i="17"/>
  <c r="Q240" i="17"/>
  <c r="AG240" i="17" s="1"/>
  <c r="B240" i="17"/>
  <c r="AK239" i="17"/>
  <c r="Y239" i="17"/>
  <c r="S239" i="17"/>
  <c r="R239" i="17"/>
  <c r="Q239" i="17"/>
  <c r="AG239" i="17" s="1"/>
  <c r="B239" i="17"/>
  <c r="N239" i="17" s="1"/>
  <c r="AK238" i="17"/>
  <c r="Y238" i="17"/>
  <c r="S238" i="17"/>
  <c r="R238" i="17"/>
  <c r="Q238" i="17"/>
  <c r="AG238" i="17" s="1"/>
  <c r="B238" i="17"/>
  <c r="N238" i="17" s="1"/>
  <c r="AK237" i="17"/>
  <c r="Y237" i="17"/>
  <c r="S237" i="17"/>
  <c r="R237" i="17"/>
  <c r="Q237" i="17"/>
  <c r="AG237" i="17" s="1"/>
  <c r="B237" i="17"/>
  <c r="AK236" i="17"/>
  <c r="Y236" i="17"/>
  <c r="S236" i="17"/>
  <c r="R236" i="17"/>
  <c r="Q236" i="17"/>
  <c r="AG236" i="17" s="1"/>
  <c r="B236" i="17"/>
  <c r="O236" i="17" s="1"/>
  <c r="AK235" i="17"/>
  <c r="Y235" i="17"/>
  <c r="AJ235" i="17"/>
  <c r="S235" i="17"/>
  <c r="R235" i="17"/>
  <c r="Q235" i="17"/>
  <c r="AG235" i="17" s="1"/>
  <c r="B235" i="17"/>
  <c r="M235" i="17" s="1"/>
  <c r="AK234" i="17"/>
  <c r="Y234" i="17"/>
  <c r="S234" i="17"/>
  <c r="R234" i="17"/>
  <c r="Q234" i="17"/>
  <c r="AG234" i="17" s="1"/>
  <c r="B234" i="17"/>
  <c r="AK233" i="17"/>
  <c r="Y233" i="17"/>
  <c r="S233" i="17"/>
  <c r="R233" i="17"/>
  <c r="Q233" i="17"/>
  <c r="AG233" i="17" s="1"/>
  <c r="B233" i="17"/>
  <c r="N233" i="17" s="1"/>
  <c r="AK232" i="17"/>
  <c r="Y232" i="17"/>
  <c r="AJ232" i="17"/>
  <c r="S232" i="17"/>
  <c r="R232" i="17"/>
  <c r="Q232" i="17"/>
  <c r="AG232" i="17" s="1"/>
  <c r="B232" i="17"/>
  <c r="P232" i="17" s="1"/>
  <c r="AK231" i="17"/>
  <c r="Y231" i="17"/>
  <c r="S231" i="17"/>
  <c r="R231" i="17"/>
  <c r="Q231" i="17"/>
  <c r="AG231" i="17" s="1"/>
  <c r="B231" i="17"/>
  <c r="AK230" i="17"/>
  <c r="Y230" i="17"/>
  <c r="AJ230" i="17"/>
  <c r="S230" i="17"/>
  <c r="R230" i="17"/>
  <c r="Q230" i="17"/>
  <c r="AG230" i="17" s="1"/>
  <c r="B230" i="17"/>
  <c r="O230" i="17" s="1"/>
  <c r="AK229" i="17"/>
  <c r="Y229" i="17"/>
  <c r="S229" i="17"/>
  <c r="R229" i="17"/>
  <c r="Q229" i="17"/>
  <c r="AG229" i="17" s="1"/>
  <c r="B229" i="17"/>
  <c r="P229" i="17" s="1"/>
  <c r="AK228" i="17"/>
  <c r="Y228" i="17"/>
  <c r="S228" i="17"/>
  <c r="R228" i="17"/>
  <c r="Q228" i="17"/>
  <c r="AG228" i="17" s="1"/>
  <c r="B228" i="17"/>
  <c r="P228" i="17" s="1"/>
  <c r="AK227" i="17"/>
  <c r="Y227" i="17"/>
  <c r="S227" i="17"/>
  <c r="R227" i="17"/>
  <c r="Q227" i="17"/>
  <c r="AG227" i="17" s="1"/>
  <c r="B227" i="17"/>
  <c r="O227" i="17" s="1"/>
  <c r="AK226" i="17"/>
  <c r="Y226" i="17"/>
  <c r="AJ226" i="17"/>
  <c r="S226" i="17"/>
  <c r="R226" i="17"/>
  <c r="Q226" i="17"/>
  <c r="AG226" i="17" s="1"/>
  <c r="B226" i="17"/>
  <c r="N226" i="17" s="1"/>
  <c r="AK225" i="17"/>
  <c r="Y225" i="17"/>
  <c r="S225" i="17"/>
  <c r="R225" i="17"/>
  <c r="Q225" i="17"/>
  <c r="AG225" i="17" s="1"/>
  <c r="B225" i="17"/>
  <c r="O225" i="17" s="1"/>
  <c r="AK224" i="17"/>
  <c r="Y224" i="17"/>
  <c r="S224" i="17"/>
  <c r="R224" i="17"/>
  <c r="Q224" i="17"/>
  <c r="AG224" i="17" s="1"/>
  <c r="B224" i="17"/>
  <c r="AK223" i="17"/>
  <c r="Y223" i="17"/>
  <c r="AJ223" i="17"/>
  <c r="S223" i="17"/>
  <c r="R223" i="17"/>
  <c r="Q223" i="17"/>
  <c r="AG223" i="17" s="1"/>
  <c r="B223" i="17"/>
  <c r="AK222" i="17"/>
  <c r="Y222" i="17"/>
  <c r="AJ222" i="17"/>
  <c r="S222" i="17"/>
  <c r="R222" i="17"/>
  <c r="Q222" i="17"/>
  <c r="AG222" i="17" s="1"/>
  <c r="B222" i="17"/>
  <c r="AK221" i="17"/>
  <c r="Y221" i="17"/>
  <c r="S221" i="17"/>
  <c r="R221" i="17"/>
  <c r="Q221" i="17"/>
  <c r="AG221" i="17" s="1"/>
  <c r="B221" i="17"/>
  <c r="AK220" i="17"/>
  <c r="Y220" i="17"/>
  <c r="AJ220" i="17"/>
  <c r="S220" i="17"/>
  <c r="R220" i="17"/>
  <c r="Q220" i="17"/>
  <c r="AG220" i="17" s="1"/>
  <c r="B220" i="17"/>
  <c r="M220" i="17" s="1"/>
  <c r="AK219" i="17"/>
  <c r="Y219" i="17"/>
  <c r="S219" i="17"/>
  <c r="R219" i="17"/>
  <c r="Q219" i="17"/>
  <c r="AG219" i="17" s="1"/>
  <c r="B219" i="17"/>
  <c r="M219" i="17" s="1"/>
  <c r="AK218" i="17"/>
  <c r="Y218" i="17"/>
  <c r="AJ218" i="17"/>
  <c r="S218" i="17"/>
  <c r="R218" i="17"/>
  <c r="Q218" i="17"/>
  <c r="AG218" i="17" s="1"/>
  <c r="B218" i="17"/>
  <c r="AK217" i="17"/>
  <c r="Y217" i="17"/>
  <c r="S217" i="17"/>
  <c r="R217" i="17"/>
  <c r="Q217" i="17"/>
  <c r="AG217" i="17" s="1"/>
  <c r="B217" i="17"/>
  <c r="O217" i="17" s="1"/>
  <c r="AK216" i="17"/>
  <c r="Y216" i="17"/>
  <c r="AJ216" i="17"/>
  <c r="S216" i="17"/>
  <c r="R216" i="17"/>
  <c r="Q216" i="17"/>
  <c r="AG216" i="17" s="1"/>
  <c r="B216" i="17"/>
  <c r="O216" i="17" s="1"/>
  <c r="AK215" i="17"/>
  <c r="Y215" i="17"/>
  <c r="S215" i="17"/>
  <c r="R215" i="17"/>
  <c r="Q215" i="17"/>
  <c r="AG215" i="17" s="1"/>
  <c r="B215" i="17"/>
  <c r="AK214" i="17"/>
  <c r="Y214" i="17"/>
  <c r="S214" i="17"/>
  <c r="R214" i="17"/>
  <c r="Q214" i="17"/>
  <c r="AG214" i="17" s="1"/>
  <c r="B214" i="17"/>
  <c r="N214" i="17" s="1"/>
  <c r="AK213" i="17"/>
  <c r="Y213" i="17"/>
  <c r="S213" i="17"/>
  <c r="R213" i="17"/>
  <c r="Q213" i="17"/>
  <c r="AG213" i="17" s="1"/>
  <c r="B213" i="17"/>
  <c r="M213" i="17" s="1"/>
  <c r="AK212" i="17"/>
  <c r="Y212" i="17"/>
  <c r="S212" i="17"/>
  <c r="R212" i="17"/>
  <c r="Q212" i="17"/>
  <c r="AG212" i="17" s="1"/>
  <c r="B212" i="17"/>
  <c r="O212" i="17" s="1"/>
  <c r="AK211" i="17"/>
  <c r="Y211" i="17"/>
  <c r="S211" i="17"/>
  <c r="R211" i="17"/>
  <c r="Q211" i="17"/>
  <c r="AG211" i="17" s="1"/>
  <c r="B211" i="17"/>
  <c r="AK210" i="17"/>
  <c r="Y210" i="17"/>
  <c r="S210" i="17"/>
  <c r="R210" i="17"/>
  <c r="Q210" i="17"/>
  <c r="AG210" i="17" s="1"/>
  <c r="B210" i="17"/>
  <c r="N210" i="17" s="1"/>
  <c r="AK209" i="17"/>
  <c r="Y209" i="17"/>
  <c r="S209" i="17"/>
  <c r="R209" i="17"/>
  <c r="Q209" i="17"/>
  <c r="AG209" i="17" s="1"/>
  <c r="B209" i="17"/>
  <c r="O209" i="17" s="1"/>
  <c r="AK208" i="17"/>
  <c r="Y208" i="17"/>
  <c r="S208" i="17"/>
  <c r="R208" i="17"/>
  <c r="Q208" i="17"/>
  <c r="AG208" i="17" s="1"/>
  <c r="B208" i="17"/>
  <c r="P208" i="17" s="1"/>
  <c r="AK207" i="17"/>
  <c r="Y207" i="17"/>
  <c r="AJ207" i="17"/>
  <c r="S207" i="17"/>
  <c r="R207" i="17"/>
  <c r="Q207" i="17"/>
  <c r="AG207" i="17" s="1"/>
  <c r="B207" i="17"/>
  <c r="M207" i="17" s="1"/>
  <c r="AK206" i="17"/>
  <c r="Y206" i="17"/>
  <c r="S206" i="17"/>
  <c r="R206" i="17"/>
  <c r="Q206" i="17"/>
  <c r="AG206" i="17" s="1"/>
  <c r="B206" i="17"/>
  <c r="AK205" i="17"/>
  <c r="Y205" i="17"/>
  <c r="S205" i="17"/>
  <c r="R205" i="17"/>
  <c r="Q205" i="17"/>
  <c r="AG205" i="17" s="1"/>
  <c r="B205" i="17"/>
  <c r="AK204" i="17"/>
  <c r="Y204" i="17"/>
  <c r="S204" i="17"/>
  <c r="R204" i="17"/>
  <c r="Q204" i="17"/>
  <c r="AG204" i="17" s="1"/>
  <c r="B204" i="17"/>
  <c r="P204" i="17" s="1"/>
  <c r="AK203" i="17"/>
  <c r="Y203" i="17"/>
  <c r="AJ203" i="17"/>
  <c r="S203" i="17"/>
  <c r="R203" i="17"/>
  <c r="Q203" i="17"/>
  <c r="AG203" i="17" s="1"/>
  <c r="B203" i="17"/>
  <c r="M203" i="17" s="1"/>
  <c r="AK202" i="17"/>
  <c r="Y202" i="17"/>
  <c r="S202" i="17"/>
  <c r="R202" i="17"/>
  <c r="Q202" i="17"/>
  <c r="AG202" i="17" s="1"/>
  <c r="B202" i="17"/>
  <c r="AK201" i="17"/>
  <c r="Y201" i="17"/>
  <c r="S201" i="17"/>
  <c r="R201" i="17"/>
  <c r="Q201" i="17"/>
  <c r="AG201" i="17" s="1"/>
  <c r="B201" i="17"/>
  <c r="O201" i="17" s="1"/>
  <c r="AK200" i="17"/>
  <c r="Y200" i="17"/>
  <c r="AJ200" i="17"/>
  <c r="S200" i="17"/>
  <c r="R200" i="17"/>
  <c r="Q200" i="17"/>
  <c r="AG200" i="17" s="1"/>
  <c r="B200" i="17"/>
  <c r="M200" i="17" s="1"/>
  <c r="AK199" i="17"/>
  <c r="Y199" i="17"/>
  <c r="S199" i="17"/>
  <c r="R199" i="17"/>
  <c r="Q199" i="17"/>
  <c r="AG199" i="17" s="1"/>
  <c r="B199" i="17"/>
  <c r="AK198" i="17"/>
  <c r="Y198" i="17"/>
  <c r="AJ198" i="17"/>
  <c r="S198" i="17"/>
  <c r="R198" i="17"/>
  <c r="Q198" i="17"/>
  <c r="AG198" i="17" s="1"/>
  <c r="B198" i="17"/>
  <c r="AK197" i="17"/>
  <c r="Y197" i="17"/>
  <c r="S197" i="17"/>
  <c r="R197" i="17"/>
  <c r="Q197" i="17"/>
  <c r="AG197" i="17" s="1"/>
  <c r="B197" i="17"/>
  <c r="M197" i="17" s="1"/>
  <c r="AK196" i="17"/>
  <c r="Y196" i="17"/>
  <c r="S196" i="17"/>
  <c r="R196" i="17"/>
  <c r="Q196" i="17"/>
  <c r="AG196" i="17" s="1"/>
  <c r="B196" i="17"/>
  <c r="AK195" i="17"/>
  <c r="Y195" i="17"/>
  <c r="S195" i="17"/>
  <c r="R195" i="17"/>
  <c r="Q195" i="17"/>
  <c r="AG195" i="17" s="1"/>
  <c r="B195" i="17"/>
  <c r="AK194" i="17"/>
  <c r="Y194" i="17"/>
  <c r="AJ194" i="17"/>
  <c r="S194" i="17"/>
  <c r="R194" i="17"/>
  <c r="Q194" i="17"/>
  <c r="AG194" i="17" s="1"/>
  <c r="B194" i="17"/>
  <c r="P194" i="17" s="1"/>
  <c r="AK193" i="17"/>
  <c r="Y193" i="17"/>
  <c r="S193" i="17"/>
  <c r="R193" i="17"/>
  <c r="Q193" i="17"/>
  <c r="AG193" i="17" s="1"/>
  <c r="B193" i="17"/>
  <c r="AK192" i="17"/>
  <c r="Y192" i="17"/>
  <c r="S192" i="17"/>
  <c r="R192" i="17"/>
  <c r="Q192" i="17"/>
  <c r="AG192" i="17" s="1"/>
  <c r="B192" i="17"/>
  <c r="N192" i="17" s="1"/>
  <c r="AW192" i="17" s="1"/>
  <c r="AK191" i="17"/>
  <c r="Y191" i="17"/>
  <c r="S191" i="17"/>
  <c r="R191" i="17"/>
  <c r="Q191" i="17"/>
  <c r="AG191" i="17" s="1"/>
  <c r="B191" i="17"/>
  <c r="N191" i="17" s="1"/>
  <c r="AW191" i="17" s="1"/>
  <c r="AK190" i="17"/>
  <c r="Y190" i="17"/>
  <c r="S190" i="17"/>
  <c r="R190" i="17"/>
  <c r="Q190" i="17"/>
  <c r="AG190" i="17" s="1"/>
  <c r="B190" i="17"/>
  <c r="AK189" i="17"/>
  <c r="Y189" i="17"/>
  <c r="S189" i="17"/>
  <c r="R189" i="17"/>
  <c r="Q189" i="17"/>
  <c r="AG189" i="17" s="1"/>
  <c r="B189" i="17"/>
  <c r="P189" i="17" s="1"/>
  <c r="AK188" i="17"/>
  <c r="Y188" i="17"/>
  <c r="S188" i="17"/>
  <c r="R188" i="17"/>
  <c r="Q188" i="17"/>
  <c r="AG188" i="17" s="1"/>
  <c r="B188" i="17"/>
  <c r="P188" i="17" s="1"/>
  <c r="AK187" i="17"/>
  <c r="Y187" i="17"/>
  <c r="S187" i="17"/>
  <c r="R187" i="17"/>
  <c r="Q187" i="17"/>
  <c r="AG187" i="17" s="1"/>
  <c r="B187" i="17"/>
  <c r="N187" i="17" s="1"/>
  <c r="AW187" i="17" s="1"/>
  <c r="AK186" i="17"/>
  <c r="Y186" i="17"/>
  <c r="S186" i="17"/>
  <c r="R186" i="17"/>
  <c r="Q186" i="17"/>
  <c r="AG186" i="17" s="1"/>
  <c r="B186" i="17"/>
  <c r="P186" i="17" s="1"/>
  <c r="AK185" i="17"/>
  <c r="Y185" i="17"/>
  <c r="S185" i="17"/>
  <c r="R185" i="17"/>
  <c r="Q185" i="17"/>
  <c r="AG185" i="17" s="1"/>
  <c r="B185" i="17"/>
  <c r="O185" i="17" s="1"/>
  <c r="AK184" i="17"/>
  <c r="Y184" i="17"/>
  <c r="S184" i="17"/>
  <c r="R184" i="17"/>
  <c r="Q184" i="17"/>
  <c r="AG184" i="17" s="1"/>
  <c r="B184" i="17"/>
  <c r="P184" i="17" s="1"/>
  <c r="AK183" i="17"/>
  <c r="Y183" i="17"/>
  <c r="S183" i="17"/>
  <c r="R183" i="17"/>
  <c r="Q183" i="17"/>
  <c r="AG183" i="17" s="1"/>
  <c r="B183" i="17"/>
  <c r="O183" i="17" s="1"/>
  <c r="AK182" i="17"/>
  <c r="Y182" i="17"/>
  <c r="S182" i="17"/>
  <c r="R182" i="17"/>
  <c r="Q182" i="17"/>
  <c r="AG182" i="17" s="1"/>
  <c r="B182" i="17"/>
  <c r="AK181" i="17"/>
  <c r="Y181" i="17"/>
  <c r="AJ181" i="17"/>
  <c r="S181" i="17"/>
  <c r="R181" i="17"/>
  <c r="Q181" i="17"/>
  <c r="AG181" i="17" s="1"/>
  <c r="B181" i="17"/>
  <c r="AK180" i="17"/>
  <c r="Y180" i="17"/>
  <c r="AJ180" i="17"/>
  <c r="S180" i="17"/>
  <c r="R180" i="17"/>
  <c r="Q180" i="17"/>
  <c r="AG180" i="17" s="1"/>
  <c r="B180" i="17"/>
  <c r="M180" i="17" s="1"/>
  <c r="AK179" i="17"/>
  <c r="Y179" i="17"/>
  <c r="S179" i="17"/>
  <c r="R179" i="17"/>
  <c r="Q179" i="17"/>
  <c r="AG179" i="17" s="1"/>
  <c r="B179" i="17"/>
  <c r="M179" i="17" s="1"/>
  <c r="AK178" i="17"/>
  <c r="Y178" i="17"/>
  <c r="AJ178" i="17"/>
  <c r="S178" i="17"/>
  <c r="R178" i="17"/>
  <c r="Q178" i="17"/>
  <c r="AG178" i="17" s="1"/>
  <c r="B178" i="17"/>
  <c r="O178" i="17" s="1"/>
  <c r="AK177" i="17"/>
  <c r="Y177" i="17"/>
  <c r="S177" i="17"/>
  <c r="R177" i="17"/>
  <c r="Q177" i="17"/>
  <c r="AG177" i="17" s="1"/>
  <c r="B177" i="17"/>
  <c r="AK176" i="17"/>
  <c r="Y176" i="17"/>
  <c r="AJ176" i="17"/>
  <c r="S176" i="17"/>
  <c r="R176" i="17"/>
  <c r="Q176" i="17"/>
  <c r="AG176" i="17" s="1"/>
  <c r="B176" i="17"/>
  <c r="P176" i="17" s="1"/>
  <c r="AK175" i="17"/>
  <c r="Y175" i="17"/>
  <c r="S175" i="17"/>
  <c r="R175" i="17"/>
  <c r="Q175" i="17"/>
  <c r="AG175" i="17" s="1"/>
  <c r="B175" i="17"/>
  <c r="P175" i="17" s="1"/>
  <c r="AK174" i="17"/>
  <c r="Y174" i="17"/>
  <c r="S174" i="17"/>
  <c r="R174" i="17"/>
  <c r="Q174" i="17"/>
  <c r="AG174" i="17" s="1"/>
  <c r="B174" i="17"/>
  <c r="N174" i="17" s="1"/>
  <c r="AW174" i="17" s="1"/>
  <c r="AK173" i="17"/>
  <c r="Y173" i="17"/>
  <c r="AJ173" i="17"/>
  <c r="S173" i="17"/>
  <c r="R173" i="17"/>
  <c r="Q173" i="17"/>
  <c r="AG173" i="17" s="1"/>
  <c r="B173" i="17"/>
  <c r="P173" i="17" s="1"/>
  <c r="AK172" i="17"/>
  <c r="Y172" i="17"/>
  <c r="AJ172" i="17"/>
  <c r="S172" i="17"/>
  <c r="R172" i="17"/>
  <c r="Q172" i="17"/>
  <c r="AG172" i="17" s="1"/>
  <c r="B172" i="17"/>
  <c r="P172" i="17" s="1"/>
  <c r="AK171" i="17"/>
  <c r="Y171" i="17"/>
  <c r="S171" i="17"/>
  <c r="R171" i="17"/>
  <c r="Q171" i="17"/>
  <c r="AG171" i="17" s="1"/>
  <c r="B171" i="17"/>
  <c r="AK170" i="17"/>
  <c r="Y170" i="17"/>
  <c r="S170" i="17"/>
  <c r="R170" i="17"/>
  <c r="Q170" i="17"/>
  <c r="AG170" i="17" s="1"/>
  <c r="B170" i="17"/>
  <c r="N170" i="17" s="1"/>
  <c r="AW170" i="17" s="1"/>
  <c r="AK169" i="17"/>
  <c r="Y169" i="17"/>
  <c r="AJ169" i="17"/>
  <c r="S169" i="17"/>
  <c r="R169" i="17"/>
  <c r="Q169" i="17"/>
  <c r="AG169" i="17" s="1"/>
  <c r="B169" i="17"/>
  <c r="P169" i="17" s="1"/>
  <c r="AK168" i="17"/>
  <c r="Y168" i="17"/>
  <c r="AJ168" i="17"/>
  <c r="S168" i="17"/>
  <c r="R168" i="17"/>
  <c r="Q168" i="17"/>
  <c r="AG168" i="17" s="1"/>
  <c r="B168" i="17"/>
  <c r="P168" i="17" s="1"/>
  <c r="AK167" i="17"/>
  <c r="Y167" i="17"/>
  <c r="S167" i="17"/>
  <c r="R167" i="17"/>
  <c r="Q167" i="17"/>
  <c r="AG167" i="17" s="1"/>
  <c r="B167" i="17"/>
  <c r="P167" i="17" s="1"/>
  <c r="AK166" i="17"/>
  <c r="Y166" i="17"/>
  <c r="S166" i="17"/>
  <c r="R166" i="17"/>
  <c r="Q166" i="17"/>
  <c r="AG166" i="17" s="1"/>
  <c r="B166" i="17"/>
  <c r="N166" i="17" s="1"/>
  <c r="AW166" i="17" s="1"/>
  <c r="AK165" i="17"/>
  <c r="Y165" i="17"/>
  <c r="AJ165" i="17"/>
  <c r="S165" i="17"/>
  <c r="R165" i="17"/>
  <c r="Q165" i="17"/>
  <c r="AG165" i="17" s="1"/>
  <c r="B165" i="17"/>
  <c r="P165" i="17" s="1"/>
  <c r="AK164" i="17"/>
  <c r="Y164" i="17"/>
  <c r="AJ164" i="17"/>
  <c r="S164" i="17"/>
  <c r="R164" i="17"/>
  <c r="Q164" i="17"/>
  <c r="AG164" i="17" s="1"/>
  <c r="B164" i="17"/>
  <c r="P164" i="17" s="1"/>
  <c r="AK163" i="17"/>
  <c r="Y163" i="17"/>
  <c r="S163" i="17"/>
  <c r="R163" i="17"/>
  <c r="Q163" i="17"/>
  <c r="AG163" i="17" s="1"/>
  <c r="B163" i="17"/>
  <c r="AK162" i="17"/>
  <c r="Y162" i="17"/>
  <c r="AJ162" i="17"/>
  <c r="S162" i="17"/>
  <c r="R162" i="17"/>
  <c r="Q162" i="17"/>
  <c r="AG162" i="17" s="1"/>
  <c r="B162" i="17"/>
  <c r="AK161" i="17"/>
  <c r="Y161" i="17"/>
  <c r="AJ161" i="17"/>
  <c r="S161" i="17"/>
  <c r="R161" i="17"/>
  <c r="Q161" i="17"/>
  <c r="AG161" i="17" s="1"/>
  <c r="B161" i="17"/>
  <c r="P161" i="17" s="1"/>
  <c r="AK160" i="17"/>
  <c r="Y160" i="17"/>
  <c r="AJ160" i="17"/>
  <c r="S160" i="17"/>
  <c r="R160" i="17"/>
  <c r="Q160" i="17"/>
  <c r="AG160" i="17" s="1"/>
  <c r="B160" i="17"/>
  <c r="P160" i="17" s="1"/>
  <c r="AK159" i="17"/>
  <c r="Y159" i="17"/>
  <c r="S159" i="17"/>
  <c r="R159" i="17"/>
  <c r="Q159" i="17"/>
  <c r="AG159" i="17" s="1"/>
  <c r="B159" i="17"/>
  <c r="P159" i="17" s="1"/>
  <c r="AK158" i="17"/>
  <c r="Y158" i="17"/>
  <c r="S158" i="17"/>
  <c r="R158" i="17"/>
  <c r="Q158" i="17"/>
  <c r="AG158" i="17" s="1"/>
  <c r="B158" i="17"/>
  <c r="AK157" i="17"/>
  <c r="Y157" i="17"/>
  <c r="AJ157" i="17"/>
  <c r="S157" i="17"/>
  <c r="R157" i="17"/>
  <c r="Q157" i="17"/>
  <c r="AG157" i="17" s="1"/>
  <c r="B157" i="17"/>
  <c r="P157" i="17" s="1"/>
  <c r="AK156" i="17"/>
  <c r="Y156" i="17"/>
  <c r="AJ156" i="17"/>
  <c r="S156" i="17"/>
  <c r="R156" i="17"/>
  <c r="Q156" i="17"/>
  <c r="AG156" i="17" s="1"/>
  <c r="B156" i="17"/>
  <c r="M156" i="17" s="1"/>
  <c r="AK155" i="17"/>
  <c r="Y155" i="17"/>
  <c r="S155" i="17"/>
  <c r="R155" i="17"/>
  <c r="Q155" i="17"/>
  <c r="AG155" i="17" s="1"/>
  <c r="B155" i="17"/>
  <c r="AK154" i="17"/>
  <c r="Y154" i="17"/>
  <c r="S154" i="17"/>
  <c r="R154" i="17"/>
  <c r="Q154" i="17"/>
  <c r="AG154" i="17" s="1"/>
  <c r="B154" i="17"/>
  <c r="M154" i="17" s="1"/>
  <c r="AK153" i="17"/>
  <c r="Y153" i="17"/>
  <c r="AJ153" i="17"/>
  <c r="S153" i="17"/>
  <c r="R153" i="17"/>
  <c r="Q153" i="17"/>
  <c r="AG153" i="17" s="1"/>
  <c r="B153" i="17"/>
  <c r="P153" i="17" s="1"/>
  <c r="AK152" i="17"/>
  <c r="Y152" i="17"/>
  <c r="AJ152" i="17"/>
  <c r="S152" i="17"/>
  <c r="R152" i="17"/>
  <c r="Q152" i="17"/>
  <c r="AG152" i="17" s="1"/>
  <c r="B152" i="17"/>
  <c r="P152" i="17" s="1"/>
  <c r="AK151" i="17"/>
  <c r="Y151" i="17"/>
  <c r="S151" i="17"/>
  <c r="R151" i="17"/>
  <c r="Q151" i="17"/>
  <c r="AG151" i="17" s="1"/>
  <c r="B151" i="17"/>
  <c r="P151" i="17" s="1"/>
  <c r="AK150" i="17"/>
  <c r="Y150" i="17"/>
  <c r="S150" i="17"/>
  <c r="R150" i="17"/>
  <c r="Q150" i="17"/>
  <c r="AG150" i="17" s="1"/>
  <c r="B150" i="17"/>
  <c r="N150" i="17" s="1"/>
  <c r="AW150" i="17" s="1"/>
  <c r="AK149" i="17"/>
  <c r="Y149" i="17"/>
  <c r="AJ149" i="17"/>
  <c r="S149" i="17"/>
  <c r="R149" i="17"/>
  <c r="Q149" i="17"/>
  <c r="AG149" i="17" s="1"/>
  <c r="B149" i="17"/>
  <c r="P149" i="17" s="1"/>
  <c r="AK148" i="17"/>
  <c r="Y148" i="17"/>
  <c r="AJ148" i="17"/>
  <c r="S148" i="17"/>
  <c r="R148" i="17"/>
  <c r="Q148" i="17"/>
  <c r="AG148" i="17" s="1"/>
  <c r="B148" i="17"/>
  <c r="M148" i="17" s="1"/>
  <c r="AK147" i="17"/>
  <c r="Y147" i="17"/>
  <c r="S147" i="17"/>
  <c r="R147" i="17"/>
  <c r="Q147" i="17"/>
  <c r="AG147" i="17" s="1"/>
  <c r="B147" i="17"/>
  <c r="M147" i="17" s="1"/>
  <c r="AK146" i="17"/>
  <c r="Y146" i="17"/>
  <c r="S146" i="17"/>
  <c r="R146" i="17"/>
  <c r="Q146" i="17"/>
  <c r="AG146" i="17" s="1"/>
  <c r="B146" i="17"/>
  <c r="M146" i="17" s="1"/>
  <c r="AK145" i="17"/>
  <c r="Y145" i="17"/>
  <c r="AJ145" i="17"/>
  <c r="S145" i="17"/>
  <c r="R145" i="17"/>
  <c r="Q145" i="17"/>
  <c r="AG145" i="17" s="1"/>
  <c r="B145" i="17"/>
  <c r="P145" i="17" s="1"/>
  <c r="AK144" i="17"/>
  <c r="Y144" i="17"/>
  <c r="AJ144" i="17"/>
  <c r="S144" i="17"/>
  <c r="R144" i="17"/>
  <c r="Q144" i="17"/>
  <c r="AG144" i="17" s="1"/>
  <c r="B144" i="17"/>
  <c r="P144" i="17" s="1"/>
  <c r="AK143" i="17"/>
  <c r="Y143" i="17"/>
  <c r="S143" i="17"/>
  <c r="R143" i="17"/>
  <c r="Q143" i="17"/>
  <c r="AG143" i="17" s="1"/>
  <c r="B143" i="17"/>
  <c r="O143" i="17" s="1"/>
  <c r="AK142" i="17"/>
  <c r="Y142" i="17"/>
  <c r="S142" i="17"/>
  <c r="R142" i="17"/>
  <c r="Q142" i="17"/>
  <c r="AG142" i="17" s="1"/>
  <c r="B142" i="17"/>
  <c r="N142" i="17" s="1"/>
  <c r="AW142" i="17" s="1"/>
  <c r="AK141" i="17"/>
  <c r="Y141" i="17"/>
  <c r="AJ141" i="17"/>
  <c r="S141" i="17"/>
  <c r="R141" i="17"/>
  <c r="Q141" i="17"/>
  <c r="AG141" i="17" s="1"/>
  <c r="B141" i="17"/>
  <c r="P141" i="17" s="1"/>
  <c r="AK140" i="17"/>
  <c r="Y140" i="17"/>
  <c r="AJ140" i="17"/>
  <c r="S140" i="17"/>
  <c r="R140" i="17"/>
  <c r="Q140" i="17"/>
  <c r="AG140" i="17" s="1"/>
  <c r="B140" i="17"/>
  <c r="AK139" i="17"/>
  <c r="Y139" i="17"/>
  <c r="S139" i="17"/>
  <c r="R139" i="17"/>
  <c r="Q139" i="17"/>
  <c r="AG139" i="17" s="1"/>
  <c r="B139" i="17"/>
  <c r="O139" i="17" s="1"/>
  <c r="AK138" i="17"/>
  <c r="Y138" i="17"/>
  <c r="AJ138" i="17"/>
  <c r="S138" i="17"/>
  <c r="R138" i="17"/>
  <c r="Q138" i="17"/>
  <c r="AG138" i="17" s="1"/>
  <c r="B138" i="17"/>
  <c r="M138" i="17" s="1"/>
  <c r="AK137" i="17"/>
  <c r="Y137" i="17"/>
  <c r="AJ137" i="17"/>
  <c r="S137" i="17"/>
  <c r="R137" i="17"/>
  <c r="Q137" i="17"/>
  <c r="AG137" i="17" s="1"/>
  <c r="B137" i="17"/>
  <c r="P137" i="17" s="1"/>
  <c r="AK136" i="17"/>
  <c r="Y136" i="17"/>
  <c r="AJ136" i="17"/>
  <c r="S136" i="17"/>
  <c r="R136" i="17"/>
  <c r="Q136" i="17"/>
  <c r="AG136" i="17" s="1"/>
  <c r="B136" i="17"/>
  <c r="P136" i="17" s="1"/>
  <c r="AK135" i="17"/>
  <c r="Y135" i="17"/>
  <c r="S135" i="17"/>
  <c r="R135" i="17"/>
  <c r="Q135" i="17"/>
  <c r="AG135" i="17" s="1"/>
  <c r="B135" i="17"/>
  <c r="P135" i="17" s="1"/>
  <c r="AK134" i="17"/>
  <c r="Y134" i="17"/>
  <c r="S134" i="17"/>
  <c r="R134" i="17"/>
  <c r="Q134" i="17"/>
  <c r="AG134" i="17" s="1"/>
  <c r="B134" i="17"/>
  <c r="N134" i="17" s="1"/>
  <c r="AW134" i="17" s="1"/>
  <c r="AK133" i="17"/>
  <c r="Y133" i="17"/>
  <c r="AJ133" i="17"/>
  <c r="S133" i="17"/>
  <c r="R133" i="17"/>
  <c r="Q133" i="17"/>
  <c r="AG133" i="17" s="1"/>
  <c r="B133" i="17"/>
  <c r="O133" i="17" s="1"/>
  <c r="AK132" i="17"/>
  <c r="Y132" i="17"/>
  <c r="AJ132" i="17"/>
  <c r="S132" i="17"/>
  <c r="R132" i="17"/>
  <c r="Q132" i="17"/>
  <c r="AG132" i="17" s="1"/>
  <c r="B132" i="17"/>
  <c r="N132" i="17" s="1"/>
  <c r="AW132" i="17" s="1"/>
  <c r="AK131" i="17"/>
  <c r="Y131" i="17"/>
  <c r="S131" i="17"/>
  <c r="R131" i="17"/>
  <c r="Q131" i="17"/>
  <c r="AG131" i="17" s="1"/>
  <c r="B131" i="17"/>
  <c r="N131" i="17" s="1"/>
  <c r="AK130" i="17"/>
  <c r="Y130" i="17"/>
  <c r="AJ130" i="17"/>
  <c r="S130" i="17"/>
  <c r="R130" i="17"/>
  <c r="Q130" i="17"/>
  <c r="AG130" i="17" s="1"/>
  <c r="B130" i="17"/>
  <c r="AK129" i="17"/>
  <c r="Y129" i="17"/>
  <c r="S129" i="17"/>
  <c r="R129" i="17"/>
  <c r="Q129" i="17"/>
  <c r="AG129" i="17" s="1"/>
  <c r="B129" i="17"/>
  <c r="AK128" i="17"/>
  <c r="Y128" i="17"/>
  <c r="AJ128" i="17"/>
  <c r="S128" i="17"/>
  <c r="R128" i="17"/>
  <c r="Q128" i="17"/>
  <c r="AG128" i="17" s="1"/>
  <c r="B128" i="17"/>
  <c r="N128" i="17" s="1"/>
  <c r="AW128" i="17" s="1"/>
  <c r="AK127" i="17"/>
  <c r="Y127" i="17"/>
  <c r="S127" i="17"/>
  <c r="R127" i="17"/>
  <c r="Q127" i="17"/>
  <c r="AG127" i="17" s="1"/>
  <c r="B127" i="17"/>
  <c r="AK126" i="17"/>
  <c r="Y126" i="17"/>
  <c r="S126" i="17"/>
  <c r="R126" i="17"/>
  <c r="Q126" i="17"/>
  <c r="AG126" i="17" s="1"/>
  <c r="B126" i="17"/>
  <c r="P126" i="17" s="1"/>
  <c r="AK125" i="17"/>
  <c r="Y125" i="17"/>
  <c r="S125" i="17"/>
  <c r="R125" i="17"/>
  <c r="Q125" i="17"/>
  <c r="AG125" i="17" s="1"/>
  <c r="B125" i="17"/>
  <c r="P125" i="17" s="1"/>
  <c r="AK124" i="17"/>
  <c r="Y124" i="17"/>
  <c r="S124" i="17"/>
  <c r="R124" i="17"/>
  <c r="Q124" i="17"/>
  <c r="AG124" i="17" s="1"/>
  <c r="B124" i="17"/>
  <c r="O124" i="17" s="1"/>
  <c r="AK123" i="17"/>
  <c r="Y123" i="17"/>
  <c r="S123" i="17"/>
  <c r="R123" i="17"/>
  <c r="Q123" i="17"/>
  <c r="AG123" i="17" s="1"/>
  <c r="B123" i="17"/>
  <c r="P123" i="17" s="1"/>
  <c r="AK122" i="17"/>
  <c r="Y122" i="17"/>
  <c r="S122" i="17"/>
  <c r="R122" i="17"/>
  <c r="Q122" i="17"/>
  <c r="AG122" i="17" s="1"/>
  <c r="B122" i="17"/>
  <c r="AK121" i="17"/>
  <c r="Y121" i="17"/>
  <c r="S121" i="17"/>
  <c r="R121" i="17"/>
  <c r="Q121" i="17"/>
  <c r="AG121" i="17" s="1"/>
  <c r="B121" i="17"/>
  <c r="P121" i="17" s="1"/>
  <c r="AK120" i="17"/>
  <c r="Y120" i="17"/>
  <c r="AJ120" i="17"/>
  <c r="S120" i="17"/>
  <c r="R120" i="17"/>
  <c r="Q120" i="17"/>
  <c r="AG120" i="17" s="1"/>
  <c r="B120" i="17"/>
  <c r="M120" i="17" s="1"/>
  <c r="AK119" i="17"/>
  <c r="Y119" i="17"/>
  <c r="S119" i="17"/>
  <c r="R119" i="17"/>
  <c r="Q119" i="17"/>
  <c r="AG119" i="17" s="1"/>
  <c r="B119" i="17"/>
  <c r="AK118" i="17"/>
  <c r="Y118" i="17"/>
  <c r="AJ118" i="17"/>
  <c r="S118" i="17"/>
  <c r="R118" i="17"/>
  <c r="Q118" i="17"/>
  <c r="AG118" i="17" s="1"/>
  <c r="B118" i="17"/>
  <c r="P118" i="17" s="1"/>
  <c r="AK117" i="17"/>
  <c r="Y117" i="17"/>
  <c r="S117" i="17"/>
  <c r="R117" i="17"/>
  <c r="Q117" i="17"/>
  <c r="AG117" i="17" s="1"/>
  <c r="B117" i="17"/>
  <c r="P117" i="17" s="1"/>
  <c r="AK116" i="17"/>
  <c r="Y116" i="17"/>
  <c r="S116" i="17"/>
  <c r="R116" i="17"/>
  <c r="Q116" i="17"/>
  <c r="AG116" i="17" s="1"/>
  <c r="B116" i="17"/>
  <c r="N116" i="17" s="1"/>
  <c r="AW116" i="17" s="1"/>
  <c r="AK115" i="17"/>
  <c r="Y115" i="17"/>
  <c r="S115" i="17"/>
  <c r="R115" i="17"/>
  <c r="Q115" i="17"/>
  <c r="AG115" i="17" s="1"/>
  <c r="B115" i="17"/>
  <c r="N115" i="17" s="1"/>
  <c r="AK114" i="17"/>
  <c r="Y114" i="17"/>
  <c r="S114" i="17"/>
  <c r="R114" i="17"/>
  <c r="Q114" i="17"/>
  <c r="AG114" i="17" s="1"/>
  <c r="B114" i="17"/>
  <c r="AK113" i="17"/>
  <c r="Y113" i="17"/>
  <c r="S113" i="17"/>
  <c r="R113" i="17"/>
  <c r="Q113" i="17"/>
  <c r="AG113" i="17" s="1"/>
  <c r="B113" i="17"/>
  <c r="AK112" i="17"/>
  <c r="Y112" i="17"/>
  <c r="S112" i="17"/>
  <c r="R112" i="17"/>
  <c r="Q112" i="17"/>
  <c r="AG112" i="17" s="1"/>
  <c r="B112" i="17"/>
  <c r="N112" i="17" s="1"/>
  <c r="AW112" i="17" s="1"/>
  <c r="AK111" i="17"/>
  <c r="Y111" i="17"/>
  <c r="S111" i="17"/>
  <c r="R111" i="17"/>
  <c r="Q111" i="17"/>
  <c r="AG111" i="17" s="1"/>
  <c r="B111" i="17"/>
  <c r="N111" i="17" s="1"/>
  <c r="AK110" i="17"/>
  <c r="Y110" i="17"/>
  <c r="AJ110" i="17"/>
  <c r="S110" i="17"/>
  <c r="R110" i="17"/>
  <c r="Q110" i="17"/>
  <c r="AG110" i="17" s="1"/>
  <c r="B110" i="17"/>
  <c r="P110" i="17" s="1"/>
  <c r="AK109" i="17"/>
  <c r="Y109" i="17"/>
  <c r="S109" i="17"/>
  <c r="R109" i="17"/>
  <c r="Q109" i="17"/>
  <c r="AG109" i="17" s="1"/>
  <c r="B109" i="17"/>
  <c r="P109" i="17" s="1"/>
  <c r="AK108" i="17"/>
  <c r="Y108" i="17"/>
  <c r="S108" i="17"/>
  <c r="R108" i="17"/>
  <c r="Q108" i="17"/>
  <c r="AG108" i="17" s="1"/>
  <c r="B108" i="17"/>
  <c r="O108" i="17" s="1"/>
  <c r="AK107" i="17"/>
  <c r="Y107" i="17"/>
  <c r="S107" i="17"/>
  <c r="R107" i="17"/>
  <c r="Q107" i="17"/>
  <c r="AG107" i="17" s="1"/>
  <c r="B107" i="17"/>
  <c r="P107" i="17" s="1"/>
  <c r="AK106" i="17"/>
  <c r="Y106" i="17"/>
  <c r="S106" i="17"/>
  <c r="R106" i="17"/>
  <c r="Q106" i="17"/>
  <c r="AG106" i="17" s="1"/>
  <c r="B106" i="17"/>
  <c r="AK105" i="17"/>
  <c r="Y105" i="17"/>
  <c r="S105" i="17"/>
  <c r="R105" i="17"/>
  <c r="Q105" i="17"/>
  <c r="AG105" i="17" s="1"/>
  <c r="B105" i="17"/>
  <c r="P105" i="17" s="1"/>
  <c r="AK104" i="17"/>
  <c r="Y104" i="17"/>
  <c r="AJ104" i="17"/>
  <c r="S104" i="17"/>
  <c r="R104" i="17"/>
  <c r="Q104" i="17"/>
  <c r="AG104" i="17" s="1"/>
  <c r="B104" i="17"/>
  <c r="M104" i="17" s="1"/>
  <c r="AK103" i="17"/>
  <c r="Y103" i="17"/>
  <c r="S103" i="17"/>
  <c r="R103" i="17"/>
  <c r="Q103" i="17"/>
  <c r="AG103" i="17" s="1"/>
  <c r="B103" i="17"/>
  <c r="AK102" i="17"/>
  <c r="Y102" i="17"/>
  <c r="S102" i="17"/>
  <c r="R102" i="17"/>
  <c r="Q102" i="17"/>
  <c r="AG102" i="17" s="1"/>
  <c r="B102" i="17"/>
  <c r="P102" i="17" s="1"/>
  <c r="AK101" i="17"/>
  <c r="Y101" i="17"/>
  <c r="S101" i="17"/>
  <c r="R101" i="17"/>
  <c r="Q101" i="17"/>
  <c r="AG101" i="17" s="1"/>
  <c r="B101" i="17"/>
  <c r="P101" i="17" s="1"/>
  <c r="AK100" i="17"/>
  <c r="Y100" i="17"/>
  <c r="S100" i="17"/>
  <c r="R100" i="17"/>
  <c r="Q100" i="17"/>
  <c r="AG100" i="17" s="1"/>
  <c r="B100" i="17"/>
  <c r="N100" i="17" s="1"/>
  <c r="AW100" i="17" s="1"/>
  <c r="AK99" i="17"/>
  <c r="Y99" i="17"/>
  <c r="S99" i="17"/>
  <c r="R99" i="17"/>
  <c r="Q99" i="17"/>
  <c r="AG99" i="17" s="1"/>
  <c r="B99" i="17"/>
  <c r="P99" i="17" s="1"/>
  <c r="AK98" i="17"/>
  <c r="Y98" i="17"/>
  <c r="AJ98" i="17"/>
  <c r="S98" i="17"/>
  <c r="R98" i="17"/>
  <c r="Q98" i="17"/>
  <c r="AG98" i="17" s="1"/>
  <c r="B98" i="17"/>
  <c r="P98" i="17" s="1"/>
  <c r="AK97" i="17"/>
  <c r="Y97" i="17"/>
  <c r="S97" i="17"/>
  <c r="R97" i="17"/>
  <c r="Q97" i="17"/>
  <c r="AG97" i="17" s="1"/>
  <c r="B97" i="17"/>
  <c r="AK96" i="17"/>
  <c r="Y96" i="17"/>
  <c r="S96" i="17"/>
  <c r="R96" i="17"/>
  <c r="Q96" i="17"/>
  <c r="AG96" i="17" s="1"/>
  <c r="B96" i="17"/>
  <c r="P96" i="17" s="1"/>
  <c r="AK95" i="17"/>
  <c r="Y95" i="17"/>
  <c r="S95" i="17"/>
  <c r="R95" i="17"/>
  <c r="Q95" i="17"/>
  <c r="AG95" i="17" s="1"/>
  <c r="B95" i="17"/>
  <c r="N95" i="17" s="1"/>
  <c r="AK94" i="17"/>
  <c r="Y94" i="17"/>
  <c r="S94" i="17"/>
  <c r="R94" i="17"/>
  <c r="Q94" i="17"/>
  <c r="AG94" i="17" s="1"/>
  <c r="B94" i="17"/>
  <c r="P94" i="17" s="1"/>
  <c r="AK93" i="17"/>
  <c r="Y93" i="17"/>
  <c r="S93" i="17"/>
  <c r="R93" i="17"/>
  <c r="Q93" i="17"/>
  <c r="AG93" i="17" s="1"/>
  <c r="B93" i="17"/>
  <c r="O93" i="17" s="1"/>
  <c r="AK92" i="17"/>
  <c r="Y92" i="17"/>
  <c r="S92" i="17"/>
  <c r="R92" i="17"/>
  <c r="Q92" i="17"/>
  <c r="AG92" i="17" s="1"/>
  <c r="B92" i="17"/>
  <c r="P92" i="17" s="1"/>
  <c r="AK91" i="17"/>
  <c r="Y91" i="17"/>
  <c r="AJ91" i="17"/>
  <c r="S91" i="17"/>
  <c r="R91" i="17"/>
  <c r="Q91" i="17"/>
  <c r="AG91" i="17" s="1"/>
  <c r="B91" i="17"/>
  <c r="M91" i="17" s="1"/>
  <c r="AK90" i="17"/>
  <c r="Y90" i="17"/>
  <c r="AJ90" i="17"/>
  <c r="S90" i="17"/>
  <c r="R90" i="17"/>
  <c r="Q90" i="17"/>
  <c r="AG90" i="17" s="1"/>
  <c r="B90" i="17"/>
  <c r="N90" i="17" s="1"/>
  <c r="AK89" i="17"/>
  <c r="Y89" i="17"/>
  <c r="S89" i="17"/>
  <c r="R89" i="17"/>
  <c r="Q89" i="17"/>
  <c r="AG89" i="17" s="1"/>
  <c r="B89" i="17"/>
  <c r="O89" i="17" s="1"/>
  <c r="AK88" i="17"/>
  <c r="Y88" i="17"/>
  <c r="S88" i="17"/>
  <c r="R88" i="17"/>
  <c r="Q88" i="17"/>
  <c r="AG88" i="17" s="1"/>
  <c r="B88" i="17"/>
  <c r="P88" i="17" s="1"/>
  <c r="AK87" i="17"/>
  <c r="Y87" i="17"/>
  <c r="AJ87" i="17"/>
  <c r="S87" i="17"/>
  <c r="R87" i="17"/>
  <c r="Q87" i="17"/>
  <c r="AG87" i="17" s="1"/>
  <c r="B87" i="17"/>
  <c r="M87" i="17" s="1"/>
  <c r="AK86" i="17"/>
  <c r="Y86" i="17"/>
  <c r="AJ86" i="17"/>
  <c r="S86" i="17"/>
  <c r="R86" i="17"/>
  <c r="Q86" i="17"/>
  <c r="AG86" i="17" s="1"/>
  <c r="B86" i="17"/>
  <c r="AK85" i="17"/>
  <c r="Y85" i="17"/>
  <c r="S85" i="17"/>
  <c r="R85" i="17"/>
  <c r="Q85" i="17"/>
  <c r="AG85" i="17" s="1"/>
  <c r="B85" i="17"/>
  <c r="N85" i="17" s="1"/>
  <c r="AW85" i="17" s="1"/>
  <c r="AK84" i="17"/>
  <c r="Y84" i="17"/>
  <c r="AJ84" i="17"/>
  <c r="S84" i="17"/>
  <c r="R84" i="17"/>
  <c r="Q84" i="17"/>
  <c r="AG84" i="17" s="1"/>
  <c r="B84" i="17"/>
  <c r="P84" i="17" s="1"/>
  <c r="AK83" i="17"/>
  <c r="Y83" i="17"/>
  <c r="S83" i="17"/>
  <c r="R83" i="17"/>
  <c r="Q83" i="17"/>
  <c r="AG83" i="17" s="1"/>
  <c r="B83" i="17"/>
  <c r="M83" i="17" s="1"/>
  <c r="AK82" i="17"/>
  <c r="Y82" i="17"/>
  <c r="AJ82" i="17"/>
  <c r="S82" i="17"/>
  <c r="R82" i="17"/>
  <c r="Q82" i="17"/>
  <c r="AG82" i="17" s="1"/>
  <c r="B82" i="17"/>
  <c r="N82" i="17" s="1"/>
  <c r="AK81" i="17"/>
  <c r="Y81" i="17"/>
  <c r="S81" i="17"/>
  <c r="R81" i="17"/>
  <c r="Q81" i="17"/>
  <c r="AG81" i="17" s="1"/>
  <c r="B81" i="17"/>
  <c r="O81" i="17" s="1"/>
  <c r="AK80" i="17"/>
  <c r="Y80" i="17"/>
  <c r="AJ80" i="17"/>
  <c r="S80" i="17"/>
  <c r="R80" i="17"/>
  <c r="Q80" i="17"/>
  <c r="AG80" i="17" s="1"/>
  <c r="B80" i="17"/>
  <c r="P80" i="17" s="1"/>
  <c r="AK79" i="17"/>
  <c r="Y79" i="17"/>
  <c r="AJ79" i="17"/>
  <c r="S79" i="17"/>
  <c r="R79" i="17"/>
  <c r="Q79" i="17"/>
  <c r="AG79" i="17" s="1"/>
  <c r="B79" i="17"/>
  <c r="M79" i="17" s="1"/>
  <c r="AK78" i="17"/>
  <c r="Y78" i="17"/>
  <c r="S78" i="17"/>
  <c r="R78" i="17"/>
  <c r="Q78" i="17"/>
  <c r="AG78" i="17" s="1"/>
  <c r="B78" i="17"/>
  <c r="N78" i="17" s="1"/>
  <c r="AK77" i="17"/>
  <c r="Y77" i="17"/>
  <c r="S77" i="17"/>
  <c r="R77" i="17"/>
  <c r="Q77" i="17"/>
  <c r="AG77" i="17" s="1"/>
  <c r="B77" i="17"/>
  <c r="O77" i="17" s="1"/>
  <c r="AK76" i="17"/>
  <c r="Y76" i="17"/>
  <c r="S76" i="17"/>
  <c r="R76" i="17"/>
  <c r="Q76" i="17"/>
  <c r="AG76" i="17" s="1"/>
  <c r="B76" i="17"/>
  <c r="AK75" i="17"/>
  <c r="Y75" i="17"/>
  <c r="AJ75" i="17"/>
  <c r="S75" i="17"/>
  <c r="R75" i="17"/>
  <c r="Q75" i="17"/>
  <c r="AG75" i="17" s="1"/>
  <c r="B75" i="17"/>
  <c r="AK74" i="17"/>
  <c r="Y74" i="17"/>
  <c r="AJ74" i="17"/>
  <c r="S74" i="17"/>
  <c r="R74" i="17"/>
  <c r="Q74" i="17"/>
  <c r="AG74" i="17" s="1"/>
  <c r="B74" i="17"/>
  <c r="N74" i="17" s="1"/>
  <c r="AK73" i="17"/>
  <c r="Y73" i="17"/>
  <c r="S73" i="17"/>
  <c r="R73" i="17"/>
  <c r="Q73" i="17"/>
  <c r="AG73" i="17" s="1"/>
  <c r="B73" i="17"/>
  <c r="O73" i="17" s="1"/>
  <c r="AK72" i="17"/>
  <c r="Y72" i="17"/>
  <c r="S72" i="17"/>
  <c r="R72" i="17"/>
  <c r="Q72" i="17"/>
  <c r="AG72" i="17" s="1"/>
  <c r="B72" i="17"/>
  <c r="P72" i="17" s="1"/>
  <c r="AK71" i="17"/>
  <c r="Y71" i="17"/>
  <c r="AJ71" i="17"/>
  <c r="S71" i="17"/>
  <c r="R71" i="17"/>
  <c r="Q71" i="17"/>
  <c r="AG71" i="17" s="1"/>
  <c r="B71" i="17"/>
  <c r="M71" i="17" s="1"/>
  <c r="AK70" i="17"/>
  <c r="Y70" i="17"/>
  <c r="AJ70" i="17"/>
  <c r="S70" i="17"/>
  <c r="R70" i="17"/>
  <c r="Q70" i="17"/>
  <c r="AG70" i="17" s="1"/>
  <c r="B70" i="17"/>
  <c r="AK69" i="17"/>
  <c r="Y69" i="17"/>
  <c r="S69" i="17"/>
  <c r="R69" i="17"/>
  <c r="Q69" i="17"/>
  <c r="AG69" i="17" s="1"/>
  <c r="B69" i="17"/>
  <c r="AK68" i="17"/>
  <c r="Y68" i="17"/>
  <c r="AJ68" i="17"/>
  <c r="S68" i="17"/>
  <c r="R68" i="17"/>
  <c r="Q68" i="17"/>
  <c r="AG68" i="17" s="1"/>
  <c r="B68" i="17"/>
  <c r="P68" i="17" s="1"/>
  <c r="AK67" i="17"/>
  <c r="Y67" i="17"/>
  <c r="S67" i="17"/>
  <c r="R67" i="17"/>
  <c r="Q67" i="17"/>
  <c r="AG67" i="17" s="1"/>
  <c r="B67" i="17"/>
  <c r="M67" i="17" s="1"/>
  <c r="AK66" i="17"/>
  <c r="Y66" i="17"/>
  <c r="AJ66" i="17"/>
  <c r="S66" i="17"/>
  <c r="R66" i="17"/>
  <c r="Q66" i="17"/>
  <c r="AG66" i="17" s="1"/>
  <c r="B66" i="17"/>
  <c r="N66" i="17" s="1"/>
  <c r="AK65" i="17"/>
  <c r="Y65" i="17"/>
  <c r="S65" i="17"/>
  <c r="R65" i="17"/>
  <c r="Q65" i="17"/>
  <c r="AG65" i="17" s="1"/>
  <c r="B65" i="17"/>
  <c r="O65" i="17" s="1"/>
  <c r="AK64" i="17"/>
  <c r="Y64" i="17"/>
  <c r="AJ64" i="17"/>
  <c r="S64" i="17"/>
  <c r="R64" i="17"/>
  <c r="Q64" i="17"/>
  <c r="AG64" i="17" s="1"/>
  <c r="B64" i="17"/>
  <c r="P64" i="17" s="1"/>
  <c r="AK63" i="17"/>
  <c r="Y63" i="17"/>
  <c r="AJ63" i="17"/>
  <c r="S63" i="17"/>
  <c r="R63" i="17"/>
  <c r="Q63" i="17"/>
  <c r="AG63" i="17" s="1"/>
  <c r="B63" i="17"/>
  <c r="M63" i="17" s="1"/>
  <c r="AK62" i="17"/>
  <c r="Y62" i="17"/>
  <c r="S62" i="17"/>
  <c r="R62" i="17"/>
  <c r="Q62" i="17"/>
  <c r="AG62" i="17" s="1"/>
  <c r="B62" i="17"/>
  <c r="N62" i="17" s="1"/>
  <c r="AK61" i="17"/>
  <c r="Y61" i="17"/>
  <c r="S61" i="17"/>
  <c r="R61" i="17"/>
  <c r="Q61" i="17"/>
  <c r="AG61" i="17" s="1"/>
  <c r="B61" i="17"/>
  <c r="O61" i="17" s="1"/>
  <c r="AK60" i="17"/>
  <c r="Y60" i="17"/>
  <c r="S60" i="17"/>
  <c r="R60" i="17"/>
  <c r="Q60" i="17"/>
  <c r="AG60" i="17" s="1"/>
  <c r="B60" i="17"/>
  <c r="AK59" i="17"/>
  <c r="Y59" i="17"/>
  <c r="AJ59" i="17"/>
  <c r="S59" i="17"/>
  <c r="R59" i="17"/>
  <c r="Q59" i="17"/>
  <c r="AG59" i="17" s="1"/>
  <c r="B59" i="17"/>
  <c r="AK58" i="17"/>
  <c r="Y58" i="17"/>
  <c r="S58" i="17"/>
  <c r="R58" i="17"/>
  <c r="Q58" i="17"/>
  <c r="AG58" i="17" s="1"/>
  <c r="B58" i="17"/>
  <c r="N58" i="17" s="1"/>
  <c r="AK57" i="17"/>
  <c r="Y57" i="17"/>
  <c r="S57" i="17"/>
  <c r="R57" i="17"/>
  <c r="Q57" i="17"/>
  <c r="AG57" i="17" s="1"/>
  <c r="B57" i="17"/>
  <c r="O57" i="17" s="1"/>
  <c r="AK56" i="17"/>
  <c r="Y56" i="17"/>
  <c r="S56" i="17"/>
  <c r="R56" i="17"/>
  <c r="Q56" i="17"/>
  <c r="AG56" i="17" s="1"/>
  <c r="B56" i="17"/>
  <c r="P56" i="17" s="1"/>
  <c r="AK55" i="17"/>
  <c r="Y55" i="17"/>
  <c r="AJ55" i="17"/>
  <c r="S55" i="17"/>
  <c r="R55" i="17"/>
  <c r="Q55" i="17"/>
  <c r="AG55" i="17" s="1"/>
  <c r="B55" i="17"/>
  <c r="P55" i="17" s="1"/>
  <c r="AK54" i="17"/>
  <c r="Y54" i="17"/>
  <c r="AJ54" i="17"/>
  <c r="S54" i="17"/>
  <c r="R54" i="17"/>
  <c r="Q54" i="17"/>
  <c r="AG54" i="17" s="1"/>
  <c r="B54" i="17"/>
  <c r="N54" i="17" s="1"/>
  <c r="AW54" i="17" s="1"/>
  <c r="AK53" i="17"/>
  <c r="Y53" i="17"/>
  <c r="AJ53" i="17"/>
  <c r="S53" i="17"/>
  <c r="R53" i="17"/>
  <c r="Q53" i="17"/>
  <c r="AG53" i="17" s="1"/>
  <c r="B53" i="17"/>
  <c r="P53" i="17" s="1"/>
  <c r="AK52" i="17"/>
  <c r="Y52" i="17"/>
  <c r="AJ52" i="17"/>
  <c r="S52" i="17"/>
  <c r="R52" i="17"/>
  <c r="Q52" i="17"/>
  <c r="AG52" i="17" s="1"/>
  <c r="B52" i="17"/>
  <c r="P52" i="17" s="1"/>
  <c r="AK51" i="17"/>
  <c r="Y51" i="17"/>
  <c r="AJ51" i="17"/>
  <c r="S51" i="17"/>
  <c r="R51" i="17"/>
  <c r="Q51" i="17"/>
  <c r="AG51" i="17" s="1"/>
  <c r="B51" i="17"/>
  <c r="AK50" i="17"/>
  <c r="Y50" i="17"/>
  <c r="S50" i="17"/>
  <c r="R50" i="17"/>
  <c r="Q50" i="17"/>
  <c r="AG50" i="17" s="1"/>
  <c r="B50" i="17"/>
  <c r="N50" i="17" s="1"/>
  <c r="AW50" i="17" s="1"/>
  <c r="AK49" i="17"/>
  <c r="Y49" i="17"/>
  <c r="S49" i="17"/>
  <c r="R49" i="17"/>
  <c r="Q49" i="17"/>
  <c r="AG49" i="17" s="1"/>
  <c r="B49" i="17"/>
  <c r="P49" i="17" s="1"/>
  <c r="AK48" i="17"/>
  <c r="Y48" i="17"/>
  <c r="AJ48" i="17"/>
  <c r="S48" i="17"/>
  <c r="R48" i="17"/>
  <c r="Q48" i="17"/>
  <c r="AG48" i="17" s="1"/>
  <c r="B48" i="17"/>
  <c r="AK47" i="17"/>
  <c r="Y47" i="17"/>
  <c r="AJ47" i="17"/>
  <c r="S47" i="17"/>
  <c r="R47" i="17"/>
  <c r="Q47" i="17"/>
  <c r="AG47" i="17" s="1"/>
  <c r="B47" i="17"/>
  <c r="P47" i="17" s="1"/>
  <c r="AK46" i="17"/>
  <c r="Y46" i="17"/>
  <c r="AJ46" i="17"/>
  <c r="S46" i="17"/>
  <c r="R46" i="17"/>
  <c r="Q46" i="17"/>
  <c r="AG46" i="17" s="1"/>
  <c r="B46" i="17"/>
  <c r="N46" i="17" s="1"/>
  <c r="AW46" i="17" s="1"/>
  <c r="AK45" i="17"/>
  <c r="Y45" i="17"/>
  <c r="AJ45" i="17"/>
  <c r="S45" i="17"/>
  <c r="R45" i="17"/>
  <c r="Q45" i="17"/>
  <c r="AG45" i="17" s="1"/>
  <c r="B45" i="17"/>
  <c r="P45" i="17" s="1"/>
  <c r="AK44" i="17"/>
  <c r="Y44" i="17"/>
  <c r="AJ44" i="17"/>
  <c r="S44" i="17"/>
  <c r="R44" i="17"/>
  <c r="Q44" i="17"/>
  <c r="AG44" i="17" s="1"/>
  <c r="B44" i="17"/>
  <c r="P44" i="17" s="1"/>
  <c r="AK43" i="17"/>
  <c r="Y43" i="17"/>
  <c r="AJ43" i="17"/>
  <c r="S43" i="17"/>
  <c r="R43" i="17"/>
  <c r="Q43" i="17"/>
  <c r="AG43" i="17" s="1"/>
  <c r="B43" i="17"/>
  <c r="P43" i="17" s="1"/>
  <c r="AK42" i="17"/>
  <c r="Y42" i="17"/>
  <c r="AJ42" i="17"/>
  <c r="S42" i="17"/>
  <c r="R42" i="17"/>
  <c r="Q42" i="17"/>
  <c r="AG42" i="17" s="1"/>
  <c r="B42" i="17"/>
  <c r="N42" i="17" s="1"/>
  <c r="AW42" i="17" s="1"/>
  <c r="AK41" i="17"/>
  <c r="Y41" i="17"/>
  <c r="AJ41" i="17"/>
  <c r="S41" i="17"/>
  <c r="R41" i="17"/>
  <c r="Q41" i="17"/>
  <c r="AG41" i="17" s="1"/>
  <c r="B41" i="17"/>
  <c r="P41" i="17" s="1"/>
  <c r="AK40" i="17"/>
  <c r="Y40" i="17"/>
  <c r="AJ40" i="17"/>
  <c r="S40" i="17"/>
  <c r="R40" i="17"/>
  <c r="Q40" i="17"/>
  <c r="AG40" i="17" s="1"/>
  <c r="B40" i="17"/>
  <c r="P40" i="17" s="1"/>
  <c r="AK39" i="17"/>
  <c r="Y39" i="17"/>
  <c r="AJ39" i="17"/>
  <c r="S39" i="17"/>
  <c r="R39" i="17"/>
  <c r="Q39" i="17"/>
  <c r="AG39" i="17" s="1"/>
  <c r="B39" i="17"/>
  <c r="AK38" i="17"/>
  <c r="Y38" i="17"/>
  <c r="AJ38" i="17"/>
  <c r="S38" i="17"/>
  <c r="R38" i="17"/>
  <c r="Q38" i="17"/>
  <c r="AG38" i="17" s="1"/>
  <c r="B38" i="17"/>
  <c r="N38" i="17" s="1"/>
  <c r="AW38" i="17" s="1"/>
  <c r="AK37" i="17"/>
  <c r="Y37" i="17"/>
  <c r="AJ37" i="17"/>
  <c r="S37" i="17"/>
  <c r="R37" i="17"/>
  <c r="Q37" i="17"/>
  <c r="AG37" i="17" s="1"/>
  <c r="B37" i="17"/>
  <c r="P37" i="17" s="1"/>
  <c r="AK36" i="17"/>
  <c r="Y36" i="17"/>
  <c r="AJ36" i="17"/>
  <c r="S36" i="17"/>
  <c r="R36" i="17"/>
  <c r="Q36" i="17"/>
  <c r="AG36" i="17" s="1"/>
  <c r="B36" i="17"/>
  <c r="P36" i="17" s="1"/>
  <c r="AK35" i="17"/>
  <c r="Y35" i="17"/>
  <c r="AJ35" i="17"/>
  <c r="S35" i="17"/>
  <c r="R35" i="17"/>
  <c r="Q35" i="17"/>
  <c r="AG35" i="17" s="1"/>
  <c r="B35" i="17"/>
  <c r="AK34" i="17"/>
  <c r="Y34" i="17"/>
  <c r="S34" i="17"/>
  <c r="R34" i="17"/>
  <c r="Q34" i="17"/>
  <c r="AG34" i="17" s="1"/>
  <c r="B34" i="17"/>
  <c r="N34" i="17" s="1"/>
  <c r="AW34" i="17" s="1"/>
  <c r="AK33" i="17"/>
  <c r="Y33" i="17"/>
  <c r="S33" i="17"/>
  <c r="R33" i="17"/>
  <c r="Q33" i="17"/>
  <c r="AG33" i="17" s="1"/>
  <c r="B33" i="17"/>
  <c r="P33" i="17" s="1"/>
  <c r="AK32" i="17"/>
  <c r="Y32" i="17"/>
  <c r="AJ32" i="17"/>
  <c r="S32" i="17"/>
  <c r="R32" i="17"/>
  <c r="Q32" i="17"/>
  <c r="AG32" i="17" s="1"/>
  <c r="B32" i="17"/>
  <c r="AK31" i="17"/>
  <c r="Y31" i="17"/>
  <c r="AJ31" i="17"/>
  <c r="S31" i="17"/>
  <c r="R31" i="17"/>
  <c r="Q31" i="17"/>
  <c r="AG31" i="17" s="1"/>
  <c r="B31" i="17"/>
  <c r="P31" i="17" s="1"/>
  <c r="AK30" i="17"/>
  <c r="Y30" i="17"/>
  <c r="AJ30" i="17"/>
  <c r="S30" i="17"/>
  <c r="R30" i="17"/>
  <c r="Q30" i="17"/>
  <c r="AG30" i="17" s="1"/>
  <c r="B30" i="17"/>
  <c r="N30" i="17" s="1"/>
  <c r="AW30" i="17" s="1"/>
  <c r="AK29" i="17"/>
  <c r="Y29" i="17"/>
  <c r="AJ29" i="17"/>
  <c r="S29" i="17"/>
  <c r="R29" i="17"/>
  <c r="Q29" i="17"/>
  <c r="AG29" i="17" s="1"/>
  <c r="B29" i="17"/>
  <c r="P29" i="17" s="1"/>
  <c r="AK28" i="17"/>
  <c r="Y28" i="17"/>
  <c r="AJ28" i="17"/>
  <c r="S28" i="17"/>
  <c r="R28" i="17"/>
  <c r="Q28" i="17"/>
  <c r="AG28" i="17" s="1"/>
  <c r="B28" i="17"/>
  <c r="P28" i="17" s="1"/>
  <c r="AK27" i="17"/>
  <c r="Y27" i="17"/>
  <c r="AJ27" i="17"/>
  <c r="S27" i="17"/>
  <c r="R27" i="17"/>
  <c r="Q27" i="17"/>
  <c r="AG27" i="17" s="1"/>
  <c r="B27" i="17"/>
  <c r="P27" i="17" s="1"/>
  <c r="AK26" i="17"/>
  <c r="Y26" i="17"/>
  <c r="AJ26" i="17"/>
  <c r="S26" i="17"/>
  <c r="R26" i="17"/>
  <c r="Q26" i="17"/>
  <c r="AG26" i="17" s="1"/>
  <c r="B26" i="17"/>
  <c r="N26" i="17" s="1"/>
  <c r="AW26" i="17" s="1"/>
  <c r="AK25" i="17"/>
  <c r="Y25" i="17"/>
  <c r="AJ25" i="17"/>
  <c r="S25" i="17"/>
  <c r="R25" i="17"/>
  <c r="Q25" i="17"/>
  <c r="AG25" i="17" s="1"/>
  <c r="B25" i="17"/>
  <c r="P25" i="17" s="1"/>
  <c r="AK24" i="17"/>
  <c r="Y24" i="17"/>
  <c r="AJ24" i="17"/>
  <c r="S24" i="17"/>
  <c r="R24" i="17"/>
  <c r="Q24" i="17"/>
  <c r="AG24" i="17" s="1"/>
  <c r="B24" i="17"/>
  <c r="P24" i="17" s="1"/>
  <c r="AK23" i="17"/>
  <c r="Y23" i="17"/>
  <c r="AJ23" i="17"/>
  <c r="S23" i="17"/>
  <c r="R23" i="17"/>
  <c r="Q23" i="17"/>
  <c r="AG23" i="17" s="1"/>
  <c r="B23" i="17"/>
  <c r="P23" i="17" s="1"/>
  <c r="AK22" i="17"/>
  <c r="Y22" i="17"/>
  <c r="S22" i="17"/>
  <c r="R22" i="17"/>
  <c r="Q22" i="17"/>
  <c r="AG22" i="17" s="1"/>
  <c r="B22" i="17"/>
  <c r="N22" i="17" s="1"/>
  <c r="AK21" i="17"/>
  <c r="Y21" i="17"/>
  <c r="S21" i="17"/>
  <c r="R21" i="17"/>
  <c r="Q21" i="17"/>
  <c r="AG21" i="17" s="1"/>
  <c r="B21" i="17"/>
  <c r="P21" i="17" s="1"/>
  <c r="AK20" i="17"/>
  <c r="Y20" i="17"/>
  <c r="S20" i="17"/>
  <c r="R20" i="17"/>
  <c r="Q20" i="17"/>
  <c r="AG20" i="17" s="1"/>
  <c r="B20" i="17"/>
  <c r="AK19" i="17"/>
  <c r="Y19" i="17"/>
  <c r="S19" i="17"/>
  <c r="R19" i="17"/>
  <c r="Q19" i="17"/>
  <c r="AG19" i="17" s="1"/>
  <c r="B19" i="17"/>
  <c r="N19" i="17" s="1"/>
  <c r="U294" i="17" l="1"/>
  <c r="AW294" i="17"/>
  <c r="U356" i="17"/>
  <c r="AW356" i="17"/>
  <c r="U474" i="17"/>
  <c r="AW474" i="17"/>
  <c r="U131" i="17"/>
  <c r="AW131" i="17"/>
  <c r="U226" i="17"/>
  <c r="AW226" i="17"/>
  <c r="U322" i="17"/>
  <c r="AW322" i="17"/>
  <c r="U504" i="17"/>
  <c r="AW504" i="17"/>
  <c r="U74" i="17"/>
  <c r="AW74" i="17"/>
  <c r="U90" i="17"/>
  <c r="AW90" i="17"/>
  <c r="U95" i="17"/>
  <c r="AW95" i="17"/>
  <c r="U459" i="17"/>
  <c r="AW459" i="17"/>
  <c r="U58" i="17"/>
  <c r="AW58" i="17"/>
  <c r="U239" i="17"/>
  <c r="AW239" i="17"/>
  <c r="U464" i="17"/>
  <c r="AW464" i="17"/>
  <c r="U62" i="17"/>
  <c r="AW62" i="17"/>
  <c r="U78" i="17"/>
  <c r="AW78" i="17"/>
  <c r="U210" i="17"/>
  <c r="AW210" i="17"/>
  <c r="U214" i="17"/>
  <c r="AW214" i="17"/>
  <c r="U111" i="17"/>
  <c r="AW111" i="17"/>
  <c r="U115" i="17"/>
  <c r="AW115" i="17"/>
  <c r="X238" i="17"/>
  <c r="AW238" i="17"/>
  <c r="U66" i="17"/>
  <c r="AW66" i="17"/>
  <c r="U82" i="17"/>
  <c r="AW82" i="17"/>
  <c r="U233" i="17"/>
  <c r="AW233" i="17"/>
  <c r="U319" i="17"/>
  <c r="AW319" i="17"/>
  <c r="U467" i="17"/>
  <c r="AW467" i="17"/>
  <c r="U19" i="17"/>
  <c r="AW19" i="17"/>
  <c r="P406" i="17"/>
  <c r="M461" i="17"/>
  <c r="P111" i="17"/>
  <c r="M473" i="17"/>
  <c r="M175" i="17"/>
  <c r="M176" i="17"/>
  <c r="M244" i="17"/>
  <c r="M144" i="17"/>
  <c r="O200" i="17"/>
  <c r="N201" i="17"/>
  <c r="N208" i="17"/>
  <c r="AW208" i="17" s="1"/>
  <c r="N244" i="17"/>
  <c r="AW244" i="17" s="1"/>
  <c r="O362" i="17"/>
  <c r="M367" i="17"/>
  <c r="O389" i="17"/>
  <c r="N203" i="17"/>
  <c r="M204" i="17"/>
  <c r="O326" i="17"/>
  <c r="O430" i="17"/>
  <c r="N138" i="17"/>
  <c r="AW138" i="17" s="1"/>
  <c r="P279" i="17"/>
  <c r="N285" i="17"/>
  <c r="AW285" i="17" s="1"/>
  <c r="P387" i="17"/>
  <c r="N23" i="17"/>
  <c r="AW23" i="17" s="1"/>
  <c r="N207" i="17"/>
  <c r="M208" i="17"/>
  <c r="N251" i="17"/>
  <c r="O256" i="17"/>
  <c r="P275" i="17"/>
  <c r="N338" i="17"/>
  <c r="N406" i="17"/>
  <c r="N439" i="17"/>
  <c r="P504" i="17"/>
  <c r="M294" i="17"/>
  <c r="N346" i="17"/>
  <c r="AW346" i="17" s="1"/>
  <c r="M348" i="17"/>
  <c r="O350" i="17"/>
  <c r="O406" i="17"/>
  <c r="N461" i="17"/>
  <c r="AW461" i="17" s="1"/>
  <c r="P467" i="17"/>
  <c r="O473" i="17"/>
  <c r="O516" i="17"/>
  <c r="N517" i="17"/>
  <c r="M518" i="17"/>
  <c r="O42" i="17"/>
  <c r="M43" i="17"/>
  <c r="N44" i="17"/>
  <c r="AW44" i="17" s="1"/>
  <c r="N55" i="17"/>
  <c r="AW55" i="17" s="1"/>
  <c r="P89" i="17"/>
  <c r="M135" i="17"/>
  <c r="P148" i="17"/>
  <c r="M151" i="17"/>
  <c r="N159" i="17"/>
  <c r="AW159" i="17" s="1"/>
  <c r="P201" i="17"/>
  <c r="N204" i="17"/>
  <c r="M241" i="17"/>
  <c r="M260" i="17"/>
  <c r="M311" i="17"/>
  <c r="O346" i="17"/>
  <c r="N373" i="17"/>
  <c r="AW373" i="17" s="1"/>
  <c r="N465" i="17"/>
  <c r="N491" i="17"/>
  <c r="AW491" i="17" s="1"/>
  <c r="M23" i="17"/>
  <c r="O98" i="17"/>
  <c r="N99" i="17"/>
  <c r="N135" i="17"/>
  <c r="O146" i="17"/>
  <c r="P156" i="17"/>
  <c r="N217" i="17"/>
  <c r="N260" i="17"/>
  <c r="N367" i="17"/>
  <c r="AW367" i="17" s="1"/>
  <c r="P496" i="17"/>
  <c r="P60" i="17"/>
  <c r="M60" i="17"/>
  <c r="M75" i="17"/>
  <c r="O75" i="17"/>
  <c r="O400" i="17"/>
  <c r="N400" i="17"/>
  <c r="P400" i="17"/>
  <c r="P409" i="17"/>
  <c r="M409" i="17"/>
  <c r="P495" i="17"/>
  <c r="M495" i="17"/>
  <c r="N495" i="17"/>
  <c r="AW495" i="17" s="1"/>
  <c r="P48" i="17"/>
  <c r="M48" i="17"/>
  <c r="N48" i="17"/>
  <c r="N79" i="17"/>
  <c r="M140" i="17"/>
  <c r="P140" i="17"/>
  <c r="M195" i="17"/>
  <c r="P195" i="17"/>
  <c r="O196" i="17"/>
  <c r="M196" i="17"/>
  <c r="M223" i="17"/>
  <c r="N223" i="17"/>
  <c r="N323" i="17"/>
  <c r="P371" i="17"/>
  <c r="O427" i="17"/>
  <c r="P501" i="17"/>
  <c r="P35" i="17"/>
  <c r="N35" i="17"/>
  <c r="O35" i="17"/>
  <c r="P39" i="17"/>
  <c r="N39" i="17"/>
  <c r="P19" i="17"/>
  <c r="O19" i="17"/>
  <c r="P20" i="17"/>
  <c r="M20" i="17"/>
  <c r="M39" i="17"/>
  <c r="P76" i="17"/>
  <c r="M76" i="17"/>
  <c r="O85" i="17"/>
  <c r="P85" i="17"/>
  <c r="N86" i="17"/>
  <c r="AW86" i="17" s="1"/>
  <c r="P86" i="17"/>
  <c r="N127" i="17"/>
  <c r="P127" i="17"/>
  <c r="M170" i="17"/>
  <c r="O170" i="17"/>
  <c r="M171" i="17"/>
  <c r="O171" i="17"/>
  <c r="M182" i="17"/>
  <c r="N182" i="17"/>
  <c r="AW182" i="17" s="1"/>
  <c r="M209" i="17"/>
  <c r="M210" i="17"/>
  <c r="M228" i="17"/>
  <c r="M271" i="17"/>
  <c r="N282" i="17"/>
  <c r="O295" i="17"/>
  <c r="N295" i="17"/>
  <c r="AW295" i="17" s="1"/>
  <c r="N312" i="17"/>
  <c r="P312" i="17"/>
  <c r="P341" i="17"/>
  <c r="O341" i="17"/>
  <c r="O378" i="17"/>
  <c r="M378" i="17"/>
  <c r="N415" i="17"/>
  <c r="N420" i="17"/>
  <c r="AW420" i="17" s="1"/>
  <c r="O424" i="17"/>
  <c r="N424" i="17"/>
  <c r="AW424" i="17" s="1"/>
  <c r="P443" i="17"/>
  <c r="O443" i="17"/>
  <c r="P469" i="17"/>
  <c r="N469" i="17"/>
  <c r="P508" i="17"/>
  <c r="M508" i="17"/>
  <c r="O508" i="17"/>
  <c r="P512" i="17"/>
  <c r="O512" i="17"/>
  <c r="M309" i="17"/>
  <c r="P309" i="17"/>
  <c r="P377" i="17"/>
  <c r="O377" i="17"/>
  <c r="O462" i="17"/>
  <c r="N462" i="17"/>
  <c r="P32" i="17"/>
  <c r="M32" i="17"/>
  <c r="N32" i="17"/>
  <c r="AW32" i="17" s="1"/>
  <c r="M59" i="17"/>
  <c r="O59" i="17"/>
  <c r="O69" i="17"/>
  <c r="P69" i="17"/>
  <c r="N70" i="17"/>
  <c r="AW70" i="17" s="1"/>
  <c r="P70" i="17"/>
  <c r="M164" i="17"/>
  <c r="P299" i="17"/>
  <c r="O309" i="17"/>
  <c r="M344" i="17"/>
  <c r="N370" i="17"/>
  <c r="AW370" i="17" s="1"/>
  <c r="M381" i="17"/>
  <c r="P385" i="17"/>
  <c r="M385" i="17"/>
  <c r="N385" i="17"/>
  <c r="AW385" i="17" s="1"/>
  <c r="P481" i="17"/>
  <c r="O481" i="17"/>
  <c r="O495" i="17"/>
  <c r="P51" i="17"/>
  <c r="N51" i="17"/>
  <c r="AW51" i="17" s="1"/>
  <c r="O51" i="17"/>
  <c r="N63" i="17"/>
  <c r="M68" i="17"/>
  <c r="N69" i="17"/>
  <c r="AW69" i="17" s="1"/>
  <c r="P143" i="17"/>
  <c r="M143" i="17"/>
  <c r="N143" i="17"/>
  <c r="M155" i="17"/>
  <c r="O155" i="17"/>
  <c r="M162" i="17"/>
  <c r="N162" i="17"/>
  <c r="M184" i="17"/>
  <c r="O195" i="17"/>
  <c r="M211" i="17"/>
  <c r="O211" i="17"/>
  <c r="P211" i="17"/>
  <c r="N222" i="17"/>
  <c r="AW222" i="17" s="1"/>
  <c r="M222" i="17"/>
  <c r="N230" i="17"/>
  <c r="AW230" i="17" s="1"/>
  <c r="P230" i="17"/>
  <c r="M247" i="17"/>
  <c r="N247" i="17"/>
  <c r="AW247" i="17" s="1"/>
  <c r="O286" i="17"/>
  <c r="M287" i="17"/>
  <c r="M320" i="17"/>
  <c r="P342" i="17"/>
  <c r="N342" i="17"/>
  <c r="U368" i="17"/>
  <c r="X368" i="17"/>
  <c r="O385" i="17"/>
  <c r="N450" i="17"/>
  <c r="AW450" i="17" s="1"/>
  <c r="M481" i="17"/>
  <c r="O499" i="17"/>
  <c r="M499" i="17"/>
  <c r="M513" i="17"/>
  <c r="N513" i="17"/>
  <c r="O30" i="17"/>
  <c r="M36" i="17"/>
  <c r="O46" i="17"/>
  <c r="M52" i="17"/>
  <c r="M55" i="17"/>
  <c r="P57" i="17"/>
  <c r="P95" i="17"/>
  <c r="M96" i="17"/>
  <c r="M98" i="17"/>
  <c r="N146" i="17"/>
  <c r="M159" i="17"/>
  <c r="M172" i="17"/>
  <c r="N219" i="17"/>
  <c r="AW219" i="17" s="1"/>
  <c r="M256" i="17"/>
  <c r="O277" i="17"/>
  <c r="M278" i="17"/>
  <c r="N306" i="17"/>
  <c r="P375" i="17"/>
  <c r="M389" i="17"/>
  <c r="N435" i="17"/>
  <c r="N447" i="17"/>
  <c r="AW447" i="17" s="1"/>
  <c r="O457" i="17"/>
  <c r="O482" i="17"/>
  <c r="M504" i="17"/>
  <c r="N509" i="17"/>
  <c r="AW509" i="17" s="1"/>
  <c r="M510" i="17"/>
  <c r="AH170" i="17"/>
  <c r="P367" i="17"/>
  <c r="O461" i="17"/>
  <c r="M27" i="17"/>
  <c r="M263" i="17"/>
  <c r="N263" i="17"/>
  <c r="O26" i="17"/>
  <c r="N28" i="17"/>
  <c r="AW28" i="17" s="1"/>
  <c r="O23" i="17"/>
  <c r="O39" i="17"/>
  <c r="O55" i="17"/>
  <c r="M65" i="17"/>
  <c r="N68" i="17"/>
  <c r="P73" i="17"/>
  <c r="M84" i="17"/>
  <c r="O91" i="17"/>
  <c r="M92" i="17"/>
  <c r="M102" i="17"/>
  <c r="N105" i="17"/>
  <c r="N109" i="17"/>
  <c r="M110" i="17"/>
  <c r="M118" i="17"/>
  <c r="N121" i="17"/>
  <c r="AW121" i="17" s="1"/>
  <c r="N125" i="17"/>
  <c r="M126" i="17"/>
  <c r="M133" i="17"/>
  <c r="O135" i="17"/>
  <c r="O138" i="17"/>
  <c r="M139" i="17"/>
  <c r="N151" i="17"/>
  <c r="N154" i="17"/>
  <c r="AW154" i="17" s="1"/>
  <c r="O159" i="17"/>
  <c r="M160" i="17"/>
  <c r="O162" i="17"/>
  <c r="M167" i="17"/>
  <c r="N175" i="17"/>
  <c r="AW175" i="17" s="1"/>
  <c r="O182" i="17"/>
  <c r="M183" i="17"/>
  <c r="M188" i="17"/>
  <c r="O207" i="17"/>
  <c r="O210" i="17"/>
  <c r="O214" i="17"/>
  <c r="P217" i="17"/>
  <c r="O223" i="17"/>
  <c r="M225" i="17"/>
  <c r="M226" i="17"/>
  <c r="N228" i="17"/>
  <c r="M232" i="17"/>
  <c r="AH263" i="17"/>
  <c r="O68" i="17"/>
  <c r="M81" i="17"/>
  <c r="N84" i="17"/>
  <c r="AW84" i="17" s="1"/>
  <c r="O102" i="17"/>
  <c r="O110" i="17"/>
  <c r="O118" i="17"/>
  <c r="O126" i="17"/>
  <c r="O151" i="17"/>
  <c r="O154" i="17"/>
  <c r="N167" i="17"/>
  <c r="AW167" i="17" s="1"/>
  <c r="O175" i="17"/>
  <c r="N188" i="17"/>
  <c r="AW188" i="17" s="1"/>
  <c r="P207" i="17"/>
  <c r="P210" i="17"/>
  <c r="P214" i="17"/>
  <c r="AH214" i="17"/>
  <c r="O226" i="17"/>
  <c r="O228" i="17"/>
  <c r="N232" i="17"/>
  <c r="AW232" i="17" s="1"/>
  <c r="N235" i="17"/>
  <c r="AW235" i="17" s="1"/>
  <c r="M238" i="17"/>
  <c r="M273" i="17"/>
  <c r="O273" i="17"/>
  <c r="O84" i="17"/>
  <c r="O167" i="17"/>
  <c r="O188" i="17"/>
  <c r="X214" i="17"/>
  <c r="O232" i="17"/>
  <c r="M267" i="17"/>
  <c r="N267" i="17"/>
  <c r="M274" i="17"/>
  <c r="N281" i="17"/>
  <c r="N286" i="17"/>
  <c r="AW286" i="17" s="1"/>
  <c r="M295" i="17"/>
  <c r="M306" i="17"/>
  <c r="O312" i="17"/>
  <c r="O314" i="17"/>
  <c r="N350" i="17"/>
  <c r="AW350" i="17" s="1"/>
  <c r="M370" i="17"/>
  <c r="M373" i="17"/>
  <c r="M415" i="17"/>
  <c r="O418" i="17"/>
  <c r="M424" i="17"/>
  <c r="N427" i="17"/>
  <c r="AW427" i="17" s="1"/>
  <c r="M439" i="17"/>
  <c r="M447" i="17"/>
  <c r="P459" i="17"/>
  <c r="M465" i="17"/>
  <c r="M469" i="17"/>
  <c r="P480" i="17"/>
  <c r="O504" i="17"/>
  <c r="N508" i="17"/>
  <c r="O510" i="17"/>
  <c r="AH238" i="17"/>
  <c r="O247" i="17"/>
  <c r="O251" i="17"/>
  <c r="N256" i="17"/>
  <c r="AW256" i="17" s="1"/>
  <c r="O282" i="17"/>
  <c r="O289" i="17"/>
  <c r="M290" i="17"/>
  <c r="M292" i="17"/>
  <c r="P295" i="17"/>
  <c r="O306" i="17"/>
  <c r="M314" i="17"/>
  <c r="M319" i="17"/>
  <c r="M327" i="17"/>
  <c r="O329" i="17"/>
  <c r="O338" i="17"/>
  <c r="O342" i="17"/>
  <c r="M352" i="17"/>
  <c r="M355" i="17"/>
  <c r="N358" i="17"/>
  <c r="AW358" i="17" s="1"/>
  <c r="M360" i="17"/>
  <c r="AH360" i="17"/>
  <c r="M366" i="17"/>
  <c r="N378" i="17"/>
  <c r="AW378" i="17" s="1"/>
  <c r="N381" i="17"/>
  <c r="N389" i="17"/>
  <c r="N393" i="17"/>
  <c r="M399" i="17"/>
  <c r="M411" i="17"/>
  <c r="O415" i="17"/>
  <c r="N432" i="17"/>
  <c r="AW432" i="17" s="1"/>
  <c r="O435" i="17"/>
  <c r="O439" i="17"/>
  <c r="N440" i="17"/>
  <c r="AW440" i="17" s="1"/>
  <c r="N443" i="17"/>
  <c r="O447" i="17"/>
  <c r="O450" i="17"/>
  <c r="N455" i="17"/>
  <c r="P462" i="17"/>
  <c r="O465" i="17"/>
  <c r="O469" i="17"/>
  <c r="N470" i="17"/>
  <c r="N473" i="17"/>
  <c r="AW473" i="17" s="1"/>
  <c r="N480" i="17"/>
  <c r="N481" i="17"/>
  <c r="N483" i="17"/>
  <c r="O491" i="17"/>
  <c r="O493" i="17"/>
  <c r="P499" i="17"/>
  <c r="P509" i="17"/>
  <c r="N314" i="17"/>
  <c r="N355" i="17"/>
  <c r="O358" i="17"/>
  <c r="N366" i="17"/>
  <c r="P470" i="17"/>
  <c r="O480" i="17"/>
  <c r="X82" i="17"/>
  <c r="P130" i="17"/>
  <c r="O130" i="17"/>
  <c r="P163" i="17"/>
  <c r="N163" i="17"/>
  <c r="AW163" i="17" s="1"/>
  <c r="O31" i="17"/>
  <c r="O47" i="17"/>
  <c r="O64" i="17"/>
  <c r="P66" i="17"/>
  <c r="O72" i="17"/>
  <c r="O80" i="17"/>
  <c r="P82" i="17"/>
  <c r="O88" i="17"/>
  <c r="U100" i="17"/>
  <c r="AH100" i="17"/>
  <c r="P104" i="17"/>
  <c r="O104" i="17"/>
  <c r="P112" i="17"/>
  <c r="M112" i="17"/>
  <c r="U116" i="17"/>
  <c r="AH116" i="17"/>
  <c r="P120" i="17"/>
  <c r="O120" i="17"/>
  <c r="P128" i="17"/>
  <c r="M128" i="17"/>
  <c r="X132" i="17"/>
  <c r="U132" i="17"/>
  <c r="M178" i="17"/>
  <c r="N178" i="17"/>
  <c r="M191" i="17"/>
  <c r="O191" i="17"/>
  <c r="O213" i="17"/>
  <c r="N213" i="17"/>
  <c r="P213" i="17"/>
  <c r="M227" i="17"/>
  <c r="P227" i="17"/>
  <c r="O229" i="17"/>
  <c r="M229" i="17"/>
  <c r="N229" i="17"/>
  <c r="AW229" i="17" s="1"/>
  <c r="O233" i="17"/>
  <c r="P233" i="17"/>
  <c r="P236" i="17"/>
  <c r="M236" i="17"/>
  <c r="N236" i="17"/>
  <c r="AW236" i="17" s="1"/>
  <c r="M239" i="17"/>
  <c r="O239" i="17"/>
  <c r="P239" i="17"/>
  <c r="P114" i="17"/>
  <c r="O114" i="17"/>
  <c r="M158" i="17"/>
  <c r="O158" i="17"/>
  <c r="M24" i="17"/>
  <c r="N43" i="17"/>
  <c r="O50" i="17"/>
  <c r="M56" i="17"/>
  <c r="O63" i="17"/>
  <c r="N65" i="17"/>
  <c r="M66" i="17"/>
  <c r="N81" i="17"/>
  <c r="M88" i="17"/>
  <c r="N92" i="17"/>
  <c r="M94" i="17"/>
  <c r="N96" i="17"/>
  <c r="P100" i="17"/>
  <c r="O100" i="17"/>
  <c r="N104" i="17"/>
  <c r="P106" i="17"/>
  <c r="O106" i="17"/>
  <c r="P108" i="17"/>
  <c r="M108" i="17"/>
  <c r="O112" i="17"/>
  <c r="U112" i="17"/>
  <c r="M114" i="17"/>
  <c r="P115" i="17"/>
  <c r="P116" i="17"/>
  <c r="O116" i="17"/>
  <c r="N120" i="17"/>
  <c r="AW120" i="17" s="1"/>
  <c r="P122" i="17"/>
  <c r="O122" i="17"/>
  <c r="P124" i="17"/>
  <c r="M124" i="17"/>
  <c r="O128" i="17"/>
  <c r="U128" i="17"/>
  <c r="M130" i="17"/>
  <c r="P131" i="17"/>
  <c r="P132" i="17"/>
  <c r="O132" i="17"/>
  <c r="AH146" i="17"/>
  <c r="N158" i="17"/>
  <c r="AW158" i="17" s="1"/>
  <c r="M163" i="17"/>
  <c r="N185" i="17"/>
  <c r="AW185" i="17" s="1"/>
  <c r="P191" i="17"/>
  <c r="P192" i="17"/>
  <c r="O192" i="17"/>
  <c r="N194" i="17"/>
  <c r="AW194" i="17" s="1"/>
  <c r="M194" i="17"/>
  <c r="N198" i="17"/>
  <c r="AW198" i="17" s="1"/>
  <c r="O198" i="17"/>
  <c r="N206" i="17"/>
  <c r="M206" i="17"/>
  <c r="P224" i="17"/>
  <c r="N224" i="17"/>
  <c r="AW224" i="17" s="1"/>
  <c r="O224" i="17"/>
  <c r="X239" i="17"/>
  <c r="P240" i="17"/>
  <c r="M240" i="17"/>
  <c r="N240" i="17"/>
  <c r="P252" i="17"/>
  <c r="M252" i="17"/>
  <c r="N252" i="17"/>
  <c r="AW252" i="17" s="1"/>
  <c r="P270" i="17"/>
  <c r="M270" i="17"/>
  <c r="N270" i="17"/>
  <c r="AW270" i="17" s="1"/>
  <c r="P283" i="17"/>
  <c r="M283" i="17"/>
  <c r="X66" i="17"/>
  <c r="M142" i="17"/>
  <c r="O142" i="17"/>
  <c r="P147" i="17"/>
  <c r="N147" i="17"/>
  <c r="M174" i="17"/>
  <c r="O174" i="17"/>
  <c r="P179" i="17"/>
  <c r="O179" i="17"/>
  <c r="O197" i="17"/>
  <c r="P197" i="17"/>
  <c r="M243" i="17"/>
  <c r="O243" i="17"/>
  <c r="P243" i="17"/>
  <c r="M255" i="17"/>
  <c r="O255" i="17"/>
  <c r="M259" i="17"/>
  <c r="N259" i="17"/>
  <c r="O259" i="17"/>
  <c r="N268" i="17"/>
  <c r="AW268" i="17" s="1"/>
  <c r="O268" i="17"/>
  <c r="P268" i="17"/>
  <c r="N20" i="17"/>
  <c r="N27" i="17"/>
  <c r="M31" i="17"/>
  <c r="O34" i="17"/>
  <c r="AH34" i="17"/>
  <c r="N36" i="17"/>
  <c r="M40" i="17"/>
  <c r="M47" i="17"/>
  <c r="AH50" i="17"/>
  <c r="N52" i="17"/>
  <c r="N60" i="17"/>
  <c r="M62" i="17"/>
  <c r="M64" i="17"/>
  <c r="M72" i="17"/>
  <c r="N76" i="17"/>
  <c r="M78" i="17"/>
  <c r="O79" i="17"/>
  <c r="M80" i="17"/>
  <c r="M82" i="17"/>
  <c r="M19" i="17"/>
  <c r="O22" i="17"/>
  <c r="N24" i="17"/>
  <c r="O27" i="17"/>
  <c r="M28" i="17"/>
  <c r="N31" i="17"/>
  <c r="AW31" i="17" s="1"/>
  <c r="M35" i="17"/>
  <c r="O38" i="17"/>
  <c r="N40" i="17"/>
  <c r="AW40" i="17" s="1"/>
  <c r="O43" i="17"/>
  <c r="M44" i="17"/>
  <c r="N47" i="17"/>
  <c r="AW47" i="17" s="1"/>
  <c r="M51" i="17"/>
  <c r="O54" i="17"/>
  <c r="N56" i="17"/>
  <c r="AH58" i="17"/>
  <c r="N59" i="17"/>
  <c r="AH59" i="17" s="1"/>
  <c r="O60" i="17"/>
  <c r="O62" i="17"/>
  <c r="AH62" i="17"/>
  <c r="P63" i="17"/>
  <c r="N64" i="17"/>
  <c r="AW64" i="17" s="1"/>
  <c r="O66" i="17"/>
  <c r="P67" i="17"/>
  <c r="M69" i="17"/>
  <c r="N72" i="17"/>
  <c r="AW72" i="17" s="1"/>
  <c r="N75" i="17"/>
  <c r="O76" i="17"/>
  <c r="O78" i="17"/>
  <c r="AH78" i="17"/>
  <c r="P79" i="17"/>
  <c r="N80" i="17"/>
  <c r="O82" i="17"/>
  <c r="P83" i="17"/>
  <c r="M85" i="17"/>
  <c r="N88" i="17"/>
  <c r="AW88" i="17" s="1"/>
  <c r="N91" i="17"/>
  <c r="AW91" i="17" s="1"/>
  <c r="O92" i="17"/>
  <c r="O94" i="17"/>
  <c r="O96" i="17"/>
  <c r="M100" i="17"/>
  <c r="M106" i="17"/>
  <c r="N108" i="17"/>
  <c r="AW108" i="17" s="1"/>
  <c r="AH112" i="17"/>
  <c r="M116" i="17"/>
  <c r="M122" i="17"/>
  <c r="N124" i="17"/>
  <c r="AW124" i="17" s="1"/>
  <c r="M132" i="17"/>
  <c r="N133" i="17"/>
  <c r="AW133" i="17" s="1"/>
  <c r="P133" i="17"/>
  <c r="M134" i="17"/>
  <c r="O134" i="17"/>
  <c r="M136" i="17"/>
  <c r="P139" i="17"/>
  <c r="N139" i="17"/>
  <c r="O147" i="17"/>
  <c r="M150" i="17"/>
  <c r="O150" i="17"/>
  <c r="M152" i="17"/>
  <c r="P155" i="17"/>
  <c r="N155" i="17"/>
  <c r="AW155" i="17" s="1"/>
  <c r="O163" i="17"/>
  <c r="M166" i="17"/>
  <c r="O166" i="17"/>
  <c r="M168" i="17"/>
  <c r="P171" i="17"/>
  <c r="N171" i="17"/>
  <c r="N179" i="17"/>
  <c r="AW179" i="17" s="1"/>
  <c r="P180" i="17"/>
  <c r="P183" i="17"/>
  <c r="N183" i="17"/>
  <c r="AW183" i="17" s="1"/>
  <c r="P185" i="17"/>
  <c r="M192" i="17"/>
  <c r="O193" i="17"/>
  <c r="M193" i="17"/>
  <c r="O194" i="17"/>
  <c r="P196" i="17"/>
  <c r="N196" i="17"/>
  <c r="N197" i="17"/>
  <c r="AW197" i="17" s="1"/>
  <c r="P198" i="17"/>
  <c r="P200" i="17"/>
  <c r="N200" i="17"/>
  <c r="P212" i="17"/>
  <c r="M212" i="17"/>
  <c r="N212" i="17"/>
  <c r="P216" i="17"/>
  <c r="M216" i="17"/>
  <c r="N216" i="17"/>
  <c r="P220" i="17"/>
  <c r="N220" i="17"/>
  <c r="AW220" i="17" s="1"/>
  <c r="O220" i="17"/>
  <c r="M224" i="17"/>
  <c r="O240" i="17"/>
  <c r="N242" i="17"/>
  <c r="AW242" i="17" s="1"/>
  <c r="O242" i="17"/>
  <c r="P242" i="17"/>
  <c r="P248" i="17"/>
  <c r="N248" i="17"/>
  <c r="AW248" i="17" s="1"/>
  <c r="O248" i="17"/>
  <c r="O252" i="17"/>
  <c r="P264" i="17"/>
  <c r="N264" i="17"/>
  <c r="O264" i="17"/>
  <c r="O270" i="17"/>
  <c r="X226" i="17"/>
  <c r="M305" i="17"/>
  <c r="P305" i="17"/>
  <c r="N308" i="17"/>
  <c r="AW308" i="17" s="1"/>
  <c r="M308" i="17"/>
  <c r="M322" i="17"/>
  <c r="O322" i="17"/>
  <c r="P340" i="17"/>
  <c r="P351" i="17"/>
  <c r="M351" i="17"/>
  <c r="N351" i="17"/>
  <c r="AW351" i="17" s="1"/>
  <c r="M361" i="17"/>
  <c r="O361" i="17"/>
  <c r="N361" i="17"/>
  <c r="AW361" i="17" s="1"/>
  <c r="P361" i="17"/>
  <c r="P369" i="17"/>
  <c r="N369" i="17"/>
  <c r="AW369" i="17" s="1"/>
  <c r="M369" i="17"/>
  <c r="O369" i="17"/>
  <c r="O376" i="17"/>
  <c r="P376" i="17"/>
  <c r="P423" i="17"/>
  <c r="M423" i="17"/>
  <c r="N423" i="17"/>
  <c r="O423" i="17"/>
  <c r="P498" i="17"/>
  <c r="N498" i="17"/>
  <c r="M498" i="17"/>
  <c r="O498" i="17"/>
  <c r="N500" i="17"/>
  <c r="O500" i="17"/>
  <c r="P298" i="17"/>
  <c r="M298" i="17"/>
  <c r="P310" i="17"/>
  <c r="N310" i="17"/>
  <c r="AW310" i="17" s="1"/>
  <c r="AH319" i="17"/>
  <c r="O328" i="17"/>
  <c r="P328" i="17"/>
  <c r="P331" i="17"/>
  <c r="M331" i="17"/>
  <c r="P339" i="17"/>
  <c r="M339" i="17"/>
  <c r="P343" i="17"/>
  <c r="N343" i="17"/>
  <c r="AW343" i="17" s="1"/>
  <c r="P347" i="17"/>
  <c r="N347" i="17"/>
  <c r="AW347" i="17" s="1"/>
  <c r="O347" i="17"/>
  <c r="P359" i="17"/>
  <c r="N359" i="17"/>
  <c r="M359" i="17"/>
  <c r="O359" i="17"/>
  <c r="N364" i="17"/>
  <c r="O364" i="17"/>
  <c r="M364" i="17"/>
  <c r="P364" i="17"/>
  <c r="M391" i="17"/>
  <c r="P391" i="17"/>
  <c r="M422" i="17"/>
  <c r="O422" i="17"/>
  <c r="N274" i="17"/>
  <c r="AW274" i="17" s="1"/>
  <c r="N278" i="17"/>
  <c r="AW278" i="17" s="1"/>
  <c r="O281" i="17"/>
  <c r="O285" i="17"/>
  <c r="AH285" i="17"/>
  <c r="N290" i="17"/>
  <c r="AW290" i="17" s="1"/>
  <c r="M293" i="17"/>
  <c r="O293" i="17"/>
  <c r="N296" i="17"/>
  <c r="AW296" i="17" s="1"/>
  <c r="O296" i="17"/>
  <c r="N298" i="17"/>
  <c r="P302" i="17"/>
  <c r="N302" i="17"/>
  <c r="AW302" i="17" s="1"/>
  <c r="O305" i="17"/>
  <c r="P308" i="17"/>
  <c r="M310" i="17"/>
  <c r="O315" i="17"/>
  <c r="P315" i="17"/>
  <c r="P318" i="17"/>
  <c r="M318" i="17"/>
  <c r="P322" i="17"/>
  <c r="N325" i="17"/>
  <c r="AW325" i="17" s="1"/>
  <c r="M325" i="17"/>
  <c r="M328" i="17"/>
  <c r="N331" i="17"/>
  <c r="P335" i="17"/>
  <c r="O335" i="17"/>
  <c r="N339" i="17"/>
  <c r="M343" i="17"/>
  <c r="M347" i="17"/>
  <c r="O363" i="17"/>
  <c r="M363" i="17"/>
  <c r="O390" i="17"/>
  <c r="N390" i="17"/>
  <c r="AW390" i="17" s="1"/>
  <c r="M390" i="17"/>
  <c r="O394" i="17"/>
  <c r="N394" i="17"/>
  <c r="AW394" i="17" s="1"/>
  <c r="M394" i="17"/>
  <c r="O412" i="17"/>
  <c r="M412" i="17"/>
  <c r="N412" i="17"/>
  <c r="AW412" i="17" s="1"/>
  <c r="P431" i="17"/>
  <c r="N431" i="17"/>
  <c r="M431" i="17"/>
  <c r="O431" i="17"/>
  <c r="O436" i="17"/>
  <c r="N436" i="17"/>
  <c r="AW436" i="17" s="1"/>
  <c r="M436" i="17"/>
  <c r="P451" i="17"/>
  <c r="N451" i="17"/>
  <c r="M451" i="17"/>
  <c r="M456" i="17"/>
  <c r="O456" i="17"/>
  <c r="N456" i="17"/>
  <c r="AW456" i="17" s="1"/>
  <c r="P456" i="17"/>
  <c r="P477" i="17"/>
  <c r="N477" i="17"/>
  <c r="AW477" i="17" s="1"/>
  <c r="M477" i="17"/>
  <c r="O477" i="17"/>
  <c r="M486" i="17"/>
  <c r="O486" i="17"/>
  <c r="N486" i="17"/>
  <c r="AW486" i="17" s="1"/>
  <c r="P486" i="17"/>
  <c r="AH134" i="17"/>
  <c r="AH142" i="17"/>
  <c r="AH150" i="17"/>
  <c r="AH166" i="17"/>
  <c r="AH174" i="17"/>
  <c r="O204" i="17"/>
  <c r="AH206" i="17"/>
  <c r="X207" i="17"/>
  <c r="O208" i="17"/>
  <c r="X210" i="17"/>
  <c r="P223" i="17"/>
  <c r="P226" i="17"/>
  <c r="X230" i="17"/>
  <c r="O244" i="17"/>
  <c r="AH255" i="17"/>
  <c r="O260" i="17"/>
  <c r="N273" i="17"/>
  <c r="O274" i="17"/>
  <c r="N277" i="17"/>
  <c r="O278" i="17"/>
  <c r="M282" i="17"/>
  <c r="M286" i="17"/>
  <c r="N289" i="17"/>
  <c r="O290" i="17"/>
  <c r="N292" i="17"/>
  <c r="AW292" i="17" s="1"/>
  <c r="O292" i="17"/>
  <c r="P293" i="17"/>
  <c r="P294" i="17"/>
  <c r="O294" i="17"/>
  <c r="P296" i="17"/>
  <c r="O298" i="17"/>
  <c r="N299" i="17"/>
  <c r="AW299" i="17" s="1"/>
  <c r="M302" i="17"/>
  <c r="O310" i="17"/>
  <c r="O311" i="17"/>
  <c r="P311" i="17"/>
  <c r="N315" i="17"/>
  <c r="N318" i="17"/>
  <c r="AW318" i="17" s="1"/>
  <c r="P319" i="17"/>
  <c r="O319" i="17"/>
  <c r="X322" i="17"/>
  <c r="P323" i="17"/>
  <c r="M323" i="17"/>
  <c r="O325" i="17"/>
  <c r="P327" i="17"/>
  <c r="N327" i="17"/>
  <c r="AW327" i="17" s="1"/>
  <c r="N328" i="17"/>
  <c r="AW328" i="17" s="1"/>
  <c r="O331" i="17"/>
  <c r="M335" i="17"/>
  <c r="O337" i="17"/>
  <c r="O339" i="17"/>
  <c r="O343" i="17"/>
  <c r="P419" i="17"/>
  <c r="N419" i="17"/>
  <c r="AW419" i="17" s="1"/>
  <c r="O419" i="17"/>
  <c r="M419" i="17"/>
  <c r="P502" i="17"/>
  <c r="N502" i="17"/>
  <c r="AW502" i="17" s="1"/>
  <c r="M502" i="17"/>
  <c r="O502" i="17"/>
  <c r="O354" i="17"/>
  <c r="N362" i="17"/>
  <c r="P365" i="17"/>
  <c r="P368" i="17"/>
  <c r="N374" i="17"/>
  <c r="AW374" i="17" s="1"/>
  <c r="N377" i="17"/>
  <c r="P380" i="17"/>
  <c r="P392" i="17"/>
  <c r="P393" i="17"/>
  <c r="M393" i="17"/>
  <c r="P399" i="17"/>
  <c r="N399" i="17"/>
  <c r="N409" i="17"/>
  <c r="AW409" i="17" s="1"/>
  <c r="O409" i="17"/>
  <c r="P411" i="17"/>
  <c r="O411" i="17"/>
  <c r="P449" i="17"/>
  <c r="O449" i="17"/>
  <c r="U462" i="17"/>
  <c r="P487" i="17"/>
  <c r="N487" i="17"/>
  <c r="M487" i="17"/>
  <c r="O487" i="17"/>
  <c r="O382" i="17"/>
  <c r="M382" i="17"/>
  <c r="P403" i="17"/>
  <c r="O403" i="17"/>
  <c r="P407" i="17"/>
  <c r="M407" i="17"/>
  <c r="O416" i="17"/>
  <c r="M416" i="17"/>
  <c r="N416" i="17"/>
  <c r="AW416" i="17" s="1"/>
  <c r="P454" i="17"/>
  <c r="N454" i="17"/>
  <c r="AW454" i="17" s="1"/>
  <c r="M454" i="17"/>
  <c r="O454" i="17"/>
  <c r="U482" i="17"/>
  <c r="X482" i="17"/>
  <c r="N506" i="17"/>
  <c r="AW506" i="17" s="1"/>
  <c r="O506" i="17"/>
  <c r="M506" i="17"/>
  <c r="P506" i="17"/>
  <c r="P514" i="17"/>
  <c r="O514" i="17"/>
  <c r="M514" i="17"/>
  <c r="AH306" i="17"/>
  <c r="N354" i="17"/>
  <c r="AW354" i="17" s="1"/>
  <c r="O355" i="17"/>
  <c r="M356" i="17"/>
  <c r="M362" i="17"/>
  <c r="O365" i="17"/>
  <c r="O366" i="17"/>
  <c r="O368" i="17"/>
  <c r="O373" i="17"/>
  <c r="M374" i="17"/>
  <c r="M377" i="17"/>
  <c r="O381" i="17"/>
  <c r="N382" i="17"/>
  <c r="O386" i="17"/>
  <c r="N386" i="17"/>
  <c r="P397" i="17"/>
  <c r="N397" i="17"/>
  <c r="M403" i="17"/>
  <c r="N407" i="17"/>
  <c r="M410" i="17"/>
  <c r="O410" i="17"/>
  <c r="U424" i="17"/>
  <c r="O428" i="17"/>
  <c r="N428" i="17"/>
  <c r="AW428" i="17" s="1"/>
  <c r="M428" i="17"/>
  <c r="O458" i="17"/>
  <c r="N458" i="17"/>
  <c r="M458" i="17"/>
  <c r="X474" i="17"/>
  <c r="N489" i="17"/>
  <c r="AW489" i="17" s="1"/>
  <c r="O489" i="17"/>
  <c r="M489" i="17"/>
  <c r="P489" i="17"/>
  <c r="P417" i="17"/>
  <c r="M420" i="17"/>
  <c r="M427" i="17"/>
  <c r="M432" i="17"/>
  <c r="M435" i="17"/>
  <c r="O438" i="17"/>
  <c r="AH439" i="17"/>
  <c r="M440" i="17"/>
  <c r="O442" i="17"/>
  <c r="O446" i="17"/>
  <c r="M450" i="17"/>
  <c r="M455" i="17"/>
  <c r="N457" i="17"/>
  <c r="O459" i="17"/>
  <c r="M462" i="17"/>
  <c r="O464" i="17"/>
  <c r="O467" i="17"/>
  <c r="M470" i="17"/>
  <c r="P472" i="17"/>
  <c r="P474" i="17"/>
  <c r="M483" i="17"/>
  <c r="M491" i="17"/>
  <c r="M493" i="17"/>
  <c r="O501" i="17"/>
  <c r="N503" i="17"/>
  <c r="AW503" i="17" s="1"/>
  <c r="X504" i="17"/>
  <c r="P507" i="17"/>
  <c r="M509" i="17"/>
  <c r="N512" i="17"/>
  <c r="N516" i="17"/>
  <c r="X459" i="17"/>
  <c r="X467" i="17"/>
  <c r="O483" i="17"/>
  <c r="O426" i="17"/>
  <c r="O434" i="17"/>
  <c r="N442" i="17"/>
  <c r="N446" i="17"/>
  <c r="AW446" i="17" s="1"/>
  <c r="M457" i="17"/>
  <c r="M459" i="17"/>
  <c r="M467" i="17"/>
  <c r="N501" i="17"/>
  <c r="M512" i="17"/>
  <c r="M516" i="17"/>
  <c r="AJ285" i="17"/>
  <c r="AH128" i="17"/>
  <c r="AH132" i="17"/>
  <c r="AH305" i="17"/>
  <c r="AH90" i="17"/>
  <c r="AH322" i="17"/>
  <c r="AH75" i="17"/>
  <c r="AJ483" i="17"/>
  <c r="AJ174" i="17"/>
  <c r="AJ191" i="17"/>
  <c r="AJ510" i="17"/>
  <c r="AJ405" i="17"/>
  <c r="AJ407" i="17"/>
  <c r="AH22" i="17"/>
  <c r="AH30" i="17"/>
  <c r="AH74" i="17"/>
  <c r="AJ383" i="17"/>
  <c r="AH46" i="17"/>
  <c r="AJ211" i="17"/>
  <c r="AJ380" i="17"/>
  <c r="AH402" i="17"/>
  <c r="AH38" i="17"/>
  <c r="AJ330" i="17"/>
  <c r="AH335" i="17"/>
  <c r="AJ384" i="17"/>
  <c r="AJ422" i="17"/>
  <c r="AJ498" i="17"/>
  <c r="AJ208" i="17"/>
  <c r="AH54" i="17"/>
  <c r="AJ106" i="17"/>
  <c r="AJ300" i="17"/>
  <c r="AH317" i="17"/>
  <c r="AJ372" i="17"/>
  <c r="AH459" i="17"/>
  <c r="AJ170" i="17"/>
  <c r="AJ188" i="17"/>
  <c r="AJ190" i="17"/>
  <c r="AJ306" i="17"/>
  <c r="AJ323" i="17"/>
  <c r="AJ333" i="17"/>
  <c r="AH411" i="17"/>
  <c r="AJ413" i="17"/>
  <c r="AJ489" i="17"/>
  <c r="AJ34" i="17"/>
  <c r="AJ58" i="17"/>
  <c r="AH66" i="17"/>
  <c r="AJ67" i="17"/>
  <c r="AH70" i="17"/>
  <c r="AJ96" i="17"/>
  <c r="AJ100" i="17"/>
  <c r="AJ112" i="17"/>
  <c r="AJ116" i="17"/>
  <c r="AJ122" i="17"/>
  <c r="AJ192" i="17"/>
  <c r="AH194" i="17"/>
  <c r="AH200" i="17"/>
  <c r="AH226" i="17"/>
  <c r="AH235" i="17"/>
  <c r="AJ240" i="17"/>
  <c r="AJ258" i="17"/>
  <c r="AJ272" i="17"/>
  <c r="AJ364" i="17"/>
  <c r="AH368" i="17"/>
  <c r="AJ452" i="17"/>
  <c r="AH82" i="17"/>
  <c r="AJ83" i="17"/>
  <c r="AH230" i="17"/>
  <c r="AJ302" i="17"/>
  <c r="AJ21" i="17"/>
  <c r="AJ365" i="17"/>
  <c r="AH385" i="17"/>
  <c r="AJ396" i="17"/>
  <c r="AJ414" i="17"/>
  <c r="AJ500" i="17"/>
  <c r="AJ108" i="17"/>
  <c r="AJ146" i="17"/>
  <c r="AJ154" i="17"/>
  <c r="AJ448" i="17"/>
  <c r="AJ467" i="17"/>
  <c r="AH467" i="17"/>
  <c r="AJ472" i="17"/>
  <c r="AH472" i="17"/>
  <c r="AH26" i="17"/>
  <c r="AH42" i="17"/>
  <c r="AJ60" i="17"/>
  <c r="AJ72" i="17"/>
  <c r="AJ76" i="17"/>
  <c r="AJ88" i="17"/>
  <c r="AJ92" i="17"/>
  <c r="AJ94" i="17"/>
  <c r="AJ102" i="17"/>
  <c r="AJ114" i="17"/>
  <c r="AJ126" i="17"/>
  <c r="AJ206" i="17"/>
  <c r="AJ329" i="17"/>
  <c r="AJ353" i="17"/>
  <c r="AJ361" i="17"/>
  <c r="AJ401" i="17"/>
  <c r="AJ421" i="17"/>
  <c r="AJ449" i="17"/>
  <c r="AJ465" i="17"/>
  <c r="AH465" i="17"/>
  <c r="AJ477" i="17"/>
  <c r="AH477" i="17"/>
  <c r="AJ224" i="17"/>
  <c r="AJ33" i="17"/>
  <c r="AJ49" i="17"/>
  <c r="AJ50" i="17"/>
  <c r="AJ62" i="17"/>
  <c r="AJ78" i="17"/>
  <c r="AJ124" i="17"/>
  <c r="AJ134" i="17"/>
  <c r="AJ142" i="17"/>
  <c r="AJ150" i="17"/>
  <c r="AJ158" i="17"/>
  <c r="AJ166" i="17"/>
  <c r="AJ202" i="17"/>
  <c r="AJ219" i="17"/>
  <c r="AJ293" i="17"/>
  <c r="AJ316" i="17"/>
  <c r="AJ471" i="17"/>
  <c r="AJ493" i="17"/>
  <c r="AH496" i="17"/>
  <c r="AJ496" i="17"/>
  <c r="AJ514" i="17"/>
  <c r="AJ204" i="17"/>
  <c r="AJ269" i="17"/>
  <c r="AJ318" i="17"/>
  <c r="AJ182" i="17"/>
  <c r="AJ186" i="17"/>
  <c r="AJ210" i="17"/>
  <c r="AH210" i="17"/>
  <c r="AJ227" i="17"/>
  <c r="AJ239" i="17"/>
  <c r="AH239" i="17"/>
  <c r="AJ255" i="17"/>
  <c r="AJ276" i="17"/>
  <c r="AJ325" i="17"/>
  <c r="AJ334" i="17"/>
  <c r="AJ391" i="17"/>
  <c r="AJ403" i="17"/>
  <c r="AH403" i="17"/>
  <c r="AJ486" i="17"/>
  <c r="AJ487" i="17"/>
  <c r="AJ195" i="17"/>
  <c r="AJ234" i="17"/>
  <c r="AJ236" i="17"/>
  <c r="AJ243" i="17"/>
  <c r="AJ246" i="17"/>
  <c r="AJ259" i="17"/>
  <c r="AJ262" i="17"/>
  <c r="AJ273" i="17"/>
  <c r="AJ277" i="17"/>
  <c r="AJ288" i="17"/>
  <c r="AJ319" i="17"/>
  <c r="AJ341" i="17"/>
  <c r="AJ345" i="17"/>
  <c r="AJ354" i="17"/>
  <c r="AJ357" i="17"/>
  <c r="AJ371" i="17"/>
  <c r="AJ388" i="17"/>
  <c r="AJ389" i="17"/>
  <c r="AJ392" i="17"/>
  <c r="AJ397" i="17"/>
  <c r="AJ425" i="17"/>
  <c r="AJ426" i="17"/>
  <c r="AJ433" i="17"/>
  <c r="AJ434" i="17"/>
  <c r="AJ475" i="17"/>
  <c r="AJ481" i="17"/>
  <c r="AJ491" i="17"/>
  <c r="AJ512" i="17"/>
  <c r="AJ516" i="17"/>
  <c r="AJ518" i="17"/>
  <c r="AJ177" i="17"/>
  <c r="AJ214" i="17"/>
  <c r="AJ238" i="17"/>
  <c r="AJ247" i="17"/>
  <c r="AJ250" i="17"/>
  <c r="AJ263" i="17"/>
  <c r="AJ266" i="17"/>
  <c r="AJ280" i="17"/>
  <c r="AJ289" i="17"/>
  <c r="AH296" i="17"/>
  <c r="AJ309" i="17"/>
  <c r="AJ342" i="17"/>
  <c r="AJ346" i="17"/>
  <c r="AJ358" i="17"/>
  <c r="AJ360" i="17"/>
  <c r="AJ375" i="17"/>
  <c r="AJ376" i="17"/>
  <c r="AJ437" i="17"/>
  <c r="AJ438" i="17"/>
  <c r="AH207" i="17"/>
  <c r="AJ362" i="17"/>
  <c r="AH504" i="17"/>
  <c r="U26" i="17"/>
  <c r="X26" i="17"/>
  <c r="U34" i="17"/>
  <c r="X34" i="17"/>
  <c r="U50" i="17"/>
  <c r="X50" i="17"/>
  <c r="U42" i="17"/>
  <c r="X42" i="17"/>
  <c r="U30" i="17"/>
  <c r="X30" i="17"/>
  <c r="U46" i="17"/>
  <c r="X46" i="17"/>
  <c r="X22" i="17"/>
  <c r="AW22" i="17" s="1"/>
  <c r="U38" i="17"/>
  <c r="X38" i="17"/>
  <c r="U54" i="17"/>
  <c r="X54" i="17"/>
  <c r="AH19" i="17"/>
  <c r="M21" i="17"/>
  <c r="P22" i="17"/>
  <c r="U22" i="17" s="1"/>
  <c r="M25" i="17"/>
  <c r="P26" i="17"/>
  <c r="M29" i="17"/>
  <c r="P30" i="17"/>
  <c r="M33" i="17"/>
  <c r="P34" i="17"/>
  <c r="AH35" i="17"/>
  <c r="M37" i="17"/>
  <c r="P38" i="17"/>
  <c r="M41" i="17"/>
  <c r="P42" i="17"/>
  <c r="M45" i="17"/>
  <c r="P46" i="17"/>
  <c r="AH47" i="17"/>
  <c r="M49" i="17"/>
  <c r="P50" i="17"/>
  <c r="M53" i="17"/>
  <c r="P54" i="17"/>
  <c r="AJ56" i="17"/>
  <c r="M58" i="17"/>
  <c r="X59" i="17"/>
  <c r="M61" i="17"/>
  <c r="AJ61" i="17"/>
  <c r="U70" i="17"/>
  <c r="N71" i="17"/>
  <c r="AW71" i="17" s="1"/>
  <c r="M74" i="17"/>
  <c r="M77" i="17"/>
  <c r="AJ77" i="17"/>
  <c r="N87" i="17"/>
  <c r="AW87" i="17" s="1"/>
  <c r="M90" i="17"/>
  <c r="X91" i="17"/>
  <c r="M93" i="17"/>
  <c r="AJ93" i="17"/>
  <c r="M97" i="17"/>
  <c r="O97" i="17"/>
  <c r="AJ99" i="17"/>
  <c r="N101" i="17"/>
  <c r="AW101" i="17" s="1"/>
  <c r="O103" i="17"/>
  <c r="M103" i="17"/>
  <c r="N107" i="17"/>
  <c r="AW107" i="17" s="1"/>
  <c r="AJ109" i="17"/>
  <c r="M113" i="17"/>
  <c r="O113" i="17"/>
  <c r="AJ115" i="17"/>
  <c r="AH115" i="17"/>
  <c r="N117" i="17"/>
  <c r="AW117" i="17" s="1"/>
  <c r="O119" i="17"/>
  <c r="M119" i="17"/>
  <c r="N123" i="17"/>
  <c r="AW123" i="17" s="1"/>
  <c r="AJ125" i="17"/>
  <c r="M129" i="17"/>
  <c r="O129" i="17"/>
  <c r="AJ131" i="17"/>
  <c r="AH131" i="17"/>
  <c r="X147" i="17"/>
  <c r="X159" i="17"/>
  <c r="U159" i="17"/>
  <c r="X167" i="17"/>
  <c r="U167" i="17"/>
  <c r="X175" i="17"/>
  <c r="U175" i="17"/>
  <c r="U179" i="17"/>
  <c r="AJ196" i="17"/>
  <c r="O221" i="17"/>
  <c r="N221" i="17"/>
  <c r="AW221" i="17" s="1"/>
  <c r="M221" i="17"/>
  <c r="P221" i="17"/>
  <c r="X19" i="17"/>
  <c r="O20" i="17"/>
  <c r="AJ20" i="17"/>
  <c r="N21" i="17"/>
  <c r="M22" i="17"/>
  <c r="X23" i="17"/>
  <c r="O24" i="17"/>
  <c r="N25" i="17"/>
  <c r="AW25" i="17" s="1"/>
  <c r="M26" i="17"/>
  <c r="O28" i="17"/>
  <c r="N29" i="17"/>
  <c r="AW29" i="17" s="1"/>
  <c r="M30" i="17"/>
  <c r="O32" i="17"/>
  <c r="N33" i="17"/>
  <c r="AW33" i="17" s="1"/>
  <c r="M34" i="17"/>
  <c r="X35" i="17"/>
  <c r="O36" i="17"/>
  <c r="N37" i="17"/>
  <c r="AW37" i="17" s="1"/>
  <c r="M38" i="17"/>
  <c r="O40" i="17"/>
  <c r="AH40" i="17"/>
  <c r="N41" i="17"/>
  <c r="AW41" i="17" s="1"/>
  <c r="M42" i="17"/>
  <c r="O44" i="17"/>
  <c r="N45" i="17"/>
  <c r="AW45" i="17" s="1"/>
  <c r="M46" i="17"/>
  <c r="O48" i="17"/>
  <c r="N49" i="17"/>
  <c r="AW49" i="17" s="1"/>
  <c r="M50" i="17"/>
  <c r="O52" i="17"/>
  <c r="N53" i="17"/>
  <c r="AW53" i="17" s="1"/>
  <c r="M54" i="17"/>
  <c r="X55" i="17"/>
  <c r="O56" i="17"/>
  <c r="M57" i="17"/>
  <c r="AJ57" i="17"/>
  <c r="O58" i="17"/>
  <c r="P59" i="17"/>
  <c r="N61" i="17"/>
  <c r="AW61" i="17" s="1"/>
  <c r="P62" i="17"/>
  <c r="X62" i="17"/>
  <c r="P65" i="17"/>
  <c r="N67" i="17"/>
  <c r="AW67" i="17" s="1"/>
  <c r="M70" i="17"/>
  <c r="O71" i="17"/>
  <c r="M73" i="17"/>
  <c r="AJ73" i="17"/>
  <c r="O74" i="17"/>
  <c r="P75" i="17"/>
  <c r="N77" i="17"/>
  <c r="AW77" i="17" s="1"/>
  <c r="P78" i="17"/>
  <c r="X78" i="17"/>
  <c r="P81" i="17"/>
  <c r="N83" i="17"/>
  <c r="U85" i="17"/>
  <c r="M86" i="17"/>
  <c r="O87" i="17"/>
  <c r="M89" i="17"/>
  <c r="AJ89" i="17"/>
  <c r="O90" i="17"/>
  <c r="P91" i="17"/>
  <c r="N93" i="17"/>
  <c r="AW93" i="17" s="1"/>
  <c r="AJ95" i="17"/>
  <c r="AH95" i="17"/>
  <c r="N97" i="17"/>
  <c r="AW97" i="17" s="1"/>
  <c r="O99" i="17"/>
  <c r="M99" i="17"/>
  <c r="N103" i="17"/>
  <c r="AW103" i="17" s="1"/>
  <c r="AJ105" i="17"/>
  <c r="AH105" i="17"/>
  <c r="M109" i="17"/>
  <c r="O109" i="17"/>
  <c r="AJ111" i="17"/>
  <c r="AH111" i="17"/>
  <c r="N113" i="17"/>
  <c r="AW113" i="17" s="1"/>
  <c r="O115" i="17"/>
  <c r="M115" i="17"/>
  <c r="X115" i="17"/>
  <c r="N119" i="17"/>
  <c r="AW119" i="17" s="1"/>
  <c r="AJ121" i="17"/>
  <c r="M125" i="17"/>
  <c r="O125" i="17"/>
  <c r="X125" i="17"/>
  <c r="AJ127" i="17"/>
  <c r="N129" i="17"/>
  <c r="AW129" i="17" s="1"/>
  <c r="O131" i="17"/>
  <c r="M131" i="17"/>
  <c r="X131" i="17"/>
  <c r="AJ135" i="17"/>
  <c r="N137" i="17"/>
  <c r="AW137" i="17" s="1"/>
  <c r="M137" i="17"/>
  <c r="O137" i="17"/>
  <c r="AJ139" i="17"/>
  <c r="N141" i="17"/>
  <c r="AW141" i="17" s="1"/>
  <c r="M141" i="17"/>
  <c r="O141" i="17"/>
  <c r="AJ143" i="17"/>
  <c r="N145" i="17"/>
  <c r="AW145" i="17" s="1"/>
  <c r="M145" i="17"/>
  <c r="O145" i="17"/>
  <c r="AJ147" i="17"/>
  <c r="AH147" i="17"/>
  <c r="N149" i="17"/>
  <c r="AW149" i="17" s="1"/>
  <c r="M149" i="17"/>
  <c r="O149" i="17"/>
  <c r="AJ151" i="17"/>
  <c r="N153" i="17"/>
  <c r="AW153" i="17" s="1"/>
  <c r="M153" i="17"/>
  <c r="O153" i="17"/>
  <c r="AJ155" i="17"/>
  <c r="N157" i="17"/>
  <c r="AW157" i="17" s="1"/>
  <c r="M157" i="17"/>
  <c r="O157" i="17"/>
  <c r="AJ159" i="17"/>
  <c r="AH159" i="17"/>
  <c r="N161" i="17"/>
  <c r="AW161" i="17" s="1"/>
  <c r="M161" i="17"/>
  <c r="O161" i="17"/>
  <c r="AJ163" i="17"/>
  <c r="AH163" i="17"/>
  <c r="N165" i="17"/>
  <c r="AW165" i="17" s="1"/>
  <c r="M165" i="17"/>
  <c r="O165" i="17"/>
  <c r="AJ167" i="17"/>
  <c r="AH167" i="17"/>
  <c r="N169" i="17"/>
  <c r="AW169" i="17" s="1"/>
  <c r="M169" i="17"/>
  <c r="O169" i="17"/>
  <c r="AJ171" i="17"/>
  <c r="N173" i="17"/>
  <c r="AW173" i="17" s="1"/>
  <c r="M173" i="17"/>
  <c r="O173" i="17"/>
  <c r="AJ175" i="17"/>
  <c r="AH175" i="17"/>
  <c r="N177" i="17"/>
  <c r="AW177" i="17" s="1"/>
  <c r="M177" i="17"/>
  <c r="O177" i="17"/>
  <c r="AJ179" i="17"/>
  <c r="N181" i="17"/>
  <c r="AW181" i="17" s="1"/>
  <c r="M181" i="17"/>
  <c r="O181" i="17"/>
  <c r="AJ183" i="17"/>
  <c r="AH183" i="17"/>
  <c r="X192" i="17"/>
  <c r="U192" i="17"/>
  <c r="AJ212" i="17"/>
  <c r="O237" i="17"/>
  <c r="N237" i="17"/>
  <c r="AW237" i="17" s="1"/>
  <c r="M237" i="17"/>
  <c r="P237" i="17"/>
  <c r="O21" i="17"/>
  <c r="O25" i="17"/>
  <c r="O29" i="17"/>
  <c r="O33" i="17"/>
  <c r="O37" i="17"/>
  <c r="X40" i="17"/>
  <c r="O41" i="17"/>
  <c r="O45" i="17"/>
  <c r="O49" i="17"/>
  <c r="O53" i="17"/>
  <c r="N57" i="17"/>
  <c r="AW57" i="17" s="1"/>
  <c r="P58" i="17"/>
  <c r="X58" i="17"/>
  <c r="P61" i="17"/>
  <c r="O67" i="17"/>
  <c r="AJ69" i="17"/>
  <c r="O70" i="17"/>
  <c r="P71" i="17"/>
  <c r="N73" i="17"/>
  <c r="AW73" i="17" s="1"/>
  <c r="P74" i="17"/>
  <c r="X74" i="17"/>
  <c r="P77" i="17"/>
  <c r="O83" i="17"/>
  <c r="AJ85" i="17"/>
  <c r="AH85" i="17"/>
  <c r="O86" i="17"/>
  <c r="P87" i="17"/>
  <c r="N89" i="17"/>
  <c r="AW89" i="17" s="1"/>
  <c r="P90" i="17"/>
  <c r="X90" i="17"/>
  <c r="P93" i="17"/>
  <c r="O95" i="17"/>
  <c r="M95" i="17"/>
  <c r="X95" i="17"/>
  <c r="P97" i="17"/>
  <c r="AJ101" i="17"/>
  <c r="P103" i="17"/>
  <c r="M105" i="17"/>
  <c r="O105" i="17"/>
  <c r="X105" i="17"/>
  <c r="AJ107" i="17"/>
  <c r="O111" i="17"/>
  <c r="M111" i="17"/>
  <c r="X111" i="17"/>
  <c r="P113" i="17"/>
  <c r="AJ117" i="17"/>
  <c r="AH117" i="17"/>
  <c r="P119" i="17"/>
  <c r="M121" i="17"/>
  <c r="O121" i="17"/>
  <c r="AJ123" i="17"/>
  <c r="O127" i="17"/>
  <c r="M127" i="17"/>
  <c r="P129" i="17"/>
  <c r="U134" i="17"/>
  <c r="X134" i="17"/>
  <c r="X138" i="17"/>
  <c r="U142" i="17"/>
  <c r="X142" i="17"/>
  <c r="X146" i="17"/>
  <c r="U150" i="17"/>
  <c r="X150" i="17"/>
  <c r="X154" i="17"/>
  <c r="X162" i="17"/>
  <c r="U166" i="17"/>
  <c r="X166" i="17"/>
  <c r="U170" i="17"/>
  <c r="X170" i="17"/>
  <c r="U174" i="17"/>
  <c r="X174" i="17"/>
  <c r="P177" i="17"/>
  <c r="P181" i="17"/>
  <c r="X185" i="17"/>
  <c r="U187" i="17"/>
  <c r="X187" i="17"/>
  <c r="AJ187" i="17"/>
  <c r="AH187" i="17"/>
  <c r="N190" i="17"/>
  <c r="P190" i="17"/>
  <c r="O190" i="17"/>
  <c r="M190" i="17"/>
  <c r="AH192" i="17"/>
  <c r="X197" i="17"/>
  <c r="AJ228" i="17"/>
  <c r="AH228" i="17"/>
  <c r="AJ65" i="17"/>
  <c r="AH65" i="17"/>
  <c r="AJ81" i="17"/>
  <c r="X85" i="17"/>
  <c r="AJ97" i="17"/>
  <c r="M101" i="17"/>
  <c r="O101" i="17"/>
  <c r="AJ103" i="17"/>
  <c r="O107" i="17"/>
  <c r="M107" i="17"/>
  <c r="AJ113" i="17"/>
  <c r="M117" i="17"/>
  <c r="O117" i="17"/>
  <c r="AJ119" i="17"/>
  <c r="O123" i="17"/>
  <c r="M123" i="17"/>
  <c r="AJ129" i="17"/>
  <c r="U191" i="17"/>
  <c r="X191" i="17"/>
  <c r="O205" i="17"/>
  <c r="N205" i="17"/>
  <c r="AW205" i="17" s="1"/>
  <c r="M205" i="17"/>
  <c r="P205" i="17"/>
  <c r="X213" i="17"/>
  <c r="N250" i="17"/>
  <c r="AW250" i="17" s="1"/>
  <c r="M250" i="17"/>
  <c r="P250" i="17"/>
  <c r="O250" i="17"/>
  <c r="N258" i="17"/>
  <c r="M258" i="17"/>
  <c r="P258" i="17"/>
  <c r="O258" i="17"/>
  <c r="X264" i="17"/>
  <c r="N266" i="17"/>
  <c r="M266" i="17"/>
  <c r="P266" i="17"/>
  <c r="O266" i="17"/>
  <c r="N288" i="17"/>
  <c r="M288" i="17"/>
  <c r="P288" i="17"/>
  <c r="O288" i="17"/>
  <c r="N94" i="17"/>
  <c r="AW94" i="17" s="1"/>
  <c r="X96" i="17"/>
  <c r="N98" i="17"/>
  <c r="AW98" i="17" s="1"/>
  <c r="X100" i="17"/>
  <c r="N102" i="17"/>
  <c r="AW102" i="17" s="1"/>
  <c r="N106" i="17"/>
  <c r="N110" i="17"/>
  <c r="AW110" i="17" s="1"/>
  <c r="X112" i="17"/>
  <c r="N114" i="17"/>
  <c r="AW114" i="17" s="1"/>
  <c r="X116" i="17"/>
  <c r="N118" i="17"/>
  <c r="AW118" i="17" s="1"/>
  <c r="N122" i="17"/>
  <c r="N126" i="17"/>
  <c r="AW126" i="17" s="1"/>
  <c r="X128" i="17"/>
  <c r="N130" i="17"/>
  <c r="AW130" i="17" s="1"/>
  <c r="O136" i="17"/>
  <c r="N136" i="17"/>
  <c r="AW136" i="17" s="1"/>
  <c r="O140" i="17"/>
  <c r="N140" i="17"/>
  <c r="AW140" i="17" s="1"/>
  <c r="O144" i="17"/>
  <c r="N144" i="17"/>
  <c r="AW144" i="17" s="1"/>
  <c r="O148" i="17"/>
  <c r="N148" i="17"/>
  <c r="AW148" i="17" s="1"/>
  <c r="O152" i="17"/>
  <c r="N152" i="17"/>
  <c r="AW152" i="17" s="1"/>
  <c r="O156" i="17"/>
  <c r="N156" i="17"/>
  <c r="AW156" i="17" s="1"/>
  <c r="O160" i="17"/>
  <c r="N160" i="17"/>
  <c r="AW160" i="17" s="1"/>
  <c r="O164" i="17"/>
  <c r="N164" i="17"/>
  <c r="AW164" i="17" s="1"/>
  <c r="O168" i="17"/>
  <c r="N168" i="17"/>
  <c r="AW168" i="17" s="1"/>
  <c r="O172" i="17"/>
  <c r="N172" i="17"/>
  <c r="AW172" i="17" s="1"/>
  <c r="O176" i="17"/>
  <c r="N176" i="17"/>
  <c r="AW176" i="17" s="1"/>
  <c r="O180" i="17"/>
  <c r="N180" i="17"/>
  <c r="AW180" i="17" s="1"/>
  <c r="O184" i="17"/>
  <c r="N184" i="17"/>
  <c r="AW184" i="17" s="1"/>
  <c r="M187" i="17"/>
  <c r="P187" i="17"/>
  <c r="O187" i="17"/>
  <c r="AH191" i="17"/>
  <c r="AJ193" i="17"/>
  <c r="X203" i="17"/>
  <c r="M215" i="17"/>
  <c r="O215" i="17"/>
  <c r="N215" i="17"/>
  <c r="AW215" i="17" s="1"/>
  <c r="P215" i="17"/>
  <c r="AJ215" i="17"/>
  <c r="N218" i="17"/>
  <c r="AW218" i="17" s="1"/>
  <c r="O218" i="17"/>
  <c r="M218" i="17"/>
  <c r="P218" i="17"/>
  <c r="AJ225" i="17"/>
  <c r="X235" i="17"/>
  <c r="N280" i="17"/>
  <c r="M280" i="17"/>
  <c r="P280" i="17"/>
  <c r="O280" i="17"/>
  <c r="X244" i="17"/>
  <c r="U244" i="17"/>
  <c r="N246" i="17"/>
  <c r="AW246" i="17" s="1"/>
  <c r="M246" i="17"/>
  <c r="P246" i="17"/>
  <c r="O246" i="17"/>
  <c r="U252" i="17"/>
  <c r="N254" i="17"/>
  <c r="AW254" i="17" s="1"/>
  <c r="M254" i="17"/>
  <c r="P254" i="17"/>
  <c r="O254" i="17"/>
  <c r="X260" i="17"/>
  <c r="N262" i="17"/>
  <c r="AW262" i="17" s="1"/>
  <c r="M262" i="17"/>
  <c r="P262" i="17"/>
  <c r="O262" i="17"/>
  <c r="N272" i="17"/>
  <c r="M272" i="17"/>
  <c r="P272" i="17"/>
  <c r="O272" i="17"/>
  <c r="N186" i="17"/>
  <c r="AW186" i="17" s="1"/>
  <c r="O186" i="17"/>
  <c r="M186" i="17"/>
  <c r="O189" i="17"/>
  <c r="N189" i="17"/>
  <c r="AW189" i="17" s="1"/>
  <c r="M189" i="17"/>
  <c r="M199" i="17"/>
  <c r="O199" i="17"/>
  <c r="N199" i="17"/>
  <c r="AW199" i="17" s="1"/>
  <c r="P199" i="17"/>
  <c r="AJ199" i="17"/>
  <c r="N202" i="17"/>
  <c r="AW202" i="17" s="1"/>
  <c r="O202" i="17"/>
  <c r="M202" i="17"/>
  <c r="P202" i="17"/>
  <c r="AJ209" i="17"/>
  <c r="U219" i="17"/>
  <c r="M231" i="17"/>
  <c r="O231" i="17"/>
  <c r="N231" i="17"/>
  <c r="AW231" i="17" s="1"/>
  <c r="P231" i="17"/>
  <c r="AJ231" i="17"/>
  <c r="N234" i="17"/>
  <c r="O234" i="17"/>
  <c r="M234" i="17"/>
  <c r="P234" i="17"/>
  <c r="U236" i="17"/>
  <c r="AJ241" i="17"/>
  <c r="AJ197" i="17"/>
  <c r="X201" i="17"/>
  <c r="AJ213" i="17"/>
  <c r="X217" i="17"/>
  <c r="AJ229" i="17"/>
  <c r="X233" i="17"/>
  <c r="U238" i="17"/>
  <c r="O245" i="17"/>
  <c r="N245" i="17"/>
  <c r="AW245" i="17" s="1"/>
  <c r="O249" i="17"/>
  <c r="N249" i="17"/>
  <c r="AW249" i="17" s="1"/>
  <c r="O253" i="17"/>
  <c r="N253" i="17"/>
  <c r="AW253" i="17" s="1"/>
  <c r="O257" i="17"/>
  <c r="N257" i="17"/>
  <c r="AW257" i="17" s="1"/>
  <c r="O261" i="17"/>
  <c r="N261" i="17"/>
  <c r="AW261" i="17" s="1"/>
  <c r="O265" i="17"/>
  <c r="N265" i="17"/>
  <c r="AW265" i="17" s="1"/>
  <c r="AJ267" i="17"/>
  <c r="M269" i="17"/>
  <c r="O269" i="17"/>
  <c r="N269" i="17"/>
  <c r="AW269" i="17" s="1"/>
  <c r="X282" i="17"/>
  <c r="U305" i="17"/>
  <c r="X305" i="17"/>
  <c r="AJ310" i="17"/>
  <c r="AJ313" i="17"/>
  <c r="AJ291" i="17"/>
  <c r="AJ297" i="17"/>
  <c r="AJ307" i="17"/>
  <c r="N321" i="17"/>
  <c r="AW321" i="17" s="1"/>
  <c r="P321" i="17"/>
  <c r="O321" i="17"/>
  <c r="X323" i="17"/>
  <c r="AH323" i="17"/>
  <c r="P134" i="17"/>
  <c r="P138" i="17"/>
  <c r="P142" i="17"/>
  <c r="P146" i="17"/>
  <c r="P150" i="17"/>
  <c r="P154" i="17"/>
  <c r="P158" i="17"/>
  <c r="P162" i="17"/>
  <c r="P166" i="17"/>
  <c r="P170" i="17"/>
  <c r="P174" i="17"/>
  <c r="P178" i="17"/>
  <c r="P182" i="17"/>
  <c r="AJ184" i="17"/>
  <c r="AJ189" i="17"/>
  <c r="N193" i="17"/>
  <c r="AW193" i="17" s="1"/>
  <c r="O203" i="17"/>
  <c r="AJ205" i="17"/>
  <c r="O206" i="17"/>
  <c r="N209" i="17"/>
  <c r="AW209" i="17" s="1"/>
  <c r="O219" i="17"/>
  <c r="AJ221" i="17"/>
  <c r="O222" i="17"/>
  <c r="N225" i="17"/>
  <c r="AW225" i="17" s="1"/>
  <c r="O235" i="17"/>
  <c r="AJ237" i="17"/>
  <c r="O238" i="17"/>
  <c r="N241" i="17"/>
  <c r="AW241" i="17" s="1"/>
  <c r="P245" i="17"/>
  <c r="P249" i="17"/>
  <c r="P253" i="17"/>
  <c r="P257" i="17"/>
  <c r="P261" i="17"/>
  <c r="P265" i="17"/>
  <c r="X278" i="17"/>
  <c r="X286" i="17"/>
  <c r="U299" i="17"/>
  <c r="X299" i="17"/>
  <c r="U301" i="17"/>
  <c r="X301" i="17"/>
  <c r="X302" i="17"/>
  <c r="U302" i="17"/>
  <c r="O303" i="17"/>
  <c r="N303" i="17"/>
  <c r="AW303" i="17" s="1"/>
  <c r="M303" i="17"/>
  <c r="P303" i="17"/>
  <c r="U311" i="17"/>
  <c r="X311" i="17"/>
  <c r="N316" i="17"/>
  <c r="AW316" i="17" s="1"/>
  <c r="O316" i="17"/>
  <c r="M316" i="17"/>
  <c r="M321" i="17"/>
  <c r="X338" i="17"/>
  <c r="X339" i="17"/>
  <c r="M185" i="17"/>
  <c r="AJ185" i="17"/>
  <c r="P193" i="17"/>
  <c r="N195" i="17"/>
  <c r="AW195" i="17" s="1"/>
  <c r="X196" i="17"/>
  <c r="M198" i="17"/>
  <c r="M201" i="17"/>
  <c r="AJ201" i="17"/>
  <c r="AH201" i="17"/>
  <c r="P203" i="17"/>
  <c r="P206" i="17"/>
  <c r="P209" i="17"/>
  <c r="N211" i="17"/>
  <c r="M214" i="17"/>
  <c r="M217" i="17"/>
  <c r="AJ217" i="17"/>
  <c r="AH217" i="17"/>
  <c r="P219" i="17"/>
  <c r="P222" i="17"/>
  <c r="P225" i="17"/>
  <c r="N227" i="17"/>
  <c r="AW227" i="17" s="1"/>
  <c r="X228" i="17"/>
  <c r="M230" i="17"/>
  <c r="M233" i="17"/>
  <c r="AJ233" i="17"/>
  <c r="AH233" i="17"/>
  <c r="P235" i="17"/>
  <c r="P238" i="17"/>
  <c r="P241" i="17"/>
  <c r="N243" i="17"/>
  <c r="AJ244" i="17"/>
  <c r="U247" i="17"/>
  <c r="X247" i="17"/>
  <c r="AJ248" i="17"/>
  <c r="AJ252" i="17"/>
  <c r="AH252" i="17"/>
  <c r="U255" i="17"/>
  <c r="X255" i="17"/>
  <c r="AJ256" i="17"/>
  <c r="U259" i="17"/>
  <c r="X259" i="17"/>
  <c r="AJ260" i="17"/>
  <c r="AH260" i="17"/>
  <c r="AJ264" i="17"/>
  <c r="U270" i="17"/>
  <c r="N276" i="17"/>
  <c r="M276" i="17"/>
  <c r="P276" i="17"/>
  <c r="U278" i="17"/>
  <c r="N284" i="17"/>
  <c r="AW284" i="17" s="1"/>
  <c r="M284" i="17"/>
  <c r="P284" i="17"/>
  <c r="U286" i="17"/>
  <c r="AJ294" i="17"/>
  <c r="AH294" i="17"/>
  <c r="N300" i="17"/>
  <c r="O300" i="17"/>
  <c r="M300" i="17"/>
  <c r="P300" i="17"/>
  <c r="AH301" i="17"/>
  <c r="P316" i="17"/>
  <c r="O324" i="17"/>
  <c r="P324" i="17"/>
  <c r="N324" i="17"/>
  <c r="AW324" i="17" s="1"/>
  <c r="M349" i="17"/>
  <c r="N349" i="17"/>
  <c r="AW349" i="17" s="1"/>
  <c r="P349" i="17"/>
  <c r="O349" i="17"/>
  <c r="U331" i="17"/>
  <c r="N333" i="17"/>
  <c r="AW333" i="17" s="1"/>
  <c r="O333" i="17"/>
  <c r="P333" i="17"/>
  <c r="AJ343" i="17"/>
  <c r="AJ347" i="17"/>
  <c r="M353" i="17"/>
  <c r="N353" i="17"/>
  <c r="P353" i="17"/>
  <c r="AJ355" i="17"/>
  <c r="AJ373" i="17"/>
  <c r="P247" i="17"/>
  <c r="P251" i="17"/>
  <c r="P255" i="17"/>
  <c r="P259" i="17"/>
  <c r="P263" i="17"/>
  <c r="P267" i="17"/>
  <c r="AJ270" i="17"/>
  <c r="AJ274" i="17"/>
  <c r="AH274" i="17"/>
  <c r="U277" i="17"/>
  <c r="X277" i="17"/>
  <c r="AJ278" i="17"/>
  <c r="U281" i="17"/>
  <c r="AJ282" i="17"/>
  <c r="AH282" i="17"/>
  <c r="U285" i="17"/>
  <c r="X285" i="17"/>
  <c r="AJ286" i="17"/>
  <c r="AH286" i="17"/>
  <c r="U289" i="17"/>
  <c r="X289" i="17"/>
  <c r="AJ290" i="17"/>
  <c r="N304" i="17"/>
  <c r="AW304" i="17" s="1"/>
  <c r="P304" i="17"/>
  <c r="O304" i="17"/>
  <c r="O307" i="17"/>
  <c r="P307" i="17"/>
  <c r="N307" i="17"/>
  <c r="AW307" i="17" s="1"/>
  <c r="AJ311" i="17"/>
  <c r="AH311" i="17"/>
  <c r="M313" i="17"/>
  <c r="O313" i="17"/>
  <c r="N313" i="17"/>
  <c r="AW313" i="17" s="1"/>
  <c r="M317" i="17"/>
  <c r="P317" i="17"/>
  <c r="O317" i="17"/>
  <c r="AJ328" i="17"/>
  <c r="AH328" i="17"/>
  <c r="O332" i="17"/>
  <c r="M332" i="17"/>
  <c r="P332" i="17"/>
  <c r="N332" i="17"/>
  <c r="AW332" i="17" s="1"/>
  <c r="X342" i="17"/>
  <c r="U342" i="17"/>
  <c r="M268" i="17"/>
  <c r="O271" i="17"/>
  <c r="N271" i="17"/>
  <c r="AW271" i="17" s="1"/>
  <c r="O275" i="17"/>
  <c r="N275" i="17"/>
  <c r="AW275" i="17" s="1"/>
  <c r="O279" i="17"/>
  <c r="N279" i="17"/>
  <c r="AW279" i="17" s="1"/>
  <c r="O283" i="17"/>
  <c r="N283" i="17"/>
  <c r="AW283" i="17" s="1"/>
  <c r="O287" i="17"/>
  <c r="N287" i="17"/>
  <c r="AW287" i="17" s="1"/>
  <c r="O291" i="17"/>
  <c r="P291" i="17"/>
  <c r="N291" i="17"/>
  <c r="AW291" i="17" s="1"/>
  <c r="AJ295" i="17"/>
  <c r="M297" i="17"/>
  <c r="O297" i="17"/>
  <c r="N297" i="17"/>
  <c r="AW297" i="17" s="1"/>
  <c r="M301" i="17"/>
  <c r="P301" i="17"/>
  <c r="O301" i="17"/>
  <c r="AH302" i="17"/>
  <c r="U317" i="17"/>
  <c r="X317" i="17"/>
  <c r="U355" i="17"/>
  <c r="AH366" i="17"/>
  <c r="AJ366" i="17"/>
  <c r="AJ370" i="17"/>
  <c r="AH370" i="17"/>
  <c r="M372" i="17"/>
  <c r="N372" i="17"/>
  <c r="AW372" i="17" s="1"/>
  <c r="O372" i="17"/>
  <c r="P372" i="17"/>
  <c r="P273" i="17"/>
  <c r="P277" i="17"/>
  <c r="P281" i="17"/>
  <c r="P285" i="17"/>
  <c r="P289" i="17"/>
  <c r="AJ303" i="17"/>
  <c r="AH303" i="17"/>
  <c r="M330" i="17"/>
  <c r="O330" i="17"/>
  <c r="AJ331" i="17"/>
  <c r="M334" i="17"/>
  <c r="P334" i="17"/>
  <c r="X335" i="17"/>
  <c r="O336" i="17"/>
  <c r="N336" i="17"/>
  <c r="AW336" i="17" s="1"/>
  <c r="AJ336" i="17"/>
  <c r="AJ339" i="17"/>
  <c r="M345" i="17"/>
  <c r="N345" i="17"/>
  <c r="X347" i="17"/>
  <c r="M357" i="17"/>
  <c r="O357" i="17"/>
  <c r="N357" i="17"/>
  <c r="AW357" i="17" s="1"/>
  <c r="U359" i="17"/>
  <c r="N293" i="17"/>
  <c r="AW293" i="17" s="1"/>
  <c r="X294" i="17"/>
  <c r="M296" i="17"/>
  <c r="M299" i="17"/>
  <c r="AJ299" i="17"/>
  <c r="AH299" i="17"/>
  <c r="N309" i="17"/>
  <c r="AW309" i="17" s="1"/>
  <c r="M312" i="17"/>
  <c r="U314" i="17"/>
  <c r="M315" i="17"/>
  <c r="AJ315" i="17"/>
  <c r="X319" i="17"/>
  <c r="O320" i="17"/>
  <c r="N320" i="17"/>
  <c r="AW320" i="17" s="1"/>
  <c r="AJ320" i="17"/>
  <c r="AJ324" i="17"/>
  <c r="M326" i="17"/>
  <c r="N326" i="17"/>
  <c r="AW326" i="17" s="1"/>
  <c r="AJ326" i="17"/>
  <c r="N329" i="17"/>
  <c r="AW329" i="17" s="1"/>
  <c r="M329" i="17"/>
  <c r="N330" i="17"/>
  <c r="N334" i="17"/>
  <c r="AW334" i="17" s="1"/>
  <c r="U335" i="17"/>
  <c r="M336" i="17"/>
  <c r="N337" i="17"/>
  <c r="AW337" i="17" s="1"/>
  <c r="P337" i="17"/>
  <c r="M341" i="17"/>
  <c r="N341" i="17"/>
  <c r="O345" i="17"/>
  <c r="U347" i="17"/>
  <c r="AJ351" i="17"/>
  <c r="P357" i="17"/>
  <c r="AJ359" i="17"/>
  <c r="M388" i="17"/>
  <c r="N388" i="17"/>
  <c r="AW388" i="17" s="1"/>
  <c r="O388" i="17"/>
  <c r="P388" i="17"/>
  <c r="X403" i="17"/>
  <c r="U403" i="17"/>
  <c r="O404" i="17"/>
  <c r="M404" i="17"/>
  <c r="N404" i="17"/>
  <c r="AW404" i="17" s="1"/>
  <c r="P404" i="17"/>
  <c r="AH454" i="17"/>
  <c r="AJ454" i="17"/>
  <c r="AJ332" i="17"/>
  <c r="N340" i="17"/>
  <c r="AW340" i="17" s="1"/>
  <c r="O340" i="17"/>
  <c r="N344" i="17"/>
  <c r="AW344" i="17" s="1"/>
  <c r="O344" i="17"/>
  <c r="N348" i="17"/>
  <c r="AW348" i="17" s="1"/>
  <c r="O348" i="17"/>
  <c r="N352" i="17"/>
  <c r="AW352" i="17" s="1"/>
  <c r="O352" i="17"/>
  <c r="X356" i="17"/>
  <c r="AJ363" i="17"/>
  <c r="N383" i="17"/>
  <c r="AW383" i="17" s="1"/>
  <c r="O383" i="17"/>
  <c r="M383" i="17"/>
  <c r="P383" i="17"/>
  <c r="N401" i="17"/>
  <c r="AW401" i="17" s="1"/>
  <c r="M401" i="17"/>
  <c r="O401" i="17"/>
  <c r="P401" i="17"/>
  <c r="X374" i="17"/>
  <c r="U374" i="17"/>
  <c r="AJ386" i="17"/>
  <c r="AH386" i="17"/>
  <c r="M396" i="17"/>
  <c r="N396" i="17"/>
  <c r="AW396" i="17" s="1"/>
  <c r="O396" i="17"/>
  <c r="P396" i="17"/>
  <c r="AJ398" i="17"/>
  <c r="AJ412" i="17"/>
  <c r="AH412" i="17"/>
  <c r="N413" i="17"/>
  <c r="AW413" i="17" s="1"/>
  <c r="O413" i="17"/>
  <c r="M413" i="17"/>
  <c r="P413" i="17"/>
  <c r="M338" i="17"/>
  <c r="M342" i="17"/>
  <c r="M346" i="17"/>
  <c r="M350" i="17"/>
  <c r="M354" i="17"/>
  <c r="U354" i="17"/>
  <c r="O356" i="17"/>
  <c r="AH356" i="17"/>
  <c r="M358" i="17"/>
  <c r="P360" i="17"/>
  <c r="X360" i="17"/>
  <c r="P363" i="17"/>
  <c r="N365" i="17"/>
  <c r="X366" i="17"/>
  <c r="M368" i="17"/>
  <c r="N375" i="17"/>
  <c r="AW375" i="17" s="1"/>
  <c r="O375" i="17"/>
  <c r="AJ378" i="17"/>
  <c r="M380" i="17"/>
  <c r="N380" i="17"/>
  <c r="X385" i="17"/>
  <c r="U385" i="17"/>
  <c r="N391" i="17"/>
  <c r="AW391" i="17" s="1"/>
  <c r="O391" i="17"/>
  <c r="AJ394" i="17"/>
  <c r="U397" i="17"/>
  <c r="M398" i="17"/>
  <c r="N398" i="17"/>
  <c r="AW398" i="17" s="1"/>
  <c r="O398" i="17"/>
  <c r="X400" i="17"/>
  <c r="M402" i="17"/>
  <c r="O402" i="17"/>
  <c r="P402" i="17"/>
  <c r="X419" i="17"/>
  <c r="U419" i="17"/>
  <c r="U423" i="17"/>
  <c r="P356" i="17"/>
  <c r="U360" i="17"/>
  <c r="X362" i="17"/>
  <c r="AJ367" i="17"/>
  <c r="X370" i="17"/>
  <c r="U370" i="17"/>
  <c r="N379" i="17"/>
  <c r="AW379" i="17" s="1"/>
  <c r="O379" i="17"/>
  <c r="AJ382" i="17"/>
  <c r="M384" i="17"/>
  <c r="N384" i="17"/>
  <c r="X386" i="17"/>
  <c r="X389" i="17"/>
  <c r="U389" i="17"/>
  <c r="N395" i="17"/>
  <c r="AW395" i="17" s="1"/>
  <c r="O395" i="17"/>
  <c r="U402" i="17"/>
  <c r="X402" i="17"/>
  <c r="AJ408" i="17"/>
  <c r="M414" i="17"/>
  <c r="N414" i="17"/>
  <c r="P414" i="17"/>
  <c r="AJ416" i="17"/>
  <c r="AJ423" i="17"/>
  <c r="X354" i="17"/>
  <c r="O360" i="17"/>
  <c r="N363" i="17"/>
  <c r="AW363" i="17" s="1"/>
  <c r="N371" i="17"/>
  <c r="AW371" i="17" s="1"/>
  <c r="O371" i="17"/>
  <c r="AJ374" i="17"/>
  <c r="AH374" i="17"/>
  <c r="M376" i="17"/>
  <c r="N376" i="17"/>
  <c r="P379" i="17"/>
  <c r="X381" i="17"/>
  <c r="P384" i="17"/>
  <c r="N387" i="17"/>
  <c r="AW387" i="17" s="1"/>
  <c r="O387" i="17"/>
  <c r="AJ390" i="17"/>
  <c r="AH390" i="17"/>
  <c r="M392" i="17"/>
  <c r="N392" i="17"/>
  <c r="AW392" i="17" s="1"/>
  <c r="X394" i="17"/>
  <c r="P395" i="17"/>
  <c r="N405" i="17"/>
  <c r="AW405" i="17" s="1"/>
  <c r="O405" i="17"/>
  <c r="P405" i="17"/>
  <c r="O408" i="17"/>
  <c r="N408" i="17"/>
  <c r="AW408" i="17" s="1"/>
  <c r="P408" i="17"/>
  <c r="N425" i="17"/>
  <c r="AW425" i="17" s="1"/>
  <c r="M425" i="17"/>
  <c r="O425" i="17"/>
  <c r="P425" i="17"/>
  <c r="AJ440" i="17"/>
  <c r="AH440" i="17"/>
  <c r="N453" i="17"/>
  <c r="AW453" i="17" s="1"/>
  <c r="M453" i="17"/>
  <c r="P453" i="17"/>
  <c r="O453" i="17"/>
  <c r="P370" i="17"/>
  <c r="P374" i="17"/>
  <c r="P378" i="17"/>
  <c r="P382" i="17"/>
  <c r="P386" i="17"/>
  <c r="P390" i="17"/>
  <c r="P394" i="17"/>
  <c r="M397" i="17"/>
  <c r="M400" i="17"/>
  <c r="AJ400" i="17"/>
  <c r="AH400" i="17"/>
  <c r="N410" i="17"/>
  <c r="AW410" i="17" s="1"/>
  <c r="X412" i="17"/>
  <c r="U412" i="17"/>
  <c r="U415" i="17"/>
  <c r="X427" i="17"/>
  <c r="U427" i="17"/>
  <c r="AJ431" i="17"/>
  <c r="AH431" i="17"/>
  <c r="N433" i="17"/>
  <c r="AW433" i="17" s="1"/>
  <c r="M433" i="17"/>
  <c r="O433" i="17"/>
  <c r="AJ442" i="17"/>
  <c r="O448" i="17"/>
  <c r="N448" i="17"/>
  <c r="AW448" i="17" s="1"/>
  <c r="P448" i="17"/>
  <c r="M448" i="17"/>
  <c r="AJ473" i="17"/>
  <c r="AJ427" i="17"/>
  <c r="AH427" i="17"/>
  <c r="N429" i="17"/>
  <c r="AW429" i="17" s="1"/>
  <c r="M429" i="17"/>
  <c r="O429" i="17"/>
  <c r="O444" i="17"/>
  <c r="N444" i="17"/>
  <c r="AW444" i="17" s="1"/>
  <c r="P444" i="17"/>
  <c r="M444" i="17"/>
  <c r="U458" i="17"/>
  <c r="AJ458" i="17"/>
  <c r="AH458" i="17"/>
  <c r="AJ460" i="17"/>
  <c r="AJ468" i="17"/>
  <c r="U472" i="17"/>
  <c r="X472" i="17"/>
  <c r="X477" i="17"/>
  <c r="U477" i="17"/>
  <c r="X399" i="17"/>
  <c r="AJ404" i="17"/>
  <c r="X411" i="17"/>
  <c r="U411" i="17"/>
  <c r="N417" i="17"/>
  <c r="AW417" i="17" s="1"/>
  <c r="O417" i="17"/>
  <c r="AJ419" i="17"/>
  <c r="AH419" i="17"/>
  <c r="N421" i="17"/>
  <c r="AW421" i="17" s="1"/>
  <c r="M421" i="17"/>
  <c r="O421" i="17"/>
  <c r="AJ435" i="17"/>
  <c r="N437" i="17"/>
  <c r="AW437" i="17" s="1"/>
  <c r="M437" i="17"/>
  <c r="O437" i="17"/>
  <c r="AJ446" i="17"/>
  <c r="AH446" i="17"/>
  <c r="AJ451" i="17"/>
  <c r="U455" i="17"/>
  <c r="P412" i="17"/>
  <c r="P416" i="17"/>
  <c r="N418" i="17"/>
  <c r="AW418" i="17" s="1"/>
  <c r="P420" i="17"/>
  <c r="N422" i="17"/>
  <c r="AW422" i="17" s="1"/>
  <c r="P424" i="17"/>
  <c r="X424" i="17"/>
  <c r="N426" i="17"/>
  <c r="AW426" i="17" s="1"/>
  <c r="P428" i="17"/>
  <c r="X428" i="17"/>
  <c r="N430" i="17"/>
  <c r="AW430" i="17" s="1"/>
  <c r="P432" i="17"/>
  <c r="N434" i="17"/>
  <c r="P436" i="17"/>
  <c r="X436" i="17"/>
  <c r="N438" i="17"/>
  <c r="AW438" i="17" s="1"/>
  <c r="X439" i="17"/>
  <c r="AJ439" i="17"/>
  <c r="U440" i="17"/>
  <c r="U442" i="17"/>
  <c r="AJ443" i="17"/>
  <c r="U446" i="17"/>
  <c r="X446" i="17"/>
  <c r="AJ447" i="17"/>
  <c r="AH447" i="17"/>
  <c r="N449" i="17"/>
  <c r="AW449" i="17" s="1"/>
  <c r="M449" i="17"/>
  <c r="U454" i="17"/>
  <c r="X454" i="17"/>
  <c r="AJ457" i="17"/>
  <c r="AH457" i="17"/>
  <c r="O478" i="17"/>
  <c r="N478" i="17"/>
  <c r="AW478" i="17" s="1"/>
  <c r="P478" i="17"/>
  <c r="U492" i="17"/>
  <c r="X492" i="17"/>
  <c r="P418" i="17"/>
  <c r="P422" i="17"/>
  <c r="P426" i="17"/>
  <c r="P430" i="17"/>
  <c r="P434" i="17"/>
  <c r="P438" i="17"/>
  <c r="N441" i="17"/>
  <c r="AW441" i="17" s="1"/>
  <c r="M441" i="17"/>
  <c r="N445" i="17"/>
  <c r="AW445" i="17" s="1"/>
  <c r="M445" i="17"/>
  <c r="X447" i="17"/>
  <c r="O452" i="17"/>
  <c r="N452" i="17"/>
  <c r="AW452" i="17" s="1"/>
  <c r="AJ455" i="17"/>
  <c r="AH455" i="17"/>
  <c r="O466" i="17"/>
  <c r="P466" i="17"/>
  <c r="M466" i="17"/>
  <c r="AJ469" i="17"/>
  <c r="AH469" i="17"/>
  <c r="N475" i="17"/>
  <c r="O475" i="17"/>
  <c r="M475" i="17"/>
  <c r="P475" i="17"/>
  <c r="AH424" i="17"/>
  <c r="AH428" i="17"/>
  <c r="AH432" i="17"/>
  <c r="P440" i="17"/>
  <c r="O441" i="17"/>
  <c r="U443" i="17"/>
  <c r="O445" i="17"/>
  <c r="U447" i="17"/>
  <c r="U450" i="17"/>
  <c r="X450" i="17"/>
  <c r="M452" i="17"/>
  <c r="M460" i="17"/>
  <c r="O460" i="17"/>
  <c r="N460" i="17"/>
  <c r="AW460" i="17" s="1"/>
  <c r="N463" i="17"/>
  <c r="AW463" i="17" s="1"/>
  <c r="O463" i="17"/>
  <c r="M463" i="17"/>
  <c r="AH464" i="17"/>
  <c r="N466" i="17"/>
  <c r="AW466" i="17" s="1"/>
  <c r="M476" i="17"/>
  <c r="P476" i="17"/>
  <c r="O476" i="17"/>
  <c r="N476" i="17"/>
  <c r="AW476" i="17" s="1"/>
  <c r="AJ482" i="17"/>
  <c r="AH482" i="17"/>
  <c r="P442" i="17"/>
  <c r="P446" i="17"/>
  <c r="O451" i="17"/>
  <c r="O455" i="17"/>
  <c r="P458" i="17"/>
  <c r="M464" i="17"/>
  <c r="P464" i="17"/>
  <c r="X464" i="17"/>
  <c r="X465" i="17"/>
  <c r="AJ466" i="17"/>
  <c r="N471" i="17"/>
  <c r="AW471" i="17" s="1"/>
  <c r="M471" i="17"/>
  <c r="P471" i="17"/>
  <c r="N479" i="17"/>
  <c r="AW479" i="17" s="1"/>
  <c r="P479" i="17"/>
  <c r="O479" i="17"/>
  <c r="X457" i="17"/>
  <c r="AJ462" i="17"/>
  <c r="AH462" i="17"/>
  <c r="M468" i="17"/>
  <c r="N468" i="17"/>
  <c r="AW468" i="17" s="1"/>
  <c r="P468" i="17"/>
  <c r="M472" i="17"/>
  <c r="O472" i="17"/>
  <c r="AJ476" i="17"/>
  <c r="AJ478" i="17"/>
  <c r="O484" i="17"/>
  <c r="N484" i="17"/>
  <c r="AW484" i="17" s="1"/>
  <c r="M484" i="17"/>
  <c r="P484" i="17"/>
  <c r="AJ484" i="17"/>
  <c r="AJ470" i="17"/>
  <c r="X473" i="17"/>
  <c r="U473" i="17"/>
  <c r="O474" i="17"/>
  <c r="M474" i="17"/>
  <c r="M482" i="17"/>
  <c r="P482" i="17"/>
  <c r="X486" i="17"/>
  <c r="AJ488" i="17"/>
  <c r="AJ494" i="17"/>
  <c r="M490" i="17"/>
  <c r="N490" i="17"/>
  <c r="AW490" i="17" s="1"/>
  <c r="O490" i="17"/>
  <c r="N485" i="17"/>
  <c r="AW485" i="17" s="1"/>
  <c r="P485" i="17"/>
  <c r="X487" i="17"/>
  <c r="O488" i="17"/>
  <c r="P488" i="17"/>
  <c r="M492" i="17"/>
  <c r="O492" i="17"/>
  <c r="X469" i="17"/>
  <c r="AJ474" i="17"/>
  <c r="AH474" i="17"/>
  <c r="AH483" i="17"/>
  <c r="O485" i="17"/>
  <c r="N488" i="17"/>
  <c r="AW488" i="17" s="1"/>
  <c r="AJ490" i="17"/>
  <c r="P492" i="17"/>
  <c r="U496" i="17"/>
  <c r="X496" i="17"/>
  <c r="AJ502" i="17"/>
  <c r="AH502" i="17"/>
  <c r="AJ492" i="17"/>
  <c r="AH492" i="17"/>
  <c r="M496" i="17"/>
  <c r="O496" i="17"/>
  <c r="O494" i="17"/>
  <c r="M494" i="17"/>
  <c r="M497" i="17"/>
  <c r="N497" i="17"/>
  <c r="AW497" i="17" s="1"/>
  <c r="P497" i="17"/>
  <c r="M505" i="17"/>
  <c r="P505" i="17"/>
  <c r="O505" i="17"/>
  <c r="N505" i="17"/>
  <c r="AW505" i="17" s="1"/>
  <c r="AJ505" i="17"/>
  <c r="N494" i="17"/>
  <c r="AW494" i="17" s="1"/>
  <c r="O497" i="17"/>
  <c r="AJ497" i="17"/>
  <c r="AJ499" i="17"/>
  <c r="AJ507" i="17"/>
  <c r="AJ508" i="17"/>
  <c r="AH508" i="17"/>
  <c r="N493" i="17"/>
  <c r="AW493" i="17" s="1"/>
  <c r="X495" i="17"/>
  <c r="N499" i="17"/>
  <c r="AW499" i="17" s="1"/>
  <c r="P500" i="17"/>
  <c r="X500" i="17"/>
  <c r="P503" i="17"/>
  <c r="M507" i="17"/>
  <c r="N507" i="17"/>
  <c r="AW507" i="17" s="1"/>
  <c r="X502" i="17"/>
  <c r="M500" i="17"/>
  <c r="X501" i="17"/>
  <c r="U502" i="17"/>
  <c r="M503" i="17"/>
  <c r="AJ503" i="17"/>
  <c r="AH503" i="17"/>
  <c r="X508" i="17"/>
  <c r="AJ509" i="17"/>
  <c r="AH509" i="17"/>
  <c r="O511" i="17"/>
  <c r="N511" i="17"/>
  <c r="AW511" i="17" s="1"/>
  <c r="M511" i="17"/>
  <c r="AJ513" i="17"/>
  <c r="O515" i="17"/>
  <c r="N515" i="17"/>
  <c r="AW515" i="17" s="1"/>
  <c r="M515" i="17"/>
  <c r="AJ517" i="17"/>
  <c r="N510" i="17"/>
  <c r="AW510" i="17" s="1"/>
  <c r="O513" i="17"/>
  <c r="N514" i="17"/>
  <c r="AW514" i="17" s="1"/>
  <c r="O517" i="17"/>
  <c r="N518" i="17"/>
  <c r="AW518" i="17" s="1"/>
  <c r="P513" i="17"/>
  <c r="P517" i="17"/>
  <c r="O518" i="17"/>
  <c r="AH365" i="17" l="1"/>
  <c r="AW365" i="17"/>
  <c r="AH475" i="17"/>
  <c r="AW475" i="17"/>
  <c r="AH276" i="17"/>
  <c r="AW276" i="17"/>
  <c r="AH243" i="17"/>
  <c r="AW243" i="17"/>
  <c r="AH106" i="17"/>
  <c r="AW106" i="17"/>
  <c r="U501" i="17"/>
  <c r="AW501" i="17"/>
  <c r="X431" i="17"/>
  <c r="AW431" i="17"/>
  <c r="U298" i="17"/>
  <c r="AW298" i="17"/>
  <c r="AH500" i="17"/>
  <c r="AW500" i="17"/>
  <c r="U264" i="17"/>
  <c r="AW264" i="17"/>
  <c r="U196" i="17"/>
  <c r="AW196" i="17"/>
  <c r="X104" i="17"/>
  <c r="AW104" i="17"/>
  <c r="U470" i="17"/>
  <c r="AW470" i="17"/>
  <c r="AH389" i="17"/>
  <c r="AW389" i="17"/>
  <c r="U143" i="17"/>
  <c r="AW143" i="17"/>
  <c r="X415" i="17"/>
  <c r="AW415" i="17"/>
  <c r="U135" i="17"/>
  <c r="AW135" i="17"/>
  <c r="U201" i="17"/>
  <c r="AW201" i="17"/>
  <c r="AH414" i="17"/>
  <c r="AW414" i="17"/>
  <c r="AH211" i="17"/>
  <c r="AW211" i="17"/>
  <c r="AH288" i="17"/>
  <c r="AW288" i="17"/>
  <c r="AH397" i="17"/>
  <c r="AW397" i="17"/>
  <c r="X377" i="17"/>
  <c r="AW377" i="17"/>
  <c r="AH277" i="17"/>
  <c r="AW277" i="17"/>
  <c r="U451" i="17"/>
  <c r="AW451" i="17"/>
  <c r="U212" i="17"/>
  <c r="AW212" i="17"/>
  <c r="U65" i="17"/>
  <c r="AW65" i="17"/>
  <c r="U213" i="17"/>
  <c r="AW213" i="17"/>
  <c r="U381" i="17"/>
  <c r="AW381" i="17"/>
  <c r="U267" i="17"/>
  <c r="AW267" i="17"/>
  <c r="U228" i="17"/>
  <c r="AW228" i="17"/>
  <c r="U125" i="17"/>
  <c r="AW125" i="17"/>
  <c r="U146" i="17"/>
  <c r="AW146" i="17"/>
  <c r="U469" i="17"/>
  <c r="AW469" i="17"/>
  <c r="U282" i="17"/>
  <c r="AW282" i="17"/>
  <c r="U39" i="17"/>
  <c r="AW39" i="17"/>
  <c r="U323" i="17"/>
  <c r="AW323" i="17"/>
  <c r="U99" i="17"/>
  <c r="AW99" i="17"/>
  <c r="U207" i="17"/>
  <c r="AW207" i="17"/>
  <c r="AH353" i="17"/>
  <c r="AW353" i="17"/>
  <c r="AH122" i="17"/>
  <c r="AW122" i="17"/>
  <c r="AH258" i="17"/>
  <c r="AW258" i="17"/>
  <c r="U487" i="17"/>
  <c r="AW487" i="17"/>
  <c r="X331" i="17"/>
  <c r="AW331" i="17"/>
  <c r="AH364" i="17"/>
  <c r="AW364" i="17"/>
  <c r="X76" i="17"/>
  <c r="AW76" i="17"/>
  <c r="U147" i="17"/>
  <c r="AW147" i="17"/>
  <c r="X306" i="17"/>
  <c r="AW306" i="17"/>
  <c r="U223" i="17"/>
  <c r="AW223" i="17"/>
  <c r="X79" i="17"/>
  <c r="AW79" i="17"/>
  <c r="U439" i="17"/>
  <c r="AW439" i="17"/>
  <c r="U203" i="17"/>
  <c r="AW203" i="17"/>
  <c r="AH384" i="17"/>
  <c r="AW384" i="17"/>
  <c r="AH280" i="17"/>
  <c r="AW280" i="17"/>
  <c r="U516" i="17"/>
  <c r="AW516" i="17"/>
  <c r="U386" i="17"/>
  <c r="AW386" i="17"/>
  <c r="U399" i="17"/>
  <c r="AW399" i="17"/>
  <c r="AH331" i="17"/>
  <c r="X273" i="17"/>
  <c r="AW273" i="17"/>
  <c r="U498" i="17"/>
  <c r="AW498" i="17"/>
  <c r="X171" i="17"/>
  <c r="AW171" i="17"/>
  <c r="U75" i="17"/>
  <c r="AW75" i="17"/>
  <c r="X24" i="17"/>
  <c r="AW24" i="17"/>
  <c r="X36" i="17"/>
  <c r="AW36" i="17"/>
  <c r="AH96" i="17"/>
  <c r="AW96" i="17"/>
  <c r="U508" i="17"/>
  <c r="AW508" i="17"/>
  <c r="AH182" i="17"/>
  <c r="U151" i="17"/>
  <c r="AW151" i="17"/>
  <c r="U263" i="17"/>
  <c r="AW263" i="17"/>
  <c r="U513" i="17"/>
  <c r="AW513" i="17"/>
  <c r="X48" i="17"/>
  <c r="AW48" i="17"/>
  <c r="U204" i="17"/>
  <c r="AW204" i="17"/>
  <c r="U406" i="17"/>
  <c r="AW406" i="17"/>
  <c r="AH511" i="17"/>
  <c r="AH484" i="17"/>
  <c r="AH434" i="17"/>
  <c r="AW434" i="17"/>
  <c r="AH330" i="17"/>
  <c r="AW330" i="17"/>
  <c r="AH83" i="17"/>
  <c r="AW83" i="17"/>
  <c r="U512" i="17"/>
  <c r="AW512" i="17"/>
  <c r="U457" i="17"/>
  <c r="AW457" i="17"/>
  <c r="X200" i="17"/>
  <c r="AW200" i="17"/>
  <c r="U366" i="17"/>
  <c r="AW366" i="17"/>
  <c r="X483" i="17"/>
  <c r="AW483" i="17"/>
  <c r="X455" i="17"/>
  <c r="AW455" i="17"/>
  <c r="U68" i="17"/>
  <c r="AW68" i="17"/>
  <c r="AH342" i="17"/>
  <c r="AW342" i="17"/>
  <c r="U162" i="17"/>
  <c r="AW162" i="17"/>
  <c r="U35" i="17"/>
  <c r="AW35" i="17"/>
  <c r="U400" i="17"/>
  <c r="AW400" i="17"/>
  <c r="U260" i="17"/>
  <c r="AW260" i="17"/>
  <c r="U338" i="17"/>
  <c r="AW338" i="17"/>
  <c r="AH341" i="17"/>
  <c r="AW341" i="17"/>
  <c r="AH234" i="17"/>
  <c r="AW234" i="17"/>
  <c r="AH266" i="17"/>
  <c r="AW266" i="17"/>
  <c r="X442" i="17"/>
  <c r="AW442" i="17"/>
  <c r="X382" i="17"/>
  <c r="AW382" i="17"/>
  <c r="U362" i="17"/>
  <c r="AW362" i="17"/>
  <c r="AH289" i="17"/>
  <c r="AW289" i="17"/>
  <c r="X359" i="17"/>
  <c r="AW359" i="17"/>
  <c r="U59" i="17"/>
  <c r="AW59" i="17"/>
  <c r="AH259" i="17"/>
  <c r="AW259" i="17"/>
  <c r="X92" i="17"/>
  <c r="AW92" i="17"/>
  <c r="U43" i="17"/>
  <c r="AW43" i="17"/>
  <c r="X178" i="17"/>
  <c r="AW178" i="17"/>
  <c r="AH481" i="17"/>
  <c r="AW481" i="17"/>
  <c r="U109" i="17"/>
  <c r="AW109" i="17"/>
  <c r="U63" i="17"/>
  <c r="AW63" i="17"/>
  <c r="U127" i="17"/>
  <c r="AW127" i="17"/>
  <c r="U217" i="17"/>
  <c r="AW217" i="17"/>
  <c r="U465" i="17"/>
  <c r="AW465" i="17"/>
  <c r="AH380" i="17"/>
  <c r="AW380" i="17"/>
  <c r="AH300" i="17"/>
  <c r="AW300" i="17"/>
  <c r="AH190" i="17"/>
  <c r="AW190" i="17"/>
  <c r="X423" i="17"/>
  <c r="AW423" i="17"/>
  <c r="U216" i="17"/>
  <c r="AW216" i="17"/>
  <c r="X80" i="17"/>
  <c r="AW80" i="17"/>
  <c r="X60" i="17"/>
  <c r="AW60" i="17"/>
  <c r="X355" i="17"/>
  <c r="AW355" i="17"/>
  <c r="U480" i="17"/>
  <c r="AW480" i="17"/>
  <c r="U105" i="17"/>
  <c r="AW105" i="17"/>
  <c r="X462" i="17"/>
  <c r="AW462" i="17"/>
  <c r="X312" i="17"/>
  <c r="AW312" i="17"/>
  <c r="AH376" i="17"/>
  <c r="AW376" i="17"/>
  <c r="AH345" i="17"/>
  <c r="AW345" i="17"/>
  <c r="AH272" i="17"/>
  <c r="AW272" i="17"/>
  <c r="X458" i="17"/>
  <c r="AW458" i="17"/>
  <c r="U407" i="17"/>
  <c r="AW407" i="17"/>
  <c r="U315" i="17"/>
  <c r="AW315" i="17"/>
  <c r="U339" i="17"/>
  <c r="AW339" i="17"/>
  <c r="X139" i="17"/>
  <c r="AW139" i="17"/>
  <c r="X56" i="17"/>
  <c r="AW56" i="17"/>
  <c r="X52" i="17"/>
  <c r="AW52" i="17"/>
  <c r="X27" i="17"/>
  <c r="AW27" i="17"/>
  <c r="U240" i="17"/>
  <c r="AW240" i="17"/>
  <c r="X206" i="17"/>
  <c r="AW206" i="17"/>
  <c r="U81" i="17"/>
  <c r="AW81" i="17"/>
  <c r="X314" i="17"/>
  <c r="AW314" i="17"/>
  <c r="X443" i="17"/>
  <c r="AW443" i="17"/>
  <c r="X393" i="17"/>
  <c r="AW393" i="17"/>
  <c r="AH247" i="17"/>
  <c r="X281" i="17"/>
  <c r="AW281" i="17"/>
  <c r="U435" i="17"/>
  <c r="AW435" i="17"/>
  <c r="U517" i="17"/>
  <c r="AW517" i="17"/>
  <c r="U251" i="17"/>
  <c r="AW251" i="17"/>
  <c r="X20" i="17"/>
  <c r="AW20" i="17"/>
  <c r="AJ22" i="17"/>
  <c r="AJ19" i="17"/>
  <c r="AH265" i="17"/>
  <c r="X512" i="17"/>
  <c r="U483" i="17"/>
  <c r="AH476" i="17"/>
  <c r="X470" i="17"/>
  <c r="AH436" i="17"/>
  <c r="U431" i="17"/>
  <c r="X407" i="17"/>
  <c r="X406" i="17"/>
  <c r="AH204" i="17"/>
  <c r="AH406" i="17"/>
  <c r="AH249" i="17"/>
  <c r="AH470" i="17"/>
  <c r="AH248" i="17"/>
  <c r="AH44" i="17"/>
  <c r="X127" i="17"/>
  <c r="AH127" i="17"/>
  <c r="X99" i="17"/>
  <c r="AH125" i="17"/>
  <c r="AH99" i="17"/>
  <c r="X109" i="17"/>
  <c r="AH109" i="17"/>
  <c r="X75" i="17"/>
  <c r="AH63" i="17"/>
  <c r="X63" i="17"/>
  <c r="X39" i="17"/>
  <c r="AH28" i="17"/>
  <c r="AH39" i="17"/>
  <c r="U28" i="17"/>
  <c r="AH43" i="17"/>
  <c r="X28" i="17"/>
  <c r="X43" i="17"/>
  <c r="AH466" i="17"/>
  <c r="U343" i="17"/>
  <c r="U369" i="17"/>
  <c r="X188" i="17"/>
  <c r="U188" i="17"/>
  <c r="X44" i="17"/>
  <c r="U461" i="17"/>
  <c r="X461" i="17"/>
  <c r="X346" i="17"/>
  <c r="U346" i="17"/>
  <c r="AH346" i="17"/>
  <c r="X251" i="17"/>
  <c r="U208" i="17"/>
  <c r="X517" i="17"/>
  <c r="X350" i="17"/>
  <c r="U350" i="17"/>
  <c r="AH515" i="17"/>
  <c r="X498" i="17"/>
  <c r="AH486" i="17"/>
  <c r="X451" i="17"/>
  <c r="AH435" i="17"/>
  <c r="X263" i="17"/>
  <c r="X204" i="17"/>
  <c r="X416" i="17"/>
  <c r="U416" i="17"/>
  <c r="X351" i="17"/>
  <c r="AH208" i="17"/>
  <c r="U235" i="17"/>
  <c r="AH154" i="17"/>
  <c r="U154" i="17"/>
  <c r="U121" i="17"/>
  <c r="X121" i="17"/>
  <c r="U509" i="17"/>
  <c r="X509" i="17"/>
  <c r="X219" i="17"/>
  <c r="X182" i="17"/>
  <c r="U182" i="17"/>
  <c r="U495" i="17"/>
  <c r="X373" i="17"/>
  <c r="U373" i="17"/>
  <c r="U55" i="17"/>
  <c r="U23" i="17"/>
  <c r="U138" i="17"/>
  <c r="X232" i="17"/>
  <c r="U232" i="17"/>
  <c r="X367" i="17"/>
  <c r="AH420" i="17"/>
  <c r="U390" i="17"/>
  <c r="X390" i="17"/>
  <c r="X298" i="17"/>
  <c r="U310" i="17"/>
  <c r="X310" i="17"/>
  <c r="X236" i="17"/>
  <c r="U44" i="17"/>
  <c r="U481" i="17"/>
  <c r="X481" i="17"/>
  <c r="X435" i="17"/>
  <c r="AH185" i="17"/>
  <c r="X208" i="17"/>
  <c r="AH236" i="17"/>
  <c r="AH81" i="17"/>
  <c r="U394" i="17"/>
  <c r="U290" i="17"/>
  <c r="X290" i="17"/>
  <c r="U367" i="17"/>
  <c r="X248" i="17"/>
  <c r="U248" i="17"/>
  <c r="X220" i="17"/>
  <c r="U220" i="17"/>
  <c r="U200" i="17"/>
  <c r="X252" i="17"/>
  <c r="U224" i="17"/>
  <c r="X224" i="17"/>
  <c r="X70" i="17"/>
  <c r="X378" i="17"/>
  <c r="AH310" i="17"/>
  <c r="AH121" i="17"/>
  <c r="AH55" i="17"/>
  <c r="AH23" i="17"/>
  <c r="AH461" i="17"/>
  <c r="AH251" i="17"/>
  <c r="AH278" i="17"/>
  <c r="AH244" i="17"/>
  <c r="AH517" i="17"/>
  <c r="AH442" i="17"/>
  <c r="AH367" i="17"/>
  <c r="AH290" i="17"/>
  <c r="AH373" i="17"/>
  <c r="AH264" i="17"/>
  <c r="AH256" i="17"/>
  <c r="AH196" i="17"/>
  <c r="AH219" i="17"/>
  <c r="AH224" i="17"/>
  <c r="AH138" i="17"/>
  <c r="AH203" i="17"/>
  <c r="AH308" i="17"/>
  <c r="AH223" i="17"/>
  <c r="AH79" i="17"/>
  <c r="AH312" i="17"/>
  <c r="AH222" i="17"/>
  <c r="AH362" i="17"/>
  <c r="U491" i="17"/>
  <c r="AH423" i="17"/>
  <c r="X343" i="17"/>
  <c r="X240" i="17"/>
  <c r="U206" i="17"/>
  <c r="AH135" i="17"/>
  <c r="X143" i="17"/>
  <c r="X135" i="17"/>
  <c r="AH68" i="17"/>
  <c r="AH325" i="17"/>
  <c r="AH361" i="17"/>
  <c r="AH456" i="17"/>
  <c r="AH298" i="17"/>
  <c r="AH338" i="17"/>
  <c r="AH91" i="17"/>
  <c r="AH498" i="17"/>
  <c r="X516" i="17"/>
  <c r="X491" i="17"/>
  <c r="U486" i="17"/>
  <c r="AH451" i="17"/>
  <c r="AH416" i="17"/>
  <c r="X212" i="17"/>
  <c r="U185" i="17"/>
  <c r="AH143" i="17"/>
  <c r="AH36" i="17"/>
  <c r="U155" i="17"/>
  <c r="X81" i="17"/>
  <c r="X65" i="17"/>
  <c r="AH399" i="17"/>
  <c r="AH162" i="17"/>
  <c r="AH381" i="17"/>
  <c r="AH281" i="17"/>
  <c r="AH242" i="17"/>
  <c r="AH491" i="17"/>
  <c r="X267" i="17"/>
  <c r="AH343" i="17"/>
  <c r="AH101" i="17"/>
  <c r="X155" i="17"/>
  <c r="AH27" i="17"/>
  <c r="AH450" i="17"/>
  <c r="AH393" i="17"/>
  <c r="AH133" i="17"/>
  <c r="AH415" i="17"/>
  <c r="U31" i="17"/>
  <c r="X31" i="17"/>
  <c r="U69" i="17"/>
  <c r="X69" i="17"/>
  <c r="U51" i="17"/>
  <c r="X51" i="17"/>
  <c r="U32" i="17"/>
  <c r="U295" i="17"/>
  <c r="X295" i="17"/>
  <c r="X86" i="17"/>
  <c r="U48" i="17"/>
  <c r="AH295" i="17"/>
  <c r="AH179" i="17"/>
  <c r="AH20" i="17"/>
  <c r="X179" i="17"/>
  <c r="U86" i="17"/>
  <c r="AH31" i="17"/>
  <c r="AH178" i="17"/>
  <c r="X270" i="17"/>
  <c r="X513" i="17"/>
  <c r="AH478" i="17"/>
  <c r="X420" i="17"/>
  <c r="AH473" i="17"/>
  <c r="U378" i="17"/>
  <c r="AH378" i="17"/>
  <c r="U393" i="17"/>
  <c r="AH359" i="17"/>
  <c r="U351" i="17"/>
  <c r="AH355" i="17"/>
  <c r="AH176" i="17"/>
  <c r="AH160" i="17"/>
  <c r="AH144" i="17"/>
  <c r="X256" i="17"/>
  <c r="X32" i="17"/>
  <c r="X68" i="17"/>
  <c r="AH48" i="17"/>
  <c r="X151" i="17"/>
  <c r="U327" i="17"/>
  <c r="X327" i="17"/>
  <c r="U318" i="17"/>
  <c r="X318" i="17"/>
  <c r="U91" i="17"/>
  <c r="U27" i="17"/>
  <c r="U306" i="17"/>
  <c r="X222" i="17"/>
  <c r="U222" i="17"/>
  <c r="U312" i="17"/>
  <c r="X223" i="17"/>
  <c r="U79" i="17"/>
  <c r="AH273" i="17"/>
  <c r="U273" i="17"/>
  <c r="U358" i="17"/>
  <c r="AH513" i="17"/>
  <c r="AH377" i="17"/>
  <c r="X369" i="17"/>
  <c r="AH332" i="17"/>
  <c r="U377" i="17"/>
  <c r="X315" i="17"/>
  <c r="AH188" i="17"/>
  <c r="U432" i="17"/>
  <c r="X432" i="17"/>
  <c r="U84" i="17"/>
  <c r="X84" i="17"/>
  <c r="AH443" i="17"/>
  <c r="X358" i="17"/>
  <c r="X397" i="17"/>
  <c r="U382" i="17"/>
  <c r="AH351" i="17"/>
  <c r="X216" i="17"/>
  <c r="AH213" i="17"/>
  <c r="U256" i="17"/>
  <c r="U178" i="17"/>
  <c r="AH84" i="17"/>
  <c r="AH369" i="17"/>
  <c r="AH292" i="17"/>
  <c r="AH350" i="17"/>
  <c r="U420" i="17"/>
  <c r="X480" i="17"/>
  <c r="X163" i="17"/>
  <c r="U163" i="17"/>
  <c r="AH382" i="17"/>
  <c r="AH394" i="17"/>
  <c r="AH327" i="17"/>
  <c r="AH315" i="17"/>
  <c r="AH287" i="17"/>
  <c r="AH271" i="17"/>
  <c r="AH339" i="17"/>
  <c r="AH347" i="17"/>
  <c r="AH267" i="17"/>
  <c r="AH69" i="17"/>
  <c r="AH212" i="17"/>
  <c r="AH155" i="17"/>
  <c r="AH51" i="17"/>
  <c r="AH314" i="17"/>
  <c r="AH487" i="17"/>
  <c r="AH232" i="17"/>
  <c r="AH104" i="17"/>
  <c r="AH220" i="17"/>
  <c r="U230" i="17"/>
  <c r="AH151" i="17"/>
  <c r="AH52" i="17"/>
  <c r="AH32" i="17"/>
  <c r="AH24" i="17"/>
  <c r="AH480" i="17"/>
  <c r="AH216" i="17"/>
  <c r="AH86" i="17"/>
  <c r="AH495" i="17"/>
  <c r="AH268" i="17"/>
  <c r="AH304" i="17"/>
  <c r="AH218" i="17"/>
  <c r="AH494" i="17"/>
  <c r="AH275" i="17"/>
  <c r="AH352" i="17"/>
  <c r="AH344" i="17"/>
  <c r="AH269" i="17"/>
  <c r="AH283" i="17"/>
  <c r="AH506" i="17"/>
  <c r="AH358" i="17"/>
  <c r="X440" i="17"/>
  <c r="X229" i="17"/>
  <c r="U229" i="17"/>
  <c r="AH363" i="17"/>
  <c r="AH324" i="17"/>
  <c r="AH336" i="17"/>
  <c r="AH168" i="17"/>
  <c r="AH152" i="17"/>
  <c r="AH136" i="17"/>
  <c r="U47" i="17"/>
  <c r="X47" i="17"/>
  <c r="U76" i="17"/>
  <c r="AH76" i="17"/>
  <c r="U60" i="17"/>
  <c r="AH60" i="17"/>
  <c r="U409" i="17"/>
  <c r="X409" i="17"/>
  <c r="U64" i="17"/>
  <c r="AH463" i="17"/>
  <c r="AH165" i="17"/>
  <c r="AH141" i="17"/>
  <c r="AH409" i="17"/>
  <c r="U325" i="17"/>
  <c r="X325" i="17"/>
  <c r="U274" i="17"/>
  <c r="X274" i="17"/>
  <c r="AH88" i="17"/>
  <c r="X88" i="17"/>
  <c r="U88" i="17"/>
  <c r="U80" i="17"/>
  <c r="U198" i="17"/>
  <c r="X198" i="17"/>
  <c r="AH158" i="17"/>
  <c r="X158" i="17"/>
  <c r="U158" i="17"/>
  <c r="U120" i="17"/>
  <c r="X120" i="17"/>
  <c r="U92" i="17"/>
  <c r="AH92" i="17"/>
  <c r="X72" i="17"/>
  <c r="U72" i="17"/>
  <c r="AH404" i="17"/>
  <c r="AH348" i="17"/>
  <c r="AH340" i="17"/>
  <c r="AH257" i="17"/>
  <c r="X64" i="17"/>
  <c r="U197" i="17"/>
  <c r="U183" i="17"/>
  <c r="X183" i="17"/>
  <c r="U171" i="17"/>
  <c r="U139" i="17"/>
  <c r="U124" i="17"/>
  <c r="AH124" i="17"/>
  <c r="X124" i="17"/>
  <c r="U108" i="17"/>
  <c r="AH108" i="17"/>
  <c r="X108" i="17"/>
  <c r="AH72" i="17"/>
  <c r="AH270" i="17"/>
  <c r="AH180" i="17"/>
  <c r="AH164" i="17"/>
  <c r="AH148" i="17"/>
  <c r="AH231" i="17"/>
  <c r="AH199" i="17"/>
  <c r="AH107" i="17"/>
  <c r="AH64" i="17"/>
  <c r="AH93" i="17"/>
  <c r="AH87" i="17"/>
  <c r="AH61" i="17"/>
  <c r="AH329" i="17"/>
  <c r="AH181" i="17"/>
  <c r="AH157" i="17"/>
  <c r="AH512" i="17"/>
  <c r="U489" i="17"/>
  <c r="X489" i="17"/>
  <c r="U506" i="17"/>
  <c r="X506" i="17"/>
  <c r="AH354" i="17"/>
  <c r="U328" i="17"/>
  <c r="X328" i="17"/>
  <c r="U456" i="17"/>
  <c r="X456" i="17"/>
  <c r="AH407" i="17"/>
  <c r="U500" i="17"/>
  <c r="U308" i="17"/>
  <c r="X308" i="17"/>
  <c r="U40" i="17"/>
  <c r="U104" i="17"/>
  <c r="AH240" i="17"/>
  <c r="AH172" i="17"/>
  <c r="AH156" i="17"/>
  <c r="AH140" i="17"/>
  <c r="AH307" i="17"/>
  <c r="AH229" i="17"/>
  <c r="AH197" i="17"/>
  <c r="AH119" i="17"/>
  <c r="AH113" i="17"/>
  <c r="AH171" i="17"/>
  <c r="AH139" i="17"/>
  <c r="AH80" i="17"/>
  <c r="AH77" i="17"/>
  <c r="AH71" i="17"/>
  <c r="AH318" i="17"/>
  <c r="AH202" i="17"/>
  <c r="AH149" i="17"/>
  <c r="AH321" i="17"/>
  <c r="AH254" i="17"/>
  <c r="AH418" i="17"/>
  <c r="U503" i="17"/>
  <c r="X503" i="17"/>
  <c r="AH489" i="17"/>
  <c r="U428" i="17"/>
  <c r="U292" i="17"/>
  <c r="X292" i="17"/>
  <c r="AH516" i="17"/>
  <c r="U364" i="17"/>
  <c r="X364" i="17"/>
  <c r="U361" i="17"/>
  <c r="X361" i="17"/>
  <c r="U242" i="17"/>
  <c r="X242" i="17"/>
  <c r="U56" i="17"/>
  <c r="U24" i="17"/>
  <c r="U52" i="17"/>
  <c r="U36" i="17"/>
  <c r="U268" i="17"/>
  <c r="X268" i="17"/>
  <c r="AH501" i="17"/>
  <c r="AH198" i="17"/>
  <c r="AH120" i="17"/>
  <c r="AH173" i="17"/>
  <c r="AH430" i="17"/>
  <c r="U436" i="17"/>
  <c r="U296" i="17"/>
  <c r="X296" i="17"/>
  <c r="U133" i="17"/>
  <c r="X133" i="17"/>
  <c r="U20" i="17"/>
  <c r="U194" i="17"/>
  <c r="X194" i="17"/>
  <c r="U96" i="17"/>
  <c r="AH56" i="17"/>
  <c r="AH161" i="17"/>
  <c r="AH284" i="17"/>
  <c r="AH493" i="17"/>
  <c r="AH227" i="17"/>
  <c r="X514" i="17"/>
  <c r="U514" i="17"/>
  <c r="AH514" i="17"/>
  <c r="U511" i="17"/>
  <c r="X511" i="17"/>
  <c r="U499" i="17"/>
  <c r="X499" i="17"/>
  <c r="AH499" i="17"/>
  <c r="AH505" i="17"/>
  <c r="X485" i="17"/>
  <c r="U485" i="17"/>
  <c r="U490" i="17"/>
  <c r="X490" i="17"/>
  <c r="U468" i="17"/>
  <c r="X468" i="17"/>
  <c r="AH485" i="17"/>
  <c r="U460" i="17"/>
  <c r="X460" i="17"/>
  <c r="X478" i="17"/>
  <c r="U478" i="17"/>
  <c r="U453" i="17"/>
  <c r="X453" i="17"/>
  <c r="X405" i="17"/>
  <c r="U405" i="17"/>
  <c r="U392" i="17"/>
  <c r="X392" i="17"/>
  <c r="X371" i="17"/>
  <c r="AH371" i="17"/>
  <c r="U371" i="17"/>
  <c r="X413" i="17"/>
  <c r="AH413" i="17"/>
  <c r="U413" i="17"/>
  <c r="U396" i="17"/>
  <c r="X396" i="17"/>
  <c r="X401" i="17"/>
  <c r="U401" i="17"/>
  <c r="U334" i="17"/>
  <c r="X334" i="17"/>
  <c r="U309" i="17"/>
  <c r="X309" i="17"/>
  <c r="U293" i="17"/>
  <c r="X293" i="17"/>
  <c r="AH309" i="17"/>
  <c r="U297" i="17"/>
  <c r="X297" i="17"/>
  <c r="X332" i="17"/>
  <c r="U332" i="17"/>
  <c r="U333" i="17"/>
  <c r="X333" i="17"/>
  <c r="U195" i="17"/>
  <c r="X195" i="17"/>
  <c r="AH293" i="17"/>
  <c r="U265" i="17"/>
  <c r="X265" i="17"/>
  <c r="U257" i="17"/>
  <c r="X257" i="17"/>
  <c r="U249" i="17"/>
  <c r="X249" i="17"/>
  <c r="X189" i="17"/>
  <c r="U189" i="17"/>
  <c r="U186" i="17"/>
  <c r="X186" i="17"/>
  <c r="U246" i="17"/>
  <c r="X246" i="17"/>
  <c r="U250" i="17"/>
  <c r="X250" i="17"/>
  <c r="X190" i="17"/>
  <c r="U190" i="17"/>
  <c r="X89" i="17"/>
  <c r="U89" i="17"/>
  <c r="U169" i="17"/>
  <c r="X169" i="17"/>
  <c r="U153" i="17"/>
  <c r="X153" i="17"/>
  <c r="U137" i="17"/>
  <c r="X137" i="17"/>
  <c r="U129" i="17"/>
  <c r="X129" i="17"/>
  <c r="U103" i="17"/>
  <c r="X103" i="17"/>
  <c r="U67" i="17"/>
  <c r="X67" i="17"/>
  <c r="X53" i="17"/>
  <c r="AH53" i="17"/>
  <c r="U53" i="17"/>
  <c r="X45" i="17"/>
  <c r="AH45" i="17"/>
  <c r="U45" i="17"/>
  <c r="X37" i="17"/>
  <c r="AH37" i="17"/>
  <c r="U37" i="17"/>
  <c r="X29" i="17"/>
  <c r="AH29" i="17"/>
  <c r="U29" i="17"/>
  <c r="X21" i="17"/>
  <c r="AW21" i="17" s="1"/>
  <c r="AH21" i="17"/>
  <c r="U21" i="17"/>
  <c r="X221" i="17"/>
  <c r="U221" i="17"/>
  <c r="U123" i="17"/>
  <c r="X123" i="17"/>
  <c r="U117" i="17"/>
  <c r="X117" i="17"/>
  <c r="X518" i="17"/>
  <c r="AH518" i="17"/>
  <c r="U518" i="17"/>
  <c r="X510" i="17"/>
  <c r="U510" i="17"/>
  <c r="AH510" i="17"/>
  <c r="AH497" i="17"/>
  <c r="X471" i="17"/>
  <c r="U471" i="17"/>
  <c r="AH471" i="17"/>
  <c r="U445" i="17"/>
  <c r="X445" i="17"/>
  <c r="U449" i="17"/>
  <c r="X449" i="17"/>
  <c r="U438" i="17"/>
  <c r="X438" i="17"/>
  <c r="U422" i="17"/>
  <c r="X422" i="17"/>
  <c r="U417" i="17"/>
  <c r="AH417" i="17"/>
  <c r="X417" i="17"/>
  <c r="U410" i="17"/>
  <c r="X410" i="17"/>
  <c r="U488" i="17"/>
  <c r="X488" i="17"/>
  <c r="AH488" i="17"/>
  <c r="X479" i="17"/>
  <c r="U479" i="17"/>
  <c r="U476" i="17"/>
  <c r="X476" i="17"/>
  <c r="U475" i="17"/>
  <c r="X475" i="17"/>
  <c r="U441" i="17"/>
  <c r="X441" i="17"/>
  <c r="U426" i="17"/>
  <c r="X426" i="17"/>
  <c r="AH437" i="17"/>
  <c r="U437" i="17"/>
  <c r="X437" i="17"/>
  <c r="AH468" i="17"/>
  <c r="AH426" i="17"/>
  <c r="AH433" i="17"/>
  <c r="U433" i="17"/>
  <c r="X433" i="17"/>
  <c r="AH395" i="17"/>
  <c r="X387" i="17"/>
  <c r="AH387" i="17"/>
  <c r="U387" i="17"/>
  <c r="X363" i="17"/>
  <c r="U363" i="17"/>
  <c r="AH408" i="17"/>
  <c r="U398" i="17"/>
  <c r="X398" i="17"/>
  <c r="AH391" i="17"/>
  <c r="U391" i="17"/>
  <c r="X391" i="17"/>
  <c r="U380" i="17"/>
  <c r="X380" i="17"/>
  <c r="AH398" i="17"/>
  <c r="U348" i="17"/>
  <c r="X348" i="17"/>
  <c r="X340" i="17"/>
  <c r="U340" i="17"/>
  <c r="X404" i="17"/>
  <c r="U404" i="17"/>
  <c r="U341" i="17"/>
  <c r="X341" i="17"/>
  <c r="X337" i="17"/>
  <c r="AH337" i="17"/>
  <c r="U337" i="17"/>
  <c r="U330" i="17"/>
  <c r="X330" i="17"/>
  <c r="X320" i="17"/>
  <c r="U320" i="17"/>
  <c r="U372" i="17"/>
  <c r="X372" i="17"/>
  <c r="U287" i="17"/>
  <c r="X287" i="17"/>
  <c r="U279" i="17"/>
  <c r="X279" i="17"/>
  <c r="U271" i="17"/>
  <c r="X271" i="17"/>
  <c r="AH261" i="17"/>
  <c r="AH245" i="17"/>
  <c r="AH422" i="17"/>
  <c r="AH334" i="17"/>
  <c r="U349" i="17"/>
  <c r="X349" i="17"/>
  <c r="U211" i="17"/>
  <c r="X211" i="17"/>
  <c r="U316" i="17"/>
  <c r="X316" i="17"/>
  <c r="AH237" i="17"/>
  <c r="AH221" i="17"/>
  <c r="AH205" i="17"/>
  <c r="AH246" i="17"/>
  <c r="AH186" i="17"/>
  <c r="U272" i="17"/>
  <c r="X272" i="17"/>
  <c r="U254" i="17"/>
  <c r="X254" i="17"/>
  <c r="AH225" i="17"/>
  <c r="X218" i="17"/>
  <c r="U218" i="17"/>
  <c r="U215" i="17"/>
  <c r="X215" i="17"/>
  <c r="X184" i="17"/>
  <c r="AH184" i="17"/>
  <c r="U184" i="17"/>
  <c r="X176" i="17"/>
  <c r="U176" i="17"/>
  <c r="X168" i="17"/>
  <c r="U168" i="17"/>
  <c r="X160" i="17"/>
  <c r="U160" i="17"/>
  <c r="X152" i="17"/>
  <c r="U152" i="17"/>
  <c r="X144" i="17"/>
  <c r="U144" i="17"/>
  <c r="X136" i="17"/>
  <c r="U136" i="17"/>
  <c r="X126" i="17"/>
  <c r="AH126" i="17"/>
  <c r="U126" i="17"/>
  <c r="X118" i="17"/>
  <c r="U118" i="17"/>
  <c r="X110" i="17"/>
  <c r="AH110" i="17"/>
  <c r="U110" i="17"/>
  <c r="X102" i="17"/>
  <c r="U102" i="17"/>
  <c r="X94" i="17"/>
  <c r="AH94" i="17"/>
  <c r="U94" i="17"/>
  <c r="U288" i="17"/>
  <c r="X288" i="17"/>
  <c r="U258" i="17"/>
  <c r="X258" i="17"/>
  <c r="AH103" i="17"/>
  <c r="AH97" i="17"/>
  <c r="X73" i="17"/>
  <c r="U73" i="17"/>
  <c r="U181" i="17"/>
  <c r="X181" i="17"/>
  <c r="U165" i="17"/>
  <c r="X165" i="17"/>
  <c r="U149" i="17"/>
  <c r="X149" i="17"/>
  <c r="U119" i="17"/>
  <c r="X119" i="17"/>
  <c r="U93" i="17"/>
  <c r="X93" i="17"/>
  <c r="AH89" i="17"/>
  <c r="U61" i="17"/>
  <c r="X61" i="17"/>
  <c r="AH57" i="17"/>
  <c r="U87" i="17"/>
  <c r="X87" i="17"/>
  <c r="AH67" i="17"/>
  <c r="AH102" i="17"/>
  <c r="X493" i="17"/>
  <c r="U493" i="17"/>
  <c r="U505" i="17"/>
  <c r="X505" i="17"/>
  <c r="U497" i="17"/>
  <c r="X497" i="17"/>
  <c r="X466" i="17"/>
  <c r="U466" i="17"/>
  <c r="AH445" i="17"/>
  <c r="AH449" i="17"/>
  <c r="AH453" i="17"/>
  <c r="AH460" i="17"/>
  <c r="AH429" i="17"/>
  <c r="U429" i="17"/>
  <c r="X429" i="17"/>
  <c r="X448" i="17"/>
  <c r="AH448" i="17"/>
  <c r="U448" i="17"/>
  <c r="AH425" i="17"/>
  <c r="U425" i="17"/>
  <c r="X425" i="17"/>
  <c r="U365" i="17"/>
  <c r="X365" i="17"/>
  <c r="U313" i="17"/>
  <c r="X313" i="17"/>
  <c r="X304" i="17"/>
  <c r="U304" i="17"/>
  <c r="U284" i="17"/>
  <c r="X284" i="17"/>
  <c r="U227" i="17"/>
  <c r="X227" i="17"/>
  <c r="X241" i="17"/>
  <c r="U241" i="17"/>
  <c r="X225" i="17"/>
  <c r="U225" i="17"/>
  <c r="X209" i="17"/>
  <c r="U209" i="17"/>
  <c r="X193" i="17"/>
  <c r="U193" i="17"/>
  <c r="X321" i="17"/>
  <c r="U321" i="17"/>
  <c r="AH291" i="17"/>
  <c r="AH313" i="17"/>
  <c r="U261" i="17"/>
  <c r="X261" i="17"/>
  <c r="U253" i="17"/>
  <c r="X253" i="17"/>
  <c r="U245" i="17"/>
  <c r="X245" i="17"/>
  <c r="AH241" i="17"/>
  <c r="U262" i="17"/>
  <c r="X262" i="17"/>
  <c r="AH193" i="17"/>
  <c r="U177" i="17"/>
  <c r="X177" i="17"/>
  <c r="U145" i="17"/>
  <c r="X145" i="17"/>
  <c r="U97" i="17"/>
  <c r="X97" i="17"/>
  <c r="U83" i="17"/>
  <c r="X83" i="17"/>
  <c r="X49" i="17"/>
  <c r="AH49" i="17"/>
  <c r="U49" i="17"/>
  <c r="X41" i="17"/>
  <c r="AH41" i="17"/>
  <c r="U41" i="17"/>
  <c r="X33" i="17"/>
  <c r="AH33" i="17"/>
  <c r="U33" i="17"/>
  <c r="X25" i="17"/>
  <c r="AH25" i="17"/>
  <c r="U25" i="17"/>
  <c r="AH195" i="17"/>
  <c r="AH177" i="17"/>
  <c r="AH169" i="17"/>
  <c r="AH153" i="17"/>
  <c r="AH145" i="17"/>
  <c r="AH137" i="17"/>
  <c r="X484" i="17"/>
  <c r="U484" i="17"/>
  <c r="X452" i="17"/>
  <c r="AH452" i="17"/>
  <c r="U452" i="17"/>
  <c r="U430" i="17"/>
  <c r="X430" i="17"/>
  <c r="X444" i="17"/>
  <c r="U444" i="17"/>
  <c r="X408" i="17"/>
  <c r="U408" i="17"/>
  <c r="U395" i="17"/>
  <c r="X395" i="17"/>
  <c r="U384" i="17"/>
  <c r="X384" i="17"/>
  <c r="U388" i="17"/>
  <c r="X388" i="17"/>
  <c r="U326" i="17"/>
  <c r="X326" i="17"/>
  <c r="AH401" i="17"/>
  <c r="U357" i="17"/>
  <c r="X357" i="17"/>
  <c r="X336" i="17"/>
  <c r="U336" i="17"/>
  <c r="AH357" i="17"/>
  <c r="X291" i="17"/>
  <c r="U291" i="17"/>
  <c r="AH250" i="17"/>
  <c r="U266" i="17"/>
  <c r="X266" i="17"/>
  <c r="X205" i="17"/>
  <c r="U205" i="17"/>
  <c r="X57" i="17"/>
  <c r="U57" i="17"/>
  <c r="X237" i="17"/>
  <c r="U237" i="17"/>
  <c r="U161" i="17"/>
  <c r="X161" i="17"/>
  <c r="U515" i="17"/>
  <c r="X515" i="17"/>
  <c r="U507" i="17"/>
  <c r="X507" i="17"/>
  <c r="AH507" i="17"/>
  <c r="U494" i="17"/>
  <c r="X494" i="17"/>
  <c r="AH490" i="17"/>
  <c r="AH444" i="17"/>
  <c r="AH479" i="17"/>
  <c r="X463" i="17"/>
  <c r="U463" i="17"/>
  <c r="AH441" i="17"/>
  <c r="AH438" i="17"/>
  <c r="U434" i="17"/>
  <c r="X434" i="17"/>
  <c r="U418" i="17"/>
  <c r="X418" i="17"/>
  <c r="AH421" i="17"/>
  <c r="U421" i="17"/>
  <c r="X421" i="17"/>
  <c r="AH410" i="17"/>
  <c r="AH392" i="17"/>
  <c r="U376" i="17"/>
  <c r="X376" i="17"/>
  <c r="U414" i="17"/>
  <c r="X414" i="17"/>
  <c r="X379" i="17"/>
  <c r="AH379" i="17"/>
  <c r="U379" i="17"/>
  <c r="AH375" i="17"/>
  <c r="U375" i="17"/>
  <c r="X375" i="17"/>
  <c r="AH405" i="17"/>
  <c r="AH372" i="17"/>
  <c r="AH388" i="17"/>
  <c r="AH383" i="17"/>
  <c r="U383" i="17"/>
  <c r="X383" i="17"/>
  <c r="X352" i="17"/>
  <c r="U352" i="17"/>
  <c r="U344" i="17"/>
  <c r="X344" i="17"/>
  <c r="AH396" i="17"/>
  <c r="U329" i="17"/>
  <c r="X329" i="17"/>
  <c r="AH320" i="17"/>
  <c r="AH279" i="17"/>
  <c r="U345" i="17"/>
  <c r="X345" i="17"/>
  <c r="AH326" i="17"/>
  <c r="U283" i="17"/>
  <c r="X283" i="17"/>
  <c r="U275" i="17"/>
  <c r="X275" i="17"/>
  <c r="AH253" i="17"/>
  <c r="AH349" i="17"/>
  <c r="AH333" i="17"/>
  <c r="X307" i="17"/>
  <c r="U307" i="17"/>
  <c r="U353" i="17"/>
  <c r="X353" i="17"/>
  <c r="U324" i="17"/>
  <c r="X324" i="17"/>
  <c r="U300" i="17"/>
  <c r="X300" i="17"/>
  <c r="U276" i="17"/>
  <c r="X276" i="17"/>
  <c r="U243" i="17"/>
  <c r="X243" i="17"/>
  <c r="X303" i="17"/>
  <c r="U303" i="17"/>
  <c r="AH189" i="17"/>
  <c r="AH316" i="17"/>
  <c r="AH297" i="17"/>
  <c r="U269" i="17"/>
  <c r="X269" i="17"/>
  <c r="AH262" i="17"/>
  <c r="X234" i="17"/>
  <c r="U234" i="17"/>
  <c r="U231" i="17"/>
  <c r="X231" i="17"/>
  <c r="AH209" i="17"/>
  <c r="X202" i="17"/>
  <c r="U202" i="17"/>
  <c r="U199" i="17"/>
  <c r="X199" i="17"/>
  <c r="U280" i="17"/>
  <c r="X280" i="17"/>
  <c r="AH215" i="17"/>
  <c r="X180" i="17"/>
  <c r="U180" i="17"/>
  <c r="X172" i="17"/>
  <c r="U172" i="17"/>
  <c r="X164" i="17"/>
  <c r="U164" i="17"/>
  <c r="X156" i="17"/>
  <c r="U156" i="17"/>
  <c r="X148" i="17"/>
  <c r="U148" i="17"/>
  <c r="X140" i="17"/>
  <c r="U140" i="17"/>
  <c r="X130" i="17"/>
  <c r="U130" i="17"/>
  <c r="AH130" i="17"/>
  <c r="X122" i="17"/>
  <c r="U122" i="17"/>
  <c r="X114" i="17"/>
  <c r="U114" i="17"/>
  <c r="AH114" i="17"/>
  <c r="X106" i="17"/>
  <c r="U106" i="17"/>
  <c r="X98" i="17"/>
  <c r="U98" i="17"/>
  <c r="AH98" i="17"/>
  <c r="AH129" i="17"/>
  <c r="AH123" i="17"/>
  <c r="U173" i="17"/>
  <c r="X173" i="17"/>
  <c r="U157" i="17"/>
  <c r="X157" i="17"/>
  <c r="U141" i="17"/>
  <c r="X141" i="17"/>
  <c r="U113" i="17"/>
  <c r="X113" i="17"/>
  <c r="U77" i="17"/>
  <c r="X77" i="17"/>
  <c r="AH73" i="17"/>
  <c r="U107" i="17"/>
  <c r="X107" i="17"/>
  <c r="U101" i="17"/>
  <c r="X101" i="17"/>
  <c r="U71" i="17"/>
  <c r="X71" i="17"/>
  <c r="AH118" i="17"/>
  <c r="C42" i="5" l="1"/>
  <c r="A4557" i="14" l="1"/>
  <c r="A74" i="15" l="1"/>
  <c r="A73" i="15"/>
  <c r="A72" i="15"/>
  <c r="A71" i="15"/>
  <c r="A70" i="15"/>
  <c r="A69" i="15"/>
  <c r="A68" i="15"/>
  <c r="A67" i="15"/>
  <c r="A66" i="15"/>
  <c r="A65" i="15"/>
  <c r="A64" i="15"/>
  <c r="A63" i="15"/>
  <c r="A62" i="15"/>
  <c r="A61" i="15"/>
  <c r="A60" i="15"/>
  <c r="A59" i="15"/>
  <c r="A58" i="15"/>
  <c r="A57" i="15"/>
  <c r="A56" i="15"/>
  <c r="A55" i="15"/>
  <c r="A54" i="15"/>
  <c r="A53" i="15"/>
  <c r="A52" i="15"/>
  <c r="A51" i="15"/>
  <c r="A50" i="15"/>
  <c r="A49" i="15"/>
  <c r="A48" i="15"/>
  <c r="A47" i="15"/>
  <c r="A46" i="15"/>
  <c r="A45" i="15"/>
  <c r="A44" i="15"/>
  <c r="A43" i="15"/>
  <c r="A42" i="15"/>
  <c r="A41" i="15"/>
  <c r="A40" i="15"/>
  <c r="A39" i="15"/>
  <c r="A38" i="15"/>
  <c r="A37" i="15"/>
  <c r="A36" i="15"/>
  <c r="A35" i="15"/>
  <c r="A34" i="15"/>
  <c r="A33" i="15"/>
  <c r="A32" i="15"/>
  <c r="A31" i="15"/>
  <c r="A30" i="15"/>
  <c r="A29" i="15"/>
  <c r="A28" i="15"/>
  <c r="A27" i="15"/>
  <c r="A26" i="15"/>
  <c r="A25" i="15"/>
  <c r="A24" i="15"/>
  <c r="A23" i="15"/>
  <c r="A22" i="15"/>
  <c r="A21" i="15"/>
  <c r="A20" i="15"/>
  <c r="A19" i="15"/>
  <c r="A18" i="15"/>
  <c r="A17" i="15"/>
  <c r="A16" i="15"/>
  <c r="A15" i="15"/>
  <c r="A14" i="15"/>
  <c r="A13" i="15"/>
  <c r="A12" i="15"/>
  <c r="A11" i="15"/>
  <c r="A10" i="15"/>
  <c r="A9" i="15"/>
  <c r="A8" i="15"/>
  <c r="A7" i="15"/>
  <c r="A6" i="15"/>
  <c r="A5" i="15"/>
  <c r="A4" i="15"/>
  <c r="A3" i="15"/>
  <c r="A2" i="15"/>
  <c r="A2438" i="4" l="1"/>
  <c r="A2439" i="4"/>
  <c r="A2440" i="4"/>
  <c r="A2441" i="4"/>
  <c r="A2442" i="4"/>
  <c r="A2443" i="4"/>
  <c r="A2444" i="4"/>
  <c r="A2445" i="4"/>
  <c r="A2446" i="4"/>
  <c r="A2447" i="4"/>
  <c r="A2448" i="4"/>
  <c r="A2449" i="4"/>
  <c r="A2450" i="4"/>
  <c r="A2451" i="4"/>
  <c r="A2452" i="4"/>
  <c r="A2453" i="4"/>
  <c r="A2454" i="4"/>
  <c r="A2455" i="4"/>
  <c r="A2456" i="4"/>
  <c r="A2457" i="4"/>
  <c r="A2458" i="4"/>
  <c r="A2459" i="4"/>
  <c r="A2460" i="4"/>
  <c r="A2461" i="4"/>
  <c r="A2462" i="4"/>
  <c r="A2463" i="4"/>
  <c r="A2464" i="4"/>
  <c r="A2465" i="4"/>
  <c r="A2466" i="4"/>
  <c r="A2467" i="4"/>
  <c r="A2468" i="4"/>
  <c r="A2469" i="4"/>
  <c r="A2470" i="4"/>
  <c r="A2471" i="4"/>
  <c r="A2472" i="4"/>
  <c r="A2473" i="4"/>
  <c r="A2474" i="4"/>
  <c r="A2475" i="4"/>
  <c r="A2476" i="4"/>
  <c r="A2477" i="4"/>
  <c r="A2478" i="4"/>
  <c r="A2479" i="4"/>
  <c r="A2480" i="4"/>
  <c r="A2481" i="4"/>
  <c r="A2482" i="4"/>
  <c r="A2483" i="4"/>
  <c r="A2484" i="4"/>
  <c r="A2485" i="4"/>
  <c r="A2486" i="4"/>
  <c r="A2487" i="4"/>
  <c r="A2488" i="4"/>
  <c r="A2489" i="4"/>
  <c r="A2490" i="4"/>
  <c r="A2491" i="4"/>
  <c r="A2492" i="4"/>
  <c r="A2493" i="4"/>
  <c r="A2494" i="4"/>
  <c r="A2495" i="4"/>
  <c r="A2496" i="4"/>
  <c r="A2497" i="4"/>
  <c r="A2498" i="4"/>
  <c r="A2499" i="4"/>
  <c r="A2500" i="4"/>
  <c r="A2501" i="4"/>
  <c r="A2502" i="4"/>
  <c r="A2503" i="4"/>
  <c r="A2504" i="4"/>
  <c r="A2505" i="4"/>
  <c r="A2506" i="4"/>
  <c r="A2507" i="4"/>
  <c r="A2508" i="4"/>
  <c r="A2509" i="4"/>
  <c r="A2510" i="4"/>
  <c r="A2511" i="4"/>
  <c r="A2512" i="4"/>
  <c r="A2513" i="4"/>
  <c r="A2514" i="4"/>
  <c r="A2515" i="4"/>
  <c r="A2516" i="4"/>
  <c r="A2517" i="4"/>
  <c r="A2518" i="4"/>
  <c r="A2519" i="4"/>
  <c r="A2520" i="4"/>
  <c r="A2521" i="4"/>
  <c r="A2522" i="4"/>
  <c r="A2523" i="4"/>
  <c r="A2524" i="4"/>
  <c r="A2525" i="4"/>
  <c r="A2526" i="4"/>
  <c r="A2527" i="4"/>
  <c r="A2528" i="4"/>
  <c r="A2529" i="4"/>
  <c r="A2530" i="4"/>
  <c r="A2531" i="4"/>
  <c r="A2532" i="4"/>
  <c r="A2533" i="4"/>
  <c r="A2534" i="4"/>
  <c r="A2535" i="4"/>
  <c r="A2536" i="4"/>
  <c r="A2537" i="4"/>
  <c r="A2538" i="4"/>
  <c r="A2539" i="4"/>
  <c r="A2540" i="4"/>
  <c r="A2541" i="4"/>
  <c r="A2542" i="4"/>
  <c r="A2543" i="4"/>
  <c r="A2544" i="4"/>
  <c r="A2545" i="4"/>
  <c r="A2546" i="4"/>
  <c r="A2547" i="4"/>
  <c r="A2548" i="4"/>
  <c r="A2549" i="4"/>
  <c r="A2550" i="4"/>
  <c r="A2551" i="4"/>
  <c r="A2552" i="4"/>
  <c r="A2553" i="4"/>
  <c r="A2554" i="4"/>
  <c r="A2555" i="4"/>
  <c r="A2556" i="4"/>
  <c r="A2557" i="4"/>
  <c r="A2558" i="4"/>
  <c r="A2559" i="4"/>
  <c r="A2560" i="4"/>
  <c r="A2561" i="4"/>
  <c r="A2562" i="4"/>
  <c r="A2563" i="4"/>
  <c r="A2564" i="4"/>
  <c r="A2565" i="4"/>
  <c r="A2566" i="4"/>
  <c r="A2567" i="4"/>
  <c r="A2568" i="4"/>
  <c r="A2569" i="4"/>
  <c r="A2570" i="4"/>
  <c r="A2571" i="4"/>
  <c r="A2572" i="4"/>
  <c r="A2573" i="4"/>
  <c r="A2574" i="4"/>
  <c r="A2575" i="4"/>
  <c r="A2576" i="4"/>
  <c r="A2577" i="4"/>
  <c r="A2578" i="4"/>
  <c r="A2579" i="4"/>
  <c r="A2580" i="4"/>
  <c r="A2581" i="4"/>
  <c r="A2582" i="4"/>
  <c r="A2583" i="4"/>
  <c r="A2584" i="4"/>
  <c r="A2585" i="4"/>
  <c r="A2586" i="4"/>
  <c r="A2587" i="4"/>
  <c r="A2588" i="4"/>
  <c r="A2589" i="4"/>
  <c r="A2590" i="4"/>
  <c r="A2591" i="4"/>
  <c r="A2592" i="4"/>
  <c r="A2593" i="4"/>
  <c r="A2594" i="4"/>
  <c r="A2595" i="4"/>
  <c r="A2596" i="4"/>
  <c r="A2597" i="4"/>
  <c r="A2598" i="4"/>
  <c r="A2599" i="4"/>
  <c r="A2600" i="4"/>
  <c r="A2601" i="4"/>
  <c r="A2602" i="4"/>
  <c r="A2603" i="4"/>
  <c r="A2604" i="4"/>
  <c r="A2605" i="4"/>
  <c r="A2606" i="4"/>
  <c r="A2607" i="4"/>
  <c r="A2608" i="4"/>
  <c r="A2609" i="4"/>
  <c r="A2610" i="4"/>
  <c r="A2611" i="4"/>
  <c r="A2612" i="4"/>
  <c r="A2613" i="4"/>
  <c r="A2614" i="4"/>
  <c r="A2615" i="4"/>
  <c r="A2616" i="4"/>
  <c r="A2617" i="4"/>
  <c r="A2618" i="4"/>
  <c r="A2619" i="4"/>
  <c r="A2620" i="4"/>
  <c r="A2621" i="4"/>
  <c r="A2622" i="4"/>
  <c r="A2623" i="4"/>
  <c r="A2624" i="4"/>
  <c r="A2625" i="4"/>
  <c r="A2626" i="4"/>
  <c r="A2627" i="4"/>
  <c r="A2628" i="4"/>
  <c r="A2629" i="4"/>
  <c r="A2630" i="4"/>
  <c r="A2631" i="4"/>
  <c r="A2632" i="4"/>
  <c r="A2633" i="4"/>
  <c r="A2634" i="4"/>
  <c r="A2635" i="4"/>
  <c r="A2636" i="4"/>
  <c r="A2637" i="4"/>
  <c r="A2638" i="4"/>
  <c r="A2639" i="4"/>
  <c r="A2640" i="4"/>
  <c r="A2641" i="4"/>
  <c r="A2642" i="4"/>
  <c r="A2643" i="4"/>
  <c r="A2644" i="4"/>
  <c r="A2645" i="4"/>
  <c r="A2646" i="4"/>
  <c r="A2647" i="4"/>
  <c r="A2648" i="4"/>
  <c r="A2649" i="4"/>
  <c r="A2650" i="4"/>
  <c r="A2651" i="4"/>
  <c r="A2652" i="4"/>
  <c r="A2653" i="4"/>
  <c r="A2654" i="4"/>
  <c r="A2655" i="4"/>
  <c r="A2656" i="4"/>
  <c r="A2657" i="4"/>
  <c r="A2658" i="4"/>
  <c r="A2659" i="4"/>
  <c r="A2660" i="4"/>
  <c r="A2661" i="4"/>
  <c r="A2662" i="4"/>
  <c r="A2663" i="4"/>
  <c r="A2664" i="4"/>
  <c r="A2665" i="4"/>
  <c r="A2666" i="4"/>
  <c r="A2667" i="4"/>
  <c r="A2668" i="4"/>
  <c r="A2669" i="4"/>
  <c r="A2670" i="4"/>
  <c r="A2671" i="4"/>
  <c r="A2672" i="4"/>
  <c r="A2673" i="4"/>
  <c r="A2674" i="4"/>
  <c r="A2675" i="4"/>
  <c r="A2676" i="4"/>
  <c r="A2677" i="4"/>
  <c r="A2678" i="4"/>
  <c r="A2679" i="4"/>
  <c r="A2680" i="4"/>
  <c r="A2681" i="4"/>
  <c r="A2682" i="4"/>
  <c r="A2683" i="4"/>
  <c r="A2684" i="4"/>
  <c r="A2685" i="4"/>
  <c r="A2686" i="4"/>
  <c r="A2687" i="4"/>
  <c r="A2688" i="4"/>
  <c r="A2689" i="4"/>
  <c r="A2690" i="4"/>
  <c r="A2691" i="4"/>
  <c r="A2692" i="4"/>
  <c r="A2693" i="4"/>
  <c r="A2694" i="4"/>
  <c r="A2695" i="4"/>
  <c r="A2696" i="4"/>
  <c r="A2697" i="4"/>
  <c r="A2698" i="4"/>
  <c r="A2699" i="4"/>
  <c r="A2700" i="4"/>
  <c r="A2701" i="4"/>
  <c r="A2702" i="4"/>
  <c r="A2703" i="4"/>
  <c r="A2704" i="4"/>
  <c r="A2705" i="4"/>
  <c r="A2706" i="4"/>
  <c r="A2707" i="4"/>
  <c r="A2708" i="4"/>
  <c r="A2709" i="4"/>
  <c r="A2710" i="4"/>
  <c r="A2711" i="4"/>
  <c r="A2712" i="4"/>
  <c r="A2713" i="4"/>
  <c r="A2714" i="4"/>
  <c r="A2715" i="4"/>
  <c r="A2716" i="4"/>
  <c r="A2717" i="4"/>
  <c r="A2718" i="4"/>
  <c r="A2719" i="4"/>
  <c r="A2720" i="4"/>
  <c r="A2721" i="4"/>
  <c r="A2722" i="4"/>
  <c r="A2723" i="4"/>
  <c r="A2724" i="4"/>
  <c r="A2725" i="4"/>
  <c r="A2726" i="4"/>
  <c r="A2727" i="4"/>
  <c r="A2728" i="4"/>
  <c r="A2729" i="4"/>
  <c r="A2730" i="4"/>
  <c r="A2731" i="4"/>
  <c r="A2732" i="4"/>
  <c r="A2733" i="4"/>
  <c r="A2734" i="4"/>
  <c r="A2735" i="4"/>
  <c r="A2736" i="4"/>
  <c r="A2737" i="4"/>
  <c r="A2738" i="4"/>
  <c r="A2739" i="4"/>
  <c r="A2740" i="4"/>
  <c r="A2741" i="4"/>
  <c r="A2742" i="4"/>
  <c r="A2743" i="4"/>
  <c r="A2744" i="4"/>
  <c r="A2745" i="4"/>
  <c r="A2746" i="4"/>
  <c r="A2747" i="4"/>
  <c r="A2748" i="4"/>
  <c r="A2749" i="4"/>
  <c r="A2750" i="4"/>
  <c r="A2751" i="4"/>
  <c r="A2752" i="4"/>
  <c r="A2753" i="4"/>
  <c r="A2754" i="4"/>
  <c r="A2755" i="4"/>
  <c r="A2756" i="4"/>
  <c r="A2757" i="4"/>
  <c r="A2758" i="4"/>
  <c r="A2759" i="4"/>
  <c r="A2760" i="4"/>
  <c r="A2761" i="4"/>
  <c r="A2762" i="4"/>
  <c r="A2763" i="4"/>
  <c r="A2764" i="4"/>
  <c r="A2765" i="4"/>
  <c r="A2766" i="4"/>
  <c r="A2767" i="4"/>
  <c r="A2768" i="4"/>
  <c r="A2769" i="4"/>
  <c r="A2770" i="4"/>
  <c r="A2771" i="4"/>
  <c r="A2772" i="4"/>
  <c r="A2773" i="4"/>
  <c r="A2774" i="4"/>
  <c r="A2775" i="4"/>
  <c r="A2776" i="4"/>
  <c r="A2777" i="4"/>
  <c r="A2778" i="4"/>
  <c r="A2779" i="4"/>
  <c r="A2780" i="4"/>
  <c r="A2781" i="4"/>
  <c r="A2782" i="4"/>
  <c r="A2783" i="4"/>
  <c r="A2784" i="4"/>
  <c r="A2785" i="4"/>
  <c r="A2786" i="4"/>
  <c r="A2787" i="4"/>
  <c r="A2788" i="4"/>
  <c r="A2789" i="4"/>
  <c r="A2790" i="4"/>
  <c r="A2791" i="4"/>
  <c r="A2792" i="4"/>
  <c r="A2793" i="4"/>
  <c r="A2794" i="4"/>
  <c r="A2795" i="4"/>
  <c r="A2796" i="4"/>
  <c r="A2797" i="4"/>
  <c r="A2798" i="4"/>
  <c r="A2799" i="4"/>
  <c r="A2800" i="4"/>
  <c r="A2801" i="4"/>
  <c r="A2802" i="4"/>
  <c r="A2803" i="4"/>
  <c r="A2804" i="4"/>
  <c r="A2805" i="4"/>
  <c r="A2806" i="4"/>
  <c r="A2807" i="4"/>
  <c r="A2808" i="4"/>
  <c r="A2809" i="4"/>
  <c r="A2810" i="4"/>
  <c r="A2811" i="4"/>
  <c r="A2812" i="4"/>
  <c r="A2813" i="4"/>
  <c r="A2814" i="4"/>
  <c r="A2815" i="4"/>
  <c r="A2816" i="4"/>
  <c r="A2817" i="4"/>
  <c r="A2818" i="4"/>
  <c r="A2819" i="4"/>
  <c r="A2820" i="4"/>
  <c r="A2821" i="4"/>
  <c r="A2822" i="4"/>
  <c r="A2823" i="4"/>
  <c r="A2824" i="4"/>
  <c r="A2825" i="4"/>
  <c r="A2826" i="4"/>
  <c r="A2827" i="4"/>
  <c r="A2828" i="4"/>
  <c r="A2829" i="4"/>
  <c r="A2830" i="4"/>
  <c r="A2831" i="4"/>
  <c r="A2832" i="4"/>
  <c r="A2833" i="4"/>
  <c r="A2834" i="4"/>
  <c r="A2835" i="4"/>
  <c r="A2836" i="4"/>
  <c r="A2837" i="4"/>
  <c r="A2838" i="4"/>
  <c r="A2839" i="4"/>
  <c r="A2840" i="4"/>
  <c r="A2841" i="4"/>
  <c r="A2842" i="4"/>
  <c r="A2843" i="4"/>
  <c r="A2844" i="4"/>
  <c r="A2845" i="4"/>
  <c r="A2846" i="4"/>
  <c r="A2847" i="4"/>
  <c r="A2848" i="4"/>
  <c r="A2849" i="4"/>
  <c r="A2850" i="4"/>
  <c r="A2851" i="4"/>
  <c r="A2852" i="4"/>
  <c r="A2853" i="4"/>
  <c r="A2854" i="4"/>
  <c r="A2855" i="4"/>
  <c r="A2856" i="4"/>
  <c r="A2857" i="4"/>
  <c r="A2858" i="4"/>
  <c r="A2859" i="4"/>
  <c r="A2860" i="4"/>
  <c r="A2861" i="4"/>
  <c r="A2862" i="4"/>
  <c r="A2863" i="4"/>
  <c r="A2864" i="4"/>
  <c r="A2865" i="4"/>
  <c r="A2866" i="4"/>
  <c r="A2867" i="4"/>
  <c r="A2868" i="4"/>
  <c r="A2869" i="4"/>
  <c r="A2870" i="4"/>
  <c r="A2871" i="4"/>
  <c r="A2872" i="4"/>
  <c r="A2873" i="4"/>
  <c r="A2874" i="4"/>
  <c r="A2875" i="4"/>
  <c r="A2876" i="4"/>
  <c r="A2877" i="4"/>
  <c r="A2878" i="4"/>
  <c r="A2879" i="4"/>
  <c r="A2880" i="4"/>
  <c r="A2881" i="4"/>
  <c r="A2882" i="4"/>
  <c r="A2883" i="4"/>
  <c r="A2884" i="4"/>
  <c r="A2885" i="4"/>
  <c r="A2886" i="4"/>
  <c r="A2887" i="4"/>
  <c r="A2888" i="4"/>
  <c r="A2889" i="4"/>
  <c r="A2890" i="4"/>
  <c r="A2891" i="4"/>
  <c r="A2892" i="4"/>
  <c r="A2893" i="4"/>
  <c r="A2894" i="4"/>
  <c r="A2895" i="4"/>
  <c r="A2896" i="4"/>
  <c r="A2897" i="4"/>
  <c r="A2898" i="4"/>
  <c r="A2899" i="4"/>
  <c r="A2900" i="4"/>
  <c r="A2901" i="4"/>
  <c r="A2902" i="4"/>
  <c r="A2903" i="4"/>
  <c r="A2904" i="4"/>
  <c r="A2905" i="4"/>
  <c r="A2906" i="4"/>
  <c r="A2907" i="4"/>
  <c r="A2908" i="4"/>
  <c r="A2909" i="4"/>
  <c r="A2910" i="4"/>
  <c r="A2911" i="4"/>
  <c r="A2912" i="4"/>
  <c r="A2913" i="4"/>
  <c r="A2914" i="4"/>
  <c r="A2915" i="4"/>
  <c r="A2916" i="4"/>
  <c r="A2917" i="4"/>
  <c r="A2918" i="4"/>
  <c r="A2919" i="4"/>
  <c r="A2920" i="4"/>
  <c r="A2921" i="4"/>
  <c r="A2922" i="4"/>
  <c r="A2923" i="4"/>
  <c r="A2924" i="4"/>
  <c r="A2925" i="4"/>
  <c r="A2926" i="4"/>
  <c r="A2927" i="4"/>
  <c r="A2928" i="4"/>
  <c r="A2929" i="4"/>
  <c r="A2930" i="4"/>
  <c r="A2931" i="4"/>
  <c r="A2932" i="4"/>
  <c r="A2933" i="4"/>
  <c r="A2934" i="4"/>
  <c r="A2935" i="4"/>
  <c r="A2936" i="4"/>
  <c r="A2937" i="4"/>
  <c r="A2938" i="4"/>
  <c r="A2939" i="4"/>
  <c r="A2940" i="4"/>
  <c r="A2941" i="4"/>
  <c r="A2942" i="4"/>
  <c r="A2943" i="4"/>
  <c r="A2944" i="4"/>
  <c r="A2945" i="4"/>
  <c r="A2946" i="4"/>
  <c r="A2947" i="4"/>
  <c r="A2948" i="4"/>
  <c r="A2949" i="4"/>
  <c r="A2950" i="4"/>
  <c r="A2951" i="4"/>
  <c r="A2952" i="4"/>
  <c r="A2953" i="4"/>
  <c r="A2954" i="4"/>
  <c r="A2955" i="4"/>
  <c r="A2956" i="4"/>
  <c r="A2957" i="4"/>
  <c r="A2958" i="4"/>
  <c r="A2959" i="4"/>
  <c r="A2960" i="4"/>
  <c r="A2961" i="4"/>
  <c r="A2962" i="4"/>
  <c r="A2963" i="4"/>
  <c r="A2964" i="4"/>
  <c r="A2965" i="4"/>
  <c r="A2966" i="4"/>
  <c r="A2967" i="4"/>
  <c r="A2968" i="4"/>
  <c r="A2969" i="4"/>
  <c r="A2970" i="4"/>
  <c r="A2971" i="4"/>
  <c r="A2972" i="4"/>
  <c r="A2973" i="4"/>
  <c r="A2974" i="4"/>
  <c r="A2975" i="4"/>
  <c r="A2976" i="4"/>
  <c r="A2977" i="4"/>
  <c r="A2978" i="4"/>
  <c r="A2979" i="4"/>
  <c r="A2980" i="4"/>
  <c r="A2981" i="4"/>
  <c r="A2982" i="4"/>
  <c r="A2983" i="4"/>
  <c r="A2984" i="4"/>
  <c r="A2985" i="4"/>
  <c r="A2986" i="4"/>
  <c r="A2987" i="4"/>
  <c r="A2988" i="4"/>
  <c r="A2989" i="4"/>
  <c r="A2990" i="4"/>
  <c r="A2991" i="4"/>
  <c r="A2992" i="4"/>
  <c r="A2993" i="4"/>
  <c r="A2994" i="4"/>
  <c r="A2995" i="4"/>
  <c r="A2996" i="4"/>
  <c r="A2997" i="4"/>
  <c r="A2998" i="4"/>
  <c r="A2999" i="4"/>
  <c r="A3000" i="4"/>
  <c r="A3001" i="4"/>
  <c r="A3002" i="4"/>
  <c r="A3003" i="4"/>
  <c r="A3004" i="4"/>
  <c r="A3005" i="4"/>
  <c r="A3006" i="4"/>
  <c r="A3007" i="4"/>
  <c r="A3008" i="4"/>
  <c r="A3009" i="4"/>
  <c r="A3010" i="4"/>
  <c r="A3011" i="4"/>
  <c r="A3012" i="4"/>
  <c r="A3013" i="4"/>
  <c r="A3014" i="4"/>
  <c r="A3015" i="4"/>
  <c r="A3016" i="4"/>
  <c r="A3017" i="4"/>
  <c r="A3018" i="4"/>
  <c r="A3019" i="4"/>
  <c r="A3020" i="4"/>
  <c r="A3021" i="4"/>
  <c r="A3022" i="4"/>
  <c r="A3023" i="4"/>
  <c r="A3024" i="4"/>
  <c r="A3025" i="4"/>
  <c r="A3026" i="4"/>
  <c r="A3027" i="4"/>
  <c r="A3028" i="4"/>
  <c r="A3029" i="4"/>
  <c r="A3030" i="4"/>
  <c r="A3031" i="4"/>
  <c r="A3032" i="4"/>
  <c r="A3033" i="4"/>
  <c r="A3034" i="4"/>
  <c r="A3035" i="4"/>
  <c r="A3036" i="4"/>
  <c r="A3037" i="4"/>
  <c r="A3038" i="4"/>
  <c r="A3039" i="4"/>
  <c r="A3040" i="4"/>
  <c r="A3041" i="4"/>
  <c r="A3042" i="4"/>
  <c r="A3043" i="4"/>
  <c r="A3044" i="4"/>
  <c r="A3045" i="4"/>
  <c r="A3046" i="4"/>
  <c r="A3047" i="4"/>
  <c r="A3048" i="4"/>
  <c r="A3049" i="4"/>
  <c r="A3050" i="4"/>
  <c r="A3051" i="4"/>
  <c r="A3052" i="4"/>
  <c r="A3053" i="4"/>
  <c r="A3054" i="4"/>
  <c r="A3055" i="4"/>
  <c r="A3056" i="4"/>
  <c r="A3057" i="4"/>
  <c r="A3058" i="4"/>
  <c r="A3059" i="4"/>
  <c r="A3060" i="4"/>
  <c r="A3061" i="4"/>
  <c r="A3062" i="4"/>
  <c r="A3063" i="4"/>
  <c r="A3064" i="4"/>
  <c r="A3065" i="4"/>
  <c r="A3066" i="4"/>
  <c r="A3067" i="4"/>
  <c r="A3068" i="4"/>
  <c r="A3069" i="4"/>
  <c r="A3070" i="4"/>
  <c r="A3071" i="4"/>
  <c r="A3072" i="4"/>
  <c r="A3073" i="4"/>
  <c r="A3074" i="4"/>
  <c r="A3075" i="4"/>
  <c r="A3076" i="4"/>
  <c r="A3077" i="4"/>
  <c r="A3078" i="4"/>
  <c r="A3079" i="4"/>
  <c r="A3080" i="4"/>
  <c r="A3081" i="4"/>
  <c r="A3082" i="4"/>
  <c r="A3083" i="4"/>
  <c r="A3084" i="4"/>
  <c r="A3085" i="4"/>
  <c r="A3086" i="4"/>
  <c r="A3087" i="4"/>
  <c r="A3088" i="4"/>
  <c r="A3089" i="4"/>
  <c r="A3090" i="4"/>
  <c r="A3091" i="4"/>
  <c r="A3092" i="4"/>
  <c r="A3093" i="4"/>
  <c r="A3094" i="4"/>
  <c r="A3095" i="4"/>
  <c r="A3096" i="4"/>
  <c r="A3097" i="4"/>
  <c r="A3098" i="4"/>
  <c r="A3099" i="4"/>
  <c r="A3100" i="4"/>
  <c r="A3101" i="4"/>
  <c r="A3102" i="4"/>
  <c r="A3103" i="4"/>
  <c r="A3104" i="4"/>
  <c r="A3105" i="4"/>
  <c r="A3106" i="4"/>
  <c r="A3107" i="4"/>
  <c r="A3108" i="4"/>
  <c r="A3109" i="4"/>
  <c r="A3110" i="4"/>
  <c r="A3111" i="4"/>
  <c r="A3112" i="4"/>
  <c r="A3113" i="4"/>
  <c r="A3114" i="4"/>
  <c r="A3115" i="4"/>
  <c r="A3116" i="4"/>
  <c r="A3117" i="4"/>
  <c r="A3118" i="4"/>
  <c r="A3119" i="4"/>
  <c r="A3120" i="4"/>
  <c r="A3121" i="4"/>
  <c r="A3122" i="4"/>
  <c r="A3123" i="4"/>
  <c r="A3124" i="4"/>
  <c r="A3125" i="4"/>
  <c r="A3126" i="4"/>
  <c r="A3127" i="4"/>
  <c r="A3128" i="4"/>
  <c r="A3129" i="4"/>
  <c r="A3130" i="4"/>
  <c r="A3131" i="4"/>
  <c r="A3132" i="4"/>
  <c r="A3133" i="4"/>
  <c r="A3134" i="4"/>
  <c r="A3135" i="4"/>
  <c r="A3136" i="4"/>
  <c r="A3137" i="4"/>
  <c r="A3138" i="4"/>
  <c r="A3139" i="4"/>
  <c r="A3140" i="4"/>
  <c r="A3141" i="4"/>
  <c r="A3142" i="4"/>
  <c r="A3143" i="4"/>
  <c r="A3144" i="4"/>
  <c r="A3145" i="4"/>
  <c r="A3146" i="4"/>
  <c r="A3147" i="4"/>
  <c r="A3148" i="4"/>
  <c r="A3149" i="4"/>
  <c r="A3150" i="4"/>
  <c r="A3151" i="4"/>
  <c r="A3152" i="4"/>
  <c r="A3153" i="4"/>
  <c r="A3154" i="4"/>
  <c r="A3155" i="4"/>
  <c r="A3156" i="4"/>
  <c r="A3157" i="4"/>
  <c r="A3158" i="4"/>
  <c r="A3159" i="4"/>
  <c r="A3160" i="4"/>
  <c r="A3161" i="4"/>
  <c r="A3162" i="4"/>
  <c r="A3163" i="4"/>
  <c r="A3164" i="4"/>
  <c r="A3165" i="4"/>
  <c r="A3166" i="4"/>
  <c r="A3167" i="4"/>
  <c r="A3168" i="4"/>
  <c r="A3169" i="4"/>
  <c r="A3170" i="4"/>
  <c r="A3171" i="4"/>
  <c r="A3172" i="4"/>
  <c r="A3173" i="4"/>
  <c r="A3174" i="4"/>
  <c r="A3175" i="4"/>
  <c r="A3176" i="4"/>
  <c r="A3177" i="4"/>
  <c r="A3178" i="4"/>
  <c r="A3179" i="4"/>
  <c r="A3180" i="4"/>
  <c r="A3181" i="4"/>
  <c r="A3182" i="4"/>
  <c r="A3183" i="4"/>
  <c r="A3184" i="4"/>
  <c r="A3185" i="4"/>
  <c r="A3186" i="4"/>
  <c r="A3187" i="4"/>
  <c r="A3188" i="4"/>
  <c r="A3189" i="4"/>
  <c r="A3190" i="4"/>
  <c r="A3191" i="4"/>
  <c r="A3192" i="4"/>
  <c r="A3193" i="4"/>
  <c r="A3194" i="4"/>
  <c r="A3195" i="4"/>
  <c r="A3196" i="4"/>
  <c r="A3197" i="4"/>
  <c r="A3198" i="4"/>
  <c r="A3199" i="4"/>
  <c r="A3200" i="4"/>
  <c r="A3201" i="4"/>
  <c r="A3202" i="4"/>
  <c r="A3203" i="4"/>
  <c r="A3204" i="4"/>
  <c r="A3205" i="4"/>
  <c r="A3206" i="4"/>
  <c r="A3207" i="4"/>
  <c r="A3208" i="4"/>
  <c r="A3209" i="4"/>
  <c r="A3210" i="4"/>
  <c r="A3211" i="4"/>
  <c r="A3212" i="4"/>
  <c r="A3213" i="4"/>
  <c r="A3214" i="4"/>
  <c r="A3215" i="4"/>
  <c r="A3216" i="4"/>
  <c r="A3217" i="4"/>
  <c r="A3218" i="4"/>
  <c r="A3219" i="4"/>
  <c r="A3220" i="4"/>
  <c r="A3221" i="4"/>
  <c r="A3222" i="4"/>
  <c r="A3223" i="4"/>
  <c r="A3224" i="4"/>
  <c r="A3225" i="4"/>
  <c r="A3226" i="4"/>
  <c r="A3227" i="4"/>
  <c r="A3228" i="4"/>
  <c r="A3229" i="4"/>
  <c r="A3230" i="4"/>
  <c r="A3231" i="4"/>
  <c r="A3232" i="4"/>
  <c r="A3233" i="4"/>
  <c r="A3234" i="4"/>
  <c r="A3235" i="4"/>
  <c r="A3236" i="4"/>
  <c r="A3237" i="4"/>
  <c r="A3238" i="4"/>
  <c r="A3239" i="4"/>
  <c r="A3240" i="4"/>
  <c r="A3241" i="4"/>
  <c r="A3242" i="4"/>
  <c r="A3243" i="4"/>
  <c r="A3244" i="4"/>
  <c r="A3245" i="4"/>
  <c r="A3246" i="4"/>
  <c r="A3247" i="4"/>
  <c r="A3248" i="4"/>
  <c r="A3249" i="4"/>
  <c r="A3250" i="4"/>
  <c r="A3251" i="4"/>
  <c r="A3252" i="4"/>
  <c r="A3253" i="4"/>
  <c r="A3254" i="4"/>
  <c r="A3255" i="4"/>
  <c r="A3256" i="4"/>
  <c r="A3257" i="4"/>
  <c r="A3258" i="4"/>
  <c r="A3259" i="4"/>
  <c r="A3260" i="4"/>
  <c r="A3261" i="4"/>
  <c r="A3262" i="4"/>
  <c r="A3263" i="4"/>
  <c r="A3264" i="4"/>
  <c r="A3265" i="4"/>
  <c r="A3266" i="4"/>
  <c r="A3267" i="4"/>
  <c r="A3268" i="4"/>
  <c r="A3269" i="4"/>
  <c r="A3270" i="4"/>
  <c r="A3271" i="4"/>
  <c r="A3272" i="4"/>
  <c r="A3273" i="4"/>
  <c r="A3274" i="4"/>
  <c r="A3275" i="4"/>
  <c r="A3276" i="4"/>
  <c r="A3277" i="4"/>
  <c r="A3278" i="4"/>
  <c r="A3279" i="4"/>
  <c r="A3280" i="4"/>
  <c r="A3281" i="4"/>
  <c r="A3282" i="4"/>
  <c r="A3283" i="4"/>
  <c r="A3284" i="4"/>
  <c r="A3285" i="4"/>
  <c r="A3286" i="4"/>
  <c r="A3287" i="4"/>
  <c r="A3288" i="4"/>
  <c r="A3289" i="4"/>
  <c r="A3290" i="4"/>
  <c r="A3291" i="4"/>
  <c r="A3292" i="4"/>
  <c r="A3293" i="4"/>
  <c r="A3294" i="4"/>
  <c r="A3295" i="4"/>
  <c r="A3296" i="4"/>
  <c r="A3297" i="4"/>
  <c r="A3298" i="4"/>
  <c r="A3299" i="4"/>
  <c r="A3300" i="4"/>
  <c r="A3301" i="4"/>
  <c r="A3302" i="4"/>
  <c r="A3303" i="4"/>
  <c r="A3304" i="4"/>
  <c r="A3305" i="4"/>
  <c r="A3306" i="4"/>
  <c r="A3307" i="4"/>
  <c r="A3308" i="4"/>
  <c r="A3309" i="4"/>
  <c r="A3310" i="4"/>
  <c r="C41" i="5" l="1"/>
  <c r="C46" i="5" l="1"/>
  <c r="C14" i="5" l="1"/>
  <c r="C12" i="5"/>
  <c r="C10" i="5"/>
  <c r="C8" i="5"/>
  <c r="C6" i="5"/>
  <c r="C4" i="5"/>
  <c r="C38" i="5"/>
  <c r="C49" i="5"/>
  <c r="C45" i="5"/>
  <c r="C48" i="5"/>
  <c r="C27" i="5" l="1"/>
  <c r="C28" i="5"/>
  <c r="C13" i="5"/>
  <c r="C11" i="5"/>
  <c r="C9" i="5"/>
  <c r="C7" i="5"/>
  <c r="C5" i="5"/>
  <c r="C3" i="5"/>
  <c r="C15" i="5" l="1"/>
  <c r="B4" i="13"/>
  <c r="C4" i="13"/>
  <c r="D4" i="13"/>
  <c r="C3" i="13"/>
  <c r="D3" i="13"/>
  <c r="B3" i="13"/>
  <c r="A13" i="14" l="1"/>
  <c r="J2" i="3" l="1"/>
  <c r="A149" i="15" l="1"/>
  <c r="A150" i="15"/>
  <c r="A151" i="15"/>
  <c r="A152" i="15"/>
  <c r="A153" i="15"/>
  <c r="A154" i="15"/>
  <c r="A155" i="15"/>
  <c r="A156" i="15"/>
  <c r="A157" i="15"/>
  <c r="A158" i="15"/>
  <c r="A159" i="15"/>
  <c r="A160" i="15"/>
  <c r="A161" i="15"/>
  <c r="A162" i="15"/>
  <c r="A163" i="15"/>
  <c r="A164" i="15"/>
  <c r="A165" i="15"/>
  <c r="A166" i="15"/>
  <c r="A167" i="15"/>
  <c r="A168" i="15"/>
  <c r="A169" i="15"/>
  <c r="A170" i="15"/>
  <c r="A171" i="15"/>
  <c r="A172" i="15"/>
  <c r="A173" i="15"/>
  <c r="A174" i="15"/>
  <c r="A175" i="15"/>
  <c r="A176" i="15"/>
  <c r="A177" i="15"/>
  <c r="A178" i="15"/>
  <c r="A179" i="15"/>
  <c r="A180" i="15"/>
  <c r="A181" i="15"/>
  <c r="A182" i="15"/>
  <c r="A183" i="15"/>
  <c r="A184" i="15"/>
  <c r="A185" i="15"/>
  <c r="A186" i="15"/>
  <c r="A187" i="15"/>
  <c r="A188" i="15"/>
  <c r="A189" i="15"/>
  <c r="A190" i="15"/>
  <c r="A191" i="15"/>
  <c r="A192" i="15"/>
  <c r="A193" i="15"/>
  <c r="A194" i="15"/>
  <c r="A195" i="15"/>
  <c r="A196" i="15"/>
  <c r="A197" i="15"/>
  <c r="A198" i="15"/>
  <c r="A199" i="15"/>
  <c r="A200" i="15"/>
  <c r="A201" i="15"/>
  <c r="A202" i="15"/>
  <c r="A203" i="15"/>
  <c r="A204" i="15"/>
  <c r="A205" i="15"/>
  <c r="A206" i="15"/>
  <c r="A207" i="15"/>
  <c r="A208" i="15"/>
  <c r="A209" i="15"/>
  <c r="A210" i="15"/>
  <c r="A211" i="15"/>
  <c r="A212" i="15"/>
  <c r="A213" i="15"/>
  <c r="A214" i="15"/>
  <c r="A215" i="15"/>
  <c r="A216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A121" i="15"/>
  <c r="A122" i="15"/>
  <c r="A123" i="15"/>
  <c r="A124" i="15"/>
  <c r="A125" i="15"/>
  <c r="A126" i="15"/>
  <c r="A127" i="15"/>
  <c r="A128" i="15"/>
  <c r="A129" i="15"/>
  <c r="A130" i="15"/>
  <c r="A131" i="15"/>
  <c r="A132" i="15"/>
  <c r="A133" i="15"/>
  <c r="A134" i="15"/>
  <c r="A135" i="15"/>
  <c r="A136" i="15"/>
  <c r="A137" i="15"/>
  <c r="A138" i="15"/>
  <c r="A139" i="15"/>
  <c r="A140" i="15"/>
  <c r="A141" i="15"/>
  <c r="A142" i="15"/>
  <c r="A143" i="15"/>
  <c r="A144" i="15"/>
  <c r="A145" i="15"/>
  <c r="A146" i="15"/>
  <c r="A147" i="15"/>
  <c r="A285" i="15"/>
  <c r="A286" i="15"/>
  <c r="A287" i="15"/>
  <c r="A288" i="15"/>
  <c r="A289" i="15"/>
  <c r="A290" i="15"/>
  <c r="A291" i="15"/>
  <c r="A292" i="15"/>
  <c r="A293" i="15"/>
  <c r="A294" i="15"/>
  <c r="A295" i="15"/>
  <c r="A296" i="15"/>
  <c r="A297" i="15"/>
  <c r="A298" i="15"/>
  <c r="A299" i="15"/>
  <c r="A300" i="15"/>
  <c r="A301" i="15"/>
  <c r="A302" i="15"/>
  <c r="A303" i="15"/>
  <c r="A304" i="15"/>
  <c r="A305" i="15"/>
  <c r="A306" i="15"/>
  <c r="A307" i="15"/>
  <c r="A308" i="15"/>
  <c r="A309" i="15"/>
  <c r="A310" i="15"/>
  <c r="A311" i="15"/>
  <c r="A312" i="15"/>
  <c r="A313" i="15"/>
  <c r="A314" i="15"/>
  <c r="A315" i="15"/>
  <c r="A316" i="15"/>
  <c r="A317" i="15"/>
  <c r="A217" i="15"/>
  <c r="A218" i="15"/>
  <c r="A219" i="15"/>
  <c r="A220" i="15"/>
  <c r="A221" i="15"/>
  <c r="A222" i="15"/>
  <c r="A223" i="15"/>
  <c r="A224" i="15"/>
  <c r="A225" i="15"/>
  <c r="A226" i="15"/>
  <c r="A227" i="15"/>
  <c r="A228" i="15"/>
  <c r="A229" i="15"/>
  <c r="A230" i="15"/>
  <c r="A231" i="15"/>
  <c r="A232" i="15"/>
  <c r="A233" i="15"/>
  <c r="A234" i="15"/>
  <c r="A235" i="15"/>
  <c r="A236" i="15"/>
  <c r="A237" i="15"/>
  <c r="A238" i="15"/>
  <c r="A239" i="15"/>
  <c r="A240" i="15"/>
  <c r="A241" i="15"/>
  <c r="A242" i="15"/>
  <c r="A243" i="15"/>
  <c r="A244" i="15"/>
  <c r="A245" i="15"/>
  <c r="A246" i="15"/>
  <c r="A247" i="15"/>
  <c r="A248" i="15"/>
  <c r="A249" i="15"/>
  <c r="A250" i="15"/>
  <c r="A251" i="15"/>
  <c r="A252" i="15"/>
  <c r="A253" i="15"/>
  <c r="A254" i="15"/>
  <c r="A255" i="15"/>
  <c r="A256" i="15"/>
  <c r="A257" i="15"/>
  <c r="A258" i="15"/>
  <c r="A259" i="15"/>
  <c r="A260" i="15"/>
  <c r="A261" i="15"/>
  <c r="A262" i="15"/>
  <c r="A263" i="15"/>
  <c r="A264" i="15"/>
  <c r="A265" i="15"/>
  <c r="A266" i="15"/>
  <c r="A267" i="15"/>
  <c r="A268" i="15"/>
  <c r="A269" i="15"/>
  <c r="A270" i="15"/>
  <c r="A271" i="15"/>
  <c r="A272" i="15"/>
  <c r="A273" i="15"/>
  <c r="A274" i="15"/>
  <c r="A275" i="15"/>
  <c r="A276" i="15"/>
  <c r="A277" i="15"/>
  <c r="A278" i="15"/>
  <c r="A279" i="15"/>
  <c r="A280" i="15"/>
  <c r="A281" i="15"/>
  <c r="A282" i="15"/>
  <c r="A283" i="15"/>
  <c r="A284" i="15"/>
  <c r="A148" i="15"/>
  <c r="B14" i="13" s="1"/>
  <c r="A2" i="14" l="1"/>
  <c r="A3" i="14"/>
  <c r="A4" i="14"/>
  <c r="A5" i="14"/>
  <c r="A6" i="14"/>
  <c r="A7" i="14"/>
  <c r="A8" i="14"/>
  <c r="A9" i="14"/>
  <c r="A10" i="14"/>
  <c r="A11" i="14"/>
  <c r="A12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179" i="14"/>
  <c r="A180" i="14"/>
  <c r="A181" i="14"/>
  <c r="A182" i="14"/>
  <c r="A183" i="14"/>
  <c r="A184" i="14"/>
  <c r="A185" i="14"/>
  <c r="A186" i="14"/>
  <c r="A187" i="14"/>
  <c r="A188" i="14"/>
  <c r="A189" i="14"/>
  <c r="A190" i="14"/>
  <c r="A191" i="14"/>
  <c r="A192" i="14"/>
  <c r="A193" i="14"/>
  <c r="A194" i="14"/>
  <c r="A195" i="14"/>
  <c r="A196" i="14"/>
  <c r="A197" i="14"/>
  <c r="A198" i="14"/>
  <c r="A199" i="14"/>
  <c r="A200" i="14"/>
  <c r="A201" i="14"/>
  <c r="A202" i="14"/>
  <c r="A203" i="14"/>
  <c r="A204" i="14"/>
  <c r="A205" i="14"/>
  <c r="A206" i="14"/>
  <c r="A207" i="14"/>
  <c r="A208" i="14"/>
  <c r="A209" i="14"/>
  <c r="A210" i="14"/>
  <c r="A211" i="14"/>
  <c r="A212" i="14"/>
  <c r="A213" i="14"/>
  <c r="A214" i="14"/>
  <c r="A215" i="14"/>
  <c r="A216" i="14"/>
  <c r="A217" i="14"/>
  <c r="A218" i="14"/>
  <c r="A219" i="14"/>
  <c r="A220" i="14"/>
  <c r="A221" i="14"/>
  <c r="A222" i="14"/>
  <c r="A223" i="14"/>
  <c r="A224" i="14"/>
  <c r="A225" i="14"/>
  <c r="A226" i="14"/>
  <c r="A227" i="14"/>
  <c r="A228" i="14"/>
  <c r="A229" i="14"/>
  <c r="A230" i="14"/>
  <c r="A231" i="14"/>
  <c r="A232" i="14"/>
  <c r="A233" i="14"/>
  <c r="A234" i="14"/>
  <c r="A235" i="14"/>
  <c r="A236" i="14"/>
  <c r="A237" i="14"/>
  <c r="A238" i="14"/>
  <c r="A239" i="14"/>
  <c r="A240" i="14"/>
  <c r="A241" i="14"/>
  <c r="A242" i="14"/>
  <c r="A243" i="14"/>
  <c r="A244" i="14"/>
  <c r="A245" i="14"/>
  <c r="A246" i="14"/>
  <c r="A247" i="14"/>
  <c r="A248" i="14"/>
  <c r="A249" i="14"/>
  <c r="A250" i="14"/>
  <c r="A251" i="14"/>
  <c r="A252" i="14"/>
  <c r="A253" i="14"/>
  <c r="A254" i="14"/>
  <c r="A255" i="14"/>
  <c r="A256" i="14"/>
  <c r="A257" i="14"/>
  <c r="A258" i="14"/>
  <c r="A259" i="14"/>
  <c r="A260" i="14"/>
  <c r="A261" i="14"/>
  <c r="A262" i="14"/>
  <c r="A263" i="14"/>
  <c r="A264" i="14"/>
  <c r="A265" i="14"/>
  <c r="A266" i="14"/>
  <c r="A267" i="14"/>
  <c r="A268" i="14"/>
  <c r="A269" i="14"/>
  <c r="A270" i="14"/>
  <c r="A271" i="14"/>
  <c r="A272" i="14"/>
  <c r="A273" i="14"/>
  <c r="A274" i="14"/>
  <c r="A275" i="14"/>
  <c r="A276" i="14"/>
  <c r="A277" i="14"/>
  <c r="A278" i="14"/>
  <c r="A279" i="14"/>
  <c r="A280" i="14"/>
  <c r="A281" i="14"/>
  <c r="A282" i="14"/>
  <c r="A283" i="14"/>
  <c r="A284" i="14"/>
  <c r="A285" i="14"/>
  <c r="A286" i="14"/>
  <c r="A287" i="14"/>
  <c r="A288" i="14"/>
  <c r="A289" i="14"/>
  <c r="A290" i="14"/>
  <c r="A291" i="14"/>
  <c r="A292" i="14"/>
  <c r="A293" i="14"/>
  <c r="A294" i="14"/>
  <c r="A295" i="14"/>
  <c r="A296" i="14"/>
  <c r="A297" i="14"/>
  <c r="A298" i="14"/>
  <c r="A299" i="14"/>
  <c r="A300" i="14"/>
  <c r="A301" i="14"/>
  <c r="A302" i="14"/>
  <c r="A303" i="14"/>
  <c r="A304" i="14"/>
  <c r="A305" i="14"/>
  <c r="A306" i="14"/>
  <c r="A307" i="14"/>
  <c r="A308" i="14"/>
  <c r="A309" i="14"/>
  <c r="A310" i="14"/>
  <c r="A311" i="14"/>
  <c r="A312" i="14"/>
  <c r="A313" i="14"/>
  <c r="A314" i="14"/>
  <c r="A315" i="14"/>
  <c r="A316" i="14"/>
  <c r="A317" i="14"/>
  <c r="A318" i="14"/>
  <c r="A319" i="14"/>
  <c r="A320" i="14"/>
  <c r="A321" i="14"/>
  <c r="A322" i="14"/>
  <c r="A323" i="14"/>
  <c r="A324" i="14"/>
  <c r="A325" i="14"/>
  <c r="A326" i="14"/>
  <c r="A327" i="14"/>
  <c r="A328" i="14"/>
  <c r="A329" i="14"/>
  <c r="A330" i="14"/>
  <c r="A331" i="14"/>
  <c r="A332" i="14"/>
  <c r="A333" i="14"/>
  <c r="A334" i="14"/>
  <c r="A335" i="14"/>
  <c r="A336" i="14"/>
  <c r="A337" i="14"/>
  <c r="A338" i="14"/>
  <c r="A339" i="14"/>
  <c r="A340" i="14"/>
  <c r="A341" i="14"/>
  <c r="A342" i="14"/>
  <c r="A343" i="14"/>
  <c r="A344" i="14"/>
  <c r="A345" i="14"/>
  <c r="A346" i="14"/>
  <c r="A347" i="14"/>
  <c r="A348" i="14"/>
  <c r="A349" i="14"/>
  <c r="A350" i="14"/>
  <c r="A351" i="14"/>
  <c r="A352" i="14"/>
  <c r="A353" i="14"/>
  <c r="A354" i="14"/>
  <c r="A355" i="14"/>
  <c r="A356" i="14"/>
  <c r="A357" i="14"/>
  <c r="A358" i="14"/>
  <c r="A359" i="14"/>
  <c r="A360" i="14"/>
  <c r="A361" i="14"/>
  <c r="A362" i="14"/>
  <c r="A363" i="14"/>
  <c r="A364" i="14"/>
  <c r="A365" i="14"/>
  <c r="A366" i="14"/>
  <c r="A367" i="14"/>
  <c r="A368" i="14"/>
  <c r="A369" i="14"/>
  <c r="A370" i="14"/>
  <c r="A371" i="14"/>
  <c r="A372" i="14"/>
  <c r="A373" i="14"/>
  <c r="A374" i="14"/>
  <c r="A375" i="14"/>
  <c r="A376" i="14"/>
  <c r="A377" i="14"/>
  <c r="A378" i="14"/>
  <c r="A379" i="14"/>
  <c r="A380" i="14"/>
  <c r="A381" i="14"/>
  <c r="A382" i="14"/>
  <c r="A383" i="14"/>
  <c r="A384" i="14"/>
  <c r="A385" i="14"/>
  <c r="A386" i="14"/>
  <c r="A387" i="14"/>
  <c r="A388" i="14"/>
  <c r="A389" i="14"/>
  <c r="A390" i="14"/>
  <c r="A391" i="14"/>
  <c r="A392" i="14"/>
  <c r="A393" i="14"/>
  <c r="A394" i="14"/>
  <c r="A395" i="14"/>
  <c r="A396" i="14"/>
  <c r="A397" i="14"/>
  <c r="A398" i="14"/>
  <c r="A399" i="14"/>
  <c r="A400" i="14"/>
  <c r="A401" i="14"/>
  <c r="A402" i="14"/>
  <c r="A403" i="14"/>
  <c r="A404" i="14"/>
  <c r="A405" i="14"/>
  <c r="A406" i="14"/>
  <c r="A407" i="14"/>
  <c r="A408" i="14"/>
  <c r="A409" i="14"/>
  <c r="A410" i="14"/>
  <c r="A411" i="14"/>
  <c r="A412" i="14"/>
  <c r="A413" i="14"/>
  <c r="A414" i="14"/>
  <c r="A415" i="14"/>
  <c r="A416" i="14"/>
  <c r="A417" i="14"/>
  <c r="A418" i="14"/>
  <c r="A419" i="14"/>
  <c r="A420" i="14"/>
  <c r="A421" i="14"/>
  <c r="A422" i="14"/>
  <c r="A423" i="14"/>
  <c r="A424" i="14"/>
  <c r="A425" i="14"/>
  <c r="A426" i="14"/>
  <c r="A427" i="14"/>
  <c r="A428" i="14"/>
  <c r="A429" i="14"/>
  <c r="A430" i="14"/>
  <c r="A431" i="14"/>
  <c r="A432" i="14"/>
  <c r="A433" i="14"/>
  <c r="A434" i="14"/>
  <c r="A435" i="14"/>
  <c r="A436" i="14"/>
  <c r="A437" i="14"/>
  <c r="A438" i="14"/>
  <c r="A439" i="14"/>
  <c r="A440" i="14"/>
  <c r="A441" i="14"/>
  <c r="A442" i="14"/>
  <c r="A443" i="14"/>
  <c r="A444" i="14"/>
  <c r="A445" i="14"/>
  <c r="A446" i="14"/>
  <c r="A447" i="14"/>
  <c r="A448" i="14"/>
  <c r="A449" i="14"/>
  <c r="A450" i="14"/>
  <c r="A451" i="14"/>
  <c r="A452" i="14"/>
  <c r="A453" i="14"/>
  <c r="A454" i="14"/>
  <c r="A455" i="14"/>
  <c r="A456" i="14"/>
  <c r="A457" i="14"/>
  <c r="A458" i="14"/>
  <c r="A459" i="14"/>
  <c r="A460" i="14"/>
  <c r="A461" i="14"/>
  <c r="A462" i="14"/>
  <c r="A463" i="14"/>
  <c r="A464" i="14"/>
  <c r="A465" i="14"/>
  <c r="A466" i="14"/>
  <c r="A467" i="14"/>
  <c r="A468" i="14"/>
  <c r="A469" i="14"/>
  <c r="A470" i="14"/>
  <c r="A471" i="14"/>
  <c r="A472" i="14"/>
  <c r="A473" i="14"/>
  <c r="A474" i="14"/>
  <c r="A475" i="14"/>
  <c r="A476" i="14"/>
  <c r="A477" i="14"/>
  <c r="A478" i="14"/>
  <c r="A479" i="14"/>
  <c r="A480" i="14"/>
  <c r="A481" i="14"/>
  <c r="A482" i="14"/>
  <c r="A483" i="14"/>
  <c r="A484" i="14"/>
  <c r="A485" i="14"/>
  <c r="A486" i="14"/>
  <c r="A487" i="14"/>
  <c r="A488" i="14"/>
  <c r="A489" i="14"/>
  <c r="A490" i="14"/>
  <c r="A491" i="14"/>
  <c r="A492" i="14"/>
  <c r="A493" i="14"/>
  <c r="A494" i="14"/>
  <c r="A495" i="14"/>
  <c r="A496" i="14"/>
  <c r="A497" i="14"/>
  <c r="A498" i="14"/>
  <c r="A499" i="14"/>
  <c r="A500" i="14"/>
  <c r="A501" i="14"/>
  <c r="A502" i="14"/>
  <c r="A503" i="14"/>
  <c r="A504" i="14"/>
  <c r="A505" i="14"/>
  <c r="A506" i="14"/>
  <c r="A507" i="14"/>
  <c r="A508" i="14"/>
  <c r="A509" i="14"/>
  <c r="A510" i="14"/>
  <c r="A511" i="14"/>
  <c r="A512" i="14"/>
  <c r="A513" i="14"/>
  <c r="A514" i="14"/>
  <c r="A515" i="14"/>
  <c r="A516" i="14"/>
  <c r="A517" i="14"/>
  <c r="A518" i="14"/>
  <c r="A519" i="14"/>
  <c r="A520" i="14"/>
  <c r="A521" i="14"/>
  <c r="A522" i="14"/>
  <c r="A523" i="14"/>
  <c r="A524" i="14"/>
  <c r="A525" i="14"/>
  <c r="A526" i="14"/>
  <c r="A527" i="14"/>
  <c r="A528" i="14"/>
  <c r="A529" i="14"/>
  <c r="A530" i="14"/>
  <c r="A531" i="14"/>
  <c r="A532" i="14"/>
  <c r="A533" i="14"/>
  <c r="A534" i="14"/>
  <c r="A535" i="14"/>
  <c r="A536" i="14"/>
  <c r="A537" i="14"/>
  <c r="A538" i="14"/>
  <c r="A539" i="14"/>
  <c r="A540" i="14"/>
  <c r="A541" i="14"/>
  <c r="A542" i="14"/>
  <c r="A543" i="14"/>
  <c r="A544" i="14"/>
  <c r="A545" i="14"/>
  <c r="A546" i="14"/>
  <c r="A547" i="14"/>
  <c r="A548" i="14"/>
  <c r="A549" i="14"/>
  <c r="A550" i="14"/>
  <c r="A551" i="14"/>
  <c r="A552" i="14"/>
  <c r="A553" i="14"/>
  <c r="A554" i="14"/>
  <c r="A555" i="14"/>
  <c r="A556" i="14"/>
  <c r="A557" i="14"/>
  <c r="A558" i="14"/>
  <c r="A559" i="14"/>
  <c r="A560" i="14"/>
  <c r="A561" i="14"/>
  <c r="A562" i="14"/>
  <c r="A563" i="14"/>
  <c r="A564" i="14"/>
  <c r="A565" i="14"/>
  <c r="A566" i="14"/>
  <c r="A567" i="14"/>
  <c r="A568" i="14"/>
  <c r="A569" i="14"/>
  <c r="A570" i="14"/>
  <c r="A571" i="14"/>
  <c r="A572" i="14"/>
  <c r="A573" i="14"/>
  <c r="A574" i="14"/>
  <c r="A575" i="14"/>
  <c r="A576" i="14"/>
  <c r="A577" i="14"/>
  <c r="A578" i="14"/>
  <c r="A579" i="14"/>
  <c r="A580" i="14"/>
  <c r="A581" i="14"/>
  <c r="A582" i="14"/>
  <c r="A583" i="14"/>
  <c r="A584" i="14"/>
  <c r="A585" i="14"/>
  <c r="A586" i="14"/>
  <c r="A587" i="14"/>
  <c r="A588" i="14"/>
  <c r="A589" i="14"/>
  <c r="A590" i="14"/>
  <c r="A591" i="14"/>
  <c r="A592" i="14"/>
  <c r="A593" i="14"/>
  <c r="A594" i="14"/>
  <c r="A595" i="14"/>
  <c r="A596" i="14"/>
  <c r="A597" i="14"/>
  <c r="A598" i="14"/>
  <c r="A599" i="14"/>
  <c r="A600" i="14"/>
  <c r="A601" i="14"/>
  <c r="A602" i="14"/>
  <c r="A603" i="14"/>
  <c r="A604" i="14"/>
  <c r="A605" i="14"/>
  <c r="A606" i="14"/>
  <c r="A607" i="14"/>
  <c r="A608" i="14"/>
  <c r="A609" i="14"/>
  <c r="A610" i="14"/>
  <c r="A611" i="14"/>
  <c r="A612" i="14"/>
  <c r="A613" i="14"/>
  <c r="A614" i="14"/>
  <c r="A615" i="14"/>
  <c r="A616" i="14"/>
  <c r="A617" i="14"/>
  <c r="A618" i="14"/>
  <c r="A619" i="14"/>
  <c r="A620" i="14"/>
  <c r="A621" i="14"/>
  <c r="A622" i="14"/>
  <c r="A623" i="14"/>
  <c r="A624" i="14"/>
  <c r="A625" i="14"/>
  <c r="A626" i="14"/>
  <c r="A627" i="14"/>
  <c r="A628" i="14"/>
  <c r="A629" i="14"/>
  <c r="A630" i="14"/>
  <c r="A631" i="14"/>
  <c r="A632" i="14"/>
  <c r="A633" i="14"/>
  <c r="A634" i="14"/>
  <c r="A635" i="14"/>
  <c r="A636" i="14"/>
  <c r="A637" i="14"/>
  <c r="A638" i="14"/>
  <c r="A639" i="14"/>
  <c r="A640" i="14"/>
  <c r="A641" i="14"/>
  <c r="A642" i="14"/>
  <c r="A643" i="14"/>
  <c r="A644" i="14"/>
  <c r="A645" i="14"/>
  <c r="A646" i="14"/>
  <c r="A647" i="14"/>
  <c r="A648" i="14"/>
  <c r="A649" i="14"/>
  <c r="A650" i="14"/>
  <c r="A651" i="14"/>
  <c r="A652" i="14"/>
  <c r="A653" i="14"/>
  <c r="A654" i="14"/>
  <c r="A655" i="14"/>
  <c r="A656" i="14"/>
  <c r="A657" i="14"/>
  <c r="A658" i="14"/>
  <c r="A659" i="14"/>
  <c r="A660" i="14"/>
  <c r="A661" i="14"/>
  <c r="A662" i="14"/>
  <c r="A663" i="14"/>
  <c r="A664" i="14"/>
  <c r="A665" i="14"/>
  <c r="A666" i="14"/>
  <c r="A667" i="14"/>
  <c r="A668" i="14"/>
  <c r="A669" i="14"/>
  <c r="A670" i="14"/>
  <c r="A671" i="14"/>
  <c r="A672" i="14"/>
  <c r="A673" i="14"/>
  <c r="A674" i="14"/>
  <c r="A675" i="14"/>
  <c r="A676" i="14"/>
  <c r="A677" i="14"/>
  <c r="A678" i="14"/>
  <c r="A679" i="14"/>
  <c r="A680" i="14"/>
  <c r="A681" i="14"/>
  <c r="A682" i="14"/>
  <c r="A683" i="14"/>
  <c r="A684" i="14"/>
  <c r="A685" i="14"/>
  <c r="A686" i="14"/>
  <c r="A687" i="14"/>
  <c r="A688" i="14"/>
  <c r="A689" i="14"/>
  <c r="A690" i="14"/>
  <c r="A691" i="14"/>
  <c r="A692" i="14"/>
  <c r="A693" i="14"/>
  <c r="A694" i="14"/>
  <c r="A695" i="14"/>
  <c r="A696" i="14"/>
  <c r="A697" i="14"/>
  <c r="A698" i="14"/>
  <c r="A699" i="14"/>
  <c r="A700" i="14"/>
  <c r="A701" i="14"/>
  <c r="A702" i="14"/>
  <c r="A703" i="14"/>
  <c r="A704" i="14"/>
  <c r="A705" i="14"/>
  <c r="A706" i="14"/>
  <c r="A707" i="14"/>
  <c r="A708" i="14"/>
  <c r="A709" i="14"/>
  <c r="A710" i="14"/>
  <c r="A711" i="14"/>
  <c r="A712" i="14"/>
  <c r="A713" i="14"/>
  <c r="A714" i="14"/>
  <c r="A715" i="14"/>
  <c r="A716" i="14"/>
  <c r="A717" i="14"/>
  <c r="A718" i="14"/>
  <c r="A719" i="14"/>
  <c r="A720" i="14"/>
  <c r="A721" i="14"/>
  <c r="A722" i="14"/>
  <c r="A723" i="14"/>
  <c r="A724" i="14"/>
  <c r="A725" i="14"/>
  <c r="A726" i="14"/>
  <c r="A727" i="14"/>
  <c r="A728" i="14"/>
  <c r="A729" i="14"/>
  <c r="A730" i="14"/>
  <c r="A731" i="14"/>
  <c r="A732" i="14"/>
  <c r="A733" i="14"/>
  <c r="A734" i="14"/>
  <c r="A735" i="14"/>
  <c r="A736" i="14"/>
  <c r="A737" i="14"/>
  <c r="A738" i="14"/>
  <c r="A739" i="14"/>
  <c r="A740" i="14"/>
  <c r="A741" i="14"/>
  <c r="A742" i="14"/>
  <c r="A743" i="14"/>
  <c r="A744" i="14"/>
  <c r="A745" i="14"/>
  <c r="A746" i="14"/>
  <c r="A747" i="14"/>
  <c r="A748" i="14"/>
  <c r="A749" i="14"/>
  <c r="A750" i="14"/>
  <c r="A751" i="14"/>
  <c r="A752" i="14"/>
  <c r="A753" i="14"/>
  <c r="A754" i="14"/>
  <c r="A755" i="14"/>
  <c r="A756" i="14"/>
  <c r="A757" i="14"/>
  <c r="A758" i="14"/>
  <c r="A759" i="14"/>
  <c r="A760" i="14"/>
  <c r="A761" i="14"/>
  <c r="A762" i="14"/>
  <c r="A763" i="14"/>
  <c r="A764" i="14"/>
  <c r="A765" i="14"/>
  <c r="A766" i="14"/>
  <c r="A767" i="14"/>
  <c r="A768" i="14"/>
  <c r="A769" i="14"/>
  <c r="A770" i="14"/>
  <c r="A771" i="14"/>
  <c r="A772" i="14"/>
  <c r="A773" i="14"/>
  <c r="A774" i="14"/>
  <c r="A775" i="14"/>
  <c r="A776" i="14"/>
  <c r="A777" i="14"/>
  <c r="A778" i="14"/>
  <c r="A779" i="14"/>
  <c r="A780" i="14"/>
  <c r="A781" i="14"/>
  <c r="A782" i="14"/>
  <c r="A783" i="14"/>
  <c r="A784" i="14"/>
  <c r="A785" i="14"/>
  <c r="A786" i="14"/>
  <c r="A787" i="14"/>
  <c r="A788" i="14"/>
  <c r="A789" i="14"/>
  <c r="A790" i="14"/>
  <c r="A791" i="14"/>
  <c r="A792" i="14"/>
  <c r="A793" i="14"/>
  <c r="A794" i="14"/>
  <c r="A795" i="14"/>
  <c r="A796" i="14"/>
  <c r="A797" i="14"/>
  <c r="A798" i="14"/>
  <c r="A799" i="14"/>
  <c r="A800" i="14"/>
  <c r="A801" i="14"/>
  <c r="A802" i="14"/>
  <c r="A803" i="14"/>
  <c r="A804" i="14"/>
  <c r="A805" i="14"/>
  <c r="A806" i="14"/>
  <c r="A807" i="14"/>
  <c r="A808" i="14"/>
  <c r="A809" i="14"/>
  <c r="A810" i="14"/>
  <c r="A811" i="14"/>
  <c r="A812" i="14"/>
  <c r="A813" i="14"/>
  <c r="A814" i="14"/>
  <c r="A815" i="14"/>
  <c r="A816" i="14"/>
  <c r="A817" i="14"/>
  <c r="A818" i="14"/>
  <c r="A819" i="14"/>
  <c r="A820" i="14"/>
  <c r="A821" i="14"/>
  <c r="A822" i="14"/>
  <c r="A823" i="14"/>
  <c r="A824" i="14"/>
  <c r="A825" i="14"/>
  <c r="A826" i="14"/>
  <c r="A827" i="14"/>
  <c r="A828" i="14"/>
  <c r="A829" i="14"/>
  <c r="A830" i="14"/>
  <c r="A831" i="14"/>
  <c r="A832" i="14"/>
  <c r="A833" i="14"/>
  <c r="A834" i="14"/>
  <c r="A835" i="14"/>
  <c r="A836" i="14"/>
  <c r="A837" i="14"/>
  <c r="A838" i="14"/>
  <c r="A839" i="14"/>
  <c r="A840" i="14"/>
  <c r="A841" i="14"/>
  <c r="A842" i="14"/>
  <c r="A843" i="14"/>
  <c r="A844" i="14"/>
  <c r="A845" i="14"/>
  <c r="A846" i="14"/>
  <c r="A847" i="14"/>
  <c r="A848" i="14"/>
  <c r="A849" i="14"/>
  <c r="A850" i="14"/>
  <c r="A851" i="14"/>
  <c r="A852" i="14"/>
  <c r="A853" i="14"/>
  <c r="A854" i="14"/>
  <c r="A855" i="14"/>
  <c r="A856" i="14"/>
  <c r="A857" i="14"/>
  <c r="A858" i="14"/>
  <c r="A859" i="14"/>
  <c r="A860" i="14"/>
  <c r="A861" i="14"/>
  <c r="A862" i="14"/>
  <c r="A863" i="14"/>
  <c r="A864" i="14"/>
  <c r="A865" i="14"/>
  <c r="A866" i="14"/>
  <c r="A867" i="14"/>
  <c r="A868" i="14"/>
  <c r="A869" i="14"/>
  <c r="A870" i="14"/>
  <c r="A871" i="14"/>
  <c r="A872" i="14"/>
  <c r="A873" i="14"/>
  <c r="A874" i="14"/>
  <c r="A875" i="14"/>
  <c r="A876" i="14"/>
  <c r="A877" i="14"/>
  <c r="A878" i="14"/>
  <c r="A879" i="14"/>
  <c r="A880" i="14"/>
  <c r="A881" i="14"/>
  <c r="A882" i="14"/>
  <c r="A883" i="14"/>
  <c r="A884" i="14"/>
  <c r="A885" i="14"/>
  <c r="A886" i="14"/>
  <c r="A887" i="14"/>
  <c r="A888" i="14"/>
  <c r="A889" i="14"/>
  <c r="A890" i="14"/>
  <c r="A891" i="14"/>
  <c r="A892" i="14"/>
  <c r="A893" i="14"/>
  <c r="A894" i="14"/>
  <c r="A895" i="14"/>
  <c r="A896" i="14"/>
  <c r="A897" i="14"/>
  <c r="A898" i="14"/>
  <c r="A899" i="14"/>
  <c r="A900" i="14"/>
  <c r="A901" i="14"/>
  <c r="A902" i="14"/>
  <c r="A903" i="14"/>
  <c r="A904" i="14"/>
  <c r="A905" i="14"/>
  <c r="A906" i="14"/>
  <c r="A907" i="14"/>
  <c r="A908" i="14"/>
  <c r="A909" i="14"/>
  <c r="A910" i="14"/>
  <c r="A911" i="14"/>
  <c r="A912" i="14"/>
  <c r="A913" i="14"/>
  <c r="A914" i="14"/>
  <c r="A915" i="14"/>
  <c r="A916" i="14"/>
  <c r="A917" i="14"/>
  <c r="A918" i="14"/>
  <c r="A919" i="14"/>
  <c r="A920" i="14"/>
  <c r="A921" i="14"/>
  <c r="A922" i="14"/>
  <c r="A923" i="14"/>
  <c r="A924" i="14"/>
  <c r="A925" i="14"/>
  <c r="A926" i="14"/>
  <c r="A927" i="14"/>
  <c r="A928" i="14"/>
  <c r="A929" i="14"/>
  <c r="A930" i="14"/>
  <c r="A931" i="14"/>
  <c r="A932" i="14"/>
  <c r="A933" i="14"/>
  <c r="A934" i="14"/>
  <c r="A935" i="14"/>
  <c r="A936" i="14"/>
  <c r="A937" i="14"/>
  <c r="A938" i="14"/>
  <c r="A939" i="14"/>
  <c r="A940" i="14"/>
  <c r="A941" i="14"/>
  <c r="A942" i="14"/>
  <c r="A943" i="14"/>
  <c r="A944" i="14"/>
  <c r="A945" i="14"/>
  <c r="A946" i="14"/>
  <c r="A947" i="14"/>
  <c r="A948" i="14"/>
  <c r="A949" i="14"/>
  <c r="A950" i="14"/>
  <c r="A951" i="14"/>
  <c r="A952" i="14"/>
  <c r="A953" i="14"/>
  <c r="A954" i="14"/>
  <c r="A955" i="14"/>
  <c r="A956" i="14"/>
  <c r="A957" i="14"/>
  <c r="A958" i="14"/>
  <c r="A959" i="14"/>
  <c r="A960" i="14"/>
  <c r="A961" i="14"/>
  <c r="A962" i="14"/>
  <c r="A963" i="14"/>
  <c r="A964" i="14"/>
  <c r="A965" i="14"/>
  <c r="A966" i="14"/>
  <c r="A967" i="14"/>
  <c r="A968" i="14"/>
  <c r="A969" i="14"/>
  <c r="A970" i="14"/>
  <c r="A971" i="14"/>
  <c r="A972" i="14"/>
  <c r="A973" i="14"/>
  <c r="A974" i="14"/>
  <c r="A975" i="14"/>
  <c r="A976" i="14"/>
  <c r="A977" i="14"/>
  <c r="A978" i="14"/>
  <c r="A979" i="14"/>
  <c r="A980" i="14"/>
  <c r="A981" i="14"/>
  <c r="A982" i="14"/>
  <c r="A983" i="14"/>
  <c r="A984" i="14"/>
  <c r="A985" i="14"/>
  <c r="A986" i="14"/>
  <c r="A987" i="14"/>
  <c r="A988" i="14"/>
  <c r="A989" i="14"/>
  <c r="A990" i="14"/>
  <c r="A991" i="14"/>
  <c r="A992" i="14"/>
  <c r="A993" i="14"/>
  <c r="A994" i="14"/>
  <c r="A995" i="14"/>
  <c r="A996" i="14"/>
  <c r="A997" i="14"/>
  <c r="A998" i="14"/>
  <c r="A999" i="14"/>
  <c r="A1000" i="14"/>
  <c r="A1001" i="14"/>
  <c r="A1002" i="14"/>
  <c r="A1003" i="14"/>
  <c r="A1004" i="14"/>
  <c r="A1005" i="14"/>
  <c r="A1006" i="14"/>
  <c r="A1007" i="14"/>
  <c r="A1008" i="14"/>
  <c r="A1009" i="14"/>
  <c r="A1010" i="14"/>
  <c r="A1011" i="14"/>
  <c r="A1012" i="14"/>
  <c r="A1013" i="14"/>
  <c r="A1014" i="14"/>
  <c r="A1015" i="14"/>
  <c r="A1016" i="14"/>
  <c r="A1017" i="14"/>
  <c r="A1018" i="14"/>
  <c r="A1019" i="14"/>
  <c r="A1020" i="14"/>
  <c r="A1021" i="14"/>
  <c r="A1022" i="14"/>
  <c r="A1023" i="14"/>
  <c r="A1024" i="14"/>
  <c r="A1025" i="14"/>
  <c r="A1026" i="14"/>
  <c r="A1027" i="14"/>
  <c r="A1028" i="14"/>
  <c r="A1029" i="14"/>
  <c r="A1030" i="14"/>
  <c r="A1031" i="14"/>
  <c r="A1032" i="14"/>
  <c r="A1033" i="14"/>
  <c r="A1034" i="14"/>
  <c r="A1035" i="14"/>
  <c r="A1036" i="14"/>
  <c r="A1037" i="14"/>
  <c r="A1038" i="14"/>
  <c r="A1039" i="14"/>
  <c r="A1040" i="14"/>
  <c r="A1041" i="14"/>
  <c r="A1042" i="14"/>
  <c r="A1043" i="14"/>
  <c r="A1044" i="14"/>
  <c r="A1045" i="14"/>
  <c r="A1046" i="14"/>
  <c r="A1047" i="14"/>
  <c r="A1048" i="14"/>
  <c r="A1049" i="14"/>
  <c r="A1050" i="14"/>
  <c r="A1051" i="14"/>
  <c r="A1052" i="14"/>
  <c r="A1053" i="14"/>
  <c r="A1054" i="14"/>
  <c r="A1055" i="14"/>
  <c r="A1056" i="14"/>
  <c r="A1057" i="14"/>
  <c r="A1058" i="14"/>
  <c r="A1059" i="14"/>
  <c r="A1060" i="14"/>
  <c r="A1061" i="14"/>
  <c r="A1062" i="14"/>
  <c r="A1063" i="14"/>
  <c r="A1064" i="14"/>
  <c r="A1065" i="14"/>
  <c r="A1066" i="14"/>
  <c r="A1067" i="14"/>
  <c r="A1068" i="14"/>
  <c r="A1069" i="14"/>
  <c r="A1070" i="14"/>
  <c r="A1071" i="14"/>
  <c r="A1072" i="14"/>
  <c r="A1073" i="14"/>
  <c r="A1074" i="14"/>
  <c r="A1075" i="14"/>
  <c r="A1076" i="14"/>
  <c r="A1077" i="14"/>
  <c r="A1078" i="14"/>
  <c r="A1079" i="14"/>
  <c r="A1080" i="14"/>
  <c r="A1081" i="14"/>
  <c r="A1082" i="14"/>
  <c r="A1083" i="14"/>
  <c r="A1084" i="14"/>
  <c r="A1085" i="14"/>
  <c r="A1086" i="14"/>
  <c r="A1087" i="14"/>
  <c r="A1088" i="14"/>
  <c r="A1089" i="14"/>
  <c r="A1090" i="14"/>
  <c r="A1091" i="14"/>
  <c r="A1092" i="14"/>
  <c r="A1093" i="14"/>
  <c r="A1094" i="14"/>
  <c r="A1095" i="14"/>
  <c r="A1096" i="14"/>
  <c r="A1097" i="14"/>
  <c r="A1098" i="14"/>
  <c r="A1099" i="14"/>
  <c r="A1100" i="14"/>
  <c r="A1101" i="14"/>
  <c r="A1102" i="14"/>
  <c r="A1103" i="14"/>
  <c r="A1104" i="14"/>
  <c r="A1105" i="14"/>
  <c r="A1106" i="14"/>
  <c r="A1107" i="14"/>
  <c r="A1108" i="14"/>
  <c r="A1109" i="14"/>
  <c r="A1110" i="14"/>
  <c r="A1111" i="14"/>
  <c r="A1112" i="14"/>
  <c r="A1113" i="14"/>
  <c r="A1114" i="14"/>
  <c r="A1115" i="14"/>
  <c r="A1116" i="14"/>
  <c r="A1117" i="14"/>
  <c r="A1118" i="14"/>
  <c r="A1119" i="14"/>
  <c r="A1120" i="14"/>
  <c r="A1121" i="14"/>
  <c r="A1122" i="14"/>
  <c r="A1123" i="14"/>
  <c r="A1124" i="14"/>
  <c r="A1125" i="14"/>
  <c r="A1126" i="14"/>
  <c r="A1127" i="14"/>
  <c r="A1128" i="14"/>
  <c r="A1129" i="14"/>
  <c r="A1130" i="14"/>
  <c r="A1131" i="14"/>
  <c r="A1132" i="14"/>
  <c r="A1133" i="14"/>
  <c r="A1134" i="14"/>
  <c r="A1135" i="14"/>
  <c r="A1136" i="14"/>
  <c r="A1137" i="14"/>
  <c r="A1138" i="14"/>
  <c r="A1139" i="14"/>
  <c r="A1140" i="14"/>
  <c r="A1141" i="14"/>
  <c r="A1142" i="14"/>
  <c r="A1143" i="14"/>
  <c r="A1144" i="14"/>
  <c r="A1145" i="14"/>
  <c r="A1146" i="14"/>
  <c r="A1147" i="14"/>
  <c r="A1148" i="14"/>
  <c r="A1149" i="14"/>
  <c r="A1150" i="14"/>
  <c r="A1151" i="14"/>
  <c r="A1152" i="14"/>
  <c r="A1153" i="14"/>
  <c r="A1154" i="14"/>
  <c r="A1155" i="14"/>
  <c r="A1156" i="14"/>
  <c r="A1157" i="14"/>
  <c r="A1158" i="14"/>
  <c r="A1159" i="14"/>
  <c r="A1160" i="14"/>
  <c r="A1161" i="14"/>
  <c r="A1162" i="14"/>
  <c r="A1163" i="14"/>
  <c r="A1164" i="14"/>
  <c r="A1165" i="14"/>
  <c r="A1166" i="14"/>
  <c r="A1167" i="14"/>
  <c r="A1168" i="14"/>
  <c r="A1169" i="14"/>
  <c r="A1170" i="14"/>
  <c r="A1171" i="14"/>
  <c r="A1172" i="14"/>
  <c r="A1173" i="14"/>
  <c r="A1174" i="14"/>
  <c r="A1175" i="14"/>
  <c r="A1176" i="14"/>
  <c r="A1177" i="14"/>
  <c r="A1178" i="14"/>
  <c r="A1179" i="14"/>
  <c r="A1180" i="14"/>
  <c r="A1181" i="14"/>
  <c r="A1182" i="14"/>
  <c r="A1183" i="14"/>
  <c r="A1184" i="14"/>
  <c r="A1185" i="14"/>
  <c r="A1186" i="14"/>
  <c r="A1187" i="14"/>
  <c r="A1188" i="14"/>
  <c r="A1189" i="14"/>
  <c r="A1190" i="14"/>
  <c r="A1191" i="14"/>
  <c r="A1192" i="14"/>
  <c r="A1193" i="14"/>
  <c r="A1194" i="14"/>
  <c r="A1195" i="14"/>
  <c r="A1196" i="14"/>
  <c r="A1197" i="14"/>
  <c r="A1198" i="14"/>
  <c r="A1199" i="14"/>
  <c r="A1200" i="14"/>
  <c r="A1201" i="14"/>
  <c r="A1202" i="14"/>
  <c r="A1203" i="14"/>
  <c r="A1204" i="14"/>
  <c r="A1205" i="14"/>
  <c r="A1206" i="14"/>
  <c r="A1207" i="14"/>
  <c r="A1208" i="14"/>
  <c r="A1209" i="14"/>
  <c r="A1210" i="14"/>
  <c r="A1211" i="14"/>
  <c r="A1212" i="14"/>
  <c r="A1213" i="14"/>
  <c r="A1214" i="14"/>
  <c r="A1215" i="14"/>
  <c r="A1216" i="14"/>
  <c r="A1217" i="14"/>
  <c r="A1218" i="14"/>
  <c r="A1219" i="14"/>
  <c r="A1220" i="14"/>
  <c r="A1221" i="14"/>
  <c r="A1222" i="14"/>
  <c r="A1223" i="14"/>
  <c r="A1224" i="14"/>
  <c r="A1225" i="14"/>
  <c r="A1226" i="14"/>
  <c r="A1227" i="14"/>
  <c r="A1228" i="14"/>
  <c r="A1229" i="14"/>
  <c r="A1230" i="14"/>
  <c r="A1231" i="14"/>
  <c r="A1232" i="14"/>
  <c r="A1233" i="14"/>
  <c r="A1234" i="14"/>
  <c r="A1235" i="14"/>
  <c r="A1236" i="14"/>
  <c r="A1237" i="14"/>
  <c r="A1238" i="14"/>
  <c r="A1239" i="14"/>
  <c r="A1240" i="14"/>
  <c r="A1241" i="14"/>
  <c r="A1242" i="14"/>
  <c r="A1243" i="14"/>
  <c r="A1244" i="14"/>
  <c r="A1245" i="14"/>
  <c r="A1246" i="14"/>
  <c r="A1247" i="14"/>
  <c r="A1248" i="14"/>
  <c r="A1249" i="14"/>
  <c r="A1250" i="14"/>
  <c r="A1251" i="14"/>
  <c r="A1252" i="14"/>
  <c r="A1253" i="14"/>
  <c r="A1254" i="14"/>
  <c r="A1255" i="14"/>
  <c r="A1256" i="14"/>
  <c r="A1257" i="14"/>
  <c r="A1258" i="14"/>
  <c r="A1259" i="14"/>
  <c r="A1260" i="14"/>
  <c r="A1261" i="14"/>
  <c r="A1262" i="14"/>
  <c r="A1263" i="14"/>
  <c r="A1264" i="14"/>
  <c r="A1265" i="14"/>
  <c r="A1266" i="14"/>
  <c r="A1267" i="14"/>
  <c r="A1268" i="14"/>
  <c r="A1269" i="14"/>
  <c r="A1270" i="14"/>
  <c r="A1271" i="14"/>
  <c r="A1272" i="14"/>
  <c r="A1273" i="14"/>
  <c r="A1274" i="14"/>
  <c r="A1275" i="14"/>
  <c r="A1276" i="14"/>
  <c r="A1277" i="14"/>
  <c r="A1278" i="14"/>
  <c r="A1279" i="14"/>
  <c r="A1280" i="14"/>
  <c r="A1281" i="14"/>
  <c r="A1282" i="14"/>
  <c r="A1283" i="14"/>
  <c r="A1284" i="14"/>
  <c r="A1285" i="14"/>
  <c r="A1286" i="14"/>
  <c r="A1287" i="14"/>
  <c r="A1288" i="14"/>
  <c r="A1289" i="14"/>
  <c r="A1290" i="14"/>
  <c r="A1291" i="14"/>
  <c r="A1292" i="14"/>
  <c r="A1293" i="14"/>
  <c r="A1294" i="14"/>
  <c r="A1295" i="14"/>
  <c r="A1296" i="14"/>
  <c r="A1297" i="14"/>
  <c r="A1298" i="14"/>
  <c r="A1299" i="14"/>
  <c r="A1300" i="14"/>
  <c r="A1301" i="14"/>
  <c r="A1302" i="14"/>
  <c r="A1303" i="14"/>
  <c r="A1304" i="14"/>
  <c r="A1305" i="14"/>
  <c r="A1306" i="14"/>
  <c r="A1307" i="14"/>
  <c r="A1308" i="14"/>
  <c r="A1309" i="14"/>
  <c r="A1310" i="14"/>
  <c r="A1311" i="14"/>
  <c r="A1312" i="14"/>
  <c r="A1313" i="14"/>
  <c r="A1314" i="14"/>
  <c r="A1315" i="14"/>
  <c r="A1316" i="14"/>
  <c r="A1317" i="14"/>
  <c r="A1318" i="14"/>
  <c r="A1319" i="14"/>
  <c r="A1320" i="14"/>
  <c r="A1321" i="14"/>
  <c r="A1322" i="14"/>
  <c r="A1323" i="14"/>
  <c r="A1324" i="14"/>
  <c r="A1325" i="14"/>
  <c r="A1326" i="14"/>
  <c r="A1327" i="14"/>
  <c r="A1328" i="14"/>
  <c r="A1329" i="14"/>
  <c r="A1330" i="14"/>
  <c r="A1331" i="14"/>
  <c r="A1332" i="14"/>
  <c r="A1333" i="14"/>
  <c r="A1334" i="14"/>
  <c r="A1335" i="14"/>
  <c r="A1336" i="14"/>
  <c r="A1337" i="14"/>
  <c r="A1338" i="14"/>
  <c r="A1339" i="14"/>
  <c r="A1340" i="14"/>
  <c r="A1341" i="14"/>
  <c r="A1342" i="14"/>
  <c r="A1343" i="14"/>
  <c r="A1344" i="14"/>
  <c r="A1345" i="14"/>
  <c r="A1346" i="14"/>
  <c r="A1347" i="14"/>
  <c r="A1348" i="14"/>
  <c r="A1349" i="14"/>
  <c r="A1350" i="14"/>
  <c r="A1351" i="14"/>
  <c r="A1352" i="14"/>
  <c r="A1353" i="14"/>
  <c r="A1354" i="14"/>
  <c r="A1355" i="14"/>
  <c r="A1356" i="14"/>
  <c r="A1357" i="14"/>
  <c r="A1358" i="14"/>
  <c r="A1359" i="14"/>
  <c r="A1360" i="14"/>
  <c r="A1361" i="14"/>
  <c r="A1362" i="14"/>
  <c r="A1363" i="14"/>
  <c r="A1364" i="14"/>
  <c r="A1365" i="14"/>
  <c r="A1366" i="14"/>
  <c r="A1367" i="14"/>
  <c r="A1368" i="14"/>
  <c r="A1369" i="14"/>
  <c r="A1370" i="14"/>
  <c r="A1371" i="14"/>
  <c r="A1372" i="14"/>
  <c r="A1373" i="14"/>
  <c r="A1374" i="14"/>
  <c r="A1375" i="14"/>
  <c r="A1376" i="14"/>
  <c r="A1377" i="14"/>
  <c r="A1378" i="14"/>
  <c r="A1379" i="14"/>
  <c r="A1380" i="14"/>
  <c r="A1381" i="14"/>
  <c r="A1382" i="14"/>
  <c r="A1383" i="14"/>
  <c r="A1384" i="14"/>
  <c r="A1385" i="14"/>
  <c r="A1386" i="14"/>
  <c r="A1387" i="14"/>
  <c r="A1388" i="14"/>
  <c r="A1389" i="14"/>
  <c r="A1390" i="14"/>
  <c r="A1391" i="14"/>
  <c r="A1392" i="14"/>
  <c r="A1393" i="14"/>
  <c r="A1394" i="14"/>
  <c r="A1395" i="14"/>
  <c r="A1396" i="14"/>
  <c r="A1397" i="14"/>
  <c r="A1398" i="14"/>
  <c r="A1399" i="14"/>
  <c r="A1400" i="14"/>
  <c r="A1401" i="14"/>
  <c r="A1402" i="14"/>
  <c r="A1403" i="14"/>
  <c r="A1404" i="14"/>
  <c r="A1405" i="14"/>
  <c r="A1406" i="14"/>
  <c r="A1407" i="14"/>
  <c r="A1408" i="14"/>
  <c r="A1409" i="14"/>
  <c r="A1410" i="14"/>
  <c r="A1411" i="14"/>
  <c r="A1412" i="14"/>
  <c r="A1413" i="14"/>
  <c r="A1414" i="14"/>
  <c r="A1415" i="14"/>
  <c r="A1416" i="14"/>
  <c r="A1417" i="14"/>
  <c r="A1418" i="14"/>
  <c r="A1419" i="14"/>
  <c r="A1420" i="14"/>
  <c r="A1421" i="14"/>
  <c r="A1422" i="14"/>
  <c r="A1423" i="14"/>
  <c r="A1424" i="14"/>
  <c r="A1425" i="14"/>
  <c r="A1426" i="14"/>
  <c r="A1427" i="14"/>
  <c r="A1428" i="14"/>
  <c r="A1429" i="14"/>
  <c r="A1430" i="14"/>
  <c r="A1431" i="14"/>
  <c r="A1432" i="14"/>
  <c r="A1433" i="14"/>
  <c r="A1434" i="14"/>
  <c r="A1435" i="14"/>
  <c r="A1436" i="14"/>
  <c r="A1437" i="14"/>
  <c r="A1438" i="14"/>
  <c r="A1439" i="14"/>
  <c r="A1440" i="14"/>
  <c r="A1441" i="14"/>
  <c r="A1442" i="14"/>
  <c r="A1443" i="14"/>
  <c r="A1444" i="14"/>
  <c r="A1445" i="14"/>
  <c r="A1446" i="14"/>
  <c r="A1447" i="14"/>
  <c r="A1448" i="14"/>
  <c r="A1449" i="14"/>
  <c r="A1450" i="14"/>
  <c r="A1451" i="14"/>
  <c r="A1452" i="14"/>
  <c r="A1453" i="14"/>
  <c r="A1454" i="14"/>
  <c r="A1455" i="14"/>
  <c r="A1456" i="14"/>
  <c r="A1457" i="14"/>
  <c r="A1458" i="14"/>
  <c r="A1459" i="14"/>
  <c r="A1460" i="14"/>
  <c r="A1461" i="14"/>
  <c r="A1462" i="14"/>
  <c r="A1463" i="14"/>
  <c r="A1464" i="14"/>
  <c r="A1465" i="14"/>
  <c r="A1466" i="14"/>
  <c r="A1467" i="14"/>
  <c r="A1468" i="14"/>
  <c r="A1469" i="14"/>
  <c r="A1470" i="14"/>
  <c r="A1471" i="14"/>
  <c r="A1472" i="14"/>
  <c r="A1473" i="14"/>
  <c r="A1474" i="14"/>
  <c r="A1475" i="14"/>
  <c r="A1476" i="14"/>
  <c r="A1477" i="14"/>
  <c r="A1478" i="14"/>
  <c r="A1479" i="14"/>
  <c r="A1480" i="14"/>
  <c r="A1481" i="14"/>
  <c r="A1482" i="14"/>
  <c r="A1483" i="14"/>
  <c r="A1484" i="14"/>
  <c r="A1485" i="14"/>
  <c r="A1486" i="14"/>
  <c r="A1487" i="14"/>
  <c r="A1488" i="14"/>
  <c r="A1489" i="14"/>
  <c r="A1490" i="14"/>
  <c r="A1491" i="14"/>
  <c r="A1492" i="14"/>
  <c r="A1493" i="14"/>
  <c r="A1494" i="14"/>
  <c r="A1495" i="14"/>
  <c r="A1496" i="14"/>
  <c r="A1497" i="14"/>
  <c r="A1498" i="14"/>
  <c r="A1499" i="14"/>
  <c r="A1500" i="14"/>
  <c r="A1501" i="14"/>
  <c r="A1502" i="14"/>
  <c r="A1503" i="14"/>
  <c r="A1504" i="14"/>
  <c r="A1505" i="14"/>
  <c r="A1506" i="14"/>
  <c r="A1507" i="14"/>
  <c r="A1508" i="14"/>
  <c r="A1509" i="14"/>
  <c r="A1510" i="14"/>
  <c r="A1511" i="14"/>
  <c r="A1512" i="14"/>
  <c r="A1513" i="14"/>
  <c r="A1514" i="14"/>
  <c r="A1515" i="14"/>
  <c r="A1516" i="14"/>
  <c r="A1517" i="14"/>
  <c r="A1518" i="14"/>
  <c r="A1519" i="14"/>
  <c r="A1520" i="14"/>
  <c r="A1521" i="14"/>
  <c r="A1522" i="14"/>
  <c r="A1523" i="14"/>
  <c r="A1524" i="14"/>
  <c r="A1525" i="14"/>
  <c r="A1526" i="14"/>
  <c r="A1527" i="14"/>
  <c r="A1528" i="14"/>
  <c r="A1529" i="14"/>
  <c r="A1530" i="14"/>
  <c r="A1531" i="14"/>
  <c r="A1532" i="14"/>
  <c r="A1533" i="14"/>
  <c r="A1534" i="14"/>
  <c r="A1535" i="14"/>
  <c r="A1536" i="14"/>
  <c r="A1537" i="14"/>
  <c r="A1538" i="14"/>
  <c r="A1539" i="14"/>
  <c r="A1540" i="14"/>
  <c r="A1541" i="14"/>
  <c r="A1542" i="14"/>
  <c r="A1543" i="14"/>
  <c r="A1544" i="14"/>
  <c r="A1545" i="14"/>
  <c r="A1546" i="14"/>
  <c r="A1547" i="14"/>
  <c r="A1548" i="14"/>
  <c r="A1549" i="14"/>
  <c r="A1550" i="14"/>
  <c r="A1551" i="14"/>
  <c r="A1552" i="14"/>
  <c r="A1553" i="14"/>
  <c r="A1554" i="14"/>
  <c r="A1555" i="14"/>
  <c r="A1556" i="14"/>
  <c r="A1557" i="14"/>
  <c r="A1558" i="14"/>
  <c r="A1559" i="14"/>
  <c r="A1560" i="14"/>
  <c r="A1561" i="14"/>
  <c r="A1562" i="14"/>
  <c r="A1563" i="14"/>
  <c r="A1564" i="14"/>
  <c r="A1565" i="14"/>
  <c r="A1566" i="14"/>
  <c r="A1567" i="14"/>
  <c r="A1568" i="14"/>
  <c r="A1569" i="14"/>
  <c r="A1570" i="14"/>
  <c r="A1571" i="14"/>
  <c r="A1572" i="14"/>
  <c r="A1573" i="14"/>
  <c r="A1574" i="14"/>
  <c r="A1575" i="14"/>
  <c r="A1576" i="14"/>
  <c r="A1577" i="14"/>
  <c r="A1578" i="14"/>
  <c r="A1579" i="14"/>
  <c r="A1580" i="14"/>
  <c r="A1581" i="14"/>
  <c r="A1582" i="14"/>
  <c r="A1583" i="14"/>
  <c r="A1584" i="14"/>
  <c r="A1585" i="14"/>
  <c r="A1586" i="14"/>
  <c r="A1587" i="14"/>
  <c r="A1588" i="14"/>
  <c r="A1589" i="14"/>
  <c r="A1590" i="14"/>
  <c r="A1591" i="14"/>
  <c r="A1592" i="14"/>
  <c r="A1593" i="14"/>
  <c r="A1594" i="14"/>
  <c r="A1595" i="14"/>
  <c r="A1596" i="14"/>
  <c r="A1597" i="14"/>
  <c r="A1598" i="14"/>
  <c r="A1599" i="14"/>
  <c r="A1600" i="14"/>
  <c r="A1601" i="14"/>
  <c r="A1602" i="14"/>
  <c r="A1603" i="14"/>
  <c r="A1604" i="14"/>
  <c r="A1605" i="14"/>
  <c r="A1606" i="14"/>
  <c r="A1607" i="14"/>
  <c r="A1608" i="14"/>
  <c r="A1609" i="14"/>
  <c r="A1610" i="14"/>
  <c r="A1611" i="14"/>
  <c r="A1612" i="14"/>
  <c r="A1613" i="14"/>
  <c r="A1614" i="14"/>
  <c r="A1615" i="14"/>
  <c r="A1616" i="14"/>
  <c r="A1617" i="14"/>
  <c r="A1618" i="14"/>
  <c r="A1619" i="14"/>
  <c r="A1620" i="14"/>
  <c r="A1621" i="14"/>
  <c r="A1622" i="14"/>
  <c r="A1623" i="14"/>
  <c r="A1624" i="14"/>
  <c r="A1625" i="14"/>
  <c r="A1626" i="14"/>
  <c r="A1627" i="14"/>
  <c r="A1628" i="14"/>
  <c r="A1629" i="14"/>
  <c r="A1630" i="14"/>
  <c r="A1631" i="14"/>
  <c r="A1632" i="14"/>
  <c r="A1633" i="14"/>
  <c r="A1634" i="14"/>
  <c r="A1635" i="14"/>
  <c r="A1636" i="14"/>
  <c r="A1637" i="14"/>
  <c r="A1638" i="14"/>
  <c r="A1639" i="14"/>
  <c r="A1640" i="14"/>
  <c r="A1641" i="14"/>
  <c r="A1642" i="14"/>
  <c r="A1643" i="14"/>
  <c r="A1644" i="14"/>
  <c r="A1645" i="14"/>
  <c r="A1646" i="14"/>
  <c r="A1647" i="14"/>
  <c r="A1648" i="14"/>
  <c r="A1649" i="14"/>
  <c r="A1650" i="14"/>
  <c r="A1651" i="14"/>
  <c r="A1652" i="14"/>
  <c r="A1653" i="14"/>
  <c r="A1654" i="14"/>
  <c r="A1655" i="14"/>
  <c r="A1656" i="14"/>
  <c r="A1657" i="14"/>
  <c r="A1658" i="14"/>
  <c r="A1659" i="14"/>
  <c r="A1660" i="14"/>
  <c r="A1661" i="14"/>
  <c r="A1662" i="14"/>
  <c r="A1663" i="14"/>
  <c r="A1664" i="14"/>
  <c r="A1665" i="14"/>
  <c r="A1666" i="14"/>
  <c r="A1667" i="14"/>
  <c r="A1668" i="14"/>
  <c r="A1669" i="14"/>
  <c r="A1670" i="14"/>
  <c r="A1671" i="14"/>
  <c r="A1672" i="14"/>
  <c r="A1673" i="14"/>
  <c r="A1674" i="14"/>
  <c r="A1675" i="14"/>
  <c r="A1676" i="14"/>
  <c r="A1677" i="14"/>
  <c r="A1678" i="14"/>
  <c r="A1679" i="14"/>
  <c r="A1680" i="14"/>
  <c r="A1681" i="14"/>
  <c r="A1682" i="14"/>
  <c r="A1683" i="14"/>
  <c r="A1684" i="14"/>
  <c r="A1685" i="14"/>
  <c r="A1686" i="14"/>
  <c r="A1687" i="14"/>
  <c r="A1688" i="14"/>
  <c r="A1689" i="14"/>
  <c r="A1690" i="14"/>
  <c r="A1691" i="14"/>
  <c r="A1692" i="14"/>
  <c r="A1693" i="14"/>
  <c r="A1694" i="14"/>
  <c r="A1695" i="14"/>
  <c r="A1696" i="14"/>
  <c r="A1697" i="14"/>
  <c r="A1698" i="14"/>
  <c r="A1699" i="14"/>
  <c r="A1700" i="14"/>
  <c r="A1701" i="14"/>
  <c r="A1702" i="14"/>
  <c r="A1703" i="14"/>
  <c r="A1704" i="14"/>
  <c r="A1705" i="14"/>
  <c r="A1706" i="14"/>
  <c r="A1707" i="14"/>
  <c r="A1708" i="14"/>
  <c r="A1709" i="14"/>
  <c r="A1710" i="14"/>
  <c r="A1711" i="14"/>
  <c r="A1712" i="14"/>
  <c r="A1713" i="14"/>
  <c r="A1714" i="14"/>
  <c r="A1715" i="14"/>
  <c r="A1716" i="14"/>
  <c r="A1717" i="14"/>
  <c r="A1718" i="14"/>
  <c r="A1719" i="14"/>
  <c r="A1720" i="14"/>
  <c r="A1721" i="14"/>
  <c r="A1722" i="14"/>
  <c r="A1723" i="14"/>
  <c r="A1724" i="14"/>
  <c r="A1725" i="14"/>
  <c r="A1726" i="14"/>
  <c r="A1727" i="14"/>
  <c r="A1728" i="14"/>
  <c r="A1729" i="14"/>
  <c r="A1730" i="14"/>
  <c r="A1731" i="14"/>
  <c r="A1732" i="14"/>
  <c r="A1733" i="14"/>
  <c r="A1734" i="14"/>
  <c r="A1735" i="14"/>
  <c r="A1736" i="14"/>
  <c r="A1737" i="14"/>
  <c r="A1738" i="14"/>
  <c r="A1739" i="14"/>
  <c r="A1740" i="14"/>
  <c r="A1741" i="14"/>
  <c r="A1742" i="14"/>
  <c r="A1743" i="14"/>
  <c r="A1744" i="14"/>
  <c r="A1745" i="14"/>
  <c r="A1746" i="14"/>
  <c r="A1747" i="14"/>
  <c r="A1748" i="14"/>
  <c r="A1749" i="14"/>
  <c r="A1750" i="14"/>
  <c r="A1751" i="14"/>
  <c r="A1752" i="14"/>
  <c r="A1753" i="14"/>
  <c r="A1754" i="14"/>
  <c r="A1755" i="14"/>
  <c r="A1756" i="14"/>
  <c r="A1757" i="14"/>
  <c r="A1758" i="14"/>
  <c r="A1759" i="14"/>
  <c r="A1760" i="14"/>
  <c r="A1761" i="14"/>
  <c r="A1762" i="14"/>
  <c r="A1763" i="14"/>
  <c r="A1764" i="14"/>
  <c r="A1765" i="14"/>
  <c r="A1766" i="14"/>
  <c r="A1767" i="14"/>
  <c r="A1768" i="14"/>
  <c r="A1769" i="14"/>
  <c r="A1770" i="14"/>
  <c r="A1771" i="14"/>
  <c r="A1772" i="14"/>
  <c r="A1773" i="14"/>
  <c r="A1774" i="14"/>
  <c r="A1775" i="14"/>
  <c r="A1776" i="14"/>
  <c r="A1777" i="14"/>
  <c r="A1778" i="14"/>
  <c r="A1779" i="14"/>
  <c r="A1780" i="14"/>
  <c r="A1781" i="14"/>
  <c r="A1782" i="14"/>
  <c r="A1783" i="14"/>
  <c r="A1784" i="14"/>
  <c r="A1785" i="14"/>
  <c r="A1786" i="14"/>
  <c r="A1787" i="14"/>
  <c r="A1788" i="14"/>
  <c r="A1789" i="14"/>
  <c r="A1790" i="14"/>
  <c r="A1791" i="14"/>
  <c r="A1792" i="14"/>
  <c r="A1793" i="14"/>
  <c r="A1794" i="14"/>
  <c r="A1795" i="14"/>
  <c r="A1796" i="14"/>
  <c r="A1797" i="14"/>
  <c r="A1798" i="14"/>
  <c r="A1799" i="14"/>
  <c r="A1800" i="14"/>
  <c r="A1801" i="14"/>
  <c r="A1802" i="14"/>
  <c r="A1803" i="14"/>
  <c r="A1804" i="14"/>
  <c r="A1805" i="14"/>
  <c r="A1806" i="14"/>
  <c r="A1807" i="14"/>
  <c r="A1808" i="14"/>
  <c r="A1809" i="14"/>
  <c r="A1810" i="14"/>
  <c r="A1811" i="14"/>
  <c r="A1812" i="14"/>
  <c r="A1813" i="14"/>
  <c r="A1814" i="14"/>
  <c r="A1815" i="14"/>
  <c r="A1816" i="14"/>
  <c r="A1817" i="14"/>
  <c r="A1818" i="14"/>
  <c r="A1819" i="14"/>
  <c r="A1820" i="14"/>
  <c r="A1821" i="14"/>
  <c r="A1822" i="14"/>
  <c r="A1823" i="14"/>
  <c r="A1824" i="14"/>
  <c r="A1825" i="14"/>
  <c r="A1826" i="14"/>
  <c r="A1827" i="14"/>
  <c r="A1828" i="14"/>
  <c r="A1829" i="14"/>
  <c r="A1830" i="14"/>
  <c r="A1831" i="14"/>
  <c r="A1832" i="14"/>
  <c r="A1833" i="14"/>
  <c r="A1834" i="14"/>
  <c r="A1835" i="14"/>
  <c r="A1836" i="14"/>
  <c r="A1837" i="14"/>
  <c r="A1838" i="14"/>
  <c r="A1839" i="14"/>
  <c r="A1840" i="14"/>
  <c r="A1841" i="14"/>
  <c r="A1842" i="14"/>
  <c r="A1843" i="14"/>
  <c r="A1844" i="14"/>
  <c r="A1845" i="14"/>
  <c r="A1846" i="14"/>
  <c r="A1847" i="14"/>
  <c r="A1848" i="14"/>
  <c r="A1849" i="14"/>
  <c r="A1850" i="14"/>
  <c r="A1851" i="14"/>
  <c r="A1852" i="14"/>
  <c r="A1853" i="14"/>
  <c r="A1854" i="14"/>
  <c r="A1855" i="14"/>
  <c r="A1856" i="14"/>
  <c r="A1857" i="14"/>
  <c r="A1858" i="14"/>
  <c r="A1859" i="14"/>
  <c r="A1860" i="14"/>
  <c r="A1861" i="14"/>
  <c r="A1862" i="14"/>
  <c r="A1863" i="14"/>
  <c r="A1864" i="14"/>
  <c r="A1865" i="14"/>
  <c r="A1866" i="14"/>
  <c r="A1867" i="14"/>
  <c r="A1868" i="14"/>
  <c r="A1869" i="14"/>
  <c r="A1870" i="14"/>
  <c r="A1871" i="14"/>
  <c r="A1872" i="14"/>
  <c r="A1873" i="14"/>
  <c r="A1874" i="14"/>
  <c r="A1875" i="14"/>
  <c r="A1876" i="14"/>
  <c r="A1877" i="14"/>
  <c r="A1878" i="14"/>
  <c r="A1879" i="14"/>
  <c r="A1880" i="14"/>
  <c r="A1881" i="14"/>
  <c r="A1882" i="14"/>
  <c r="A1883" i="14"/>
  <c r="A1884" i="14"/>
  <c r="A1885" i="14"/>
  <c r="A1886" i="14"/>
  <c r="A1887" i="14"/>
  <c r="A1888" i="14"/>
  <c r="A1889" i="14"/>
  <c r="A1890" i="14"/>
  <c r="A1891" i="14"/>
  <c r="A1892" i="14"/>
  <c r="A1893" i="14"/>
  <c r="A1894" i="14"/>
  <c r="A1895" i="14"/>
  <c r="A1896" i="14"/>
  <c r="A1897" i="14"/>
  <c r="A1898" i="14"/>
  <c r="A1899" i="14"/>
  <c r="A1900" i="14"/>
  <c r="A1901" i="14"/>
  <c r="A1902" i="14"/>
  <c r="A1903" i="14"/>
  <c r="A1904" i="14"/>
  <c r="A1905" i="14"/>
  <c r="A1906" i="14"/>
  <c r="A1907" i="14"/>
  <c r="A1908" i="14"/>
  <c r="A1909" i="14"/>
  <c r="A1910" i="14"/>
  <c r="A1911" i="14"/>
  <c r="A1912" i="14"/>
  <c r="A1913" i="14"/>
  <c r="A1914" i="14"/>
  <c r="A1915" i="14"/>
  <c r="A1916" i="14"/>
  <c r="A1917" i="14"/>
  <c r="A1918" i="14"/>
  <c r="A1919" i="14"/>
  <c r="A1920" i="14"/>
  <c r="A1921" i="14"/>
  <c r="A1922" i="14"/>
  <c r="A1923" i="14"/>
  <c r="A1924" i="14"/>
  <c r="A1925" i="14"/>
  <c r="A1926" i="14"/>
  <c r="A1927" i="14"/>
  <c r="A1928" i="14"/>
  <c r="A1929" i="14"/>
  <c r="A1930" i="14"/>
  <c r="A1931" i="14"/>
  <c r="A1932" i="14"/>
  <c r="A1933" i="14"/>
  <c r="A1934" i="14"/>
  <c r="A1935" i="14"/>
  <c r="A1936" i="14"/>
  <c r="A1937" i="14"/>
  <c r="A1938" i="14"/>
  <c r="A1939" i="14"/>
  <c r="A1940" i="14"/>
  <c r="A1941" i="14"/>
  <c r="A1942" i="14"/>
  <c r="A1943" i="14"/>
  <c r="A1944" i="14"/>
  <c r="A1945" i="14"/>
  <c r="A1946" i="14"/>
  <c r="A1947" i="14"/>
  <c r="A1948" i="14"/>
  <c r="A1949" i="14"/>
  <c r="A1950" i="14"/>
  <c r="A1951" i="14"/>
  <c r="A1952" i="14"/>
  <c r="A1953" i="14"/>
  <c r="A1954" i="14"/>
  <c r="A1955" i="14"/>
  <c r="A1956" i="14"/>
  <c r="A1957" i="14"/>
  <c r="A1958" i="14"/>
  <c r="A1959" i="14"/>
  <c r="A1960" i="14"/>
  <c r="A1961" i="14"/>
  <c r="A1962" i="14"/>
  <c r="A1963" i="14"/>
  <c r="A1964" i="14"/>
  <c r="A1965" i="14"/>
  <c r="A1966" i="14"/>
  <c r="A1967" i="14"/>
  <c r="A1968" i="14"/>
  <c r="A1969" i="14"/>
  <c r="A1970" i="14"/>
  <c r="A1971" i="14"/>
  <c r="A1972" i="14"/>
  <c r="A1973" i="14"/>
  <c r="A1974" i="14"/>
  <c r="A1975" i="14"/>
  <c r="A1976" i="14"/>
  <c r="A1977" i="14"/>
  <c r="A1978" i="14"/>
  <c r="A1979" i="14"/>
  <c r="A1980" i="14"/>
  <c r="A1981" i="14"/>
  <c r="A1982" i="14"/>
  <c r="A1983" i="14"/>
  <c r="A1984" i="14"/>
  <c r="A1985" i="14"/>
  <c r="A1986" i="14"/>
  <c r="A1987" i="14"/>
  <c r="A1988" i="14"/>
  <c r="A1989" i="14"/>
  <c r="A1990" i="14"/>
  <c r="A1991" i="14"/>
  <c r="A1992" i="14"/>
  <c r="A1993" i="14"/>
  <c r="A1994" i="14"/>
  <c r="A1995" i="14"/>
  <c r="A1996" i="14"/>
  <c r="A1997" i="14"/>
  <c r="A1998" i="14"/>
  <c r="A1999" i="14"/>
  <c r="A2000" i="14"/>
  <c r="A2001" i="14"/>
  <c r="A2002" i="14"/>
  <c r="A2003" i="14"/>
  <c r="A2004" i="14"/>
  <c r="A2005" i="14"/>
  <c r="A2006" i="14"/>
  <c r="A2007" i="14"/>
  <c r="A2008" i="14"/>
  <c r="A2009" i="14"/>
  <c r="A2010" i="14"/>
  <c r="A2011" i="14"/>
  <c r="A2012" i="14"/>
  <c r="A2013" i="14"/>
  <c r="A2014" i="14"/>
  <c r="A2015" i="14"/>
  <c r="A2016" i="14"/>
  <c r="A2017" i="14"/>
  <c r="A2018" i="14"/>
  <c r="A2019" i="14"/>
  <c r="A2020" i="14"/>
  <c r="A2021" i="14"/>
  <c r="A2022" i="14"/>
  <c r="A2023" i="14"/>
  <c r="A2024" i="14"/>
  <c r="A2025" i="14"/>
  <c r="A2026" i="14"/>
  <c r="A2027" i="14"/>
  <c r="A2028" i="14"/>
  <c r="A2029" i="14"/>
  <c r="A2030" i="14"/>
  <c r="A2031" i="14"/>
  <c r="A2032" i="14"/>
  <c r="A2033" i="14"/>
  <c r="A2034" i="14"/>
  <c r="A2035" i="14"/>
  <c r="A2036" i="14"/>
  <c r="A2037" i="14"/>
  <c r="A2038" i="14"/>
  <c r="A2039" i="14"/>
  <c r="A2040" i="14"/>
  <c r="A2041" i="14"/>
  <c r="A2042" i="14"/>
  <c r="A2043" i="14"/>
  <c r="A2044" i="14"/>
  <c r="A2045" i="14"/>
  <c r="A2046" i="14"/>
  <c r="A2047" i="14"/>
  <c r="A2048" i="14"/>
  <c r="A2049" i="14"/>
  <c r="A2050" i="14"/>
  <c r="A2051" i="14"/>
  <c r="A2052" i="14"/>
  <c r="A2053" i="14"/>
  <c r="A2054" i="14"/>
  <c r="A2055" i="14"/>
  <c r="A2056" i="14"/>
  <c r="A2057" i="14"/>
  <c r="A2058" i="14"/>
  <c r="A2059" i="14"/>
  <c r="A2060" i="14"/>
  <c r="A2061" i="14"/>
  <c r="A2062" i="14"/>
  <c r="A2063" i="14"/>
  <c r="A2064" i="14"/>
  <c r="A2065" i="14"/>
  <c r="A2066" i="14"/>
  <c r="A2067" i="14"/>
  <c r="A2068" i="14"/>
  <c r="A2069" i="14"/>
  <c r="A2070" i="14"/>
  <c r="A2071" i="14"/>
  <c r="A2072" i="14"/>
  <c r="A2073" i="14"/>
  <c r="A2074" i="14"/>
  <c r="A2075" i="14"/>
  <c r="A2076" i="14"/>
  <c r="A2077" i="14"/>
  <c r="A2078" i="14"/>
  <c r="A2079" i="14"/>
  <c r="A2080" i="14"/>
  <c r="A2081" i="14"/>
  <c r="A2082" i="14"/>
  <c r="A2083" i="14"/>
  <c r="A2084" i="14"/>
  <c r="A2085" i="14"/>
  <c r="A2086" i="14"/>
  <c r="A2087" i="14"/>
  <c r="A2088" i="14"/>
  <c r="A2089" i="14"/>
  <c r="A2090" i="14"/>
  <c r="A2091" i="14"/>
  <c r="A2092" i="14"/>
  <c r="A2093" i="14"/>
  <c r="A2094" i="14"/>
  <c r="A2095" i="14"/>
  <c r="A2096" i="14"/>
  <c r="A2097" i="14"/>
  <c r="A2098" i="14"/>
  <c r="A2099" i="14"/>
  <c r="A2100" i="14"/>
  <c r="A2101" i="14"/>
  <c r="A2102" i="14"/>
  <c r="A2103" i="14"/>
  <c r="A2104" i="14"/>
  <c r="A2105" i="14"/>
  <c r="A2106" i="14"/>
  <c r="A2107" i="14"/>
  <c r="A2108" i="14"/>
  <c r="A2109" i="14"/>
  <c r="A2110" i="14"/>
  <c r="A2111" i="14"/>
  <c r="A2112" i="14"/>
  <c r="A2113" i="14"/>
  <c r="A2114" i="14"/>
  <c r="A2115" i="14"/>
  <c r="A2116" i="14"/>
  <c r="A2117" i="14"/>
  <c r="A2118" i="14"/>
  <c r="A2119" i="14"/>
  <c r="A2120" i="14"/>
  <c r="A2121" i="14"/>
  <c r="A2122" i="14"/>
  <c r="A2123" i="14"/>
  <c r="A2124" i="14"/>
  <c r="A2125" i="14"/>
  <c r="A2126" i="14"/>
  <c r="A2127" i="14"/>
  <c r="A2128" i="14"/>
  <c r="A2129" i="14"/>
  <c r="A2130" i="14"/>
  <c r="A2131" i="14"/>
  <c r="A2132" i="14"/>
  <c r="A2133" i="14"/>
  <c r="A2134" i="14"/>
  <c r="A2135" i="14"/>
  <c r="A2136" i="14"/>
  <c r="A2137" i="14"/>
  <c r="A2138" i="14"/>
  <c r="A2139" i="14"/>
  <c r="A2140" i="14"/>
  <c r="A2141" i="14"/>
  <c r="A2142" i="14"/>
  <c r="A2143" i="14"/>
  <c r="A2144" i="14"/>
  <c r="A2145" i="14"/>
  <c r="A2146" i="14"/>
  <c r="A2147" i="14"/>
  <c r="A2148" i="14"/>
  <c r="A2149" i="14"/>
  <c r="A2150" i="14"/>
  <c r="A2151" i="14"/>
  <c r="A2152" i="14"/>
  <c r="A2153" i="14"/>
  <c r="A2154" i="14"/>
  <c r="A2155" i="14"/>
  <c r="A2156" i="14"/>
  <c r="A2157" i="14"/>
  <c r="A2158" i="14"/>
  <c r="A2159" i="14"/>
  <c r="A2160" i="14"/>
  <c r="A2161" i="14"/>
  <c r="A2162" i="14"/>
  <c r="A2163" i="14"/>
  <c r="A2164" i="14"/>
  <c r="A2165" i="14"/>
  <c r="A2166" i="14"/>
  <c r="A2167" i="14"/>
  <c r="A2168" i="14"/>
  <c r="A2169" i="14"/>
  <c r="A2170" i="14"/>
  <c r="A2171" i="14"/>
  <c r="A2172" i="14"/>
  <c r="A2173" i="14"/>
  <c r="A2174" i="14"/>
  <c r="A2175" i="14"/>
  <c r="A2176" i="14"/>
  <c r="A2177" i="14"/>
  <c r="A2178" i="14"/>
  <c r="A2179" i="14"/>
  <c r="A2180" i="14"/>
  <c r="A2181" i="14"/>
  <c r="A2182" i="14"/>
  <c r="A2183" i="14"/>
  <c r="A2184" i="14"/>
  <c r="A2185" i="14"/>
  <c r="A2186" i="14"/>
  <c r="A2187" i="14"/>
  <c r="A2188" i="14"/>
  <c r="A2189" i="14"/>
  <c r="A2190" i="14"/>
  <c r="A2191" i="14"/>
  <c r="A2192" i="14"/>
  <c r="A2193" i="14"/>
  <c r="A2194" i="14"/>
  <c r="A2195" i="14"/>
  <c r="A2196" i="14"/>
  <c r="A2197" i="14"/>
  <c r="A2198" i="14"/>
  <c r="A2199" i="14"/>
  <c r="A2200" i="14"/>
  <c r="A2201" i="14"/>
  <c r="A2202" i="14"/>
  <c r="A2203" i="14"/>
  <c r="A2204" i="14"/>
  <c r="A2205" i="14"/>
  <c r="A2206" i="14"/>
  <c r="A2207" i="14"/>
  <c r="A2208" i="14"/>
  <c r="A2209" i="14"/>
  <c r="A2210" i="14"/>
  <c r="A2211" i="14"/>
  <c r="A2212" i="14"/>
  <c r="A2213" i="14"/>
  <c r="A2214" i="14"/>
  <c r="A2215" i="14"/>
  <c r="A2216" i="14"/>
  <c r="A2217" i="14"/>
  <c r="A2218" i="14"/>
  <c r="A2219" i="14"/>
  <c r="A2220" i="14"/>
  <c r="A2221" i="14"/>
  <c r="A2222" i="14"/>
  <c r="A2223" i="14"/>
  <c r="A2224" i="14"/>
  <c r="A2225" i="14"/>
  <c r="A2226" i="14"/>
  <c r="A2227" i="14"/>
  <c r="A2228" i="14"/>
  <c r="A2229" i="14"/>
  <c r="A2230" i="14"/>
  <c r="A2231" i="14"/>
  <c r="A2232" i="14"/>
  <c r="A2233" i="14"/>
  <c r="A2234" i="14"/>
  <c r="A2235" i="14"/>
  <c r="A2236" i="14"/>
  <c r="A2237" i="14"/>
  <c r="A2238" i="14"/>
  <c r="A2239" i="14"/>
  <c r="A2240" i="14"/>
  <c r="A2241" i="14"/>
  <c r="A2242" i="14"/>
  <c r="A2243" i="14"/>
  <c r="A2244" i="14"/>
  <c r="A2245" i="14"/>
  <c r="A2246" i="14"/>
  <c r="A2247" i="14"/>
  <c r="A2248" i="14"/>
  <c r="A2249" i="14"/>
  <c r="A2250" i="14"/>
  <c r="A2251" i="14"/>
  <c r="A2252" i="14"/>
  <c r="A2253" i="14"/>
  <c r="A2254" i="14"/>
  <c r="A2255" i="14"/>
  <c r="A2256" i="14"/>
  <c r="A2257" i="14"/>
  <c r="A2258" i="14"/>
  <c r="A2259" i="14"/>
  <c r="A2260" i="14"/>
  <c r="A2261" i="14"/>
  <c r="A2262" i="14"/>
  <c r="A2263" i="14"/>
  <c r="A2264" i="14"/>
  <c r="A2265" i="14"/>
  <c r="A2266" i="14"/>
  <c r="A2267" i="14"/>
  <c r="A2268" i="14"/>
  <c r="A2269" i="14"/>
  <c r="A2270" i="14"/>
  <c r="A2271" i="14"/>
  <c r="A2272" i="14"/>
  <c r="A2273" i="14"/>
  <c r="A2274" i="14"/>
  <c r="A2275" i="14"/>
  <c r="A2276" i="14"/>
  <c r="A2277" i="14"/>
  <c r="A2278" i="14"/>
  <c r="A2279" i="14"/>
  <c r="A2280" i="14"/>
  <c r="A2281" i="14"/>
  <c r="A2282" i="14"/>
  <c r="A2283" i="14"/>
  <c r="A2284" i="14"/>
  <c r="A2285" i="14"/>
  <c r="A2286" i="14"/>
  <c r="A2287" i="14"/>
  <c r="A2288" i="14"/>
  <c r="A2289" i="14"/>
  <c r="A2290" i="14"/>
  <c r="A2291" i="14"/>
  <c r="A2292" i="14"/>
  <c r="A2293" i="14"/>
  <c r="A2294" i="14"/>
  <c r="A2295" i="14"/>
  <c r="A2296" i="14"/>
  <c r="A2297" i="14"/>
  <c r="A2298" i="14"/>
  <c r="A2299" i="14"/>
  <c r="A2300" i="14"/>
  <c r="A2301" i="14"/>
  <c r="A2302" i="14"/>
  <c r="A2303" i="14"/>
  <c r="A2304" i="14"/>
  <c r="A2305" i="14"/>
  <c r="A2306" i="14"/>
  <c r="A2307" i="14"/>
  <c r="A2308" i="14"/>
  <c r="A2309" i="14"/>
  <c r="A2310" i="14"/>
  <c r="A2311" i="14"/>
  <c r="A2312" i="14"/>
  <c r="A2313" i="14"/>
  <c r="A2314" i="14"/>
  <c r="A2315" i="14"/>
  <c r="A2316" i="14"/>
  <c r="A2317" i="14"/>
  <c r="A2318" i="14"/>
  <c r="A2319" i="14"/>
  <c r="A2320" i="14"/>
  <c r="A2321" i="14"/>
  <c r="A2322" i="14"/>
  <c r="A2323" i="14"/>
  <c r="A2324" i="14"/>
  <c r="A2325" i="14"/>
  <c r="A2326" i="14"/>
  <c r="A2327" i="14"/>
  <c r="A2328" i="14"/>
  <c r="A2329" i="14"/>
  <c r="A2330" i="14"/>
  <c r="A2331" i="14"/>
  <c r="A2332" i="14"/>
  <c r="A2333" i="14"/>
  <c r="A2334" i="14"/>
  <c r="A2335" i="14"/>
  <c r="A2336" i="14"/>
  <c r="A2337" i="14"/>
  <c r="A2338" i="14"/>
  <c r="A2339" i="14"/>
  <c r="A2340" i="14"/>
  <c r="A2341" i="14"/>
  <c r="A2342" i="14"/>
  <c r="A2343" i="14"/>
  <c r="A2344" i="14"/>
  <c r="A2345" i="14"/>
  <c r="A2346" i="14"/>
  <c r="A2347" i="14"/>
  <c r="A2348" i="14"/>
  <c r="A2349" i="14"/>
  <c r="A2350" i="14"/>
  <c r="A2351" i="14"/>
  <c r="A2352" i="14"/>
  <c r="A2353" i="14"/>
  <c r="A2354" i="14"/>
  <c r="A2355" i="14"/>
  <c r="A2356" i="14"/>
  <c r="A2357" i="14"/>
  <c r="A2358" i="14"/>
  <c r="A2359" i="14"/>
  <c r="A2360" i="14"/>
  <c r="A2361" i="14"/>
  <c r="A2362" i="14"/>
  <c r="A2363" i="14"/>
  <c r="A2364" i="14"/>
  <c r="A2365" i="14"/>
  <c r="A2366" i="14"/>
  <c r="A2367" i="14"/>
  <c r="A2368" i="14"/>
  <c r="A2369" i="14"/>
  <c r="A2370" i="14"/>
  <c r="A2371" i="14"/>
  <c r="A2372" i="14"/>
  <c r="A2373" i="14"/>
  <c r="A2374" i="14"/>
  <c r="A2375" i="14"/>
  <c r="A2376" i="14"/>
  <c r="A2377" i="14"/>
  <c r="A2378" i="14"/>
  <c r="A2379" i="14"/>
  <c r="A2380" i="14"/>
  <c r="A2381" i="14"/>
  <c r="A2382" i="14"/>
  <c r="A2383" i="14"/>
  <c r="A2384" i="14"/>
  <c r="A2385" i="14"/>
  <c r="A2386" i="14"/>
  <c r="A2387" i="14"/>
  <c r="A2388" i="14"/>
  <c r="A2389" i="14"/>
  <c r="A2390" i="14"/>
  <c r="A2391" i="14"/>
  <c r="A2392" i="14"/>
  <c r="A2393" i="14"/>
  <c r="A2394" i="14"/>
  <c r="A2395" i="14"/>
  <c r="A2396" i="14"/>
  <c r="A2397" i="14"/>
  <c r="A2398" i="14"/>
  <c r="A2399" i="14"/>
  <c r="A2400" i="14"/>
  <c r="A2401" i="14"/>
  <c r="A2402" i="14"/>
  <c r="A2403" i="14"/>
  <c r="A2404" i="14"/>
  <c r="A2405" i="14"/>
  <c r="A2406" i="14"/>
  <c r="A2407" i="14"/>
  <c r="A2408" i="14"/>
  <c r="A2409" i="14"/>
  <c r="A2410" i="14"/>
  <c r="A2411" i="14"/>
  <c r="A2412" i="14"/>
  <c r="A2413" i="14"/>
  <c r="A2414" i="14"/>
  <c r="A2415" i="14"/>
  <c r="A2416" i="14"/>
  <c r="A2417" i="14"/>
  <c r="A2418" i="14"/>
  <c r="A2419" i="14"/>
  <c r="A2420" i="14"/>
  <c r="A2421" i="14"/>
  <c r="A2422" i="14"/>
  <c r="A2423" i="14"/>
  <c r="A2424" i="14"/>
  <c r="A2425" i="14"/>
  <c r="A2426" i="14"/>
  <c r="A2427" i="14"/>
  <c r="A2428" i="14"/>
  <c r="A2429" i="14"/>
  <c r="A2430" i="14"/>
  <c r="A2431" i="14"/>
  <c r="A2432" i="14"/>
  <c r="A2433" i="14"/>
  <c r="A2434" i="14"/>
  <c r="A2435" i="14"/>
  <c r="A2436" i="14"/>
  <c r="A2437" i="14"/>
  <c r="A2438" i="14"/>
  <c r="A2439" i="14"/>
  <c r="A2440" i="14"/>
  <c r="A2441" i="14"/>
  <c r="A2442" i="14"/>
  <c r="A2443" i="14"/>
  <c r="A2444" i="14"/>
  <c r="A2445" i="14"/>
  <c r="A2446" i="14"/>
  <c r="A2447" i="14"/>
  <c r="A2448" i="14"/>
  <c r="A2449" i="14"/>
  <c r="A2450" i="14"/>
  <c r="A2451" i="14"/>
  <c r="A2452" i="14"/>
  <c r="A2453" i="14"/>
  <c r="A2454" i="14"/>
  <c r="A2455" i="14"/>
  <c r="A2456" i="14"/>
  <c r="A2457" i="14"/>
  <c r="A2458" i="14"/>
  <c r="A2459" i="14"/>
  <c r="A2460" i="14"/>
  <c r="A2461" i="14"/>
  <c r="A2462" i="14"/>
  <c r="A2463" i="14"/>
  <c r="A2464" i="14"/>
  <c r="A2465" i="14"/>
  <c r="A2466" i="14"/>
  <c r="A2467" i="14"/>
  <c r="A2468" i="14"/>
  <c r="A2469" i="14"/>
  <c r="A2470" i="14"/>
  <c r="A2471" i="14"/>
  <c r="A2472" i="14"/>
  <c r="A2473" i="14"/>
  <c r="A2474" i="14"/>
  <c r="A2475" i="14"/>
  <c r="A2476" i="14"/>
  <c r="A2477" i="14"/>
  <c r="A2478" i="14"/>
  <c r="A2479" i="14"/>
  <c r="A2480" i="14"/>
  <c r="A2481" i="14"/>
  <c r="A2482" i="14"/>
  <c r="A2483" i="14"/>
  <c r="A2484" i="14"/>
  <c r="A2485" i="14"/>
  <c r="A2486" i="14"/>
  <c r="A2487" i="14"/>
  <c r="A2488" i="14"/>
  <c r="A2489" i="14"/>
  <c r="A2490" i="14"/>
  <c r="A2491" i="14"/>
  <c r="A2492" i="14"/>
  <c r="A2493" i="14"/>
  <c r="A2494" i="14"/>
  <c r="A2495" i="14"/>
  <c r="A2496" i="14"/>
  <c r="A2497" i="14"/>
  <c r="A2498" i="14"/>
  <c r="A2499" i="14"/>
  <c r="A2500" i="14"/>
  <c r="A2501" i="14"/>
  <c r="A2502" i="14"/>
  <c r="A2503" i="14"/>
  <c r="A2504" i="14"/>
  <c r="A2505" i="14"/>
  <c r="A2506" i="14"/>
  <c r="A2507" i="14"/>
  <c r="A2508" i="14"/>
  <c r="A2509" i="14"/>
  <c r="A2510" i="14"/>
  <c r="A2511" i="14"/>
  <c r="A2512" i="14"/>
  <c r="A2513" i="14"/>
  <c r="A2514" i="14"/>
  <c r="A2515" i="14"/>
  <c r="A2516" i="14"/>
  <c r="A2517" i="14"/>
  <c r="A2518" i="14"/>
  <c r="A2519" i="14"/>
  <c r="A2520" i="14"/>
  <c r="A2521" i="14"/>
  <c r="A2522" i="14"/>
  <c r="A2523" i="14"/>
  <c r="A2524" i="14"/>
  <c r="A2525" i="14"/>
  <c r="A2526" i="14"/>
  <c r="A2527" i="14"/>
  <c r="A2528" i="14"/>
  <c r="A2529" i="14"/>
  <c r="A2530" i="14"/>
  <c r="A2531" i="14"/>
  <c r="A2532" i="14"/>
  <c r="A2533" i="14"/>
  <c r="A2534" i="14"/>
  <c r="A2535" i="14"/>
  <c r="A2536" i="14"/>
  <c r="A2537" i="14"/>
  <c r="A2538" i="14"/>
  <c r="A2539" i="14"/>
  <c r="A2540" i="14"/>
  <c r="A2541" i="14"/>
  <c r="A2542" i="14"/>
  <c r="A2543" i="14"/>
  <c r="A2544" i="14"/>
  <c r="A2545" i="14"/>
  <c r="A2546" i="14"/>
  <c r="A2547" i="14"/>
  <c r="A2548" i="14"/>
  <c r="A2549" i="14"/>
  <c r="A2550" i="14"/>
  <c r="A2551" i="14"/>
  <c r="A2552" i="14"/>
  <c r="A2553" i="14"/>
  <c r="A2554" i="14"/>
  <c r="A2555" i="14"/>
  <c r="A2556" i="14"/>
  <c r="A2557" i="14"/>
  <c r="A2558" i="14"/>
  <c r="A2559" i="14"/>
  <c r="A2560" i="14"/>
  <c r="A2561" i="14"/>
  <c r="A2562" i="14"/>
  <c r="A2563" i="14"/>
  <c r="A2564" i="14"/>
  <c r="A2565" i="14"/>
  <c r="A2566" i="14"/>
  <c r="A2567" i="14"/>
  <c r="A2568" i="14"/>
  <c r="A2569" i="14"/>
  <c r="A2570" i="14"/>
  <c r="A2571" i="14"/>
  <c r="A2572" i="14"/>
  <c r="A2573" i="14"/>
  <c r="A2574" i="14"/>
  <c r="A2575" i="14"/>
  <c r="A2576" i="14"/>
  <c r="A2577" i="14"/>
  <c r="A2578" i="14"/>
  <c r="A2579" i="14"/>
  <c r="A2580" i="14"/>
  <c r="A2581" i="14"/>
  <c r="A2582" i="14"/>
  <c r="A2583" i="14"/>
  <c r="A2584" i="14"/>
  <c r="A2585" i="14"/>
  <c r="A2586" i="14"/>
  <c r="A2587" i="14"/>
  <c r="A2588" i="14"/>
  <c r="A2589" i="14"/>
  <c r="A2590" i="14"/>
  <c r="A2591" i="14"/>
  <c r="A2592" i="14"/>
  <c r="A2593" i="14"/>
  <c r="A2594" i="14"/>
  <c r="A2595" i="14"/>
  <c r="A2596" i="14"/>
  <c r="A2597" i="14"/>
  <c r="A2598" i="14"/>
  <c r="A2599" i="14"/>
  <c r="A2600" i="14"/>
  <c r="A2601" i="14"/>
  <c r="A2602" i="14"/>
  <c r="A2603" i="14"/>
  <c r="A2604" i="14"/>
  <c r="A2605" i="14"/>
  <c r="A2606" i="14"/>
  <c r="A2607" i="14"/>
  <c r="A2608" i="14"/>
  <c r="A2609" i="14"/>
  <c r="A2610" i="14"/>
  <c r="A2611" i="14"/>
  <c r="A2612" i="14"/>
  <c r="A2613" i="14"/>
  <c r="A2614" i="14"/>
  <c r="A2615" i="14"/>
  <c r="A2616" i="14"/>
  <c r="A2617" i="14"/>
  <c r="A2618" i="14"/>
  <c r="A2619" i="14"/>
  <c r="A2620" i="14"/>
  <c r="A2621" i="14"/>
  <c r="A2622" i="14"/>
  <c r="A2623" i="14"/>
  <c r="A2624" i="14"/>
  <c r="A2625" i="14"/>
  <c r="A2626" i="14"/>
  <c r="A2627" i="14"/>
  <c r="A2628" i="14"/>
  <c r="A2629" i="14"/>
  <c r="A2630" i="14"/>
  <c r="A2631" i="14"/>
  <c r="A2632" i="14"/>
  <c r="A2633" i="14"/>
  <c r="A2634" i="14"/>
  <c r="A2635" i="14"/>
  <c r="A2636" i="14"/>
  <c r="A2637" i="14"/>
  <c r="A2638" i="14"/>
  <c r="A2639" i="14"/>
  <c r="A2640" i="14"/>
  <c r="A2641" i="14"/>
  <c r="A2642" i="14"/>
  <c r="A2643" i="14"/>
  <c r="A2644" i="14"/>
  <c r="A2645" i="14"/>
  <c r="A2646" i="14"/>
  <c r="A2647" i="14"/>
  <c r="A2648" i="14"/>
  <c r="A2649" i="14"/>
  <c r="A2650" i="14"/>
  <c r="A2651" i="14"/>
  <c r="A2652" i="14"/>
  <c r="A2653" i="14"/>
  <c r="A2654" i="14"/>
  <c r="A2655" i="14"/>
  <c r="A2656" i="14"/>
  <c r="A2657" i="14"/>
  <c r="A2658" i="14"/>
  <c r="A2659" i="14"/>
  <c r="A2660" i="14"/>
  <c r="A2661" i="14"/>
  <c r="A2662" i="14"/>
  <c r="A2663" i="14"/>
  <c r="A2664" i="14"/>
  <c r="A2665" i="14"/>
  <c r="A2666" i="14"/>
  <c r="A2667" i="14"/>
  <c r="A2668" i="14"/>
  <c r="A2669" i="14"/>
  <c r="A2670" i="14"/>
  <c r="A2671" i="14"/>
  <c r="A2672" i="14"/>
  <c r="A2673" i="14"/>
  <c r="A2674" i="14"/>
  <c r="A2675" i="14"/>
  <c r="A2676" i="14"/>
  <c r="A2677" i="14"/>
  <c r="A2678" i="14"/>
  <c r="A2679" i="14"/>
  <c r="A2680" i="14"/>
  <c r="A2681" i="14"/>
  <c r="A2682" i="14"/>
  <c r="A2683" i="14"/>
  <c r="A2684" i="14"/>
  <c r="A2685" i="14"/>
  <c r="A2686" i="14"/>
  <c r="A2687" i="14"/>
  <c r="A2688" i="14"/>
  <c r="A2689" i="14"/>
  <c r="A2690" i="14"/>
  <c r="A2691" i="14"/>
  <c r="A2692" i="14"/>
  <c r="A2693" i="14"/>
  <c r="A2694" i="14"/>
  <c r="A2695" i="14"/>
  <c r="A2696" i="14"/>
  <c r="A2697" i="14"/>
  <c r="A2698" i="14"/>
  <c r="A2699" i="14"/>
  <c r="A2700" i="14"/>
  <c r="A2701" i="14"/>
  <c r="A2702" i="14"/>
  <c r="A2703" i="14"/>
  <c r="A2704" i="14"/>
  <c r="A2705" i="14"/>
  <c r="A2706" i="14"/>
  <c r="A2707" i="14"/>
  <c r="A2708" i="14"/>
  <c r="A2709" i="14"/>
  <c r="A2710" i="14"/>
  <c r="A2711" i="14"/>
  <c r="A2712" i="14"/>
  <c r="A2713" i="14"/>
  <c r="A2714" i="14"/>
  <c r="A2715" i="14"/>
  <c r="A2716" i="14"/>
  <c r="A2717" i="14"/>
  <c r="A2718" i="14"/>
  <c r="A2719" i="14"/>
  <c r="A2720" i="14"/>
  <c r="A2721" i="14"/>
  <c r="A2722" i="14"/>
  <c r="A2723" i="14"/>
  <c r="A2724" i="14"/>
  <c r="A2725" i="14"/>
  <c r="A2726" i="14"/>
  <c r="A2727" i="14"/>
  <c r="A2728" i="14"/>
  <c r="A2729" i="14"/>
  <c r="A2730" i="14"/>
  <c r="A2731" i="14"/>
  <c r="A2732" i="14"/>
  <c r="A2733" i="14"/>
  <c r="A2734" i="14"/>
  <c r="A2735" i="14"/>
  <c r="A2736" i="14"/>
  <c r="A2737" i="14"/>
  <c r="A2738" i="14"/>
  <c r="A2739" i="14"/>
  <c r="A2740" i="14"/>
  <c r="A2741" i="14"/>
  <c r="A2742" i="14"/>
  <c r="A2743" i="14"/>
  <c r="A2744" i="14"/>
  <c r="A2745" i="14"/>
  <c r="A2746" i="14"/>
  <c r="A2747" i="14"/>
  <c r="A2748" i="14"/>
  <c r="A2749" i="14"/>
  <c r="A2750" i="14"/>
  <c r="A2751" i="14"/>
  <c r="A2752" i="14"/>
  <c r="A2753" i="14"/>
  <c r="A2754" i="14"/>
  <c r="A2755" i="14"/>
  <c r="A2756" i="14"/>
  <c r="A2757" i="14"/>
  <c r="A2758" i="14"/>
  <c r="A2759" i="14"/>
  <c r="A2760" i="14"/>
  <c r="A2761" i="14"/>
  <c r="A2762" i="14"/>
  <c r="A2763" i="14"/>
  <c r="A2764" i="14"/>
  <c r="A2765" i="14"/>
  <c r="A2766" i="14"/>
  <c r="A2767" i="14"/>
  <c r="A2768" i="14"/>
  <c r="A2769" i="14"/>
  <c r="A2770" i="14"/>
  <c r="A2771" i="14"/>
  <c r="A2772" i="14"/>
  <c r="A2773" i="14"/>
  <c r="A2774" i="14"/>
  <c r="A2775" i="14"/>
  <c r="A2776" i="14"/>
  <c r="A2777" i="14"/>
  <c r="A2778" i="14"/>
  <c r="A2779" i="14"/>
  <c r="A2780" i="14"/>
  <c r="A2781" i="14"/>
  <c r="A2782" i="14"/>
  <c r="A2783" i="14"/>
  <c r="A2784" i="14"/>
  <c r="A2785" i="14"/>
  <c r="A2786" i="14"/>
  <c r="A2787" i="14"/>
  <c r="A2788" i="14"/>
  <c r="A2789" i="14"/>
  <c r="A2790" i="14"/>
  <c r="A2791" i="14"/>
  <c r="A2792" i="14"/>
  <c r="A2793" i="14"/>
  <c r="A2794" i="14"/>
  <c r="A2795" i="14"/>
  <c r="A2796" i="14"/>
  <c r="A2797" i="14"/>
  <c r="A2798" i="14"/>
  <c r="A2799" i="14"/>
  <c r="A2800" i="14"/>
  <c r="A2801" i="14"/>
  <c r="A2802" i="14"/>
  <c r="A2803" i="14"/>
  <c r="A2804" i="14"/>
  <c r="A2805" i="14"/>
  <c r="A2806" i="14"/>
  <c r="A2807" i="14"/>
  <c r="A2808" i="14"/>
  <c r="A2809" i="14"/>
  <c r="A2810" i="14"/>
  <c r="A2811" i="14"/>
  <c r="A2812" i="14"/>
  <c r="A2813" i="14"/>
  <c r="A2814" i="14"/>
  <c r="A2815" i="14"/>
  <c r="A2816" i="14"/>
  <c r="A2817" i="14"/>
  <c r="A2818" i="14"/>
  <c r="A2819" i="14"/>
  <c r="A2820" i="14"/>
  <c r="A2821" i="14"/>
  <c r="A2822" i="14"/>
  <c r="A2823" i="14"/>
  <c r="A2824" i="14"/>
  <c r="A2825" i="14"/>
  <c r="A2826" i="14"/>
  <c r="A2827" i="14"/>
  <c r="A2828" i="14"/>
  <c r="A2829" i="14"/>
  <c r="A2830" i="14"/>
  <c r="A2831" i="14"/>
  <c r="A2832" i="14"/>
  <c r="A2833" i="14"/>
  <c r="A2834" i="14"/>
  <c r="A2835" i="14"/>
  <c r="A2836" i="14"/>
  <c r="A2837" i="14"/>
  <c r="A2838" i="14"/>
  <c r="A2839" i="14"/>
  <c r="A2840" i="14"/>
  <c r="A2841" i="14"/>
  <c r="A2842" i="14"/>
  <c r="A2843" i="14"/>
  <c r="A2844" i="14"/>
  <c r="A2845" i="14"/>
  <c r="A2846" i="14"/>
  <c r="A2847" i="14"/>
  <c r="A2848" i="14"/>
  <c r="A2849" i="14"/>
  <c r="A2850" i="14"/>
  <c r="A2851" i="14"/>
  <c r="A2852" i="14"/>
  <c r="A2853" i="14"/>
  <c r="A2854" i="14"/>
  <c r="A2855" i="14"/>
  <c r="A2856" i="14"/>
  <c r="A2857" i="14"/>
  <c r="A2858" i="14"/>
  <c r="A2859" i="14"/>
  <c r="A2860" i="14"/>
  <c r="A2861" i="14"/>
  <c r="A2862" i="14"/>
  <c r="A2863" i="14"/>
  <c r="A2864" i="14"/>
  <c r="A2865" i="14"/>
  <c r="A2866" i="14"/>
  <c r="A2867" i="14"/>
  <c r="A2868" i="14"/>
  <c r="A2869" i="14"/>
  <c r="A2870" i="14"/>
  <c r="A2871" i="14"/>
  <c r="A2872" i="14"/>
  <c r="A2873" i="14"/>
  <c r="A2874" i="14"/>
  <c r="A2875" i="14"/>
  <c r="A2876" i="14"/>
  <c r="A2877" i="14"/>
  <c r="A2878" i="14"/>
  <c r="A2879" i="14"/>
  <c r="A2880" i="14"/>
  <c r="A2881" i="14"/>
  <c r="A2882" i="14"/>
  <c r="A2883" i="14"/>
  <c r="A2884" i="14"/>
  <c r="A2885" i="14"/>
  <c r="A2886" i="14"/>
  <c r="A2887" i="14"/>
  <c r="A2888" i="14"/>
  <c r="A2889" i="14"/>
  <c r="A2890" i="14"/>
  <c r="A2891" i="14"/>
  <c r="A2892" i="14"/>
  <c r="A2893" i="14"/>
  <c r="A2894" i="14"/>
  <c r="A2895" i="14"/>
  <c r="A2896" i="14"/>
  <c r="A2897" i="14"/>
  <c r="A2898" i="14"/>
  <c r="A2899" i="14"/>
  <c r="A2900" i="14"/>
  <c r="A2901" i="14"/>
  <c r="A2902" i="14"/>
  <c r="A2903" i="14"/>
  <c r="A2904" i="14"/>
  <c r="A2905" i="14"/>
  <c r="A2906" i="14"/>
  <c r="A2907" i="14"/>
  <c r="A2908" i="14"/>
  <c r="A2909" i="14"/>
  <c r="A2910" i="14"/>
  <c r="A2911" i="14"/>
  <c r="A2912" i="14"/>
  <c r="A2913" i="14"/>
  <c r="A2914" i="14"/>
  <c r="A2915" i="14"/>
  <c r="A2916" i="14"/>
  <c r="A2917" i="14"/>
  <c r="A2918" i="14"/>
  <c r="A2919" i="14"/>
  <c r="A2920" i="14"/>
  <c r="A2921" i="14"/>
  <c r="A2922" i="14"/>
  <c r="A2923" i="14"/>
  <c r="A2924" i="14"/>
  <c r="A2925" i="14"/>
  <c r="A2926" i="14"/>
  <c r="A2927" i="14"/>
  <c r="A2928" i="14"/>
  <c r="A2929" i="14"/>
  <c r="A2930" i="14"/>
  <c r="A2931" i="14"/>
  <c r="A2932" i="14"/>
  <c r="A2933" i="14"/>
  <c r="A2934" i="14"/>
  <c r="A2935" i="14"/>
  <c r="A2936" i="14"/>
  <c r="A2937" i="14"/>
  <c r="A2938" i="14"/>
  <c r="A2939" i="14"/>
  <c r="A2940" i="14"/>
  <c r="A2941" i="14"/>
  <c r="A2942" i="14"/>
  <c r="A2943" i="14"/>
  <c r="A2944" i="14"/>
  <c r="A2945" i="14"/>
  <c r="A2946" i="14"/>
  <c r="A2947" i="14"/>
  <c r="A2948" i="14"/>
  <c r="A2949" i="14"/>
  <c r="A2950" i="14"/>
  <c r="A2951" i="14"/>
  <c r="A2952" i="14"/>
  <c r="A2953" i="14"/>
  <c r="A2954" i="14"/>
  <c r="A2955" i="14"/>
  <c r="A2956" i="14"/>
  <c r="A2957" i="14"/>
  <c r="A2958" i="14"/>
  <c r="A2959" i="14"/>
  <c r="A2960" i="14"/>
  <c r="A2961" i="14"/>
  <c r="A2962" i="14"/>
  <c r="A2963" i="14"/>
  <c r="A2964" i="14"/>
  <c r="A2965" i="14"/>
  <c r="A2966" i="14"/>
  <c r="A2967" i="14"/>
  <c r="A2968" i="14"/>
  <c r="A2969" i="14"/>
  <c r="A2970" i="14"/>
  <c r="A2971" i="14"/>
  <c r="A2972" i="14"/>
  <c r="A2973" i="14"/>
  <c r="A2974" i="14"/>
  <c r="A2975" i="14"/>
  <c r="A2976" i="14"/>
  <c r="A2977" i="14"/>
  <c r="A2978" i="14"/>
  <c r="A2979" i="14"/>
  <c r="A2980" i="14"/>
  <c r="A2981" i="14"/>
  <c r="A2982" i="14"/>
  <c r="A2983" i="14"/>
  <c r="A2984" i="14"/>
  <c r="A2985" i="14"/>
  <c r="A2986" i="14"/>
  <c r="A2987" i="14"/>
  <c r="A2988" i="14"/>
  <c r="A2989" i="14"/>
  <c r="A2990" i="14"/>
  <c r="A2991" i="14"/>
  <c r="A2992" i="14"/>
  <c r="A2993" i="14"/>
  <c r="A2994" i="14"/>
  <c r="A2995" i="14"/>
  <c r="A2996" i="14"/>
  <c r="A2997" i="14"/>
  <c r="A2998" i="14"/>
  <c r="A2999" i="14"/>
  <c r="A3000" i="14"/>
  <c r="A3001" i="14"/>
  <c r="A3002" i="14"/>
  <c r="A3003" i="14"/>
  <c r="A3004" i="14"/>
  <c r="A3005" i="14"/>
  <c r="A3006" i="14"/>
  <c r="A3007" i="14"/>
  <c r="A3008" i="14"/>
  <c r="A3009" i="14"/>
  <c r="A3010" i="14"/>
  <c r="A3011" i="14"/>
  <c r="A3012" i="14"/>
  <c r="A3013" i="14"/>
  <c r="A3014" i="14"/>
  <c r="A3015" i="14"/>
  <c r="A3016" i="14"/>
  <c r="A3017" i="14"/>
  <c r="A3018" i="14"/>
  <c r="A3019" i="14"/>
  <c r="A3020" i="14"/>
  <c r="A3021" i="14"/>
  <c r="A3022" i="14"/>
  <c r="A3023" i="14"/>
  <c r="A3024" i="14"/>
  <c r="A3025" i="14"/>
  <c r="A3026" i="14"/>
  <c r="A3027" i="14"/>
  <c r="A3028" i="14"/>
  <c r="A3029" i="14"/>
  <c r="A3030" i="14"/>
  <c r="A3031" i="14"/>
  <c r="A3032" i="14"/>
  <c r="A3033" i="14"/>
  <c r="A3034" i="14"/>
  <c r="A3035" i="14"/>
  <c r="A3036" i="14"/>
  <c r="A3037" i="14"/>
  <c r="A3038" i="14"/>
  <c r="A3039" i="14"/>
  <c r="A3040" i="14"/>
  <c r="A3041" i="14"/>
  <c r="A3042" i="14"/>
  <c r="A3043" i="14"/>
  <c r="A3044" i="14"/>
  <c r="A3045" i="14"/>
  <c r="A3046" i="14"/>
  <c r="A3047" i="14"/>
  <c r="A3048" i="14"/>
  <c r="A3049" i="14"/>
  <c r="A3050" i="14"/>
  <c r="A3051" i="14"/>
  <c r="A3052" i="14"/>
  <c r="A3053" i="14"/>
  <c r="A3054" i="14"/>
  <c r="A3055" i="14"/>
  <c r="A3056" i="14"/>
  <c r="A3057" i="14"/>
  <c r="A3058" i="14"/>
  <c r="A3059" i="14"/>
  <c r="A3060" i="14"/>
  <c r="A3061" i="14"/>
  <c r="A3062" i="14"/>
  <c r="A3063" i="14"/>
  <c r="A3064" i="14"/>
  <c r="A3065" i="14"/>
  <c r="A3066" i="14"/>
  <c r="A3067" i="14"/>
  <c r="A3068" i="14"/>
  <c r="A3069" i="14"/>
  <c r="A3070" i="14"/>
  <c r="A3071" i="14"/>
  <c r="A3072" i="14"/>
  <c r="A3073" i="14"/>
  <c r="A3074" i="14"/>
  <c r="A3075" i="14"/>
  <c r="A3076" i="14"/>
  <c r="A3077" i="14"/>
  <c r="A3078" i="14"/>
  <c r="A3079" i="14"/>
  <c r="A3080" i="14"/>
  <c r="A3081" i="14"/>
  <c r="A3082" i="14"/>
  <c r="A3083" i="14"/>
  <c r="A3084" i="14"/>
  <c r="A3085" i="14"/>
  <c r="A3086" i="14"/>
  <c r="A3087" i="14"/>
  <c r="A3088" i="14"/>
  <c r="A3089" i="14"/>
  <c r="A3090" i="14"/>
  <c r="A3091" i="14"/>
  <c r="A3092" i="14"/>
  <c r="A3093" i="14"/>
  <c r="A3094" i="14"/>
  <c r="A3095" i="14"/>
  <c r="A3096" i="14"/>
  <c r="A3097" i="14"/>
  <c r="A3098" i="14"/>
  <c r="A3099" i="14"/>
  <c r="A3100" i="14"/>
  <c r="A3101" i="14"/>
  <c r="A3102" i="14"/>
  <c r="A3103" i="14"/>
  <c r="A3104" i="14"/>
  <c r="A3105" i="14"/>
  <c r="A3106" i="14"/>
  <c r="A3107" i="14"/>
  <c r="A3108" i="14"/>
  <c r="A3109" i="14"/>
  <c r="A3110" i="14"/>
  <c r="A3111" i="14"/>
  <c r="A3112" i="14"/>
  <c r="A3113" i="14"/>
  <c r="A3114" i="14"/>
  <c r="A3115" i="14"/>
  <c r="A3116" i="14"/>
  <c r="A3117" i="14"/>
  <c r="A3118" i="14"/>
  <c r="A3119" i="14"/>
  <c r="A3120" i="14"/>
  <c r="A3121" i="14"/>
  <c r="A3122" i="14"/>
  <c r="A3123" i="14"/>
  <c r="A3124" i="14"/>
  <c r="A3125" i="14"/>
  <c r="A3126" i="14"/>
  <c r="A3127" i="14"/>
  <c r="A3128" i="14"/>
  <c r="A3129" i="14"/>
  <c r="A3130" i="14"/>
  <c r="A3131" i="14"/>
  <c r="A3132" i="14"/>
  <c r="A3133" i="14"/>
  <c r="A3134" i="14"/>
  <c r="A3135" i="14"/>
  <c r="A3136" i="14"/>
  <c r="A3137" i="14"/>
  <c r="A3138" i="14"/>
  <c r="A3139" i="14"/>
  <c r="A3140" i="14"/>
  <c r="A3141" i="14"/>
  <c r="A3142" i="14"/>
  <c r="A3143" i="14"/>
  <c r="A3144" i="14"/>
  <c r="A3145" i="14"/>
  <c r="A3146" i="14"/>
  <c r="A3147" i="14"/>
  <c r="A3148" i="14"/>
  <c r="A3149" i="14"/>
  <c r="A3150" i="14"/>
  <c r="A3151" i="14"/>
  <c r="A3152" i="14"/>
  <c r="A3153" i="14"/>
  <c r="A3154" i="14"/>
  <c r="A3155" i="14"/>
  <c r="A3156" i="14"/>
  <c r="A3157" i="14"/>
  <c r="A3158" i="14"/>
  <c r="A3159" i="14"/>
  <c r="A3160" i="14"/>
  <c r="A3161" i="14"/>
  <c r="A3162" i="14"/>
  <c r="A3163" i="14"/>
  <c r="A3164" i="14"/>
  <c r="A3165" i="14"/>
  <c r="A3166" i="14"/>
  <c r="A3167" i="14"/>
  <c r="A3168" i="14"/>
  <c r="A3169" i="14"/>
  <c r="A3170" i="14"/>
  <c r="A3171" i="14"/>
  <c r="A3172" i="14"/>
  <c r="A3173" i="14"/>
  <c r="A3174" i="14"/>
  <c r="A3175" i="14"/>
  <c r="A3176" i="14"/>
  <c r="A3177" i="14"/>
  <c r="A3178" i="14"/>
  <c r="A3179" i="14"/>
  <c r="A3180" i="14"/>
  <c r="A3181" i="14"/>
  <c r="A3182" i="14"/>
  <c r="A3183" i="14"/>
  <c r="A3184" i="14"/>
  <c r="A3185" i="14"/>
  <c r="A3186" i="14"/>
  <c r="A3187" i="14"/>
  <c r="A3188" i="14"/>
  <c r="A3189" i="14"/>
  <c r="A3190" i="14"/>
  <c r="A3191" i="14"/>
  <c r="A3192" i="14"/>
  <c r="A3193" i="14"/>
  <c r="A3194" i="14"/>
  <c r="A3195" i="14"/>
  <c r="A3196" i="14"/>
  <c r="A3197" i="14"/>
  <c r="A3198" i="14"/>
  <c r="A3199" i="14"/>
  <c r="A3200" i="14"/>
  <c r="A3201" i="14"/>
  <c r="A3202" i="14"/>
  <c r="A3203" i="14"/>
  <c r="A3204" i="14"/>
  <c r="A3205" i="14"/>
  <c r="A3206" i="14"/>
  <c r="A3207" i="14"/>
  <c r="A3208" i="14"/>
  <c r="A3209" i="14"/>
  <c r="A3210" i="14"/>
  <c r="A3211" i="14"/>
  <c r="A3212" i="14"/>
  <c r="A3213" i="14"/>
  <c r="A3214" i="14"/>
  <c r="A3215" i="14"/>
  <c r="A3216" i="14"/>
  <c r="A3217" i="14"/>
  <c r="A3218" i="14"/>
  <c r="A3219" i="14"/>
  <c r="A3220" i="14"/>
  <c r="A3221" i="14"/>
  <c r="A3222" i="14"/>
  <c r="A3223" i="14"/>
  <c r="A3224" i="14"/>
  <c r="A3225" i="14"/>
  <c r="A3226" i="14"/>
  <c r="A3227" i="14"/>
  <c r="A3228" i="14"/>
  <c r="A3229" i="14"/>
  <c r="A3230" i="14"/>
  <c r="A3231" i="14"/>
  <c r="A3232" i="14"/>
  <c r="A3233" i="14"/>
  <c r="A3234" i="14"/>
  <c r="A3235" i="14"/>
  <c r="A3236" i="14"/>
  <c r="A3237" i="14"/>
  <c r="A3238" i="14"/>
  <c r="A3239" i="14"/>
  <c r="A3240" i="14"/>
  <c r="A3241" i="14"/>
  <c r="A3242" i="14"/>
  <c r="A3243" i="14"/>
  <c r="A3244" i="14"/>
  <c r="A3245" i="14"/>
  <c r="A3246" i="14"/>
  <c r="A3247" i="14"/>
  <c r="A3248" i="14"/>
  <c r="A3249" i="14"/>
  <c r="A3250" i="14"/>
  <c r="A3251" i="14"/>
  <c r="A3252" i="14"/>
  <c r="A3253" i="14"/>
  <c r="A3254" i="14"/>
  <c r="A3255" i="14"/>
  <c r="A3256" i="14"/>
  <c r="A3257" i="14"/>
  <c r="A3258" i="14"/>
  <c r="A3259" i="14"/>
  <c r="A3260" i="14"/>
  <c r="A3261" i="14"/>
  <c r="A3262" i="14"/>
  <c r="A3263" i="14"/>
  <c r="A3264" i="14"/>
  <c r="A3265" i="14"/>
  <c r="A3266" i="14"/>
  <c r="A3267" i="14"/>
  <c r="A3268" i="14"/>
  <c r="A3269" i="14"/>
  <c r="A3270" i="14"/>
  <c r="A3271" i="14"/>
  <c r="A3272" i="14"/>
  <c r="A3273" i="14"/>
  <c r="A3274" i="14"/>
  <c r="A3275" i="14"/>
  <c r="A3276" i="14"/>
  <c r="A3277" i="14"/>
  <c r="A3278" i="14"/>
  <c r="A3279" i="14"/>
  <c r="A3280" i="14"/>
  <c r="A3281" i="14"/>
  <c r="A3282" i="14"/>
  <c r="A3283" i="14"/>
  <c r="A3284" i="14"/>
  <c r="A3285" i="14"/>
  <c r="A3286" i="14"/>
  <c r="A3287" i="14"/>
  <c r="A3288" i="14"/>
  <c r="A3289" i="14"/>
  <c r="A3290" i="14"/>
  <c r="A3291" i="14"/>
  <c r="A3292" i="14"/>
  <c r="A3293" i="14"/>
  <c r="A3294" i="14"/>
  <c r="A3295" i="14"/>
  <c r="A3296" i="14"/>
  <c r="A3297" i="14"/>
  <c r="A3298" i="14"/>
  <c r="A3299" i="14"/>
  <c r="A3300" i="14"/>
  <c r="A3301" i="14"/>
  <c r="A3302" i="14"/>
  <c r="A3303" i="14"/>
  <c r="A3304" i="14"/>
  <c r="A3305" i="14"/>
  <c r="A3306" i="14"/>
  <c r="A3307" i="14"/>
  <c r="A3308" i="14"/>
  <c r="A3309" i="14"/>
  <c r="A3310" i="14"/>
  <c r="A3311" i="14"/>
  <c r="A3312" i="14"/>
  <c r="A3313" i="14"/>
  <c r="A3314" i="14"/>
  <c r="A3315" i="14"/>
  <c r="A3316" i="14"/>
  <c r="A3317" i="14"/>
  <c r="A3318" i="14"/>
  <c r="A3319" i="14"/>
  <c r="A3320" i="14"/>
  <c r="A3321" i="14"/>
  <c r="A3322" i="14"/>
  <c r="A3323" i="14"/>
  <c r="A3324" i="14"/>
  <c r="A3325" i="14"/>
  <c r="A3326" i="14"/>
  <c r="A3327" i="14"/>
  <c r="A3328" i="14"/>
  <c r="A3329" i="14"/>
  <c r="A3330" i="14"/>
  <c r="A3331" i="14"/>
  <c r="A3332" i="14"/>
  <c r="A3333" i="14"/>
  <c r="A3334" i="14"/>
  <c r="A3335" i="14"/>
  <c r="A3336" i="14"/>
  <c r="A3337" i="14"/>
  <c r="A3338" i="14"/>
  <c r="A3339" i="14"/>
  <c r="A3340" i="14"/>
  <c r="A3341" i="14"/>
  <c r="A3342" i="14"/>
  <c r="A3343" i="14"/>
  <c r="A3344" i="14"/>
  <c r="A3345" i="14"/>
  <c r="A3346" i="14"/>
  <c r="A3347" i="14"/>
  <c r="A3348" i="14"/>
  <c r="A3349" i="14"/>
  <c r="A3350" i="14"/>
  <c r="A3351" i="14"/>
  <c r="A3352" i="14"/>
  <c r="A3353" i="14"/>
  <c r="A3354" i="14"/>
  <c r="A3355" i="14"/>
  <c r="A3356" i="14"/>
  <c r="A3357" i="14"/>
  <c r="A3358" i="14"/>
  <c r="A3359" i="14"/>
  <c r="A3360" i="14"/>
  <c r="A3361" i="14"/>
  <c r="A3362" i="14"/>
  <c r="A3363" i="14"/>
  <c r="A3364" i="14"/>
  <c r="A3365" i="14"/>
  <c r="A3366" i="14"/>
  <c r="A3367" i="14"/>
  <c r="A3368" i="14"/>
  <c r="A3369" i="14"/>
  <c r="A3370" i="14"/>
  <c r="A3371" i="14"/>
  <c r="A3372" i="14"/>
  <c r="A3373" i="14"/>
  <c r="A3374" i="14"/>
  <c r="A3375" i="14"/>
  <c r="A3376" i="14"/>
  <c r="A3377" i="14"/>
  <c r="A3378" i="14"/>
  <c r="A3379" i="14"/>
  <c r="A3380" i="14"/>
  <c r="A3381" i="14"/>
  <c r="A3382" i="14"/>
  <c r="A3383" i="14"/>
  <c r="A3384" i="14"/>
  <c r="A3385" i="14"/>
  <c r="A3386" i="14"/>
  <c r="A3387" i="14"/>
  <c r="A3388" i="14"/>
  <c r="A3389" i="14"/>
  <c r="A3390" i="14"/>
  <c r="A3391" i="14"/>
  <c r="A3392" i="14"/>
  <c r="A3393" i="14"/>
  <c r="A3394" i="14"/>
  <c r="A3395" i="14"/>
  <c r="A3396" i="14"/>
  <c r="A3397" i="14"/>
  <c r="A3398" i="14"/>
  <c r="A3399" i="14"/>
  <c r="A3400" i="14"/>
  <c r="A3401" i="14"/>
  <c r="A3402" i="14"/>
  <c r="A3403" i="14"/>
  <c r="A3404" i="14"/>
  <c r="A3405" i="14"/>
  <c r="A3406" i="14"/>
  <c r="A3407" i="14"/>
  <c r="A3408" i="14"/>
  <c r="A3409" i="14"/>
  <c r="A3410" i="14"/>
  <c r="A3411" i="14"/>
  <c r="A3412" i="14"/>
  <c r="A3413" i="14"/>
  <c r="A3414" i="14"/>
  <c r="A3415" i="14"/>
  <c r="A3416" i="14"/>
  <c r="A3417" i="14"/>
  <c r="A3418" i="14"/>
  <c r="A3419" i="14"/>
  <c r="A3420" i="14"/>
  <c r="A3421" i="14"/>
  <c r="A3422" i="14"/>
  <c r="A3423" i="14"/>
  <c r="A3424" i="14"/>
  <c r="A3425" i="14"/>
  <c r="A3426" i="14"/>
  <c r="A3427" i="14"/>
  <c r="A3428" i="14"/>
  <c r="A3429" i="14"/>
  <c r="A3430" i="14"/>
  <c r="A3431" i="14"/>
  <c r="A3432" i="14"/>
  <c r="A3433" i="14"/>
  <c r="A3434" i="14"/>
  <c r="A3435" i="14"/>
  <c r="A3436" i="14"/>
  <c r="A3437" i="14"/>
  <c r="A3438" i="14"/>
  <c r="A3439" i="14"/>
  <c r="A3440" i="14"/>
  <c r="A3441" i="14"/>
  <c r="A3442" i="14"/>
  <c r="A3443" i="14"/>
  <c r="A3444" i="14"/>
  <c r="A3445" i="14"/>
  <c r="A3446" i="14"/>
  <c r="A3447" i="14"/>
  <c r="A3448" i="14"/>
  <c r="A3449" i="14"/>
  <c r="A3450" i="14"/>
  <c r="A3451" i="14"/>
  <c r="A3452" i="14"/>
  <c r="A3453" i="14"/>
  <c r="A3454" i="14"/>
  <c r="A3455" i="14"/>
  <c r="A3456" i="14"/>
  <c r="A3457" i="14"/>
  <c r="A3458" i="14"/>
  <c r="A3459" i="14"/>
  <c r="A3460" i="14"/>
  <c r="A3461" i="14"/>
  <c r="A3462" i="14"/>
  <c r="A3463" i="14"/>
  <c r="A3464" i="14"/>
  <c r="A3465" i="14"/>
  <c r="A3466" i="14"/>
  <c r="A3467" i="14"/>
  <c r="A3468" i="14"/>
  <c r="A3469" i="14"/>
  <c r="A3470" i="14"/>
  <c r="A3471" i="14"/>
  <c r="A3472" i="14"/>
  <c r="A3473" i="14"/>
  <c r="A3474" i="14"/>
  <c r="A3475" i="14"/>
  <c r="A3476" i="14"/>
  <c r="A3477" i="14"/>
  <c r="A3478" i="14"/>
  <c r="A3479" i="14"/>
  <c r="A3480" i="14"/>
  <c r="A3481" i="14"/>
  <c r="A3482" i="14"/>
  <c r="A3483" i="14"/>
  <c r="A3484" i="14"/>
  <c r="A3485" i="14"/>
  <c r="A3486" i="14"/>
  <c r="A3487" i="14"/>
  <c r="A3488" i="14"/>
  <c r="A3489" i="14"/>
  <c r="A3490" i="14"/>
  <c r="A3491" i="14"/>
  <c r="A3492" i="14"/>
  <c r="A3493" i="14"/>
  <c r="A3494" i="14"/>
  <c r="A3495" i="14"/>
  <c r="A3496" i="14"/>
  <c r="A3497" i="14"/>
  <c r="A3498" i="14"/>
  <c r="A3499" i="14"/>
  <c r="A3500" i="14"/>
  <c r="A3501" i="14"/>
  <c r="A3502" i="14"/>
  <c r="A3503" i="14"/>
  <c r="A3504" i="14"/>
  <c r="A3505" i="14"/>
  <c r="A3506" i="14"/>
  <c r="A3507" i="14"/>
  <c r="A3508" i="14"/>
  <c r="A3509" i="14"/>
  <c r="A3510" i="14"/>
  <c r="A3511" i="14"/>
  <c r="A3512" i="14"/>
  <c r="A3513" i="14"/>
  <c r="A3514" i="14"/>
  <c r="A3515" i="14"/>
  <c r="A3516" i="14"/>
  <c r="A3517" i="14"/>
  <c r="A3518" i="14"/>
  <c r="A3519" i="14"/>
  <c r="A3520" i="14"/>
  <c r="A3521" i="14"/>
  <c r="A3522" i="14"/>
  <c r="A3523" i="14"/>
  <c r="A3524" i="14"/>
  <c r="A3525" i="14"/>
  <c r="A3526" i="14"/>
  <c r="A3527" i="14"/>
  <c r="A3528" i="14"/>
  <c r="A3529" i="14"/>
  <c r="A3530" i="14"/>
  <c r="A3531" i="14"/>
  <c r="A3532" i="14"/>
  <c r="A3533" i="14"/>
  <c r="A3534" i="14"/>
  <c r="A3535" i="14"/>
  <c r="A3536" i="14"/>
  <c r="A3537" i="14"/>
  <c r="A3538" i="14"/>
  <c r="A3539" i="14"/>
  <c r="A3540" i="14"/>
  <c r="A3541" i="14"/>
  <c r="A3542" i="14"/>
  <c r="A3543" i="14"/>
  <c r="A3544" i="14"/>
  <c r="A3545" i="14"/>
  <c r="A3546" i="14"/>
  <c r="A3547" i="14"/>
  <c r="A3548" i="14"/>
  <c r="A3549" i="14"/>
  <c r="A3550" i="14"/>
  <c r="A3551" i="14"/>
  <c r="A3552" i="14"/>
  <c r="A3553" i="14"/>
  <c r="A3554" i="14"/>
  <c r="A3555" i="14"/>
  <c r="A3556" i="14"/>
  <c r="A3557" i="14"/>
  <c r="A3558" i="14"/>
  <c r="A3559" i="14"/>
  <c r="A3560" i="14"/>
  <c r="A3561" i="14"/>
  <c r="A3562" i="14"/>
  <c r="A3563" i="14"/>
  <c r="A3564" i="14"/>
  <c r="A3565" i="14"/>
  <c r="A3566" i="14"/>
  <c r="A3567" i="14"/>
  <c r="A3568" i="14"/>
  <c r="A3569" i="14"/>
  <c r="A3570" i="14"/>
  <c r="A3571" i="14"/>
  <c r="A3572" i="14"/>
  <c r="A3573" i="14"/>
  <c r="A3574" i="14"/>
  <c r="A3575" i="14"/>
  <c r="A3576" i="14"/>
  <c r="A3577" i="14"/>
  <c r="A3578" i="14"/>
  <c r="A3579" i="14"/>
  <c r="A3580" i="14"/>
  <c r="A3581" i="14"/>
  <c r="A3582" i="14"/>
  <c r="A3583" i="14"/>
  <c r="A3584" i="14"/>
  <c r="A3585" i="14"/>
  <c r="A3586" i="14"/>
  <c r="A3587" i="14"/>
  <c r="A3588" i="14"/>
  <c r="A3589" i="14"/>
  <c r="A3590" i="14"/>
  <c r="A3591" i="14"/>
  <c r="A3592" i="14"/>
  <c r="A3593" i="14"/>
  <c r="A3594" i="14"/>
  <c r="A3595" i="14"/>
  <c r="A3596" i="14"/>
  <c r="A3597" i="14"/>
  <c r="A3598" i="14"/>
  <c r="A3599" i="14"/>
  <c r="A3600" i="14"/>
  <c r="A3601" i="14"/>
  <c r="A3602" i="14"/>
  <c r="A3603" i="14"/>
  <c r="A3604" i="14"/>
  <c r="A3605" i="14"/>
  <c r="A3606" i="14"/>
  <c r="A3607" i="14"/>
  <c r="A3608" i="14"/>
  <c r="A3609" i="14"/>
  <c r="A3610" i="14"/>
  <c r="A3611" i="14"/>
  <c r="A3612" i="14"/>
  <c r="A3613" i="14"/>
  <c r="A3614" i="14"/>
  <c r="A3615" i="14"/>
  <c r="A3616" i="14"/>
  <c r="A3617" i="14"/>
  <c r="A3618" i="14"/>
  <c r="A3619" i="14"/>
  <c r="A3620" i="14"/>
  <c r="A3621" i="14"/>
  <c r="A3622" i="14"/>
  <c r="A3623" i="14"/>
  <c r="A3624" i="14"/>
  <c r="A3625" i="14"/>
  <c r="A3626" i="14"/>
  <c r="A3627" i="14"/>
  <c r="A3628" i="14"/>
  <c r="A3629" i="14"/>
  <c r="A3630" i="14"/>
  <c r="A3631" i="14"/>
  <c r="A3632" i="14"/>
  <c r="A3633" i="14"/>
  <c r="A3634" i="14"/>
  <c r="A3635" i="14"/>
  <c r="A3636" i="14"/>
  <c r="A3637" i="14"/>
  <c r="A3638" i="14"/>
  <c r="A3639" i="14"/>
  <c r="A3640" i="14"/>
  <c r="A3641" i="14"/>
  <c r="A3642" i="14"/>
  <c r="A3643" i="14"/>
  <c r="A3644" i="14"/>
  <c r="A3645" i="14"/>
  <c r="A3646" i="14"/>
  <c r="A3647" i="14"/>
  <c r="A3648" i="14"/>
  <c r="A3649" i="14"/>
  <c r="A3650" i="14"/>
  <c r="A3651" i="14"/>
  <c r="A3652" i="14"/>
  <c r="A3653" i="14"/>
  <c r="A3654" i="14"/>
  <c r="A3655" i="14"/>
  <c r="A3656" i="14"/>
  <c r="A3657" i="14"/>
  <c r="A3658" i="14"/>
  <c r="A3659" i="14"/>
  <c r="A3660" i="14"/>
  <c r="A3661" i="14"/>
  <c r="A3662" i="14"/>
  <c r="A3663" i="14"/>
  <c r="A3664" i="14"/>
  <c r="A3665" i="14"/>
  <c r="A3666" i="14"/>
  <c r="A3667" i="14"/>
  <c r="A3668" i="14"/>
  <c r="A3669" i="14"/>
  <c r="A3670" i="14"/>
  <c r="A3671" i="14"/>
  <c r="A3672" i="14"/>
  <c r="A3673" i="14"/>
  <c r="A3674" i="14"/>
  <c r="A3675" i="14"/>
  <c r="A3676" i="14"/>
  <c r="A3677" i="14"/>
  <c r="A3678" i="14"/>
  <c r="A3679" i="14"/>
  <c r="A3680" i="14"/>
  <c r="A3681" i="14"/>
  <c r="A3682" i="14"/>
  <c r="A3683" i="14"/>
  <c r="A3684" i="14"/>
  <c r="A3685" i="14"/>
  <c r="A3686" i="14"/>
  <c r="A3687" i="14"/>
  <c r="A3688" i="14"/>
  <c r="A3689" i="14"/>
  <c r="A3690" i="14"/>
  <c r="A3691" i="14"/>
  <c r="A3692" i="14"/>
  <c r="A3693" i="14"/>
  <c r="A3694" i="14"/>
  <c r="A3695" i="14"/>
  <c r="A3696" i="14"/>
  <c r="A3697" i="14"/>
  <c r="A3698" i="14"/>
  <c r="A3699" i="14"/>
  <c r="A3700" i="14"/>
  <c r="A3701" i="14"/>
  <c r="A3702" i="14"/>
  <c r="A3703" i="14"/>
  <c r="A3704" i="14"/>
  <c r="A3705" i="14"/>
  <c r="A3706" i="14"/>
  <c r="A3707" i="14"/>
  <c r="A3708" i="14"/>
  <c r="A3709" i="14"/>
  <c r="A3710" i="14"/>
  <c r="A3711" i="14"/>
  <c r="A3712" i="14"/>
  <c r="A3713" i="14"/>
  <c r="A3714" i="14"/>
  <c r="A3715" i="14"/>
  <c r="A3716" i="14"/>
  <c r="A3717" i="14"/>
  <c r="A3718" i="14"/>
  <c r="A3719" i="14"/>
  <c r="A3720" i="14"/>
  <c r="A3721" i="14"/>
  <c r="A3722" i="14"/>
  <c r="A3723" i="14"/>
  <c r="A3724" i="14"/>
  <c r="A3725" i="14"/>
  <c r="A3726" i="14"/>
  <c r="A3727" i="14"/>
  <c r="A3728" i="14"/>
  <c r="A3729" i="14"/>
  <c r="A3730" i="14"/>
  <c r="A3731" i="14"/>
  <c r="A3732" i="14"/>
  <c r="A3733" i="14"/>
  <c r="A3734" i="14"/>
  <c r="A3735" i="14"/>
  <c r="A3736" i="14"/>
  <c r="A3737" i="14"/>
  <c r="A3738" i="14"/>
  <c r="A3739" i="14"/>
  <c r="A3740" i="14"/>
  <c r="A3741" i="14"/>
  <c r="A3742" i="14"/>
  <c r="A3743" i="14"/>
  <c r="A3744" i="14"/>
  <c r="A3745" i="14"/>
  <c r="A3746" i="14"/>
  <c r="A3747" i="14"/>
  <c r="A3748" i="14"/>
  <c r="A3749" i="14"/>
  <c r="A3750" i="14"/>
  <c r="A3751" i="14"/>
  <c r="A3752" i="14"/>
  <c r="A3753" i="14"/>
  <c r="A3754" i="14"/>
  <c r="A3755" i="14"/>
  <c r="A3756" i="14"/>
  <c r="A3757" i="14"/>
  <c r="A3758" i="14"/>
  <c r="A3759" i="14"/>
  <c r="A3760" i="14"/>
  <c r="A3761" i="14"/>
  <c r="A3762" i="14"/>
  <c r="A3763" i="14"/>
  <c r="A3764" i="14"/>
  <c r="A3765" i="14"/>
  <c r="A3766" i="14"/>
  <c r="A3767" i="14"/>
  <c r="A3768" i="14"/>
  <c r="A3769" i="14"/>
  <c r="A3770" i="14"/>
  <c r="A3771" i="14"/>
  <c r="A3772" i="14"/>
  <c r="A3773" i="14"/>
  <c r="A3774" i="14"/>
  <c r="A3775" i="14"/>
  <c r="A3776" i="14"/>
  <c r="A3777" i="14"/>
  <c r="A3778" i="14"/>
  <c r="A3779" i="14"/>
  <c r="A3780" i="14"/>
  <c r="A3781" i="14"/>
  <c r="A3782" i="14"/>
  <c r="A3783" i="14"/>
  <c r="A3784" i="14"/>
  <c r="A3785" i="14"/>
  <c r="A3786" i="14"/>
  <c r="A3787" i="14"/>
  <c r="A3788" i="14"/>
  <c r="A3789" i="14"/>
  <c r="A3790" i="14"/>
  <c r="A3791" i="14"/>
  <c r="A3792" i="14"/>
  <c r="A3793" i="14"/>
  <c r="A3794" i="14"/>
  <c r="A3795" i="14"/>
  <c r="A3796" i="14"/>
  <c r="A3797" i="14"/>
  <c r="A3798" i="14"/>
  <c r="A3799" i="14"/>
  <c r="A3800" i="14"/>
  <c r="A3801" i="14"/>
  <c r="A3802" i="14"/>
  <c r="A3803" i="14"/>
  <c r="A3804" i="14"/>
  <c r="A3805" i="14"/>
  <c r="A3806" i="14"/>
  <c r="A3807" i="14"/>
  <c r="A3808" i="14"/>
  <c r="A3809" i="14"/>
  <c r="A3810" i="14"/>
  <c r="A3811" i="14"/>
  <c r="A3812" i="14"/>
  <c r="A3813" i="14"/>
  <c r="A3814" i="14"/>
  <c r="A3815" i="14"/>
  <c r="A3816" i="14"/>
  <c r="A3817" i="14"/>
  <c r="A3818" i="14"/>
  <c r="A3819" i="14"/>
  <c r="A3820" i="14"/>
  <c r="A3821" i="14"/>
  <c r="A3822" i="14"/>
  <c r="A3823" i="14"/>
  <c r="A3824" i="14"/>
  <c r="A3825" i="14"/>
  <c r="A3826" i="14"/>
  <c r="A3827" i="14"/>
  <c r="A3828" i="14"/>
  <c r="A3829" i="14"/>
  <c r="A3830" i="14"/>
  <c r="A3831" i="14"/>
  <c r="A3832" i="14"/>
  <c r="A3833" i="14"/>
  <c r="A3834" i="14"/>
  <c r="A3835" i="14"/>
  <c r="A3836" i="14"/>
  <c r="A3837" i="14"/>
  <c r="A3838" i="14"/>
  <c r="A3839" i="14"/>
  <c r="A3840" i="14"/>
  <c r="A3841" i="14"/>
  <c r="A3842" i="14"/>
  <c r="A3843" i="14"/>
  <c r="A3844" i="14"/>
  <c r="A3845" i="14"/>
  <c r="A3846" i="14"/>
  <c r="A3847" i="14"/>
  <c r="A3848" i="14"/>
  <c r="A3849" i="14"/>
  <c r="A3850" i="14"/>
  <c r="A3851" i="14"/>
  <c r="A3852" i="14"/>
  <c r="A3853" i="14"/>
  <c r="A3854" i="14"/>
  <c r="A3855" i="14"/>
  <c r="A3856" i="14"/>
  <c r="A3857" i="14"/>
  <c r="A3858" i="14"/>
  <c r="A3859" i="14"/>
  <c r="A3860" i="14"/>
  <c r="A3861" i="14"/>
  <c r="A3862" i="14"/>
  <c r="A3863" i="14"/>
  <c r="A3864" i="14"/>
  <c r="A3865" i="14"/>
  <c r="A3866" i="14"/>
  <c r="A3867" i="14"/>
  <c r="A3868" i="14"/>
  <c r="A3869" i="14"/>
  <c r="A3870" i="14"/>
  <c r="A3871" i="14"/>
  <c r="A3872" i="14"/>
  <c r="A3873" i="14"/>
  <c r="A3874" i="14"/>
  <c r="A3875" i="14"/>
  <c r="A3876" i="14"/>
  <c r="A3877" i="14"/>
  <c r="A3878" i="14"/>
  <c r="A3879" i="14"/>
  <c r="A3880" i="14"/>
  <c r="A3881" i="14"/>
  <c r="A3882" i="14"/>
  <c r="A3883" i="14"/>
  <c r="A3884" i="14"/>
  <c r="A3885" i="14"/>
  <c r="A3886" i="14"/>
  <c r="A3887" i="14"/>
  <c r="A3888" i="14"/>
  <c r="A3889" i="14"/>
  <c r="A3890" i="14"/>
  <c r="A3891" i="14"/>
  <c r="A3892" i="14"/>
  <c r="A3893" i="14"/>
  <c r="A3894" i="14"/>
  <c r="A3895" i="14"/>
  <c r="A3896" i="14"/>
  <c r="A3897" i="14"/>
  <c r="A3898" i="14"/>
  <c r="A3899" i="14"/>
  <c r="A3900" i="14"/>
  <c r="A3901" i="14"/>
  <c r="A3902" i="14"/>
  <c r="A3903" i="14"/>
  <c r="A3904" i="14"/>
  <c r="A3905" i="14"/>
  <c r="A3906" i="14"/>
  <c r="A3907" i="14"/>
  <c r="A3908" i="14"/>
  <c r="A3909" i="14"/>
  <c r="A3910" i="14"/>
  <c r="A3911" i="14"/>
  <c r="A3912" i="14"/>
  <c r="A3913" i="14"/>
  <c r="A3914" i="14"/>
  <c r="A3915" i="14"/>
  <c r="A3916" i="14"/>
  <c r="A3917" i="14"/>
  <c r="A3918" i="14"/>
  <c r="A3919" i="14"/>
  <c r="A3920" i="14"/>
  <c r="A3921" i="14"/>
  <c r="A3922" i="14"/>
  <c r="A3923" i="14"/>
  <c r="A3924" i="14"/>
  <c r="A3925" i="14"/>
  <c r="A3926" i="14"/>
  <c r="A3927" i="14"/>
  <c r="A3928" i="14"/>
  <c r="A3929" i="14"/>
  <c r="A3930" i="14"/>
  <c r="A3931" i="14"/>
  <c r="A3932" i="14"/>
  <c r="A3933" i="14"/>
  <c r="A3934" i="14"/>
  <c r="A3935" i="14"/>
  <c r="A3936" i="14"/>
  <c r="A3937" i="14"/>
  <c r="A3938" i="14"/>
  <c r="A3939" i="14"/>
  <c r="A3940" i="14"/>
  <c r="A3941" i="14"/>
  <c r="A3942" i="14"/>
  <c r="A3943" i="14"/>
  <c r="A3944" i="14"/>
  <c r="A3945" i="14"/>
  <c r="A3946" i="14"/>
  <c r="A3947" i="14"/>
  <c r="A3948" i="14"/>
  <c r="A3949" i="14"/>
  <c r="A3950" i="14"/>
  <c r="A3951" i="14"/>
  <c r="A3952" i="14"/>
  <c r="A3953" i="14"/>
  <c r="A3954" i="14"/>
  <c r="A3955" i="14"/>
  <c r="A3956" i="14"/>
  <c r="A3957" i="14"/>
  <c r="A3958" i="14"/>
  <c r="A3959" i="14"/>
  <c r="A3960" i="14"/>
  <c r="A3961" i="14"/>
  <c r="A3962" i="14"/>
  <c r="A3963" i="14"/>
  <c r="A3964" i="14"/>
  <c r="A3965" i="14"/>
  <c r="A3966" i="14"/>
  <c r="A3967" i="14"/>
  <c r="A3968" i="14"/>
  <c r="A3969" i="14"/>
  <c r="A3970" i="14"/>
  <c r="A3971" i="14"/>
  <c r="A3972" i="14"/>
  <c r="A3973" i="14"/>
  <c r="A3974" i="14"/>
  <c r="A3975" i="14"/>
  <c r="A3976" i="14"/>
  <c r="A3977" i="14"/>
  <c r="A3978" i="14"/>
  <c r="A3979" i="14"/>
  <c r="A3980" i="14"/>
  <c r="A3981" i="14"/>
  <c r="A3982" i="14"/>
  <c r="A3983" i="14"/>
  <c r="A3984" i="14"/>
  <c r="A3985" i="14"/>
  <c r="A3986" i="14"/>
  <c r="A3987" i="14"/>
  <c r="A3988" i="14"/>
  <c r="A3989" i="14"/>
  <c r="A3990" i="14"/>
  <c r="A3991" i="14"/>
  <c r="A3992" i="14"/>
  <c r="A3993" i="14"/>
  <c r="A3994" i="14"/>
  <c r="A3995" i="14"/>
  <c r="A3996" i="14"/>
  <c r="A3997" i="14"/>
  <c r="A3998" i="14"/>
  <c r="A3999" i="14"/>
  <c r="A4000" i="14"/>
  <c r="A4001" i="14"/>
  <c r="A4002" i="14"/>
  <c r="A4003" i="14"/>
  <c r="A4004" i="14"/>
  <c r="A4005" i="14"/>
  <c r="A4006" i="14"/>
  <c r="A4007" i="14"/>
  <c r="A4008" i="14"/>
  <c r="A4009" i="14"/>
  <c r="A4010" i="14"/>
  <c r="A4011" i="14"/>
  <c r="A4012" i="14"/>
  <c r="A4013" i="14"/>
  <c r="A4014" i="14"/>
  <c r="A4015" i="14"/>
  <c r="A4016" i="14"/>
  <c r="A4017" i="14"/>
  <c r="A4018" i="14"/>
  <c r="A4019" i="14"/>
  <c r="A4020" i="14"/>
  <c r="A4021" i="14"/>
  <c r="A4022" i="14"/>
  <c r="A4023" i="14"/>
  <c r="A4024" i="14"/>
  <c r="A4025" i="14"/>
  <c r="A4026" i="14"/>
  <c r="A4027" i="14"/>
  <c r="A4028" i="14"/>
  <c r="A4029" i="14"/>
  <c r="A4030" i="14"/>
  <c r="A4031" i="14"/>
  <c r="A4032" i="14"/>
  <c r="A4033" i="14"/>
  <c r="A4034" i="14"/>
  <c r="A4035" i="14"/>
  <c r="A4036" i="14"/>
  <c r="A4037" i="14"/>
  <c r="A4038" i="14"/>
  <c r="A4039" i="14"/>
  <c r="A4040" i="14"/>
  <c r="A4041" i="14"/>
  <c r="A4042" i="14"/>
  <c r="A4043" i="14"/>
  <c r="A4044" i="14"/>
  <c r="A4045" i="14"/>
  <c r="A4046" i="14"/>
  <c r="A4047" i="14"/>
  <c r="A4048" i="14"/>
  <c r="A4049" i="14"/>
  <c r="A4050" i="14"/>
  <c r="A4051" i="14"/>
  <c r="A4052" i="14"/>
  <c r="A4053" i="14"/>
  <c r="A4054" i="14"/>
  <c r="A4055" i="14"/>
  <c r="A4056" i="14"/>
  <c r="A4057" i="14"/>
  <c r="A4058" i="14"/>
  <c r="A4059" i="14"/>
  <c r="A4060" i="14"/>
  <c r="A4061" i="14"/>
  <c r="A4062" i="14"/>
  <c r="A4063" i="14"/>
  <c r="A4064" i="14"/>
  <c r="A4065" i="14"/>
  <c r="A4066" i="14"/>
  <c r="A4067" i="14"/>
  <c r="A4068" i="14"/>
  <c r="A4069" i="14"/>
  <c r="A4070" i="14"/>
  <c r="A4071" i="14"/>
  <c r="A4072" i="14"/>
  <c r="A4073" i="14"/>
  <c r="A4074" i="14"/>
  <c r="A4075" i="14"/>
  <c r="A4076" i="14"/>
  <c r="A4077" i="14"/>
  <c r="A4078" i="14"/>
  <c r="A4079" i="14"/>
  <c r="A4080" i="14"/>
  <c r="A4081" i="14"/>
  <c r="A4082" i="14"/>
  <c r="A4083" i="14"/>
  <c r="A4084" i="14"/>
  <c r="A4085" i="14"/>
  <c r="A4086" i="14"/>
  <c r="A4087" i="14"/>
  <c r="A4088" i="14"/>
  <c r="A4089" i="14"/>
  <c r="A4090" i="14"/>
  <c r="A4091" i="14"/>
  <c r="A4092" i="14"/>
  <c r="A4093" i="14"/>
  <c r="A4094" i="14"/>
  <c r="A4095" i="14"/>
  <c r="A4096" i="14"/>
  <c r="A4097" i="14"/>
  <c r="A4098" i="14"/>
  <c r="A4099" i="14"/>
  <c r="A4100" i="14"/>
  <c r="A4101" i="14"/>
  <c r="A4102" i="14"/>
  <c r="A4103" i="14"/>
  <c r="A4104" i="14"/>
  <c r="A4105" i="14"/>
  <c r="A4106" i="14"/>
  <c r="A4107" i="14"/>
  <c r="A4108" i="14"/>
  <c r="A4109" i="14"/>
  <c r="A4110" i="14"/>
  <c r="A4111" i="14"/>
  <c r="A4112" i="14"/>
  <c r="A4113" i="14"/>
  <c r="A4114" i="14"/>
  <c r="A4115" i="14"/>
  <c r="A4116" i="14"/>
  <c r="A4117" i="14"/>
  <c r="A4118" i="14"/>
  <c r="A4119" i="14"/>
  <c r="A4120" i="14"/>
  <c r="A4121" i="14"/>
  <c r="A4122" i="14"/>
  <c r="A4123" i="14"/>
  <c r="A4124" i="14"/>
  <c r="A4125" i="14"/>
  <c r="A4126" i="14"/>
  <c r="A4127" i="14"/>
  <c r="A4128" i="14"/>
  <c r="A4129" i="14"/>
  <c r="A4130" i="14"/>
  <c r="A4131" i="14"/>
  <c r="A4132" i="14"/>
  <c r="A4133" i="14"/>
  <c r="A4134" i="14"/>
  <c r="A4135" i="14"/>
  <c r="A4136" i="14"/>
  <c r="A4137" i="14"/>
  <c r="A4138" i="14"/>
  <c r="A4139" i="14"/>
  <c r="A4140" i="14"/>
  <c r="A4141" i="14"/>
  <c r="A4142" i="14"/>
  <c r="A4143" i="14"/>
  <c r="A4144" i="14"/>
  <c r="A4145" i="14"/>
  <c r="A4146" i="14"/>
  <c r="A4147" i="14"/>
  <c r="A4148" i="14"/>
  <c r="A4149" i="14"/>
  <c r="A4150" i="14"/>
  <c r="A4151" i="14"/>
  <c r="A4152" i="14"/>
  <c r="A4153" i="14"/>
  <c r="A4154" i="14"/>
  <c r="A4155" i="14"/>
  <c r="A4156" i="14"/>
  <c r="A4157" i="14"/>
  <c r="A4158" i="14"/>
  <c r="A4159" i="14"/>
  <c r="A4160" i="14"/>
  <c r="A4161" i="14"/>
  <c r="A4162" i="14"/>
  <c r="A4163" i="14"/>
  <c r="A4164" i="14"/>
  <c r="A4165" i="14"/>
  <c r="A4166" i="14"/>
  <c r="A4167" i="14"/>
  <c r="A4168" i="14"/>
  <c r="A4169" i="14"/>
  <c r="A4170" i="14"/>
  <c r="A4171" i="14"/>
  <c r="A4172" i="14"/>
  <c r="A4173" i="14"/>
  <c r="A4174" i="14"/>
  <c r="A4175" i="14"/>
  <c r="A4176" i="14"/>
  <c r="A4177" i="14"/>
  <c r="A4178" i="14"/>
  <c r="A4179" i="14"/>
  <c r="A4180" i="14"/>
  <c r="A4181" i="14"/>
  <c r="A4182" i="14"/>
  <c r="A4183" i="14"/>
  <c r="A4184" i="14"/>
  <c r="A4185" i="14"/>
  <c r="A4186" i="14"/>
  <c r="A4187" i="14"/>
  <c r="A4188" i="14"/>
  <c r="A4189" i="14"/>
  <c r="A4190" i="14"/>
  <c r="A4191" i="14"/>
  <c r="A4192" i="14"/>
  <c r="A4193" i="14"/>
  <c r="A4194" i="14"/>
  <c r="A4195" i="14"/>
  <c r="A4196" i="14"/>
  <c r="A4197" i="14"/>
  <c r="A4198" i="14"/>
  <c r="A4199" i="14"/>
  <c r="A4200" i="14"/>
  <c r="A4201" i="14"/>
  <c r="A4202" i="14"/>
  <c r="A4203" i="14"/>
  <c r="A4204" i="14"/>
  <c r="A4205" i="14"/>
  <c r="A4206" i="14"/>
  <c r="A4207" i="14"/>
  <c r="A4208" i="14"/>
  <c r="A4209" i="14"/>
  <c r="A4210" i="14"/>
  <c r="A4211" i="14"/>
  <c r="A4212" i="14"/>
  <c r="A4213" i="14"/>
  <c r="A4214" i="14"/>
  <c r="A4215" i="14"/>
  <c r="A4216" i="14"/>
  <c r="A4217" i="14"/>
  <c r="A4218" i="14"/>
  <c r="A4219" i="14"/>
  <c r="A4220" i="14"/>
  <c r="A4221" i="14"/>
  <c r="A4222" i="14"/>
  <c r="A4223" i="14"/>
  <c r="A4224" i="14"/>
  <c r="A4225" i="14"/>
  <c r="A4226" i="14"/>
  <c r="A4227" i="14"/>
  <c r="A4228" i="14"/>
  <c r="A4229" i="14"/>
  <c r="A4230" i="14"/>
  <c r="A4231" i="14"/>
  <c r="A4232" i="14"/>
  <c r="A4233" i="14"/>
  <c r="A4234" i="14"/>
  <c r="A4235" i="14"/>
  <c r="A4236" i="14"/>
  <c r="A4237" i="14"/>
  <c r="A4238" i="14"/>
  <c r="A4239" i="14"/>
  <c r="A4240" i="14"/>
  <c r="A4241" i="14"/>
  <c r="A4242" i="14"/>
  <c r="A4243" i="14"/>
  <c r="A4244" i="14"/>
  <c r="A4245" i="14"/>
  <c r="A4246" i="14"/>
  <c r="A4247" i="14"/>
  <c r="A4248" i="14"/>
  <c r="A4249" i="14"/>
  <c r="A4250" i="14"/>
  <c r="A4251" i="14"/>
  <c r="A4252" i="14"/>
  <c r="A4253" i="14"/>
  <c r="A4254" i="14"/>
  <c r="A4255" i="14"/>
  <c r="A4256" i="14"/>
  <c r="A4257" i="14"/>
  <c r="A4258" i="14"/>
  <c r="A4259" i="14"/>
  <c r="A4260" i="14"/>
  <c r="A4261" i="14"/>
  <c r="A4262" i="14"/>
  <c r="A4263" i="14"/>
  <c r="A4264" i="14"/>
  <c r="A4265" i="14"/>
  <c r="A4266" i="14"/>
  <c r="A4267" i="14"/>
  <c r="A4268" i="14"/>
  <c r="A4269" i="14"/>
  <c r="A4270" i="14"/>
  <c r="A4271" i="14"/>
  <c r="A4272" i="14"/>
  <c r="A4273" i="14"/>
  <c r="A4274" i="14"/>
  <c r="A4275" i="14"/>
  <c r="A4276" i="14"/>
  <c r="A4277" i="14"/>
  <c r="A4278" i="14"/>
  <c r="A4279" i="14"/>
  <c r="A4280" i="14"/>
  <c r="A4281" i="14"/>
  <c r="A4282" i="14"/>
  <c r="A4283" i="14"/>
  <c r="A4284" i="14"/>
  <c r="A4285" i="14"/>
  <c r="A4286" i="14"/>
  <c r="A4287" i="14"/>
  <c r="A4288" i="14"/>
  <c r="A4289" i="14"/>
  <c r="A4290" i="14"/>
  <c r="A4291" i="14"/>
  <c r="A4292" i="14"/>
  <c r="A4293" i="14"/>
  <c r="A4294" i="14"/>
  <c r="A4295" i="14"/>
  <c r="A4296" i="14"/>
  <c r="A4297" i="14"/>
  <c r="A4298" i="14"/>
  <c r="A4299" i="14"/>
  <c r="A4300" i="14"/>
  <c r="A4301" i="14"/>
  <c r="A4302" i="14"/>
  <c r="A4303" i="14"/>
  <c r="A4304" i="14"/>
  <c r="A4305" i="14"/>
  <c r="A4306" i="14"/>
  <c r="A4307" i="14"/>
  <c r="A4308" i="14"/>
  <c r="A4309" i="14"/>
  <c r="A4310" i="14"/>
  <c r="A4311" i="14"/>
  <c r="A4312" i="14"/>
  <c r="A4313" i="14"/>
  <c r="A4314" i="14"/>
  <c r="A4315" i="14"/>
  <c r="A4316" i="14"/>
  <c r="A4317" i="14"/>
  <c r="A4318" i="14"/>
  <c r="A4319" i="14"/>
  <c r="A4320" i="14"/>
  <c r="A4321" i="14"/>
  <c r="A4322" i="14"/>
  <c r="A4323" i="14"/>
  <c r="A4324" i="14"/>
  <c r="A4325" i="14"/>
  <c r="A4326" i="14"/>
  <c r="A4327" i="14"/>
  <c r="A4328" i="14"/>
  <c r="A4329" i="14"/>
  <c r="A4330" i="14"/>
  <c r="A4331" i="14"/>
  <c r="A4332" i="14"/>
  <c r="A4333" i="14"/>
  <c r="A4334" i="14"/>
  <c r="A4335" i="14"/>
  <c r="A4336" i="14"/>
  <c r="A4337" i="14"/>
  <c r="A4338" i="14"/>
  <c r="A4339" i="14"/>
  <c r="A4340" i="14"/>
  <c r="A4341" i="14"/>
  <c r="A4342" i="14"/>
  <c r="A4343" i="14"/>
  <c r="A4344" i="14"/>
  <c r="A4345" i="14"/>
  <c r="A4346" i="14"/>
  <c r="A4347" i="14"/>
  <c r="A4348" i="14"/>
  <c r="A4349" i="14"/>
  <c r="A4350" i="14"/>
  <c r="A4351" i="14"/>
  <c r="A4352" i="14"/>
  <c r="A4353" i="14"/>
  <c r="A4354" i="14"/>
  <c r="A4355" i="14"/>
  <c r="A4356" i="14"/>
  <c r="A4357" i="14"/>
  <c r="A4358" i="14"/>
  <c r="A4359" i="14"/>
  <c r="A4360" i="14"/>
  <c r="A4361" i="14"/>
  <c r="A4362" i="14"/>
  <c r="A4363" i="14"/>
  <c r="A4364" i="14"/>
  <c r="A4365" i="14"/>
  <c r="A4366" i="14"/>
  <c r="A4367" i="14"/>
  <c r="A4368" i="14"/>
  <c r="A4369" i="14"/>
  <c r="A4370" i="14"/>
  <c r="A4371" i="14"/>
  <c r="A4372" i="14"/>
  <c r="A4373" i="14"/>
  <c r="A4374" i="14"/>
  <c r="A4375" i="14"/>
  <c r="A4376" i="14"/>
  <c r="A4377" i="14"/>
  <c r="A4378" i="14"/>
  <c r="A4379" i="14"/>
  <c r="A4380" i="14"/>
  <c r="A4381" i="14"/>
  <c r="A4382" i="14"/>
  <c r="A4383" i="14"/>
  <c r="A4384" i="14"/>
  <c r="A4385" i="14"/>
  <c r="A4386" i="14"/>
  <c r="A4387" i="14"/>
  <c r="A4388" i="14"/>
  <c r="A4389" i="14"/>
  <c r="A4390" i="14"/>
  <c r="A4391" i="14"/>
  <c r="A4392" i="14"/>
  <c r="A4393" i="14"/>
  <c r="A4394" i="14"/>
  <c r="A4395" i="14"/>
  <c r="A4396" i="14"/>
  <c r="A4397" i="14"/>
  <c r="A4398" i="14"/>
  <c r="A4399" i="14"/>
  <c r="A4400" i="14"/>
  <c r="A4401" i="14"/>
  <c r="A4402" i="14"/>
  <c r="A4403" i="14"/>
  <c r="A4404" i="14"/>
  <c r="A4405" i="14"/>
  <c r="A4406" i="14"/>
  <c r="A4407" i="14"/>
  <c r="A4408" i="14"/>
  <c r="A4409" i="14"/>
  <c r="A4410" i="14"/>
  <c r="A4411" i="14"/>
  <c r="A4412" i="14"/>
  <c r="A4413" i="14"/>
  <c r="A4414" i="14"/>
  <c r="A4415" i="14"/>
  <c r="A4416" i="14"/>
  <c r="A4417" i="14"/>
  <c r="A4418" i="14"/>
  <c r="A4419" i="14"/>
  <c r="A4420" i="14"/>
  <c r="A4421" i="14"/>
  <c r="A4422" i="14"/>
  <c r="A4423" i="14"/>
  <c r="A4424" i="14"/>
  <c r="A4425" i="14"/>
  <c r="A4426" i="14"/>
  <c r="A4427" i="14"/>
  <c r="A4428" i="14"/>
  <c r="A4429" i="14"/>
  <c r="A4430" i="14"/>
  <c r="A4431" i="14"/>
  <c r="A4432" i="14"/>
  <c r="A4433" i="14"/>
  <c r="A4434" i="14"/>
  <c r="A4435" i="14"/>
  <c r="A4436" i="14"/>
  <c r="A4437" i="14"/>
  <c r="A4438" i="14"/>
  <c r="A4439" i="14"/>
  <c r="A4440" i="14"/>
  <c r="A4441" i="14"/>
  <c r="A4442" i="14"/>
  <c r="A4443" i="14"/>
  <c r="A4444" i="14"/>
  <c r="A4445" i="14"/>
  <c r="A4446" i="14"/>
  <c r="A4447" i="14"/>
  <c r="A4448" i="14"/>
  <c r="A4449" i="14"/>
  <c r="A4450" i="14"/>
  <c r="A4451" i="14"/>
  <c r="A4452" i="14"/>
  <c r="A4453" i="14"/>
  <c r="A4454" i="14"/>
  <c r="A4455" i="14"/>
  <c r="A4456" i="14"/>
  <c r="A4457" i="14"/>
  <c r="A4458" i="14"/>
  <c r="A4459" i="14"/>
  <c r="A4460" i="14"/>
  <c r="A4461" i="14"/>
  <c r="A4462" i="14"/>
  <c r="A4463" i="14"/>
  <c r="A4464" i="14"/>
  <c r="A4465" i="14"/>
  <c r="A4466" i="14"/>
  <c r="A4467" i="14"/>
  <c r="A4468" i="14"/>
  <c r="A4469" i="14"/>
  <c r="A4470" i="14"/>
  <c r="A4471" i="14"/>
  <c r="A4472" i="14"/>
  <c r="A4473" i="14"/>
  <c r="A4474" i="14"/>
  <c r="A4475" i="14"/>
  <c r="A4476" i="14"/>
  <c r="A4477" i="14"/>
  <c r="A4478" i="14"/>
  <c r="A4479" i="14"/>
  <c r="A4480" i="14"/>
  <c r="A4481" i="14"/>
  <c r="A4482" i="14"/>
  <c r="A4483" i="14"/>
  <c r="A4484" i="14"/>
  <c r="A4485" i="14"/>
  <c r="A4486" i="14"/>
  <c r="A4487" i="14"/>
  <c r="A4488" i="14"/>
  <c r="A4489" i="14"/>
  <c r="A4490" i="14"/>
  <c r="A4491" i="14"/>
  <c r="A4492" i="14"/>
  <c r="A4493" i="14"/>
  <c r="A4494" i="14"/>
  <c r="A4495" i="14"/>
  <c r="A4496" i="14"/>
  <c r="A4497" i="14"/>
  <c r="A4498" i="14"/>
  <c r="A4499" i="14"/>
  <c r="A4500" i="14"/>
  <c r="A4501" i="14"/>
  <c r="A4502" i="14"/>
  <c r="A4503" i="14"/>
  <c r="A4504" i="14"/>
  <c r="A4505" i="14"/>
  <c r="A4506" i="14"/>
  <c r="A4507" i="14"/>
  <c r="A4508" i="14"/>
  <c r="A4509" i="14"/>
  <c r="A4510" i="14"/>
  <c r="A4511" i="14"/>
  <c r="A4512" i="14"/>
  <c r="A4513" i="14"/>
  <c r="A4514" i="14"/>
  <c r="A4515" i="14"/>
  <c r="A4516" i="14"/>
  <c r="A4517" i="14"/>
  <c r="A4518" i="14"/>
  <c r="A4519" i="14"/>
  <c r="A4520" i="14"/>
  <c r="A4521" i="14"/>
  <c r="A4522" i="14"/>
  <c r="A4523" i="14"/>
  <c r="A4524" i="14"/>
  <c r="A4525" i="14"/>
  <c r="A4526" i="14"/>
  <c r="A4527" i="14"/>
  <c r="A4528" i="14"/>
  <c r="A4529" i="14"/>
  <c r="A4530" i="14"/>
  <c r="A4531" i="14"/>
  <c r="A4532" i="14"/>
  <c r="A4533" i="14"/>
  <c r="A4534" i="14"/>
  <c r="A4535" i="14"/>
  <c r="A4536" i="14"/>
  <c r="A4537" i="14"/>
  <c r="A4538" i="14"/>
  <c r="A4539" i="14"/>
  <c r="A4540" i="14"/>
  <c r="A4541" i="14"/>
  <c r="A4542" i="14"/>
  <c r="A4543" i="14"/>
  <c r="A4544" i="14"/>
  <c r="A4545" i="14"/>
  <c r="A4546" i="14"/>
  <c r="A4547" i="14"/>
  <c r="A4548" i="14"/>
  <c r="A4549" i="14"/>
  <c r="A4550" i="14"/>
  <c r="A4551" i="14"/>
  <c r="A4552" i="14"/>
  <c r="A4553" i="14"/>
  <c r="A4554" i="14"/>
  <c r="A4555" i="14"/>
  <c r="A4556" i="14"/>
  <c r="T210" i="17" l="1"/>
  <c r="AQ210" i="17" s="1"/>
  <c r="T465" i="17"/>
  <c r="AQ465" i="17" s="1"/>
  <c r="T439" i="17"/>
  <c r="AQ439" i="17" s="1"/>
  <c r="T226" i="17"/>
  <c r="AQ226" i="17" s="1"/>
  <c r="T319" i="17"/>
  <c r="AQ319" i="17" s="1"/>
  <c r="T457" i="17"/>
  <c r="AQ457" i="17" s="1"/>
  <c r="T95" i="17"/>
  <c r="AQ95" i="17" s="1"/>
  <c r="T315" i="17"/>
  <c r="AQ315" i="17" s="1"/>
  <c r="T424" i="17"/>
  <c r="AQ424" i="17" s="1"/>
  <c r="T483" i="17"/>
  <c r="AQ483" i="17" s="1"/>
  <c r="T335" i="17"/>
  <c r="AQ335" i="17" s="1"/>
  <c r="T278" i="17"/>
  <c r="AQ278" i="17" s="1"/>
  <c r="T516" i="17"/>
  <c r="AQ516" i="17" s="1"/>
  <c r="T204" i="17"/>
  <c r="AQ204" i="17" s="1"/>
  <c r="T469" i="17"/>
  <c r="AQ469" i="17" s="1"/>
  <c r="T411" i="17"/>
  <c r="AQ411" i="17" s="1"/>
  <c r="T331" i="17"/>
  <c r="AQ331" i="17" s="1"/>
  <c r="T105" i="17"/>
  <c r="AQ105" i="17" s="1"/>
  <c r="T23" i="17"/>
  <c r="AQ23" i="17" s="1"/>
  <c r="T338" i="17"/>
  <c r="AQ338" i="17" s="1"/>
  <c r="T342" i="17"/>
  <c r="AQ342" i="17" s="1"/>
  <c r="T196" i="17"/>
  <c r="AQ196" i="17" s="1"/>
  <c r="T228" i="17"/>
  <c r="AQ228" i="17" s="1"/>
  <c r="T132" i="17"/>
  <c r="T356" i="17"/>
  <c r="AQ356" i="17" s="1"/>
  <c r="T19" i="17"/>
  <c r="T179" i="17"/>
  <c r="AQ179" i="17" s="1"/>
  <c r="T512" i="17"/>
  <c r="AQ512" i="17" s="1"/>
  <c r="T264" i="17"/>
  <c r="AQ264" i="17" s="1"/>
  <c r="T435" i="17"/>
  <c r="AQ435" i="17" s="1"/>
  <c r="T427" i="17"/>
  <c r="AQ427" i="17" s="1"/>
  <c r="T447" i="17"/>
  <c r="AQ447" i="17" s="1"/>
  <c r="T462" i="17"/>
  <c r="AQ462" i="17" s="1"/>
  <c r="T368" i="17"/>
  <c r="AQ368" i="17" s="1"/>
  <c r="T373" i="17"/>
  <c r="AQ373" i="17" s="1"/>
  <c r="T354" i="17"/>
  <c r="AQ354" i="17" s="1"/>
  <c r="T343" i="17"/>
  <c r="AQ343" i="17" s="1"/>
  <c r="T501" i="17"/>
  <c r="AQ501" i="17" s="1"/>
  <c r="T65" i="17"/>
  <c r="AQ65" i="17" s="1"/>
  <c r="T267" i="17"/>
  <c r="AQ267" i="17" s="1"/>
  <c r="T322" i="17"/>
  <c r="AQ322" i="17" s="1"/>
  <c r="T192" i="17"/>
  <c r="AQ192" i="17" s="1"/>
  <c r="T28" i="17"/>
  <c r="T90" i="17"/>
  <c r="T109" i="17"/>
  <c r="AQ109" i="17" s="1"/>
  <c r="T294" i="17"/>
  <c r="AQ294" i="17" s="1"/>
  <c r="T311" i="17"/>
  <c r="AQ311" i="17" s="1"/>
  <c r="T473" i="17"/>
  <c r="AQ473" i="17" s="1"/>
  <c r="T314" i="17"/>
  <c r="AQ314" i="17" s="1"/>
  <c r="T302" i="17"/>
  <c r="AQ302" i="17" s="1"/>
  <c r="T362" i="17"/>
  <c r="AQ362" i="17" s="1"/>
  <c r="T347" i="17"/>
  <c r="AQ347" i="17" s="1"/>
  <c r="T201" i="17"/>
  <c r="AQ201" i="17" s="1"/>
  <c r="T450" i="17"/>
  <c r="AQ450" i="17" s="1"/>
  <c r="T143" i="17"/>
  <c r="AQ143" i="17" s="1"/>
  <c r="T359" i="17"/>
  <c r="AQ359" i="17" s="1"/>
  <c r="T39" i="17"/>
  <c r="AQ39" i="17" s="1"/>
  <c r="T207" i="17"/>
  <c r="AQ207" i="17" s="1"/>
  <c r="T282" i="17"/>
  <c r="AQ282" i="17" s="1"/>
  <c r="T464" i="17"/>
  <c r="AQ464" i="17" s="1"/>
  <c r="T35" i="17"/>
  <c r="AQ35" i="17" s="1"/>
  <c r="T216" i="17"/>
  <c r="AQ216" i="17" s="1"/>
  <c r="T233" i="17"/>
  <c r="AQ233" i="17" s="1"/>
  <c r="T454" i="17"/>
  <c r="AQ454" i="17" s="1"/>
  <c r="T151" i="17"/>
  <c r="AQ151" i="17" s="1"/>
  <c r="T423" i="17"/>
  <c r="AQ423" i="17" s="1"/>
  <c r="T403" i="17"/>
  <c r="AQ403" i="17" s="1"/>
  <c r="T252" i="17"/>
  <c r="AQ252" i="17" s="1"/>
  <c r="T240" i="17"/>
  <c r="AQ240" i="17" s="1"/>
  <c r="T59" i="17"/>
  <c r="AQ59" i="17" s="1"/>
  <c r="T482" i="17"/>
  <c r="AQ482" i="17" s="1"/>
  <c r="T44" i="17"/>
  <c r="T212" i="17"/>
  <c r="AQ212" i="17" s="1"/>
  <c r="T513" i="17"/>
  <c r="AQ513" i="17" s="1"/>
  <c r="T239" i="17"/>
  <c r="AQ239" i="17" s="1"/>
  <c r="T277" i="17"/>
  <c r="AQ277" i="17" s="1"/>
  <c r="T496" i="17"/>
  <c r="AQ496" i="17" s="1"/>
  <c r="T285" i="17"/>
  <c r="AQ285" i="17" s="1"/>
  <c r="T255" i="17"/>
  <c r="AQ255" i="17" s="1"/>
  <c r="T78" i="17"/>
  <c r="T223" i="17"/>
  <c r="AQ223" i="17" s="1"/>
  <c r="T99" i="17"/>
  <c r="AQ99" i="17" s="1"/>
  <c r="T298" i="17"/>
  <c r="AQ298" i="17" s="1"/>
  <c r="T167" i="17"/>
  <c r="AQ167" i="17" s="1"/>
  <c r="T415" i="17"/>
  <c r="AQ415" i="17" s="1"/>
  <c r="T355" i="17"/>
  <c r="AQ355" i="17" s="1"/>
  <c r="T111" i="17"/>
  <c r="AQ111" i="17" s="1"/>
  <c r="T504" i="17"/>
  <c r="AQ504" i="17" s="1"/>
  <c r="T323" i="17"/>
  <c r="AQ323" i="17" s="1"/>
  <c r="T389" i="17"/>
  <c r="AQ389" i="17" s="1"/>
  <c r="T214" i="17"/>
  <c r="AQ214" i="17" s="1"/>
  <c r="T260" i="17"/>
  <c r="AQ260" i="17" s="1"/>
  <c r="T217" i="17"/>
  <c r="AQ217" i="17" s="1"/>
  <c r="T127" i="17"/>
  <c r="AQ127" i="17" s="1"/>
  <c r="T508" i="17"/>
  <c r="AQ508" i="17" s="1"/>
  <c r="T381" i="17"/>
  <c r="AQ381" i="17" s="1"/>
  <c r="T400" i="17"/>
  <c r="AQ400" i="17" s="1"/>
  <c r="T81" i="17"/>
  <c r="AQ81" i="17" s="1"/>
  <c r="T63" i="17"/>
  <c r="AQ63" i="17" s="1"/>
  <c r="T213" i="17"/>
  <c r="AQ213" i="17" s="1"/>
  <c r="T85" i="17"/>
  <c r="AQ85" i="17" s="1"/>
  <c r="T487" i="17"/>
  <c r="AQ487" i="17" s="1"/>
  <c r="T147" i="17"/>
  <c r="AQ147" i="17" s="1"/>
  <c r="T474" i="17"/>
  <c r="AQ474" i="17" s="1"/>
  <c r="T498" i="17"/>
  <c r="AQ498" i="17" s="1"/>
  <c r="T82" i="17"/>
  <c r="T480" i="17"/>
  <c r="AQ480" i="17" s="1"/>
  <c r="T431" i="17"/>
  <c r="AQ431" i="17" s="1"/>
  <c r="T366" i="17"/>
  <c r="AQ366" i="17" s="1"/>
  <c r="T75" i="17"/>
  <c r="AQ75" i="17" s="1"/>
  <c r="T175" i="17"/>
  <c r="AQ175" i="17" s="1"/>
  <c r="T128" i="17"/>
  <c r="T412" i="17"/>
  <c r="AQ412" i="17" s="1"/>
  <c r="T442" i="17"/>
  <c r="AQ442" i="17" s="1"/>
  <c r="T263" i="17"/>
  <c r="AQ263" i="17" s="1"/>
  <c r="T374" i="17"/>
  <c r="AQ374" i="17" s="1"/>
  <c r="T339" i="17"/>
  <c r="AQ339" i="17" s="1"/>
  <c r="T191" i="17"/>
  <c r="AQ191" i="17" s="1"/>
  <c r="T74" i="17"/>
  <c r="T62" i="17"/>
  <c r="T42" i="17"/>
  <c r="T399" i="17"/>
  <c r="AQ399" i="17" s="1"/>
  <c r="T159" i="17"/>
  <c r="AQ159" i="17" s="1"/>
  <c r="T397" i="17"/>
  <c r="AQ397" i="17" s="1"/>
  <c r="T286" i="17"/>
  <c r="AQ286" i="17" s="1"/>
  <c r="T115" i="17"/>
  <c r="AQ115" i="17" s="1"/>
  <c r="T459" i="17"/>
  <c r="AQ459" i="17" s="1"/>
  <c r="T66" i="17"/>
  <c r="T68" i="17"/>
  <c r="T135" i="17"/>
  <c r="AQ135" i="17" s="1"/>
  <c r="T419" i="17"/>
  <c r="AQ419" i="17" s="1"/>
  <c r="T467" i="17"/>
  <c r="AQ467" i="17" s="1"/>
  <c r="T407" i="17"/>
  <c r="AQ407" i="17" s="1"/>
  <c r="T470" i="17"/>
  <c r="AQ470" i="17" s="1"/>
  <c r="T406" i="17"/>
  <c r="AQ406" i="17" s="1"/>
  <c r="T270" i="17"/>
  <c r="AQ270" i="17" s="1"/>
  <c r="T112" i="17"/>
  <c r="T220" i="17"/>
  <c r="AQ220" i="17" s="1"/>
  <c r="T43" i="17"/>
  <c r="AQ43" i="17" s="1"/>
  <c r="T236" i="17"/>
  <c r="AQ236" i="17" s="1"/>
  <c r="T224" i="17"/>
  <c r="AQ224" i="17" s="1"/>
  <c r="T502" i="17"/>
  <c r="AQ502" i="17" s="1"/>
  <c r="T155" i="17"/>
  <c r="AQ155" i="17" s="1"/>
  <c r="T477" i="17"/>
  <c r="AQ477" i="17" s="1"/>
  <c r="T367" i="17"/>
  <c r="AQ367" i="17" s="1"/>
  <c r="T443" i="17"/>
  <c r="AQ443" i="17" s="1"/>
  <c r="T299" i="17"/>
  <c r="AQ299" i="17" s="1"/>
  <c r="T131" i="17"/>
  <c r="AQ131" i="17" s="1"/>
  <c r="T394" i="17"/>
  <c r="AQ394" i="17" s="1"/>
  <c r="T385" i="17"/>
  <c r="AQ385" i="17" s="1"/>
  <c r="T125" i="17"/>
  <c r="AQ125" i="17" s="1"/>
  <c r="T116" i="17"/>
  <c r="T100" i="17"/>
  <c r="T390" i="17"/>
  <c r="AQ390" i="17" s="1"/>
  <c r="T360" i="17"/>
  <c r="AQ360" i="17" s="1"/>
  <c r="T247" i="17"/>
  <c r="AQ247" i="17" s="1"/>
  <c r="T305" i="17"/>
  <c r="AQ305" i="17" s="1"/>
  <c r="T70" i="17"/>
  <c r="T244" i="17"/>
  <c r="AQ244" i="17" s="1"/>
  <c r="T58" i="17"/>
  <c r="T416" i="17"/>
  <c r="AQ416" i="17" s="1"/>
  <c r="T166" i="17"/>
  <c r="AQ166" i="17" s="1"/>
  <c r="T517" i="17"/>
  <c r="AQ517" i="17" s="1"/>
  <c r="T187" i="17"/>
  <c r="AQ187" i="17" s="1"/>
  <c r="T203" i="17"/>
  <c r="AQ203" i="17" s="1"/>
  <c r="T150" i="17"/>
  <c r="T170" i="17"/>
  <c r="AQ170" i="17" s="1"/>
  <c r="T134" i="17"/>
  <c r="T317" i="17"/>
  <c r="AQ317" i="17" s="1"/>
  <c r="T281" i="17"/>
  <c r="AQ281" i="17" s="1"/>
  <c r="T219" i="17"/>
  <c r="AQ219" i="17" s="1"/>
  <c r="T154" i="17"/>
  <c r="T34" i="17"/>
  <c r="T446" i="17"/>
  <c r="AQ446" i="17" s="1"/>
  <c r="T455" i="17"/>
  <c r="AQ455" i="17" s="1"/>
  <c r="T259" i="17"/>
  <c r="AQ259" i="17" s="1"/>
  <c r="T138" i="17"/>
  <c r="T38" i="17"/>
  <c r="T301" i="17"/>
  <c r="AQ301" i="17" s="1"/>
  <c r="T142" i="17"/>
  <c r="T174" i="17"/>
  <c r="AQ174" i="17" s="1"/>
  <c r="T440" i="17"/>
  <c r="AQ440" i="17" s="1"/>
  <c r="T472" i="17"/>
  <c r="AQ472" i="17" s="1"/>
  <c r="T402" i="17"/>
  <c r="AQ402" i="17" s="1"/>
  <c r="T238" i="17"/>
  <c r="AQ238" i="17" s="1"/>
  <c r="T54" i="17"/>
  <c r="T30" i="17"/>
  <c r="T86" i="17"/>
  <c r="T386" i="17"/>
  <c r="AQ386" i="17" s="1"/>
  <c r="T458" i="17"/>
  <c r="AQ458" i="17" s="1"/>
  <c r="T289" i="17"/>
  <c r="AQ289" i="17" s="1"/>
  <c r="T370" i="17"/>
  <c r="AQ370" i="17" s="1"/>
  <c r="T26" i="17"/>
  <c r="T492" i="17"/>
  <c r="AQ492" i="17" s="1"/>
  <c r="T182" i="17"/>
  <c r="AQ182" i="17" s="1"/>
  <c r="T451" i="17"/>
  <c r="AQ451" i="17" s="1"/>
  <c r="T251" i="17"/>
  <c r="AQ251" i="17" s="1"/>
  <c r="T235" i="17"/>
  <c r="AQ235" i="17" s="1"/>
  <c r="T162" i="17"/>
  <c r="AQ162" i="17" s="1"/>
  <c r="T22" i="17"/>
  <c r="T50" i="17"/>
  <c r="T146" i="17"/>
  <c r="T46" i="17"/>
  <c r="T164" i="17"/>
  <c r="AQ164" i="17" s="1"/>
  <c r="T173" i="17"/>
  <c r="AQ173" i="17" s="1"/>
  <c r="T384" i="17"/>
  <c r="AQ384" i="17" s="1"/>
  <c r="T140" i="17"/>
  <c r="T329" i="17"/>
  <c r="AQ329" i="17" s="1"/>
  <c r="T395" i="17"/>
  <c r="AQ395" i="17" s="1"/>
  <c r="T49" i="17"/>
  <c r="AQ49" i="17" s="1"/>
  <c r="T336" i="17"/>
  <c r="AQ336" i="17" s="1"/>
  <c r="T106" i="17"/>
  <c r="T269" i="17"/>
  <c r="AQ269" i="17" s="1"/>
  <c r="T375" i="17"/>
  <c r="AQ375" i="17" s="1"/>
  <c r="T421" i="17"/>
  <c r="AQ421" i="17" s="1"/>
  <c r="T205" i="17"/>
  <c r="AQ205" i="17" s="1"/>
  <c r="T388" i="17"/>
  <c r="AQ388" i="17" s="1"/>
  <c r="T365" i="17"/>
  <c r="AQ365" i="17" s="1"/>
  <c r="T141" i="17"/>
  <c r="AQ141" i="17" s="1"/>
  <c r="T280" i="17"/>
  <c r="AQ280" i="17" s="1"/>
  <c r="T276" i="17"/>
  <c r="AQ276" i="17" s="1"/>
  <c r="T515" i="17"/>
  <c r="AQ515" i="17" s="1"/>
  <c r="T430" i="17"/>
  <c r="AQ430" i="17" s="1"/>
  <c r="T245" i="17"/>
  <c r="AQ245" i="17" s="1"/>
  <c r="T466" i="17"/>
  <c r="AQ466" i="17" s="1"/>
  <c r="T288" i="17"/>
  <c r="AQ288" i="17" s="1"/>
  <c r="T218" i="17"/>
  <c r="AQ218" i="17" s="1"/>
  <c r="T380" i="17"/>
  <c r="AQ380" i="17" s="1"/>
  <c r="T221" i="17"/>
  <c r="AQ221" i="17" s="1"/>
  <c r="T186" i="17"/>
  <c r="AQ186" i="17" s="1"/>
  <c r="T401" i="17"/>
  <c r="AQ401" i="17" s="1"/>
  <c r="T258" i="17"/>
  <c r="AQ258" i="17" s="1"/>
  <c r="T184" i="17"/>
  <c r="AQ184" i="17" s="1"/>
  <c r="T330" i="17"/>
  <c r="AQ330" i="17" s="1"/>
  <c r="T476" i="17"/>
  <c r="AQ476" i="17" s="1"/>
  <c r="T518" i="17"/>
  <c r="AQ518" i="17" s="1"/>
  <c r="T257" i="17"/>
  <c r="AQ257" i="17" s="1"/>
  <c r="T511" i="17"/>
  <c r="AQ511" i="17" s="1"/>
  <c r="T225" i="17"/>
  <c r="AQ225" i="17" s="1"/>
  <c r="T176" i="17"/>
  <c r="AQ176" i="17" s="1"/>
  <c r="T404" i="17"/>
  <c r="AQ404" i="17" s="1"/>
  <c r="T445" i="17"/>
  <c r="AQ445" i="17" s="1"/>
  <c r="T246" i="17"/>
  <c r="AQ246" i="17" s="1"/>
  <c r="T334" i="17"/>
  <c r="AQ334" i="17" s="1"/>
  <c r="T227" i="17"/>
  <c r="AQ227" i="17" s="1"/>
  <c r="T149" i="17"/>
  <c r="AQ149" i="17" s="1"/>
  <c r="T168" i="17"/>
  <c r="AQ168" i="17" s="1"/>
  <c r="T287" i="17"/>
  <c r="AQ287" i="17" s="1"/>
  <c r="T433" i="17"/>
  <c r="AQ433" i="17" s="1"/>
  <c r="T449" i="17"/>
  <c r="AQ449" i="17" s="1"/>
  <c r="T37" i="17"/>
  <c r="AQ37" i="17" s="1"/>
  <c r="T309" i="17"/>
  <c r="AQ309" i="17" s="1"/>
  <c r="T268" i="17"/>
  <c r="AQ268" i="17" s="1"/>
  <c r="T183" i="17"/>
  <c r="AQ183" i="17" s="1"/>
  <c r="T230" i="17"/>
  <c r="AQ230" i="17" s="1"/>
  <c r="T32" i="17"/>
  <c r="T495" i="17"/>
  <c r="AQ495" i="17" s="1"/>
  <c r="T96" i="17"/>
  <c r="T364" i="17"/>
  <c r="AQ364" i="17" s="1"/>
  <c r="T171" i="17"/>
  <c r="AQ171" i="17" s="1"/>
  <c r="T158" i="17"/>
  <c r="AQ158" i="17" s="1"/>
  <c r="T178" i="17"/>
  <c r="AQ178" i="17" s="1"/>
  <c r="T48" i="17"/>
  <c r="T55" i="17"/>
  <c r="AQ55" i="17" s="1"/>
  <c r="T333" i="17"/>
  <c r="AQ333" i="17" s="1"/>
  <c r="T490" i="17"/>
  <c r="AQ490" i="17" s="1"/>
  <c r="T428" i="17"/>
  <c r="AQ428" i="17" s="1"/>
  <c r="T489" i="17"/>
  <c r="AQ489" i="17" s="1"/>
  <c r="T229" i="17"/>
  <c r="AQ229" i="17" s="1"/>
  <c r="T273" i="17"/>
  <c r="AQ273" i="17" s="1"/>
  <c r="T486" i="17"/>
  <c r="AQ486" i="17" s="1"/>
  <c r="T20" i="17"/>
  <c r="T56" i="17"/>
  <c r="T139" i="17"/>
  <c r="AQ139" i="17" s="1"/>
  <c r="T432" i="17"/>
  <c r="AQ432" i="17" s="1"/>
  <c r="T351" i="17"/>
  <c r="AQ351" i="17" s="1"/>
  <c r="T31" i="17"/>
  <c r="AQ31" i="17" s="1"/>
  <c r="T188" i="17"/>
  <c r="AQ188" i="17" s="1"/>
  <c r="T77" i="17"/>
  <c r="AQ77" i="17" s="1"/>
  <c r="T122" i="17"/>
  <c r="T484" i="17"/>
  <c r="AQ484" i="17" s="1"/>
  <c r="T172" i="17"/>
  <c r="AQ172" i="17" s="1"/>
  <c r="T344" i="17"/>
  <c r="AQ344" i="17" s="1"/>
  <c r="T25" i="17"/>
  <c r="AQ25" i="17" s="1"/>
  <c r="T253" i="17"/>
  <c r="AQ253" i="17" s="1"/>
  <c r="T452" i="17"/>
  <c r="AQ452" i="17" s="1"/>
  <c r="T114" i="17"/>
  <c r="T300" i="17"/>
  <c r="AQ300" i="17" s="1"/>
  <c r="T379" i="17"/>
  <c r="AQ379" i="17" s="1"/>
  <c r="T418" i="17"/>
  <c r="AQ418" i="17" s="1"/>
  <c r="T291" i="17"/>
  <c r="AQ291" i="17" s="1"/>
  <c r="T408" i="17"/>
  <c r="AQ408" i="17" s="1"/>
  <c r="T429" i="17"/>
  <c r="AQ429" i="17" s="1"/>
  <c r="T98" i="17"/>
  <c r="T199" i="17"/>
  <c r="AQ199" i="17" s="1"/>
  <c r="T307" i="17"/>
  <c r="AQ307" i="17" s="1"/>
  <c r="T237" i="17"/>
  <c r="AQ237" i="17" s="1"/>
  <c r="T145" i="17"/>
  <c r="AQ145" i="17" s="1"/>
  <c r="T193" i="17"/>
  <c r="AQ193" i="17" s="1"/>
  <c r="T505" i="17"/>
  <c r="AQ505" i="17" s="1"/>
  <c r="T110" i="17"/>
  <c r="T279" i="17"/>
  <c r="AQ279" i="17" s="1"/>
  <c r="T488" i="17"/>
  <c r="AQ488" i="17" s="1"/>
  <c r="T103" i="17"/>
  <c r="AQ103" i="17" s="1"/>
  <c r="T265" i="17"/>
  <c r="AQ265" i="17" s="1"/>
  <c r="T497" i="17"/>
  <c r="AQ497" i="17" s="1"/>
  <c r="T94" i="17"/>
  <c r="T349" i="17"/>
  <c r="AQ349" i="17" s="1"/>
  <c r="T340" i="17"/>
  <c r="AQ340" i="17" s="1"/>
  <c r="T417" i="17"/>
  <c r="AQ417" i="17" s="1"/>
  <c r="T67" i="17"/>
  <c r="AQ67" i="17" s="1"/>
  <c r="T195" i="17"/>
  <c r="AQ195" i="17" s="1"/>
  <c r="T83" i="17"/>
  <c r="AQ83" i="17" s="1"/>
  <c r="T313" i="17"/>
  <c r="AQ313" i="17" s="1"/>
  <c r="T272" i="17"/>
  <c r="AQ272" i="17" s="1"/>
  <c r="T387" i="17"/>
  <c r="AQ387" i="17" s="1"/>
  <c r="T510" i="17"/>
  <c r="AQ510" i="17" s="1"/>
  <c r="T189" i="17"/>
  <c r="AQ189" i="17" s="1"/>
  <c r="T413" i="17"/>
  <c r="AQ413" i="17" s="1"/>
  <c r="T448" i="17"/>
  <c r="AQ448" i="17" s="1"/>
  <c r="T73" i="17"/>
  <c r="AQ73" i="17" s="1"/>
  <c r="T215" i="17"/>
  <c r="AQ215" i="17" s="1"/>
  <c r="T391" i="17"/>
  <c r="AQ391" i="17" s="1"/>
  <c r="T426" i="17"/>
  <c r="AQ426" i="17" s="1"/>
  <c r="T123" i="17"/>
  <c r="AQ123" i="17" s="1"/>
  <c r="T45" i="17"/>
  <c r="AQ45" i="17" s="1"/>
  <c r="T478" i="17"/>
  <c r="AQ478" i="17" s="1"/>
  <c r="T104" i="17"/>
  <c r="T80" i="17"/>
  <c r="T377" i="17"/>
  <c r="AQ377" i="17" s="1"/>
  <c r="T248" i="17"/>
  <c r="AQ248" i="17" s="1"/>
  <c r="T509" i="17"/>
  <c r="AQ509" i="17" s="1"/>
  <c r="T194" i="17"/>
  <c r="AQ194" i="17" s="1"/>
  <c r="T292" i="17"/>
  <c r="AQ292" i="17" s="1"/>
  <c r="T197" i="17"/>
  <c r="AQ197" i="17" s="1"/>
  <c r="T88" i="17"/>
  <c r="T84" i="17"/>
  <c r="T69" i="17"/>
  <c r="AQ69" i="17" s="1"/>
  <c r="T208" i="17"/>
  <c r="AQ208" i="17" s="1"/>
  <c r="T392" i="17"/>
  <c r="AQ392" i="17" s="1"/>
  <c r="T499" i="17"/>
  <c r="AQ499" i="17" s="1"/>
  <c r="T503" i="17"/>
  <c r="AQ503" i="17" s="1"/>
  <c r="T198" i="17"/>
  <c r="AQ198" i="17" s="1"/>
  <c r="T163" i="17"/>
  <c r="AQ163" i="17" s="1"/>
  <c r="T306" i="17"/>
  <c r="AQ306" i="17" s="1"/>
  <c r="T206" i="17"/>
  <c r="AQ206" i="17" s="1"/>
  <c r="T133" i="17"/>
  <c r="AQ133" i="17" s="1"/>
  <c r="T242" i="17"/>
  <c r="AQ242" i="17" s="1"/>
  <c r="T120" i="17"/>
  <c r="T358" i="17"/>
  <c r="AQ358" i="17" s="1"/>
  <c r="T393" i="17"/>
  <c r="AQ393" i="17" s="1"/>
  <c r="T185" i="17"/>
  <c r="AQ185" i="17" s="1"/>
  <c r="T113" i="17"/>
  <c r="AQ113" i="17" s="1"/>
  <c r="T101" i="17"/>
  <c r="AQ101" i="17" s="1"/>
  <c r="T157" i="17"/>
  <c r="AQ157" i="17" s="1"/>
  <c r="T202" i="17"/>
  <c r="AQ202" i="17" s="1"/>
  <c r="T494" i="17"/>
  <c r="AQ494" i="17" s="1"/>
  <c r="T33" i="17"/>
  <c r="AQ33" i="17" s="1"/>
  <c r="T283" i="17"/>
  <c r="AQ283" i="17" s="1"/>
  <c r="T97" i="17"/>
  <c r="AQ97" i="17" s="1"/>
  <c r="T156" i="17"/>
  <c r="AQ156" i="17" s="1"/>
  <c r="T275" i="17"/>
  <c r="AQ275" i="17" s="1"/>
  <c r="T414" i="17"/>
  <c r="AQ414" i="17" s="1"/>
  <c r="T161" i="17"/>
  <c r="AQ161" i="17" s="1"/>
  <c r="T357" i="17"/>
  <c r="AQ357" i="17" s="1"/>
  <c r="T241" i="17"/>
  <c r="AQ241" i="17" s="1"/>
  <c r="T353" i="17"/>
  <c r="AQ353" i="17" s="1"/>
  <c r="T148" i="17"/>
  <c r="T234" i="17"/>
  <c r="AQ234" i="17" s="1"/>
  <c r="T345" i="17"/>
  <c r="AQ345" i="17" s="1"/>
  <c r="T266" i="17"/>
  <c r="AQ266" i="17" s="1"/>
  <c r="T262" i="17"/>
  <c r="AQ262" i="17" s="1"/>
  <c r="T284" i="17"/>
  <c r="AQ284" i="17" s="1"/>
  <c r="T93" i="17"/>
  <c r="AQ93" i="17" s="1"/>
  <c r="T118" i="17"/>
  <c r="T320" i="17"/>
  <c r="AQ320" i="17" s="1"/>
  <c r="T438" i="17"/>
  <c r="AQ438" i="17" s="1"/>
  <c r="T129" i="17"/>
  <c r="AQ129" i="17" s="1"/>
  <c r="T297" i="17"/>
  <c r="AQ297" i="17" s="1"/>
  <c r="T493" i="17"/>
  <c r="AQ493" i="17" s="1"/>
  <c r="T102" i="17"/>
  <c r="T271" i="17"/>
  <c r="AQ271" i="17" s="1"/>
  <c r="T348" i="17"/>
  <c r="AQ348" i="17" s="1"/>
  <c r="T422" i="17"/>
  <c r="AQ422" i="17" s="1"/>
  <c r="T169" i="17"/>
  <c r="AQ169" i="17" s="1"/>
  <c r="T396" i="17"/>
  <c r="AQ396" i="17" s="1"/>
  <c r="T261" i="17"/>
  <c r="AQ261" i="17" s="1"/>
  <c r="T165" i="17"/>
  <c r="AQ165" i="17" s="1"/>
  <c r="T316" i="17"/>
  <c r="AQ316" i="17" s="1"/>
  <c r="T437" i="17"/>
  <c r="AQ437" i="17" s="1"/>
  <c r="T153" i="17"/>
  <c r="AQ153" i="17" s="1"/>
  <c r="T249" i="17"/>
  <c r="AQ249" i="17" s="1"/>
  <c r="T371" i="17"/>
  <c r="AQ371" i="17" s="1"/>
  <c r="T87" i="17"/>
  <c r="AQ87" i="17" s="1"/>
  <c r="T126" i="17"/>
  <c r="T254" i="17"/>
  <c r="AQ254" i="17" s="1"/>
  <c r="T398" i="17"/>
  <c r="AQ398" i="17" s="1"/>
  <c r="T441" i="17"/>
  <c r="AQ441" i="17" s="1"/>
  <c r="T21" i="17"/>
  <c r="AQ21" i="17" s="1"/>
  <c r="T53" i="17"/>
  <c r="AQ53" i="17" s="1"/>
  <c r="T453" i="17"/>
  <c r="AQ453" i="17" s="1"/>
  <c r="T500" i="17"/>
  <c r="AQ500" i="17" s="1"/>
  <c r="T64" i="17"/>
  <c r="T27" i="17"/>
  <c r="AQ27" i="17" s="1"/>
  <c r="T290" i="17"/>
  <c r="AQ290" i="17" s="1"/>
  <c r="T350" i="17"/>
  <c r="AQ350" i="17" s="1"/>
  <c r="T36" i="17"/>
  <c r="T108" i="17"/>
  <c r="T72" i="17"/>
  <c r="T325" i="17"/>
  <c r="AQ325" i="17" s="1"/>
  <c r="T79" i="17"/>
  <c r="AQ79" i="17" s="1"/>
  <c r="T200" i="17"/>
  <c r="AQ200" i="17" s="1"/>
  <c r="T346" i="17"/>
  <c r="AQ346" i="17" s="1"/>
  <c r="T460" i="17"/>
  <c r="AQ460" i="17" s="1"/>
  <c r="T296" i="17"/>
  <c r="AQ296" i="17" s="1"/>
  <c r="T40" i="17"/>
  <c r="T274" i="17"/>
  <c r="AQ274" i="17" s="1"/>
  <c r="T420" i="17"/>
  <c r="AQ420" i="17" s="1"/>
  <c r="T327" i="17"/>
  <c r="AQ327" i="17" s="1"/>
  <c r="T491" i="17"/>
  <c r="AQ491" i="17" s="1"/>
  <c r="T436" i="17"/>
  <c r="AQ436" i="17" s="1"/>
  <c r="T328" i="17"/>
  <c r="AQ328" i="17" s="1"/>
  <c r="T409" i="17"/>
  <c r="AQ409" i="17" s="1"/>
  <c r="T222" i="17"/>
  <c r="AQ222" i="17" s="1"/>
  <c r="T295" i="17"/>
  <c r="AQ295" i="17" s="1"/>
  <c r="T310" i="17"/>
  <c r="AQ310" i="17" s="1"/>
  <c r="T130" i="17"/>
  <c r="T507" i="17"/>
  <c r="AQ507" i="17" s="1"/>
  <c r="T231" i="17"/>
  <c r="AQ231" i="17" s="1"/>
  <c r="T326" i="17"/>
  <c r="AQ326" i="17" s="1"/>
  <c r="T243" i="17"/>
  <c r="AQ243" i="17" s="1"/>
  <c r="T425" i="17"/>
  <c r="AQ425" i="17" s="1"/>
  <c r="T117" i="17"/>
  <c r="AQ117" i="17" s="1"/>
  <c r="T152" i="17"/>
  <c r="T250" i="17"/>
  <c r="AQ250" i="17" s="1"/>
  <c r="T337" i="17"/>
  <c r="AQ337" i="17" s="1"/>
  <c r="T209" i="17"/>
  <c r="AQ209" i="17" s="1"/>
  <c r="T363" i="17"/>
  <c r="AQ363" i="17" s="1"/>
  <c r="T485" i="17"/>
  <c r="AQ485" i="17" s="1"/>
  <c r="T232" i="17"/>
  <c r="AQ232" i="17" s="1"/>
  <c r="T92" i="17"/>
  <c r="T369" i="17"/>
  <c r="AQ369" i="17" s="1"/>
  <c r="T60" i="17"/>
  <c r="T52" i="17"/>
  <c r="T51" i="17"/>
  <c r="AQ51" i="17" s="1"/>
  <c r="T324" i="17"/>
  <c r="AQ324" i="17" s="1"/>
  <c r="T41" i="17"/>
  <c r="AQ41" i="17" s="1"/>
  <c r="T352" i="17"/>
  <c r="AQ352" i="17" s="1"/>
  <c r="T304" i="17"/>
  <c r="AQ304" i="17" s="1"/>
  <c r="T383" i="17"/>
  <c r="AQ383" i="17" s="1"/>
  <c r="T119" i="17"/>
  <c r="AQ119" i="17" s="1"/>
  <c r="T190" i="17"/>
  <c r="AQ190" i="17" s="1"/>
  <c r="T372" i="17"/>
  <c r="AQ372" i="17" s="1"/>
  <c r="T405" i="17"/>
  <c r="AQ405" i="17" s="1"/>
  <c r="T410" i="17"/>
  <c r="AQ410" i="17" s="1"/>
  <c r="T61" i="17"/>
  <c r="AQ61" i="17" s="1"/>
  <c r="T479" i="17"/>
  <c r="AQ479" i="17" s="1"/>
  <c r="T456" i="17"/>
  <c r="AQ456" i="17" s="1"/>
  <c r="T461" i="17"/>
  <c r="AQ461" i="17" s="1"/>
  <c r="T76" i="17"/>
  <c r="T468" i="17"/>
  <c r="AQ468" i="17" s="1"/>
  <c r="T256" i="17"/>
  <c r="AQ256" i="17" s="1"/>
  <c r="T506" i="17"/>
  <c r="AQ506" i="17" s="1"/>
  <c r="T121" i="17"/>
  <c r="AQ121" i="17" s="1"/>
  <c r="T107" i="17"/>
  <c r="AQ107" i="17" s="1"/>
  <c r="T434" i="17"/>
  <c r="AQ434" i="17" s="1"/>
  <c r="T376" i="17"/>
  <c r="AQ376" i="17" s="1"/>
  <c r="T463" i="17"/>
  <c r="AQ463" i="17" s="1"/>
  <c r="T444" i="17"/>
  <c r="AQ444" i="17" s="1"/>
  <c r="T160" i="17"/>
  <c r="AQ160" i="17" s="1"/>
  <c r="T293" i="17"/>
  <c r="AQ293" i="17" s="1"/>
  <c r="T475" i="17"/>
  <c r="AQ475" i="17" s="1"/>
  <c r="T321" i="17"/>
  <c r="AQ321" i="17" s="1"/>
  <c r="T89" i="17"/>
  <c r="AQ89" i="17" s="1"/>
  <c r="T136" i="17"/>
  <c r="T29" i="17"/>
  <c r="AQ29" i="17" s="1"/>
  <c r="T47" i="17"/>
  <c r="AQ47" i="17" s="1"/>
  <c r="T24" i="17"/>
  <c r="T312" i="17"/>
  <c r="AQ312" i="17" s="1"/>
  <c r="T361" i="17"/>
  <c r="AQ361" i="17" s="1"/>
  <c r="T378" i="17"/>
  <c r="AQ378" i="17" s="1"/>
  <c r="T382" i="17"/>
  <c r="AQ382" i="17" s="1"/>
  <c r="T303" i="17"/>
  <c r="AQ303" i="17" s="1"/>
  <c r="T177" i="17"/>
  <c r="AQ177" i="17" s="1"/>
  <c r="T144" i="17"/>
  <c r="T318" i="17"/>
  <c r="AQ318" i="17" s="1"/>
  <c r="T514" i="17"/>
  <c r="AQ514" i="17" s="1"/>
  <c r="T71" i="17"/>
  <c r="AQ71" i="17" s="1"/>
  <c r="T341" i="17"/>
  <c r="AQ341" i="17" s="1"/>
  <c r="T332" i="17"/>
  <c r="AQ332" i="17" s="1"/>
  <c r="T124" i="17"/>
  <c r="T91" i="17"/>
  <c r="AQ91" i="17" s="1"/>
  <c r="T180" i="17"/>
  <c r="AQ180" i="17" s="1"/>
  <c r="T471" i="17"/>
  <c r="AQ471" i="17" s="1"/>
  <c r="T137" i="17"/>
  <c r="AQ137" i="17" s="1"/>
  <c r="T308" i="17"/>
  <c r="AQ308" i="17" s="1"/>
  <c r="T57" i="17"/>
  <c r="AQ57" i="17" s="1"/>
  <c r="T181" i="17"/>
  <c r="AQ181" i="17" s="1"/>
  <c r="T211" i="17"/>
  <c r="AQ211" i="17" s="1"/>
  <c r="T481" i="17"/>
  <c r="AQ481" i="17" s="1"/>
  <c r="B11" i="13"/>
  <c r="B2" i="3"/>
  <c r="C2" i="3"/>
  <c r="B43" i="3" s="1"/>
  <c r="C22" i="5"/>
  <c r="U13" i="12"/>
  <c r="O13" i="12" s="1"/>
  <c r="U14" i="12"/>
  <c r="O14" i="12" s="1"/>
  <c r="U15" i="12"/>
  <c r="O15" i="12" s="1"/>
  <c r="U16" i="12"/>
  <c r="O16" i="12" s="1"/>
  <c r="U17" i="12"/>
  <c r="O17" i="12" s="1"/>
  <c r="U18" i="12"/>
  <c r="O18" i="12" s="1"/>
  <c r="U19" i="12"/>
  <c r="O19" i="12" s="1"/>
  <c r="U20" i="12"/>
  <c r="O20" i="12" s="1"/>
  <c r="U21" i="12"/>
  <c r="O21" i="12" s="1"/>
  <c r="U22" i="12"/>
  <c r="O22" i="12" s="1"/>
  <c r="U23" i="12"/>
  <c r="O23" i="12" s="1"/>
  <c r="U24" i="12"/>
  <c r="O24" i="12" s="1"/>
  <c r="U25" i="12"/>
  <c r="O25" i="12" s="1"/>
  <c r="U26" i="12"/>
  <c r="O26" i="12" s="1"/>
  <c r="U27" i="12"/>
  <c r="O27" i="12" s="1"/>
  <c r="U28" i="12"/>
  <c r="O28" i="12" s="1"/>
  <c r="U29" i="12"/>
  <c r="O29" i="12" s="1"/>
  <c r="U30" i="12"/>
  <c r="O30" i="12" s="1"/>
  <c r="U31" i="12"/>
  <c r="O31" i="12" s="1"/>
  <c r="U32" i="12"/>
  <c r="O32" i="12" s="1"/>
  <c r="U33" i="12"/>
  <c r="O33" i="12" s="1"/>
  <c r="U34" i="12"/>
  <c r="O34" i="12" s="1"/>
  <c r="U35" i="12"/>
  <c r="O35" i="12" s="1"/>
  <c r="U36" i="12"/>
  <c r="O36" i="12" s="1"/>
  <c r="U37" i="12"/>
  <c r="O37" i="12" s="1"/>
  <c r="U38" i="12"/>
  <c r="O38" i="12" s="1"/>
  <c r="U39" i="12"/>
  <c r="O39" i="12" s="1"/>
  <c r="U40" i="12"/>
  <c r="O40" i="12" s="1"/>
  <c r="U41" i="12"/>
  <c r="O41" i="12" s="1"/>
  <c r="U42" i="12"/>
  <c r="O42" i="12" s="1"/>
  <c r="U43" i="12"/>
  <c r="O43" i="12" s="1"/>
  <c r="U44" i="12"/>
  <c r="O44" i="12" s="1"/>
  <c r="U45" i="12"/>
  <c r="O45" i="12" s="1"/>
  <c r="U46" i="12"/>
  <c r="O46" i="12" s="1"/>
  <c r="U47" i="12"/>
  <c r="O47" i="12" s="1"/>
  <c r="U48" i="12"/>
  <c r="O48" i="12" s="1"/>
  <c r="U49" i="12"/>
  <c r="O49" i="12" s="1"/>
  <c r="U50" i="12"/>
  <c r="O50" i="12" s="1"/>
  <c r="U51" i="12"/>
  <c r="O51" i="12" s="1"/>
  <c r="U52" i="12"/>
  <c r="O52" i="12" s="1"/>
  <c r="U53" i="12"/>
  <c r="O53" i="12" s="1"/>
  <c r="U54" i="12"/>
  <c r="O54" i="12" s="1"/>
  <c r="U55" i="12"/>
  <c r="O55" i="12" s="1"/>
  <c r="U56" i="12"/>
  <c r="O56" i="12" s="1"/>
  <c r="U57" i="12"/>
  <c r="O57" i="12" s="1"/>
  <c r="U58" i="12"/>
  <c r="O58" i="12" s="1"/>
  <c r="AI108" i="17" l="1"/>
  <c r="AM108" i="17" s="1"/>
  <c r="AQ108" i="17"/>
  <c r="AI148" i="17"/>
  <c r="AM148" i="17" s="1"/>
  <c r="AQ148" i="17"/>
  <c r="AA148" i="17" s="1"/>
  <c r="AI88" i="17"/>
  <c r="AM88" i="17" s="1"/>
  <c r="AQ88" i="17"/>
  <c r="AI104" i="17"/>
  <c r="AM104" i="17" s="1"/>
  <c r="AQ104" i="17"/>
  <c r="AA104" i="17" s="1"/>
  <c r="AI122" i="17"/>
  <c r="AM122" i="17" s="1"/>
  <c r="AQ122" i="17"/>
  <c r="AA122" i="17" s="1"/>
  <c r="AI20" i="17"/>
  <c r="AM20" i="17" s="1"/>
  <c r="AT20" i="17" s="1"/>
  <c r="AI32" i="17"/>
  <c r="AM32" i="17" s="1"/>
  <c r="AQ32" i="17"/>
  <c r="AI106" i="17"/>
  <c r="AM106" i="17" s="1"/>
  <c r="AQ106" i="17"/>
  <c r="AA106" i="17" s="1"/>
  <c r="AI22" i="17"/>
  <c r="AM22" i="17" s="1"/>
  <c r="AQ22" i="17" s="1"/>
  <c r="AI86" i="17"/>
  <c r="AM86" i="17" s="1"/>
  <c r="AQ86" i="17"/>
  <c r="AI142" i="17"/>
  <c r="AM142" i="17" s="1"/>
  <c r="AQ142" i="17"/>
  <c r="AA142" i="17" s="1"/>
  <c r="AI154" i="17"/>
  <c r="AM154" i="17" s="1"/>
  <c r="AQ154" i="17"/>
  <c r="AA154" i="17" s="1"/>
  <c r="AI134" i="17"/>
  <c r="AM134" i="17" s="1"/>
  <c r="AQ134" i="17"/>
  <c r="AA134" i="17" s="1"/>
  <c r="AI58" i="17"/>
  <c r="AM58" i="17" s="1"/>
  <c r="AQ58" i="17"/>
  <c r="AA58" i="17" s="1"/>
  <c r="AI116" i="17"/>
  <c r="AM116" i="17" s="1"/>
  <c r="AQ116" i="17"/>
  <c r="AA116" i="17" s="1"/>
  <c r="AI66" i="17"/>
  <c r="AM66" i="17" s="1"/>
  <c r="AQ66" i="17"/>
  <c r="AI62" i="17"/>
  <c r="AM62" i="17" s="1"/>
  <c r="AQ62" i="17"/>
  <c r="AA62" i="17" s="1"/>
  <c r="AI128" i="17"/>
  <c r="AM128" i="17" s="1"/>
  <c r="AQ128" i="17"/>
  <c r="AA128" i="17" s="1"/>
  <c r="AI78" i="17"/>
  <c r="AM78" i="17" s="1"/>
  <c r="AQ78" i="17"/>
  <c r="AA78" i="17" s="1"/>
  <c r="AI44" i="17"/>
  <c r="AM44" i="17" s="1"/>
  <c r="AQ44" i="17"/>
  <c r="AI90" i="17"/>
  <c r="AM90" i="17" s="1"/>
  <c r="AQ90" i="17"/>
  <c r="AI132" i="17"/>
  <c r="AM132" i="17" s="1"/>
  <c r="AQ132" i="17"/>
  <c r="AA132" i="17" s="1"/>
  <c r="AI124" i="17"/>
  <c r="AM124" i="17" s="1"/>
  <c r="AQ124" i="17"/>
  <c r="AA124" i="17" s="1"/>
  <c r="AI60" i="17"/>
  <c r="AM60" i="17" s="1"/>
  <c r="AQ60" i="17"/>
  <c r="AA60" i="17" s="1"/>
  <c r="AI36" i="17"/>
  <c r="AM36" i="17" s="1"/>
  <c r="AQ36" i="17"/>
  <c r="AI118" i="17"/>
  <c r="AM118" i="17" s="1"/>
  <c r="AQ118" i="17"/>
  <c r="AA118" i="17" s="1"/>
  <c r="AI48" i="17"/>
  <c r="AM48" i="17" s="1"/>
  <c r="AQ48" i="17"/>
  <c r="AI140" i="17"/>
  <c r="AM140" i="17" s="1"/>
  <c r="AQ140" i="17"/>
  <c r="AA140" i="17" s="1"/>
  <c r="AI46" i="17"/>
  <c r="AM46" i="17" s="1"/>
  <c r="AQ46" i="17"/>
  <c r="AI30" i="17"/>
  <c r="AM30" i="17" s="1"/>
  <c r="AQ30" i="17"/>
  <c r="AI74" i="17"/>
  <c r="AM74" i="17" s="1"/>
  <c r="AQ74" i="17"/>
  <c r="AA74" i="17" s="1"/>
  <c r="AI28" i="17"/>
  <c r="AM28" i="17" s="1"/>
  <c r="AQ28" i="17"/>
  <c r="AI76" i="17"/>
  <c r="AM76" i="17" s="1"/>
  <c r="AQ76" i="17"/>
  <c r="AI52" i="17"/>
  <c r="AM52" i="17" s="1"/>
  <c r="AQ52" i="17"/>
  <c r="AI40" i="17"/>
  <c r="AM40" i="17" s="1"/>
  <c r="AQ40" i="17"/>
  <c r="AI136" i="17"/>
  <c r="AM136" i="17" s="1"/>
  <c r="AQ136" i="17"/>
  <c r="AA136" i="17" s="1"/>
  <c r="AI130" i="17"/>
  <c r="AM130" i="17" s="1"/>
  <c r="AQ130" i="17"/>
  <c r="AA130" i="17" s="1"/>
  <c r="AI64" i="17"/>
  <c r="AM64" i="17" s="1"/>
  <c r="AQ64" i="17"/>
  <c r="AI94" i="17"/>
  <c r="AM94" i="17" s="1"/>
  <c r="AQ94" i="17"/>
  <c r="AA94" i="17" s="1"/>
  <c r="AI114" i="17"/>
  <c r="AM114" i="17" s="1"/>
  <c r="AQ114" i="17"/>
  <c r="AA114" i="17" s="1"/>
  <c r="AI24" i="17"/>
  <c r="AM24" i="17" s="1"/>
  <c r="AQ24" i="17"/>
  <c r="AI98" i="17"/>
  <c r="AM98" i="17" s="1"/>
  <c r="AQ98" i="17"/>
  <c r="AI96" i="17"/>
  <c r="AM96" i="17" s="1"/>
  <c r="AQ96" i="17"/>
  <c r="AA96" i="17" s="1"/>
  <c r="AI146" i="17"/>
  <c r="AM146" i="17" s="1"/>
  <c r="AQ146" i="17"/>
  <c r="AA146" i="17" s="1"/>
  <c r="AI54" i="17"/>
  <c r="AM54" i="17" s="1"/>
  <c r="AQ54" i="17"/>
  <c r="AI38" i="17"/>
  <c r="AM38" i="17" s="1"/>
  <c r="AQ38" i="17"/>
  <c r="AI150" i="17"/>
  <c r="AM150" i="17" s="1"/>
  <c r="AQ150" i="17"/>
  <c r="AA150" i="17" s="1"/>
  <c r="AI70" i="17"/>
  <c r="AM70" i="17" s="1"/>
  <c r="AQ70" i="17"/>
  <c r="AI82" i="17"/>
  <c r="AM82" i="17" s="1"/>
  <c r="AQ82" i="17"/>
  <c r="AB19" i="17"/>
  <c r="AI126" i="17"/>
  <c r="AM126" i="17" s="1"/>
  <c r="AQ126" i="17"/>
  <c r="AA126" i="17" s="1"/>
  <c r="AI152" i="17"/>
  <c r="AM152" i="17" s="1"/>
  <c r="AQ152" i="17"/>
  <c r="AI144" i="17"/>
  <c r="AM144" i="17" s="1"/>
  <c r="AQ144" i="17"/>
  <c r="AA144" i="17" s="1"/>
  <c r="AI92" i="17"/>
  <c r="AM92" i="17" s="1"/>
  <c r="AQ92" i="17"/>
  <c r="AA92" i="17" s="1"/>
  <c r="AI72" i="17"/>
  <c r="AM72" i="17" s="1"/>
  <c r="AQ72" i="17"/>
  <c r="AI102" i="17"/>
  <c r="AM102" i="17" s="1"/>
  <c r="AQ102" i="17"/>
  <c r="AA102" i="17" s="1"/>
  <c r="AI120" i="17"/>
  <c r="AM120" i="17" s="1"/>
  <c r="AQ120" i="17"/>
  <c r="AI84" i="17"/>
  <c r="AM84" i="17" s="1"/>
  <c r="AQ84" i="17"/>
  <c r="AI80" i="17"/>
  <c r="AM80" i="17" s="1"/>
  <c r="AQ80" i="17"/>
  <c r="AI110" i="17"/>
  <c r="AM110" i="17" s="1"/>
  <c r="AQ110" i="17"/>
  <c r="AA110" i="17" s="1"/>
  <c r="AI56" i="17"/>
  <c r="AM56" i="17" s="1"/>
  <c r="AQ56" i="17"/>
  <c r="AI50" i="17"/>
  <c r="AM50" i="17" s="1"/>
  <c r="AQ50" i="17"/>
  <c r="AI26" i="17"/>
  <c r="AM26" i="17" s="1"/>
  <c r="AQ26" i="17"/>
  <c r="AI138" i="17"/>
  <c r="AM138" i="17" s="1"/>
  <c r="AQ138" i="17"/>
  <c r="AA138" i="17" s="1"/>
  <c r="AI34" i="17"/>
  <c r="AM34" i="17" s="1"/>
  <c r="AQ34" i="17"/>
  <c r="AI100" i="17"/>
  <c r="AM100" i="17" s="1"/>
  <c r="AQ100" i="17"/>
  <c r="AA100" i="17" s="1"/>
  <c r="AI112" i="17"/>
  <c r="AM112" i="17" s="1"/>
  <c r="AQ112" i="17"/>
  <c r="AA112" i="17" s="1"/>
  <c r="AI68" i="17"/>
  <c r="AM68" i="17" s="1"/>
  <c r="AQ68" i="17"/>
  <c r="AI42" i="17"/>
  <c r="AM42" i="17" s="1"/>
  <c r="AQ42" i="17"/>
  <c r="AI481" i="17"/>
  <c r="AM481" i="17" s="1"/>
  <c r="AB481" i="17"/>
  <c r="AI308" i="17"/>
  <c r="AM308" i="17" s="1"/>
  <c r="AB308" i="17"/>
  <c r="AB91" i="17"/>
  <c r="AI91" i="17"/>
  <c r="AM91" i="17" s="1"/>
  <c r="AB71" i="17"/>
  <c r="AI71" i="17"/>
  <c r="AM71" i="17" s="1"/>
  <c r="AI177" i="17"/>
  <c r="AM177" i="17" s="1"/>
  <c r="AB177" i="17"/>
  <c r="AI361" i="17"/>
  <c r="AM361" i="17" s="1"/>
  <c r="AB361" i="17"/>
  <c r="AB29" i="17"/>
  <c r="AI29" i="17"/>
  <c r="AM29" i="17" s="1"/>
  <c r="AI475" i="17"/>
  <c r="AM475" i="17" s="1"/>
  <c r="AB475" i="17"/>
  <c r="AI463" i="17"/>
  <c r="AM463" i="17" s="1"/>
  <c r="AB463" i="17"/>
  <c r="AB121" i="17"/>
  <c r="AI121" i="17"/>
  <c r="AM121" i="17" s="1"/>
  <c r="AB61" i="17"/>
  <c r="AI61" i="17"/>
  <c r="AM61" i="17" s="1"/>
  <c r="AI190" i="17"/>
  <c r="AM190" i="17" s="1"/>
  <c r="AB190" i="17"/>
  <c r="AI352" i="17"/>
  <c r="AM352" i="17" s="1"/>
  <c r="AB352" i="17"/>
  <c r="AI232" i="17"/>
  <c r="AM232" i="17" s="1"/>
  <c r="AB232" i="17"/>
  <c r="AI337" i="17"/>
  <c r="AM337" i="17" s="1"/>
  <c r="AB337" i="17"/>
  <c r="AI425" i="17"/>
  <c r="AM425" i="17" s="1"/>
  <c r="AB425" i="17"/>
  <c r="AI507" i="17"/>
  <c r="AM507" i="17" s="1"/>
  <c r="AB507" i="17"/>
  <c r="AI222" i="17"/>
  <c r="AM222" i="17" s="1"/>
  <c r="AB222" i="17"/>
  <c r="AI491" i="17"/>
  <c r="AM491" i="17" s="1"/>
  <c r="AB491" i="17"/>
  <c r="AI200" i="17"/>
  <c r="AM200" i="17" s="1"/>
  <c r="AB200" i="17"/>
  <c r="AB27" i="17"/>
  <c r="AI27" i="17"/>
  <c r="AM27" i="17" s="1"/>
  <c r="AB53" i="17"/>
  <c r="AI53" i="17"/>
  <c r="AM53" i="17" s="1"/>
  <c r="AI254" i="17"/>
  <c r="AM254" i="17" s="1"/>
  <c r="AB254" i="17"/>
  <c r="AI249" i="17"/>
  <c r="AM249" i="17" s="1"/>
  <c r="AB249" i="17"/>
  <c r="AI165" i="17"/>
  <c r="AM165" i="17" s="1"/>
  <c r="AB165" i="17"/>
  <c r="AI422" i="17"/>
  <c r="AM422" i="17" s="1"/>
  <c r="AB422" i="17"/>
  <c r="AI493" i="17"/>
  <c r="AM493" i="17" s="1"/>
  <c r="AB493" i="17"/>
  <c r="AI320" i="17"/>
  <c r="AM320" i="17" s="1"/>
  <c r="AB320" i="17"/>
  <c r="AI262" i="17"/>
  <c r="AM262" i="17" s="1"/>
  <c r="AB262" i="17"/>
  <c r="AI161" i="17"/>
  <c r="AM161" i="17" s="1"/>
  <c r="AB161" i="17"/>
  <c r="AB97" i="17"/>
  <c r="AI97" i="17"/>
  <c r="AM97" i="17" s="1"/>
  <c r="AI202" i="17"/>
  <c r="AM202" i="17" s="1"/>
  <c r="AB202" i="17"/>
  <c r="AI185" i="17"/>
  <c r="AM185" i="17" s="1"/>
  <c r="AB185" i="17"/>
  <c r="AI242" i="17"/>
  <c r="AM242" i="17" s="1"/>
  <c r="AB242" i="17"/>
  <c r="AI163" i="17"/>
  <c r="AM163" i="17" s="1"/>
  <c r="AB163" i="17"/>
  <c r="AI392" i="17"/>
  <c r="AM392" i="17" s="1"/>
  <c r="AB392" i="17"/>
  <c r="AI509" i="17"/>
  <c r="AM509" i="17" s="1"/>
  <c r="AB509" i="17"/>
  <c r="AI426" i="17"/>
  <c r="AM426" i="17" s="1"/>
  <c r="AB426" i="17"/>
  <c r="AI448" i="17"/>
  <c r="AM448" i="17" s="1"/>
  <c r="AB448" i="17"/>
  <c r="AI387" i="17"/>
  <c r="AM387" i="17" s="1"/>
  <c r="AB387" i="17"/>
  <c r="AI195" i="17"/>
  <c r="AM195" i="17" s="1"/>
  <c r="AB195" i="17"/>
  <c r="AI349" i="17"/>
  <c r="AM349" i="17" s="1"/>
  <c r="AB349" i="17"/>
  <c r="AB103" i="17"/>
  <c r="AI103" i="17"/>
  <c r="AM103" i="17" s="1"/>
  <c r="AI505" i="17"/>
  <c r="AM505" i="17" s="1"/>
  <c r="AB505" i="17"/>
  <c r="AI307" i="17"/>
  <c r="AM307" i="17" s="1"/>
  <c r="AB307" i="17"/>
  <c r="AI408" i="17"/>
  <c r="AM408" i="17" s="1"/>
  <c r="AB408" i="17"/>
  <c r="AI300" i="17"/>
  <c r="AM300" i="17" s="1"/>
  <c r="AB300" i="17"/>
  <c r="AB25" i="17"/>
  <c r="AI25" i="17"/>
  <c r="AM25" i="17" s="1"/>
  <c r="AI351" i="17"/>
  <c r="AM351" i="17" s="1"/>
  <c r="AB351" i="17"/>
  <c r="AI489" i="17"/>
  <c r="AM489" i="17" s="1"/>
  <c r="AB489" i="17"/>
  <c r="AB55" i="17"/>
  <c r="AI55" i="17"/>
  <c r="AM55" i="17" s="1"/>
  <c r="AI171" i="17"/>
  <c r="AM171" i="17" s="1"/>
  <c r="AB171" i="17"/>
  <c r="AI309" i="17"/>
  <c r="AM309" i="17" s="1"/>
  <c r="AB309" i="17"/>
  <c r="AI287" i="17"/>
  <c r="AM287" i="17" s="1"/>
  <c r="AB287" i="17"/>
  <c r="AI334" i="17"/>
  <c r="AM334" i="17" s="1"/>
  <c r="AB334" i="17"/>
  <c r="AI176" i="17"/>
  <c r="AM176" i="17" s="1"/>
  <c r="AB176" i="17"/>
  <c r="AI518" i="17"/>
  <c r="AM518" i="17" s="1"/>
  <c r="AB518" i="17"/>
  <c r="AI258" i="17"/>
  <c r="AM258" i="17" s="1"/>
  <c r="AB258" i="17"/>
  <c r="AI380" i="17"/>
  <c r="AM380" i="17" s="1"/>
  <c r="AB380" i="17"/>
  <c r="AI245" i="17"/>
  <c r="AM245" i="17" s="1"/>
  <c r="AB245" i="17"/>
  <c r="AI280" i="17"/>
  <c r="AM280" i="17" s="1"/>
  <c r="AB280" i="17"/>
  <c r="AI205" i="17"/>
  <c r="AM205" i="17" s="1"/>
  <c r="AB205" i="17"/>
  <c r="AI329" i="17"/>
  <c r="AM329" i="17" s="1"/>
  <c r="AB329" i="17"/>
  <c r="AI164" i="17"/>
  <c r="AM164" i="17" s="1"/>
  <c r="AB164" i="17"/>
  <c r="AI451" i="17"/>
  <c r="AM451" i="17" s="1"/>
  <c r="AB451" i="17"/>
  <c r="AI370" i="17"/>
  <c r="AM370" i="17" s="1"/>
  <c r="AB370" i="17"/>
  <c r="AI402" i="17"/>
  <c r="AM402" i="17" s="1"/>
  <c r="AB402" i="17"/>
  <c r="AI259" i="17"/>
  <c r="AM259" i="17" s="1"/>
  <c r="AB259" i="17"/>
  <c r="AI187" i="17"/>
  <c r="AM187" i="17" s="1"/>
  <c r="AB187" i="17"/>
  <c r="AI247" i="17"/>
  <c r="AM247" i="17" s="1"/>
  <c r="AB247" i="17"/>
  <c r="AB131" i="17"/>
  <c r="AI131" i="17"/>
  <c r="AM131" i="17" s="1"/>
  <c r="AI477" i="17"/>
  <c r="AM477" i="17" s="1"/>
  <c r="AB477" i="17"/>
  <c r="AI236" i="17"/>
  <c r="AM236" i="17" s="1"/>
  <c r="AB236" i="17"/>
  <c r="AI270" i="17"/>
  <c r="AM270" i="17" s="1"/>
  <c r="AB270" i="17"/>
  <c r="AI467" i="17"/>
  <c r="AM467" i="17" s="1"/>
  <c r="AB467" i="17"/>
  <c r="AI397" i="17"/>
  <c r="AM397" i="17" s="1"/>
  <c r="AB397" i="17"/>
  <c r="AI374" i="17"/>
  <c r="AM374" i="17" s="1"/>
  <c r="AB374" i="17"/>
  <c r="AI431" i="17"/>
  <c r="AM431" i="17" s="1"/>
  <c r="AB431" i="17"/>
  <c r="AI474" i="17"/>
  <c r="AM474" i="17" s="1"/>
  <c r="AB474" i="17"/>
  <c r="AI213" i="17"/>
  <c r="AM213" i="17" s="1"/>
  <c r="AB213" i="17"/>
  <c r="AI381" i="17"/>
  <c r="AM381" i="17" s="1"/>
  <c r="AB381" i="17"/>
  <c r="AI260" i="17"/>
  <c r="AM260" i="17" s="1"/>
  <c r="AB260" i="17"/>
  <c r="AI504" i="17"/>
  <c r="AM504" i="17" s="1"/>
  <c r="AB504" i="17"/>
  <c r="AI167" i="17"/>
  <c r="AM167" i="17" s="1"/>
  <c r="AB167" i="17"/>
  <c r="AI277" i="17"/>
  <c r="AM277" i="17" s="1"/>
  <c r="AB277" i="17"/>
  <c r="AI252" i="17"/>
  <c r="AM252" i="17" s="1"/>
  <c r="AB252" i="17"/>
  <c r="AI454" i="17"/>
  <c r="AM454" i="17" s="1"/>
  <c r="AB454" i="17"/>
  <c r="AI464" i="17"/>
  <c r="AM464" i="17" s="1"/>
  <c r="AB464" i="17"/>
  <c r="AI359" i="17"/>
  <c r="AM359" i="17" s="1"/>
  <c r="AB359" i="17"/>
  <c r="AI347" i="17"/>
  <c r="AM347" i="17" s="1"/>
  <c r="AB347" i="17"/>
  <c r="AI473" i="17"/>
  <c r="AM473" i="17" s="1"/>
  <c r="AB473" i="17"/>
  <c r="AI267" i="17"/>
  <c r="AM267" i="17" s="1"/>
  <c r="AB267" i="17"/>
  <c r="AI354" i="17"/>
  <c r="AM354" i="17" s="1"/>
  <c r="AB354" i="17"/>
  <c r="AI447" i="17"/>
  <c r="AM447" i="17" s="1"/>
  <c r="AB447" i="17"/>
  <c r="AI512" i="17"/>
  <c r="AM512" i="17" s="1"/>
  <c r="AB512" i="17"/>
  <c r="AI338" i="17"/>
  <c r="AM338" i="17" s="1"/>
  <c r="AB338" i="17"/>
  <c r="AI411" i="17"/>
  <c r="AM411" i="17" s="1"/>
  <c r="AB411" i="17"/>
  <c r="AI278" i="17"/>
  <c r="AM278" i="17" s="1"/>
  <c r="AB278" i="17"/>
  <c r="AI315" i="17"/>
  <c r="AM315" i="17" s="1"/>
  <c r="AB315" i="17"/>
  <c r="AI226" i="17"/>
  <c r="AM226" i="17" s="1"/>
  <c r="AB226" i="17"/>
  <c r="AI211" i="17"/>
  <c r="AM211" i="17" s="1"/>
  <c r="AB211" i="17"/>
  <c r="AB137" i="17"/>
  <c r="AI137" i="17"/>
  <c r="AM137" i="17" s="1"/>
  <c r="AI514" i="17"/>
  <c r="AM514" i="17" s="1"/>
  <c r="AB514" i="17"/>
  <c r="AI303" i="17"/>
  <c r="AM303" i="17" s="1"/>
  <c r="AB303" i="17"/>
  <c r="AI312" i="17"/>
  <c r="AM312" i="17" s="1"/>
  <c r="AB312" i="17"/>
  <c r="AI293" i="17"/>
  <c r="AM293" i="17" s="1"/>
  <c r="AB293" i="17"/>
  <c r="AI376" i="17"/>
  <c r="AM376" i="17" s="1"/>
  <c r="AB376" i="17"/>
  <c r="AI506" i="17"/>
  <c r="AM506" i="17" s="1"/>
  <c r="AB506" i="17"/>
  <c r="AI461" i="17"/>
  <c r="AM461" i="17" s="1"/>
  <c r="AB461" i="17"/>
  <c r="AI410" i="17"/>
  <c r="AM410" i="17" s="1"/>
  <c r="AB410" i="17"/>
  <c r="AB119" i="17"/>
  <c r="AI119" i="17"/>
  <c r="AM119" i="17" s="1"/>
  <c r="AB41" i="17"/>
  <c r="AI41" i="17"/>
  <c r="AM41" i="17" s="1"/>
  <c r="AI485" i="17"/>
  <c r="AM485" i="17" s="1"/>
  <c r="AB485" i="17"/>
  <c r="AI250" i="17"/>
  <c r="AM250" i="17" s="1"/>
  <c r="AB250" i="17"/>
  <c r="AI243" i="17"/>
  <c r="AM243" i="17" s="1"/>
  <c r="AB243" i="17"/>
  <c r="AI409" i="17"/>
  <c r="AM409" i="17" s="1"/>
  <c r="AB409" i="17"/>
  <c r="AI327" i="17"/>
  <c r="AM327" i="17" s="1"/>
  <c r="AB327" i="17"/>
  <c r="AI296" i="17"/>
  <c r="AM296" i="17" s="1"/>
  <c r="AB296" i="17"/>
  <c r="AB79" i="17"/>
  <c r="AI79" i="17"/>
  <c r="AM79" i="17" s="1"/>
  <c r="AI21" i="17"/>
  <c r="AM21" i="17" s="1"/>
  <c r="AB153" i="17"/>
  <c r="AI153" i="17"/>
  <c r="AM153" i="17" s="1"/>
  <c r="AI261" i="17"/>
  <c r="AM261" i="17" s="1"/>
  <c r="AB261" i="17"/>
  <c r="AI348" i="17"/>
  <c r="AM348" i="17" s="1"/>
  <c r="AB348" i="17"/>
  <c r="AI297" i="17"/>
  <c r="AM297" i="17" s="1"/>
  <c r="AB297" i="17"/>
  <c r="AI266" i="17"/>
  <c r="AM266" i="17" s="1"/>
  <c r="AB266" i="17"/>
  <c r="AI353" i="17"/>
  <c r="AM353" i="17" s="1"/>
  <c r="AB353" i="17"/>
  <c r="AI414" i="17"/>
  <c r="AM414" i="17" s="1"/>
  <c r="AB414" i="17"/>
  <c r="AI283" i="17"/>
  <c r="AM283" i="17" s="1"/>
  <c r="AB283" i="17"/>
  <c r="AI157" i="17"/>
  <c r="AM157" i="17" s="1"/>
  <c r="AB157" i="17"/>
  <c r="AI393" i="17"/>
  <c r="AM393" i="17" s="1"/>
  <c r="AB393" i="17"/>
  <c r="AB133" i="17"/>
  <c r="AI133" i="17"/>
  <c r="AM133" i="17" s="1"/>
  <c r="AI198" i="17"/>
  <c r="AM198" i="17" s="1"/>
  <c r="AB198" i="17"/>
  <c r="AI208" i="17"/>
  <c r="AM208" i="17" s="1"/>
  <c r="AB208" i="17"/>
  <c r="AI197" i="17"/>
  <c r="AM197" i="17" s="1"/>
  <c r="AB197" i="17"/>
  <c r="AI248" i="17"/>
  <c r="AM248" i="17" s="1"/>
  <c r="AB248" i="17"/>
  <c r="AI478" i="17"/>
  <c r="AM478" i="17" s="1"/>
  <c r="AB478" i="17"/>
  <c r="AI391" i="17"/>
  <c r="AM391" i="17" s="1"/>
  <c r="AB391" i="17"/>
  <c r="AI413" i="17"/>
  <c r="AM413" i="17" s="1"/>
  <c r="AB413" i="17"/>
  <c r="AI272" i="17"/>
  <c r="AM272" i="17" s="1"/>
  <c r="AB272" i="17"/>
  <c r="AB67" i="17"/>
  <c r="AI67" i="17"/>
  <c r="AM67" i="17" s="1"/>
  <c r="AI488" i="17"/>
  <c r="AM488" i="17" s="1"/>
  <c r="AB488" i="17"/>
  <c r="AI193" i="17"/>
  <c r="AM193" i="17" s="1"/>
  <c r="AB193" i="17"/>
  <c r="AI199" i="17"/>
  <c r="AM199" i="17" s="1"/>
  <c r="AB199" i="17"/>
  <c r="AI291" i="17"/>
  <c r="AM291" i="17" s="1"/>
  <c r="AB291" i="17"/>
  <c r="AI344" i="17"/>
  <c r="AM344" i="17" s="1"/>
  <c r="AB344" i="17"/>
  <c r="AB77" i="17"/>
  <c r="AI77" i="17"/>
  <c r="AM77" i="17" s="1"/>
  <c r="AI432" i="17"/>
  <c r="AM432" i="17" s="1"/>
  <c r="AB432" i="17"/>
  <c r="AI486" i="17"/>
  <c r="AM486" i="17" s="1"/>
  <c r="AB486" i="17"/>
  <c r="AI428" i="17"/>
  <c r="AM428" i="17" s="1"/>
  <c r="AB428" i="17"/>
  <c r="AI364" i="17"/>
  <c r="AM364" i="17" s="1"/>
  <c r="AB364" i="17"/>
  <c r="AI230" i="17"/>
  <c r="AM230" i="17" s="1"/>
  <c r="AB230" i="17"/>
  <c r="AB37" i="17"/>
  <c r="AI37" i="17"/>
  <c r="AM37" i="17" s="1"/>
  <c r="AI168" i="17"/>
  <c r="AM168" i="17" s="1"/>
  <c r="AB168" i="17"/>
  <c r="AI246" i="17"/>
  <c r="AM246" i="17" s="1"/>
  <c r="AB246" i="17"/>
  <c r="AI225" i="17"/>
  <c r="AM225" i="17" s="1"/>
  <c r="AB225" i="17"/>
  <c r="AI476" i="17"/>
  <c r="AM476" i="17" s="1"/>
  <c r="AB476" i="17"/>
  <c r="AI401" i="17"/>
  <c r="AM401" i="17" s="1"/>
  <c r="AB401" i="17"/>
  <c r="AI218" i="17"/>
  <c r="AM218" i="17" s="1"/>
  <c r="AB218" i="17"/>
  <c r="AI430" i="17"/>
  <c r="AM430" i="17" s="1"/>
  <c r="AB430" i="17"/>
  <c r="AB141" i="17"/>
  <c r="AI141" i="17"/>
  <c r="AM141" i="17" s="1"/>
  <c r="AI421" i="17"/>
  <c r="AM421" i="17" s="1"/>
  <c r="AB421" i="17"/>
  <c r="AI336" i="17"/>
  <c r="AM336" i="17" s="1"/>
  <c r="AB336" i="17"/>
  <c r="AI162" i="17"/>
  <c r="AM162" i="17" s="1"/>
  <c r="AB162" i="17"/>
  <c r="AI182" i="17"/>
  <c r="AM182" i="17" s="1"/>
  <c r="AB182" i="17"/>
  <c r="AI289" i="17"/>
  <c r="AM289" i="17" s="1"/>
  <c r="AB289" i="17"/>
  <c r="AI472" i="17"/>
  <c r="AM472" i="17" s="1"/>
  <c r="AB472" i="17"/>
  <c r="AI301" i="17"/>
  <c r="AM301" i="17" s="1"/>
  <c r="AB301" i="17"/>
  <c r="AI455" i="17"/>
  <c r="AM455" i="17" s="1"/>
  <c r="AB455" i="17"/>
  <c r="AI219" i="17"/>
  <c r="AM219" i="17" s="1"/>
  <c r="AB219" i="17"/>
  <c r="AI170" i="17"/>
  <c r="AM170" i="17" s="1"/>
  <c r="AB170" i="17"/>
  <c r="AI517" i="17"/>
  <c r="AM517" i="17" s="1"/>
  <c r="AB517" i="17"/>
  <c r="AI244" i="17"/>
  <c r="AM244" i="17" s="1"/>
  <c r="AB244" i="17"/>
  <c r="AI360" i="17"/>
  <c r="AM360" i="17" s="1"/>
  <c r="AB360" i="17"/>
  <c r="AB125" i="17"/>
  <c r="AI125" i="17"/>
  <c r="AM125" i="17" s="1"/>
  <c r="AI299" i="17"/>
  <c r="AM299" i="17" s="1"/>
  <c r="AB299" i="17"/>
  <c r="AI155" i="17"/>
  <c r="AM155" i="17" s="1"/>
  <c r="AB155" i="17"/>
  <c r="AB43" i="17"/>
  <c r="AI43" i="17"/>
  <c r="AM43" i="17" s="1"/>
  <c r="AI406" i="17"/>
  <c r="AM406" i="17" s="1"/>
  <c r="AB406" i="17"/>
  <c r="AI419" i="17"/>
  <c r="AM419" i="17" s="1"/>
  <c r="AB419" i="17"/>
  <c r="AI459" i="17"/>
  <c r="AM459" i="17" s="1"/>
  <c r="AB459" i="17"/>
  <c r="AI159" i="17"/>
  <c r="AM159" i="17" s="1"/>
  <c r="AB159" i="17"/>
  <c r="AI263" i="17"/>
  <c r="AM263" i="17" s="1"/>
  <c r="AB263" i="17"/>
  <c r="AI175" i="17"/>
  <c r="AM175" i="17" s="1"/>
  <c r="AB175" i="17"/>
  <c r="AI480" i="17"/>
  <c r="AM480" i="17" s="1"/>
  <c r="AB480" i="17"/>
  <c r="AB147" i="17"/>
  <c r="AI147" i="17"/>
  <c r="AM147" i="17" s="1"/>
  <c r="AB63" i="17"/>
  <c r="AI63" i="17"/>
  <c r="AM63" i="17" s="1"/>
  <c r="AI508" i="17"/>
  <c r="AM508" i="17" s="1"/>
  <c r="AB508" i="17"/>
  <c r="AI214" i="17"/>
  <c r="AM214" i="17" s="1"/>
  <c r="AB214" i="17"/>
  <c r="AB111" i="17"/>
  <c r="AI111" i="17"/>
  <c r="AM111" i="17" s="1"/>
  <c r="AI298" i="17"/>
  <c r="AM298" i="17" s="1"/>
  <c r="AB298" i="17"/>
  <c r="AI255" i="17"/>
  <c r="AM255" i="17" s="1"/>
  <c r="AB255" i="17"/>
  <c r="AI239" i="17"/>
  <c r="AM239" i="17" s="1"/>
  <c r="AB239" i="17"/>
  <c r="AI482" i="17"/>
  <c r="AM482" i="17" s="1"/>
  <c r="AB482" i="17"/>
  <c r="AI403" i="17"/>
  <c r="AM403" i="17" s="1"/>
  <c r="AB403" i="17"/>
  <c r="AI233" i="17"/>
  <c r="AM233" i="17" s="1"/>
  <c r="AB233" i="17"/>
  <c r="AI282" i="17"/>
  <c r="AM282" i="17" s="1"/>
  <c r="AB282" i="17"/>
  <c r="AB143" i="17"/>
  <c r="AI143" i="17"/>
  <c r="AM143" i="17" s="1"/>
  <c r="AI362" i="17"/>
  <c r="AM362" i="17" s="1"/>
  <c r="AB362" i="17"/>
  <c r="AI311" i="17"/>
  <c r="AM311" i="17" s="1"/>
  <c r="AB311" i="17"/>
  <c r="AB65" i="17"/>
  <c r="AI65" i="17"/>
  <c r="AM65" i="17" s="1"/>
  <c r="AI373" i="17"/>
  <c r="AM373" i="17" s="1"/>
  <c r="AB373" i="17"/>
  <c r="AI427" i="17"/>
  <c r="AM427" i="17" s="1"/>
  <c r="AB427" i="17"/>
  <c r="AI179" i="17"/>
  <c r="AM179" i="17" s="1"/>
  <c r="AB179" i="17"/>
  <c r="AI228" i="17"/>
  <c r="AM228" i="17" s="1"/>
  <c r="AB228" i="17"/>
  <c r="AB23" i="17"/>
  <c r="AI23" i="17"/>
  <c r="AM23" i="17" s="1"/>
  <c r="AI469" i="17"/>
  <c r="AM469" i="17" s="1"/>
  <c r="AB469" i="17"/>
  <c r="AI335" i="17"/>
  <c r="AM335" i="17" s="1"/>
  <c r="AB335" i="17"/>
  <c r="AB95" i="17"/>
  <c r="AI95" i="17"/>
  <c r="AM95" i="17" s="1"/>
  <c r="AI439" i="17"/>
  <c r="AM439" i="17" s="1"/>
  <c r="AB439" i="17"/>
  <c r="AI181" i="17"/>
  <c r="AM181" i="17" s="1"/>
  <c r="AB181" i="17"/>
  <c r="AI471" i="17"/>
  <c r="AM471" i="17" s="1"/>
  <c r="AB471" i="17"/>
  <c r="AI332" i="17"/>
  <c r="AM332" i="17" s="1"/>
  <c r="AB332" i="17"/>
  <c r="AI318" i="17"/>
  <c r="AM318" i="17" s="1"/>
  <c r="AB318" i="17"/>
  <c r="AI382" i="17"/>
  <c r="AM382" i="17" s="1"/>
  <c r="AB382" i="17"/>
  <c r="AB89" i="17"/>
  <c r="AI89" i="17"/>
  <c r="AM89" i="17" s="1"/>
  <c r="AI160" i="17"/>
  <c r="AM160" i="17" s="1"/>
  <c r="AB160" i="17"/>
  <c r="AI434" i="17"/>
  <c r="AM434" i="17" s="1"/>
  <c r="AB434" i="17"/>
  <c r="AI256" i="17"/>
  <c r="AM256" i="17" s="1"/>
  <c r="AB256" i="17"/>
  <c r="AI456" i="17"/>
  <c r="AM456" i="17" s="1"/>
  <c r="AB456" i="17"/>
  <c r="AI405" i="17"/>
  <c r="AM405" i="17" s="1"/>
  <c r="AB405" i="17"/>
  <c r="AI383" i="17"/>
  <c r="AM383" i="17" s="1"/>
  <c r="AB383" i="17"/>
  <c r="AI324" i="17"/>
  <c r="AM324" i="17" s="1"/>
  <c r="AB324" i="17"/>
  <c r="AI369" i="17"/>
  <c r="AM369" i="17" s="1"/>
  <c r="AB369" i="17"/>
  <c r="AI363" i="17"/>
  <c r="AM363" i="17" s="1"/>
  <c r="AB363" i="17"/>
  <c r="AI326" i="17"/>
  <c r="AM326" i="17" s="1"/>
  <c r="AB326" i="17"/>
  <c r="AI310" i="17"/>
  <c r="AM310" i="17" s="1"/>
  <c r="AB310" i="17"/>
  <c r="AI328" i="17"/>
  <c r="AM328" i="17" s="1"/>
  <c r="AB328" i="17"/>
  <c r="AI420" i="17"/>
  <c r="AM420" i="17" s="1"/>
  <c r="AB420" i="17"/>
  <c r="AI460" i="17"/>
  <c r="AM460" i="17" s="1"/>
  <c r="AB460" i="17"/>
  <c r="AI325" i="17"/>
  <c r="AM325" i="17" s="1"/>
  <c r="AB325" i="17"/>
  <c r="AI350" i="17"/>
  <c r="AM350" i="17" s="1"/>
  <c r="AB350" i="17"/>
  <c r="AI500" i="17"/>
  <c r="AM500" i="17" s="1"/>
  <c r="AB500" i="17"/>
  <c r="AI441" i="17"/>
  <c r="AM441" i="17" s="1"/>
  <c r="AB441" i="17"/>
  <c r="AB87" i="17"/>
  <c r="AI87" i="17"/>
  <c r="AM87" i="17" s="1"/>
  <c r="AI437" i="17"/>
  <c r="AM437" i="17" s="1"/>
  <c r="AB437" i="17"/>
  <c r="AI396" i="17"/>
  <c r="AM396" i="17" s="1"/>
  <c r="AB396" i="17"/>
  <c r="AI271" i="17"/>
  <c r="AM271" i="17" s="1"/>
  <c r="AB271" i="17"/>
  <c r="AB129" i="17"/>
  <c r="AI129" i="17"/>
  <c r="AM129" i="17" s="1"/>
  <c r="AB93" i="17"/>
  <c r="AI93" i="17"/>
  <c r="AM93" i="17" s="1"/>
  <c r="AI345" i="17"/>
  <c r="AM345" i="17" s="1"/>
  <c r="AB345" i="17"/>
  <c r="AI241" i="17"/>
  <c r="AM241" i="17" s="1"/>
  <c r="AB241" i="17"/>
  <c r="AI275" i="17"/>
  <c r="AM275" i="17" s="1"/>
  <c r="AB275" i="17"/>
  <c r="AB33" i="17"/>
  <c r="AI33" i="17"/>
  <c r="AM33" i="17" s="1"/>
  <c r="AB101" i="17"/>
  <c r="AI101" i="17"/>
  <c r="AM101" i="17" s="1"/>
  <c r="AI358" i="17"/>
  <c r="AM358" i="17" s="1"/>
  <c r="AB358" i="17"/>
  <c r="AI206" i="17"/>
  <c r="AM206" i="17" s="1"/>
  <c r="AB206" i="17"/>
  <c r="AI503" i="17"/>
  <c r="AM503" i="17" s="1"/>
  <c r="AB503" i="17"/>
  <c r="AB69" i="17"/>
  <c r="AI69" i="17"/>
  <c r="AM69" i="17" s="1"/>
  <c r="AI292" i="17"/>
  <c r="AM292" i="17" s="1"/>
  <c r="AB292" i="17"/>
  <c r="AI377" i="17"/>
  <c r="AM377" i="17" s="1"/>
  <c r="AB377" i="17"/>
  <c r="AB45" i="17"/>
  <c r="AI45" i="17"/>
  <c r="AM45" i="17" s="1"/>
  <c r="AI215" i="17"/>
  <c r="AM215" i="17" s="1"/>
  <c r="AB215" i="17"/>
  <c r="AI189" i="17"/>
  <c r="AM189" i="17" s="1"/>
  <c r="AB189" i="17"/>
  <c r="AI313" i="17"/>
  <c r="AM313" i="17" s="1"/>
  <c r="AB313" i="17"/>
  <c r="AI417" i="17"/>
  <c r="AM417" i="17" s="1"/>
  <c r="AB417" i="17"/>
  <c r="AI497" i="17"/>
  <c r="AM497" i="17" s="1"/>
  <c r="AB497" i="17"/>
  <c r="AI279" i="17"/>
  <c r="AM279" i="17" s="1"/>
  <c r="AB279" i="17"/>
  <c r="AB145" i="17"/>
  <c r="AI145" i="17"/>
  <c r="AM145" i="17" s="1"/>
  <c r="AI418" i="17"/>
  <c r="AM418" i="17" s="1"/>
  <c r="AB418" i="17"/>
  <c r="AI452" i="17"/>
  <c r="AM452" i="17" s="1"/>
  <c r="AB452" i="17"/>
  <c r="AI172" i="17"/>
  <c r="AM172" i="17" s="1"/>
  <c r="AB172" i="17"/>
  <c r="AI188" i="17"/>
  <c r="AM188" i="17" s="1"/>
  <c r="AB188" i="17"/>
  <c r="AB139" i="17"/>
  <c r="AI139" i="17"/>
  <c r="AM139" i="17" s="1"/>
  <c r="AI273" i="17"/>
  <c r="AM273" i="17" s="1"/>
  <c r="AB273" i="17"/>
  <c r="AI490" i="17"/>
  <c r="AM490" i="17" s="1"/>
  <c r="AB490" i="17"/>
  <c r="AI178" i="17"/>
  <c r="AM178" i="17" s="1"/>
  <c r="AB178" i="17"/>
  <c r="AI183" i="17"/>
  <c r="AM183" i="17" s="1"/>
  <c r="AB183" i="17"/>
  <c r="AI449" i="17"/>
  <c r="AM449" i="17" s="1"/>
  <c r="AB449" i="17"/>
  <c r="AB149" i="17"/>
  <c r="AI149" i="17"/>
  <c r="AM149" i="17" s="1"/>
  <c r="AI445" i="17"/>
  <c r="AM445" i="17" s="1"/>
  <c r="AB445" i="17"/>
  <c r="AI511" i="17"/>
  <c r="AM511" i="17" s="1"/>
  <c r="AB511" i="17"/>
  <c r="AI330" i="17"/>
  <c r="AM330" i="17" s="1"/>
  <c r="AB330" i="17"/>
  <c r="AI186" i="17"/>
  <c r="AM186" i="17" s="1"/>
  <c r="AB186" i="17"/>
  <c r="AI288" i="17"/>
  <c r="AM288" i="17" s="1"/>
  <c r="AB288" i="17"/>
  <c r="AI515" i="17"/>
  <c r="AM515" i="17" s="1"/>
  <c r="AB515" i="17"/>
  <c r="AI365" i="17"/>
  <c r="AM365" i="17" s="1"/>
  <c r="AB365" i="17"/>
  <c r="AI375" i="17"/>
  <c r="AM375" i="17" s="1"/>
  <c r="AB375" i="17"/>
  <c r="AB49" i="17"/>
  <c r="AI49" i="17"/>
  <c r="AM49" i="17" s="1"/>
  <c r="AI384" i="17"/>
  <c r="AM384" i="17" s="1"/>
  <c r="AB384" i="17"/>
  <c r="AI235" i="17"/>
  <c r="AM235" i="17" s="1"/>
  <c r="AB235" i="17"/>
  <c r="AI492" i="17"/>
  <c r="AM492" i="17" s="1"/>
  <c r="AB492" i="17"/>
  <c r="AI458" i="17"/>
  <c r="AM458" i="17" s="1"/>
  <c r="AB458" i="17"/>
  <c r="AI440" i="17"/>
  <c r="AM440" i="17" s="1"/>
  <c r="AB440" i="17"/>
  <c r="AI446" i="17"/>
  <c r="AM446" i="17" s="1"/>
  <c r="AB446" i="17"/>
  <c r="AI281" i="17"/>
  <c r="AM281" i="17" s="1"/>
  <c r="AB281" i="17"/>
  <c r="AI166" i="17"/>
  <c r="AM166" i="17" s="1"/>
  <c r="AB166" i="17"/>
  <c r="AI390" i="17"/>
  <c r="AM390" i="17" s="1"/>
  <c r="AB390" i="17"/>
  <c r="AI385" i="17"/>
  <c r="AM385" i="17" s="1"/>
  <c r="AB385" i="17"/>
  <c r="AI443" i="17"/>
  <c r="AM443" i="17" s="1"/>
  <c r="AB443" i="17"/>
  <c r="AI502" i="17"/>
  <c r="AM502" i="17" s="1"/>
  <c r="AB502" i="17"/>
  <c r="AI220" i="17"/>
  <c r="AM220" i="17" s="1"/>
  <c r="AB220" i="17"/>
  <c r="AI470" i="17"/>
  <c r="AM470" i="17" s="1"/>
  <c r="AB470" i="17"/>
  <c r="AB135" i="17"/>
  <c r="AI135" i="17"/>
  <c r="AM135" i="17" s="1"/>
  <c r="AB115" i="17"/>
  <c r="AI115" i="17"/>
  <c r="AM115" i="17" s="1"/>
  <c r="AI399" i="17"/>
  <c r="AM399" i="17" s="1"/>
  <c r="AB399" i="17"/>
  <c r="AI191" i="17"/>
  <c r="AM191" i="17" s="1"/>
  <c r="AB191" i="17"/>
  <c r="AI442" i="17"/>
  <c r="AM442" i="17" s="1"/>
  <c r="AB442" i="17"/>
  <c r="AB75" i="17"/>
  <c r="AI75" i="17"/>
  <c r="AM75" i="17" s="1"/>
  <c r="AI487" i="17"/>
  <c r="AM487" i="17" s="1"/>
  <c r="AB487" i="17"/>
  <c r="AB81" i="17"/>
  <c r="AI81" i="17"/>
  <c r="AM81" i="17" s="1"/>
  <c r="AB127" i="17"/>
  <c r="AI127" i="17"/>
  <c r="AM127" i="17" s="1"/>
  <c r="AI389" i="17"/>
  <c r="AM389" i="17" s="1"/>
  <c r="AB389" i="17"/>
  <c r="AI355" i="17"/>
  <c r="AM355" i="17" s="1"/>
  <c r="AB355" i="17"/>
  <c r="AB99" i="17"/>
  <c r="AI99" i="17"/>
  <c r="AM99" i="17" s="1"/>
  <c r="AI285" i="17"/>
  <c r="AM285" i="17" s="1"/>
  <c r="AB285" i="17"/>
  <c r="AI513" i="17"/>
  <c r="AM513" i="17" s="1"/>
  <c r="AB513" i="17"/>
  <c r="AB59" i="17"/>
  <c r="AI59" i="17"/>
  <c r="AM59" i="17" s="1"/>
  <c r="AI423" i="17"/>
  <c r="AM423" i="17" s="1"/>
  <c r="AB423" i="17"/>
  <c r="AI216" i="17"/>
  <c r="AM216" i="17" s="1"/>
  <c r="AB216" i="17"/>
  <c r="AI207" i="17"/>
  <c r="AM207" i="17" s="1"/>
  <c r="AB207" i="17"/>
  <c r="AI450" i="17"/>
  <c r="AM450" i="17" s="1"/>
  <c r="AB450" i="17"/>
  <c r="AI302" i="17"/>
  <c r="AM302" i="17" s="1"/>
  <c r="AB302" i="17"/>
  <c r="AI294" i="17"/>
  <c r="AM294" i="17" s="1"/>
  <c r="AB294" i="17"/>
  <c r="AI192" i="17"/>
  <c r="AM192" i="17" s="1"/>
  <c r="AB192" i="17"/>
  <c r="AI501" i="17"/>
  <c r="AM501" i="17" s="1"/>
  <c r="AB501" i="17"/>
  <c r="AI368" i="17"/>
  <c r="AM368" i="17" s="1"/>
  <c r="AB368" i="17"/>
  <c r="AI435" i="17"/>
  <c r="AM435" i="17" s="1"/>
  <c r="AB435" i="17"/>
  <c r="AI196" i="17"/>
  <c r="AM196" i="17" s="1"/>
  <c r="AB196" i="17"/>
  <c r="AB105" i="17"/>
  <c r="AI105" i="17"/>
  <c r="AM105" i="17" s="1"/>
  <c r="AI204" i="17"/>
  <c r="AM204" i="17" s="1"/>
  <c r="AB204" i="17"/>
  <c r="AI483" i="17"/>
  <c r="AM483" i="17" s="1"/>
  <c r="AB483" i="17"/>
  <c r="AI457" i="17"/>
  <c r="AM457" i="17" s="1"/>
  <c r="AB457" i="17"/>
  <c r="AI465" i="17"/>
  <c r="AM465" i="17" s="1"/>
  <c r="AB465" i="17"/>
  <c r="AB57" i="17"/>
  <c r="AI57" i="17"/>
  <c r="AM57" i="17" s="1"/>
  <c r="AI180" i="17"/>
  <c r="AM180" i="17" s="1"/>
  <c r="AB180" i="17"/>
  <c r="AI341" i="17"/>
  <c r="AM341" i="17" s="1"/>
  <c r="AB341" i="17"/>
  <c r="AI378" i="17"/>
  <c r="AM378" i="17" s="1"/>
  <c r="AB378" i="17"/>
  <c r="AB47" i="17"/>
  <c r="AI47" i="17"/>
  <c r="AM47" i="17" s="1"/>
  <c r="AI321" i="17"/>
  <c r="AM321" i="17" s="1"/>
  <c r="AB321" i="17"/>
  <c r="AI444" i="17"/>
  <c r="AM444" i="17" s="1"/>
  <c r="AB444" i="17"/>
  <c r="AB107" i="17"/>
  <c r="AI107" i="17"/>
  <c r="AM107" i="17" s="1"/>
  <c r="AI468" i="17"/>
  <c r="AM468" i="17" s="1"/>
  <c r="AB468" i="17"/>
  <c r="AI479" i="17"/>
  <c r="AM479" i="17" s="1"/>
  <c r="AB479" i="17"/>
  <c r="AI372" i="17"/>
  <c r="AM372" i="17" s="1"/>
  <c r="AB372" i="17"/>
  <c r="AI304" i="17"/>
  <c r="AM304" i="17" s="1"/>
  <c r="AB304" i="17"/>
  <c r="AB51" i="17"/>
  <c r="AI51" i="17"/>
  <c r="AM51" i="17" s="1"/>
  <c r="AI209" i="17"/>
  <c r="AM209" i="17" s="1"/>
  <c r="AB209" i="17"/>
  <c r="AB117" i="17"/>
  <c r="AI117" i="17"/>
  <c r="AM117" i="17" s="1"/>
  <c r="AI231" i="17"/>
  <c r="AM231" i="17" s="1"/>
  <c r="AB231" i="17"/>
  <c r="AI295" i="17"/>
  <c r="AM295" i="17" s="1"/>
  <c r="AB295" i="17"/>
  <c r="AI436" i="17"/>
  <c r="AM436" i="17" s="1"/>
  <c r="AB436" i="17"/>
  <c r="AI274" i="17"/>
  <c r="AM274" i="17" s="1"/>
  <c r="AB274" i="17"/>
  <c r="AI346" i="17"/>
  <c r="AM346" i="17" s="1"/>
  <c r="AB346" i="17"/>
  <c r="AI290" i="17"/>
  <c r="AM290" i="17" s="1"/>
  <c r="AB290" i="17"/>
  <c r="AI453" i="17"/>
  <c r="AM453" i="17" s="1"/>
  <c r="AB453" i="17"/>
  <c r="AI398" i="17"/>
  <c r="AM398" i="17" s="1"/>
  <c r="AB398" i="17"/>
  <c r="AI371" i="17"/>
  <c r="AM371" i="17" s="1"/>
  <c r="AB371" i="17"/>
  <c r="AI316" i="17"/>
  <c r="AM316" i="17" s="1"/>
  <c r="AB316" i="17"/>
  <c r="AI169" i="17"/>
  <c r="AM169" i="17" s="1"/>
  <c r="AB169" i="17"/>
  <c r="AI438" i="17"/>
  <c r="AM438" i="17" s="1"/>
  <c r="AB438" i="17"/>
  <c r="AI284" i="17"/>
  <c r="AM284" i="17" s="1"/>
  <c r="AB284" i="17"/>
  <c r="AI234" i="17"/>
  <c r="AM234" i="17" s="1"/>
  <c r="AB234" i="17"/>
  <c r="AI357" i="17"/>
  <c r="AM357" i="17" s="1"/>
  <c r="AB357" i="17"/>
  <c r="AI156" i="17"/>
  <c r="AM156" i="17" s="1"/>
  <c r="AB156" i="17"/>
  <c r="AI494" i="17"/>
  <c r="AM494" i="17" s="1"/>
  <c r="AB494" i="17"/>
  <c r="AB113" i="17"/>
  <c r="AI113" i="17"/>
  <c r="AM113" i="17" s="1"/>
  <c r="AI306" i="17"/>
  <c r="AM306" i="17" s="1"/>
  <c r="AB306" i="17"/>
  <c r="AI499" i="17"/>
  <c r="AM499" i="17" s="1"/>
  <c r="AB499" i="17"/>
  <c r="AI194" i="17"/>
  <c r="AM194" i="17" s="1"/>
  <c r="AB194" i="17"/>
  <c r="AB123" i="17"/>
  <c r="AI123" i="17"/>
  <c r="AM123" i="17" s="1"/>
  <c r="AB73" i="17"/>
  <c r="AI73" i="17"/>
  <c r="AM73" i="17" s="1"/>
  <c r="AI510" i="17"/>
  <c r="AM510" i="17" s="1"/>
  <c r="AB510" i="17"/>
  <c r="AB83" i="17"/>
  <c r="AI83" i="17"/>
  <c r="AM83" i="17" s="1"/>
  <c r="AI340" i="17"/>
  <c r="AM340" i="17" s="1"/>
  <c r="AB340" i="17"/>
  <c r="AI265" i="17"/>
  <c r="AM265" i="17" s="1"/>
  <c r="AB265" i="17"/>
  <c r="AI237" i="17"/>
  <c r="AM237" i="17" s="1"/>
  <c r="AB237" i="17"/>
  <c r="AI429" i="17"/>
  <c r="AM429" i="17" s="1"/>
  <c r="AB429" i="17"/>
  <c r="AI379" i="17"/>
  <c r="AM379" i="17" s="1"/>
  <c r="AB379" i="17"/>
  <c r="AI253" i="17"/>
  <c r="AM253" i="17" s="1"/>
  <c r="AB253" i="17"/>
  <c r="AI484" i="17"/>
  <c r="AM484" i="17" s="1"/>
  <c r="AB484" i="17"/>
  <c r="AB31" i="17"/>
  <c r="AI31" i="17"/>
  <c r="AM31" i="17" s="1"/>
  <c r="AI229" i="17"/>
  <c r="AM229" i="17" s="1"/>
  <c r="AB229" i="17"/>
  <c r="AI333" i="17"/>
  <c r="AM333" i="17" s="1"/>
  <c r="AB333" i="17"/>
  <c r="AI158" i="17"/>
  <c r="AM158" i="17" s="1"/>
  <c r="AB158" i="17"/>
  <c r="AI495" i="17"/>
  <c r="AM495" i="17" s="1"/>
  <c r="AB495" i="17"/>
  <c r="AI268" i="17"/>
  <c r="AM268" i="17" s="1"/>
  <c r="AB268" i="17"/>
  <c r="AI433" i="17"/>
  <c r="AM433" i="17" s="1"/>
  <c r="AB433" i="17"/>
  <c r="AI227" i="17"/>
  <c r="AM227" i="17" s="1"/>
  <c r="AB227" i="17"/>
  <c r="AI404" i="17"/>
  <c r="AM404" i="17" s="1"/>
  <c r="AB404" i="17"/>
  <c r="AI257" i="17"/>
  <c r="AM257" i="17" s="1"/>
  <c r="AB257" i="17"/>
  <c r="AI184" i="17"/>
  <c r="AM184" i="17" s="1"/>
  <c r="AB184" i="17"/>
  <c r="AI221" i="17"/>
  <c r="AM221" i="17" s="1"/>
  <c r="AB221" i="17"/>
  <c r="AI466" i="17"/>
  <c r="AM466" i="17" s="1"/>
  <c r="AB466" i="17"/>
  <c r="AI276" i="17"/>
  <c r="AM276" i="17" s="1"/>
  <c r="AB276" i="17"/>
  <c r="AI388" i="17"/>
  <c r="AM388" i="17" s="1"/>
  <c r="AB388" i="17"/>
  <c r="AI269" i="17"/>
  <c r="AM269" i="17" s="1"/>
  <c r="AB269" i="17"/>
  <c r="AI395" i="17"/>
  <c r="AM395" i="17" s="1"/>
  <c r="AB395" i="17"/>
  <c r="AI173" i="17"/>
  <c r="AM173" i="17" s="1"/>
  <c r="AB173" i="17"/>
  <c r="AI251" i="17"/>
  <c r="AM251" i="17" s="1"/>
  <c r="AB251" i="17"/>
  <c r="AI386" i="17"/>
  <c r="AM386" i="17" s="1"/>
  <c r="AB386" i="17"/>
  <c r="AI238" i="17"/>
  <c r="AM238" i="17" s="1"/>
  <c r="AB238" i="17"/>
  <c r="AI174" i="17"/>
  <c r="AM174" i="17" s="1"/>
  <c r="AB174" i="17"/>
  <c r="AI317" i="17"/>
  <c r="AM317" i="17" s="1"/>
  <c r="AB317" i="17"/>
  <c r="AI203" i="17"/>
  <c r="AM203" i="17" s="1"/>
  <c r="AB203" i="17"/>
  <c r="AI416" i="17"/>
  <c r="AM416" i="17" s="1"/>
  <c r="AB416" i="17"/>
  <c r="AI305" i="17"/>
  <c r="AM305" i="17" s="1"/>
  <c r="AB305" i="17"/>
  <c r="AI394" i="17"/>
  <c r="AM394" i="17" s="1"/>
  <c r="AB394" i="17"/>
  <c r="AI367" i="17"/>
  <c r="AM367" i="17" s="1"/>
  <c r="AB367" i="17"/>
  <c r="AI224" i="17"/>
  <c r="AM224" i="17" s="1"/>
  <c r="AB224" i="17"/>
  <c r="AI407" i="17"/>
  <c r="AM407" i="17" s="1"/>
  <c r="AB407" i="17"/>
  <c r="AI286" i="17"/>
  <c r="AM286" i="17" s="1"/>
  <c r="AB286" i="17"/>
  <c r="AI339" i="17"/>
  <c r="AM339" i="17" s="1"/>
  <c r="AB339" i="17"/>
  <c r="AI412" i="17"/>
  <c r="AM412" i="17" s="1"/>
  <c r="AB412" i="17"/>
  <c r="AI366" i="17"/>
  <c r="AM366" i="17" s="1"/>
  <c r="AB366" i="17"/>
  <c r="AI498" i="17"/>
  <c r="AM498" i="17" s="1"/>
  <c r="AB498" i="17"/>
  <c r="AB85" i="17"/>
  <c r="AI85" i="17"/>
  <c r="AM85" i="17" s="1"/>
  <c r="AI400" i="17"/>
  <c r="AM400" i="17" s="1"/>
  <c r="AB400" i="17"/>
  <c r="AI217" i="17"/>
  <c r="AM217" i="17" s="1"/>
  <c r="AB217" i="17"/>
  <c r="AI323" i="17"/>
  <c r="AM323" i="17" s="1"/>
  <c r="AB323" i="17"/>
  <c r="AI415" i="17"/>
  <c r="AM415" i="17" s="1"/>
  <c r="AB415" i="17"/>
  <c r="AI223" i="17"/>
  <c r="AM223" i="17" s="1"/>
  <c r="AB223" i="17"/>
  <c r="AI496" i="17"/>
  <c r="AM496" i="17" s="1"/>
  <c r="AB496" i="17"/>
  <c r="AI212" i="17"/>
  <c r="AM212" i="17" s="1"/>
  <c r="AB212" i="17"/>
  <c r="AI240" i="17"/>
  <c r="AM240" i="17" s="1"/>
  <c r="AB240" i="17"/>
  <c r="AB151" i="17"/>
  <c r="AI151" i="17"/>
  <c r="AM151" i="17" s="1"/>
  <c r="AB35" i="17"/>
  <c r="AI35" i="17"/>
  <c r="AM35" i="17" s="1"/>
  <c r="AB39" i="17"/>
  <c r="AI39" i="17"/>
  <c r="AM39" i="17" s="1"/>
  <c r="AI201" i="17"/>
  <c r="AM201" i="17" s="1"/>
  <c r="AB201" i="17"/>
  <c r="AI314" i="17"/>
  <c r="AM314" i="17" s="1"/>
  <c r="AB314" i="17"/>
  <c r="AB109" i="17"/>
  <c r="AI109" i="17"/>
  <c r="AM109" i="17" s="1"/>
  <c r="AI322" i="17"/>
  <c r="AM322" i="17" s="1"/>
  <c r="AB322" i="17"/>
  <c r="AI343" i="17"/>
  <c r="AM343" i="17" s="1"/>
  <c r="AB343" i="17"/>
  <c r="AI462" i="17"/>
  <c r="AM462" i="17" s="1"/>
  <c r="AB462" i="17"/>
  <c r="AI264" i="17"/>
  <c r="AM264" i="17" s="1"/>
  <c r="AB264" i="17"/>
  <c r="AI356" i="17"/>
  <c r="AM356" i="17" s="1"/>
  <c r="AB356" i="17"/>
  <c r="AI342" i="17"/>
  <c r="AM342" i="17" s="1"/>
  <c r="AB342" i="17"/>
  <c r="AI331" i="17"/>
  <c r="AM331" i="17" s="1"/>
  <c r="AB331" i="17"/>
  <c r="AI516" i="17"/>
  <c r="AM516" i="17" s="1"/>
  <c r="AB516" i="17"/>
  <c r="AI424" i="17"/>
  <c r="AM424" i="17" s="1"/>
  <c r="AB424" i="17"/>
  <c r="AI319" i="17"/>
  <c r="AM319" i="17" s="1"/>
  <c r="AB319" i="17"/>
  <c r="AI210" i="17"/>
  <c r="AM210" i="17" s="1"/>
  <c r="AB210" i="17"/>
  <c r="AD137" i="17"/>
  <c r="AC137" i="17"/>
  <c r="AA514" i="17"/>
  <c r="AD514" i="17"/>
  <c r="AC514" i="17"/>
  <c r="AA312" i="17"/>
  <c r="AD312" i="17"/>
  <c r="AC312" i="17"/>
  <c r="AA293" i="17"/>
  <c r="AD293" i="17"/>
  <c r="AC293" i="17"/>
  <c r="AD506" i="17"/>
  <c r="AA506" i="17"/>
  <c r="AC506" i="17"/>
  <c r="AD119" i="17"/>
  <c r="AC119" i="17"/>
  <c r="AD481" i="17"/>
  <c r="AC481" i="17"/>
  <c r="AA481" i="17"/>
  <c r="AC308" i="17"/>
  <c r="AA308" i="17"/>
  <c r="AD308" i="17"/>
  <c r="AC91" i="17"/>
  <c r="AD91" i="17"/>
  <c r="AC71" i="17"/>
  <c r="AD71" i="17"/>
  <c r="AD177" i="17"/>
  <c r="AC177" i="17"/>
  <c r="AA177" i="17"/>
  <c r="AA361" i="17"/>
  <c r="AD361" i="17"/>
  <c r="AC361" i="17"/>
  <c r="AD29" i="17"/>
  <c r="AC29" i="17"/>
  <c r="AC475" i="17"/>
  <c r="AD475" i="17"/>
  <c r="AA475" i="17"/>
  <c r="AD463" i="17"/>
  <c r="AA463" i="17"/>
  <c r="AC463" i="17"/>
  <c r="AD121" i="17"/>
  <c r="AC121" i="17"/>
  <c r="AD76" i="17"/>
  <c r="AD61" i="17"/>
  <c r="AC61" i="17"/>
  <c r="AC190" i="17"/>
  <c r="AA190" i="17"/>
  <c r="AD190" i="17"/>
  <c r="AD352" i="17"/>
  <c r="AA352" i="17"/>
  <c r="AC352" i="17"/>
  <c r="AD52" i="17"/>
  <c r="AD232" i="17"/>
  <c r="AC232" i="17"/>
  <c r="AA232" i="17"/>
  <c r="AA337" i="17"/>
  <c r="AC337" i="17"/>
  <c r="AD337" i="17"/>
  <c r="AD425" i="17"/>
  <c r="AC425" i="17"/>
  <c r="AA425" i="17"/>
  <c r="AC507" i="17"/>
  <c r="AA507" i="17"/>
  <c r="AD507" i="17"/>
  <c r="AA222" i="17"/>
  <c r="AD222" i="17"/>
  <c r="AC222" i="17"/>
  <c r="AD491" i="17"/>
  <c r="AC491" i="17"/>
  <c r="AA491" i="17"/>
  <c r="AD40" i="17"/>
  <c r="AA200" i="17"/>
  <c r="AC200" i="17"/>
  <c r="AD200" i="17"/>
  <c r="AA108" i="17"/>
  <c r="AD108" i="17"/>
  <c r="AC27" i="17"/>
  <c r="AD27" i="17"/>
  <c r="AD53" i="17"/>
  <c r="AC53" i="17"/>
  <c r="AA254" i="17"/>
  <c r="AD254" i="17"/>
  <c r="AC254" i="17"/>
  <c r="AD249" i="17"/>
  <c r="AA249" i="17"/>
  <c r="AC249" i="17"/>
  <c r="AC165" i="17"/>
  <c r="AA165" i="17"/>
  <c r="AD165" i="17"/>
  <c r="AC422" i="17"/>
  <c r="AA422" i="17"/>
  <c r="AD422" i="17"/>
  <c r="AC493" i="17"/>
  <c r="AD493" i="17"/>
  <c r="AA493" i="17"/>
  <c r="AC320" i="17"/>
  <c r="AA320" i="17"/>
  <c r="AD320" i="17"/>
  <c r="AA262" i="17"/>
  <c r="AD262" i="17"/>
  <c r="AC262" i="17"/>
  <c r="AD148" i="17"/>
  <c r="AD161" i="17"/>
  <c r="AA161" i="17"/>
  <c r="AC161" i="17"/>
  <c r="AD97" i="17"/>
  <c r="AC97" i="17"/>
  <c r="AA202" i="17"/>
  <c r="AD202" i="17"/>
  <c r="AC202" i="17"/>
  <c r="AC185" i="17"/>
  <c r="AA185" i="17"/>
  <c r="AD185" i="17"/>
  <c r="AD242" i="17"/>
  <c r="AC242" i="17"/>
  <c r="AA242" i="17"/>
  <c r="AC163" i="17"/>
  <c r="AD163" i="17"/>
  <c r="AA163" i="17"/>
  <c r="AC392" i="17"/>
  <c r="AA392" i="17"/>
  <c r="AD392" i="17"/>
  <c r="AD88" i="17"/>
  <c r="AC509" i="17"/>
  <c r="AA509" i="17"/>
  <c r="AD509" i="17"/>
  <c r="AD104" i="17"/>
  <c r="AC426" i="17"/>
  <c r="AA426" i="17"/>
  <c r="AD426" i="17"/>
  <c r="AA448" i="17"/>
  <c r="AD448" i="17"/>
  <c r="AC448" i="17"/>
  <c r="AC387" i="17"/>
  <c r="AD387" i="17"/>
  <c r="AA387" i="17"/>
  <c r="AC195" i="17"/>
  <c r="AD195" i="17"/>
  <c r="AA195" i="17"/>
  <c r="AC349" i="17"/>
  <c r="AA349" i="17"/>
  <c r="AD349" i="17"/>
  <c r="AD103" i="17"/>
  <c r="AC103" i="17"/>
  <c r="AA505" i="17"/>
  <c r="AD505" i="17"/>
  <c r="AC505" i="17"/>
  <c r="AC307" i="17"/>
  <c r="AA307" i="17"/>
  <c r="AD307" i="17"/>
  <c r="AD408" i="17"/>
  <c r="AA408" i="17"/>
  <c r="AC408" i="17"/>
  <c r="AA300" i="17"/>
  <c r="AD300" i="17"/>
  <c r="AC300" i="17"/>
  <c r="AC25" i="17"/>
  <c r="AD25" i="17"/>
  <c r="AD122" i="17"/>
  <c r="AC351" i="17"/>
  <c r="AA351" i="17"/>
  <c r="AD351" i="17"/>
  <c r="AD20" i="17"/>
  <c r="AD489" i="17"/>
  <c r="AC489" i="17"/>
  <c r="AA489" i="17"/>
  <c r="AD55" i="17"/>
  <c r="AC55" i="17"/>
  <c r="AD171" i="17"/>
  <c r="AC171" i="17"/>
  <c r="AA171" i="17"/>
  <c r="AD32" i="17"/>
  <c r="AC309" i="17"/>
  <c r="AA309" i="17"/>
  <c r="AD309" i="17"/>
  <c r="AC287" i="17"/>
  <c r="AA287" i="17"/>
  <c r="AD287" i="17"/>
  <c r="AA334" i="17"/>
  <c r="AC334" i="17"/>
  <c r="AD334" i="17"/>
  <c r="AD176" i="17"/>
  <c r="AC176" i="17"/>
  <c r="AA176" i="17"/>
  <c r="AC518" i="17"/>
  <c r="AA518" i="17"/>
  <c r="AD518" i="17"/>
  <c r="AC258" i="17"/>
  <c r="AA258" i="17"/>
  <c r="AD258" i="17"/>
  <c r="AA380" i="17"/>
  <c r="AD380" i="17"/>
  <c r="AC380" i="17"/>
  <c r="AD245" i="17"/>
  <c r="AA245" i="17"/>
  <c r="AC245" i="17"/>
  <c r="AD280" i="17"/>
  <c r="AC280" i="17"/>
  <c r="AA280" i="17"/>
  <c r="AC205" i="17"/>
  <c r="AA205" i="17"/>
  <c r="AD205" i="17"/>
  <c r="AD106" i="17"/>
  <c r="AA329" i="17"/>
  <c r="AC329" i="17"/>
  <c r="AD329" i="17"/>
  <c r="AA164" i="17"/>
  <c r="AC164" i="17"/>
  <c r="AD164" i="17"/>
  <c r="AD22" i="17"/>
  <c r="AA451" i="17"/>
  <c r="AD451" i="17"/>
  <c r="AC451" i="17"/>
  <c r="AA370" i="17"/>
  <c r="AC370" i="17"/>
  <c r="AD370" i="17"/>
  <c r="AD86" i="17"/>
  <c r="AC402" i="17"/>
  <c r="AD402" i="17"/>
  <c r="AA402" i="17"/>
  <c r="AD142" i="17"/>
  <c r="AA259" i="17"/>
  <c r="AC259" i="17"/>
  <c r="AD259" i="17"/>
  <c r="AD154" i="17"/>
  <c r="AD134" i="17"/>
  <c r="AA187" i="17"/>
  <c r="AC187" i="17"/>
  <c r="AD187" i="17"/>
  <c r="AD58" i="17"/>
  <c r="AA247" i="17"/>
  <c r="AD247" i="17"/>
  <c r="AC247" i="17"/>
  <c r="AD116" i="17"/>
  <c r="AD131" i="17"/>
  <c r="AC131" i="17"/>
  <c r="AC477" i="17"/>
  <c r="AD477" i="17"/>
  <c r="AA477" i="17"/>
  <c r="AC236" i="17"/>
  <c r="AD236" i="17"/>
  <c r="AA236" i="17"/>
  <c r="AA270" i="17"/>
  <c r="AC270" i="17"/>
  <c r="AD270" i="17"/>
  <c r="AA467" i="17"/>
  <c r="AC467" i="17"/>
  <c r="AD467" i="17"/>
  <c r="AD66" i="17"/>
  <c r="AC397" i="17"/>
  <c r="AA397" i="17"/>
  <c r="AD397" i="17"/>
  <c r="AD62" i="17"/>
  <c r="AD374" i="17"/>
  <c r="AC374" i="17"/>
  <c r="AA374" i="17"/>
  <c r="AD128" i="17"/>
  <c r="AA431" i="17"/>
  <c r="AD431" i="17"/>
  <c r="AC431" i="17"/>
  <c r="AA474" i="17"/>
  <c r="AC474" i="17"/>
  <c r="AD474" i="17"/>
  <c r="AC213" i="17"/>
  <c r="AA213" i="17"/>
  <c r="AD213" i="17"/>
  <c r="AA381" i="17"/>
  <c r="AC381" i="17"/>
  <c r="AD381" i="17"/>
  <c r="AA260" i="17"/>
  <c r="AD260" i="17"/>
  <c r="AC260" i="17"/>
  <c r="AC504" i="17"/>
  <c r="AA504" i="17"/>
  <c r="AD504" i="17"/>
  <c r="AD167" i="17"/>
  <c r="AC167" i="17"/>
  <c r="AA167" i="17"/>
  <c r="AD78" i="17"/>
  <c r="AC277" i="17"/>
  <c r="AA277" i="17"/>
  <c r="AD277" i="17"/>
  <c r="AD44" i="17"/>
  <c r="AA252" i="17"/>
  <c r="AC252" i="17"/>
  <c r="AD252" i="17"/>
  <c r="AC454" i="17"/>
  <c r="AA454" i="17"/>
  <c r="AD454" i="17"/>
  <c r="AC464" i="17"/>
  <c r="AA464" i="17"/>
  <c r="AD464" i="17"/>
  <c r="AA359" i="17"/>
  <c r="AC359" i="17"/>
  <c r="AD359" i="17"/>
  <c r="AC347" i="17"/>
  <c r="AA347" i="17"/>
  <c r="AD347" i="17"/>
  <c r="AC473" i="17"/>
  <c r="AA473" i="17"/>
  <c r="AD473" i="17"/>
  <c r="AD90" i="17"/>
  <c r="AA267" i="17"/>
  <c r="AC267" i="17"/>
  <c r="AD267" i="17"/>
  <c r="AA354" i="17"/>
  <c r="AC354" i="17"/>
  <c r="AD354" i="17"/>
  <c r="AD447" i="17"/>
  <c r="AA447" i="17"/>
  <c r="AC447" i="17"/>
  <c r="AA512" i="17"/>
  <c r="AC512" i="17"/>
  <c r="AD512" i="17"/>
  <c r="AD132" i="17"/>
  <c r="AD338" i="17"/>
  <c r="AC338" i="17"/>
  <c r="AA338" i="17"/>
  <c r="AD411" i="17"/>
  <c r="AC411" i="17"/>
  <c r="AA411" i="17"/>
  <c r="AC278" i="17"/>
  <c r="AA278" i="17"/>
  <c r="AD278" i="17"/>
  <c r="AC315" i="17"/>
  <c r="AD315" i="17"/>
  <c r="AA315" i="17"/>
  <c r="AA226" i="17"/>
  <c r="AD226" i="17"/>
  <c r="AC226" i="17"/>
  <c r="AD435" i="17"/>
  <c r="AA435" i="17"/>
  <c r="AC435" i="17"/>
  <c r="AC19" i="17"/>
  <c r="AI19" i="17"/>
  <c r="AD19" i="17"/>
  <c r="AA196" i="17"/>
  <c r="AC196" i="17"/>
  <c r="AD196" i="17"/>
  <c r="AD105" i="17"/>
  <c r="AC105" i="17"/>
  <c r="AC204" i="17"/>
  <c r="AD204" i="17"/>
  <c r="AA204" i="17"/>
  <c r="AC483" i="17"/>
  <c r="AD483" i="17"/>
  <c r="AA483" i="17"/>
  <c r="AA457" i="17"/>
  <c r="AD457" i="17"/>
  <c r="AC457" i="17"/>
  <c r="AD465" i="17"/>
  <c r="AC465" i="17"/>
  <c r="AA465" i="17"/>
  <c r="AA211" i="17"/>
  <c r="AC211" i="17"/>
  <c r="AD211" i="17"/>
  <c r="AD124" i="17"/>
  <c r="AD303" i="17"/>
  <c r="AA303" i="17"/>
  <c r="AC303" i="17"/>
  <c r="AD136" i="17"/>
  <c r="AD376" i="17"/>
  <c r="AC376" i="17"/>
  <c r="AA376" i="17"/>
  <c r="AC461" i="17"/>
  <c r="AD461" i="17"/>
  <c r="AA461" i="17"/>
  <c r="AC410" i="17"/>
  <c r="AD410" i="17"/>
  <c r="AA410" i="17"/>
  <c r="AD41" i="17"/>
  <c r="AC41" i="17"/>
  <c r="AD60" i="17"/>
  <c r="AC485" i="17"/>
  <c r="AA485" i="17"/>
  <c r="AD485" i="17"/>
  <c r="AD250" i="17"/>
  <c r="AC250" i="17"/>
  <c r="AA250" i="17"/>
  <c r="AA243" i="17"/>
  <c r="AC243" i="17"/>
  <c r="AD243" i="17"/>
  <c r="AD130" i="17"/>
  <c r="AA409" i="17"/>
  <c r="AD409" i="17"/>
  <c r="AC409" i="17"/>
  <c r="AC327" i="17"/>
  <c r="AD327" i="17"/>
  <c r="AA327" i="17"/>
  <c r="AC296" i="17"/>
  <c r="AA296" i="17"/>
  <c r="AD296" i="17"/>
  <c r="AC79" i="17"/>
  <c r="AD79" i="17"/>
  <c r="AD36" i="17"/>
  <c r="AD64" i="17"/>
  <c r="AD21" i="17"/>
  <c r="AD126" i="17"/>
  <c r="AD153" i="17"/>
  <c r="AC153" i="17"/>
  <c r="AD261" i="17"/>
  <c r="AC261" i="17"/>
  <c r="AA261" i="17"/>
  <c r="AA348" i="17"/>
  <c r="AC348" i="17"/>
  <c r="AD348" i="17"/>
  <c r="AA297" i="17"/>
  <c r="AC297" i="17"/>
  <c r="AD297" i="17"/>
  <c r="AD118" i="17"/>
  <c r="AA266" i="17"/>
  <c r="AD266" i="17"/>
  <c r="AC266" i="17"/>
  <c r="AA353" i="17"/>
  <c r="AD353" i="17"/>
  <c r="AC353" i="17"/>
  <c r="AA414" i="17"/>
  <c r="AC414" i="17"/>
  <c r="AD414" i="17"/>
  <c r="AA283" i="17"/>
  <c r="AC283" i="17"/>
  <c r="AD283" i="17"/>
  <c r="AA157" i="17"/>
  <c r="AD157" i="17"/>
  <c r="AC157" i="17"/>
  <c r="AA393" i="17"/>
  <c r="AD393" i="17"/>
  <c r="AC393" i="17"/>
  <c r="AC133" i="17"/>
  <c r="AD133" i="17"/>
  <c r="AA198" i="17"/>
  <c r="AC198" i="17"/>
  <c r="AD198" i="17"/>
  <c r="AD208" i="17"/>
  <c r="AC208" i="17"/>
  <c r="AA208" i="17"/>
  <c r="AA197" i="17"/>
  <c r="AD197" i="17"/>
  <c r="AC197" i="17"/>
  <c r="AC248" i="17"/>
  <c r="AA248" i="17"/>
  <c r="AD248" i="17"/>
  <c r="AD478" i="17"/>
  <c r="AC478" i="17"/>
  <c r="AA478" i="17"/>
  <c r="AD391" i="17"/>
  <c r="AC391" i="17"/>
  <c r="AA391" i="17"/>
  <c r="AD413" i="17"/>
  <c r="AA413" i="17"/>
  <c r="AC413" i="17"/>
  <c r="AA272" i="17"/>
  <c r="AD272" i="17"/>
  <c r="AC272" i="17"/>
  <c r="AC67" i="17"/>
  <c r="AD67" i="17"/>
  <c r="AD94" i="17"/>
  <c r="AC488" i="17"/>
  <c r="AA488" i="17"/>
  <c r="AD488" i="17"/>
  <c r="AD193" i="17"/>
  <c r="AC193" i="17"/>
  <c r="AA193" i="17"/>
  <c r="AC199" i="17"/>
  <c r="AD199" i="17"/>
  <c r="AA199" i="17"/>
  <c r="AD291" i="17"/>
  <c r="AC291" i="17"/>
  <c r="AA291" i="17"/>
  <c r="AD114" i="17"/>
  <c r="AD344" i="17"/>
  <c r="AC344" i="17"/>
  <c r="AA344" i="17"/>
  <c r="AD77" i="17"/>
  <c r="AC77" i="17"/>
  <c r="AD432" i="17"/>
  <c r="AC432" i="17"/>
  <c r="AA432" i="17"/>
  <c r="AA486" i="17"/>
  <c r="AC486" i="17"/>
  <c r="AD486" i="17"/>
  <c r="AC428" i="17"/>
  <c r="AA428" i="17"/>
  <c r="AD428" i="17"/>
  <c r="AD48" i="17"/>
  <c r="AC364" i="17"/>
  <c r="AD364" i="17"/>
  <c r="AA364" i="17"/>
  <c r="AA230" i="17"/>
  <c r="AC230" i="17"/>
  <c r="AD230" i="17"/>
  <c r="AD37" i="17"/>
  <c r="AC37" i="17"/>
  <c r="AD168" i="17"/>
  <c r="AA168" i="17"/>
  <c r="AC168" i="17"/>
  <c r="AD246" i="17"/>
  <c r="AC246" i="17"/>
  <c r="AA246" i="17"/>
  <c r="AA225" i="17"/>
  <c r="AC225" i="17"/>
  <c r="AD225" i="17"/>
  <c r="AC476" i="17"/>
  <c r="AD476" i="17"/>
  <c r="AA476" i="17"/>
  <c r="AA401" i="17"/>
  <c r="AC401" i="17"/>
  <c r="AD401" i="17"/>
  <c r="AC218" i="17"/>
  <c r="AD218" i="17"/>
  <c r="AA218" i="17"/>
  <c r="AD430" i="17"/>
  <c r="AC430" i="17"/>
  <c r="AA430" i="17"/>
  <c r="AD141" i="17"/>
  <c r="AC141" i="17"/>
  <c r="AA421" i="17"/>
  <c r="AD421" i="17"/>
  <c r="AC421" i="17"/>
  <c r="AD336" i="17"/>
  <c r="AA336" i="17"/>
  <c r="AC336" i="17"/>
  <c r="AD140" i="17"/>
  <c r="AD46" i="17"/>
  <c r="AA162" i="17"/>
  <c r="AC162" i="17"/>
  <c r="AD162" i="17"/>
  <c r="AA182" i="17"/>
  <c r="AC182" i="17"/>
  <c r="AD182" i="17"/>
  <c r="AC289" i="17"/>
  <c r="AD289" i="17"/>
  <c r="AA289" i="17"/>
  <c r="AD30" i="17"/>
  <c r="AC472" i="17"/>
  <c r="AD472" i="17"/>
  <c r="AA472" i="17"/>
  <c r="AC301" i="17"/>
  <c r="AD301" i="17"/>
  <c r="AA301" i="17"/>
  <c r="AA455" i="17"/>
  <c r="AD455" i="17"/>
  <c r="AC455" i="17"/>
  <c r="AD219" i="17"/>
  <c r="AA219" i="17"/>
  <c r="AC219" i="17"/>
  <c r="AA170" i="17"/>
  <c r="AC170" i="17"/>
  <c r="AD170" i="17"/>
  <c r="AA517" i="17"/>
  <c r="AD517" i="17"/>
  <c r="AC517" i="17"/>
  <c r="AA244" i="17"/>
  <c r="AC244" i="17"/>
  <c r="AD244" i="17"/>
  <c r="AA360" i="17"/>
  <c r="AD360" i="17"/>
  <c r="AC360" i="17"/>
  <c r="AD125" i="17"/>
  <c r="AC125" i="17"/>
  <c r="AC299" i="17"/>
  <c r="AA299" i="17"/>
  <c r="AD299" i="17"/>
  <c r="AA155" i="17"/>
  <c r="AC155" i="17"/>
  <c r="AD155" i="17"/>
  <c r="AC43" i="17"/>
  <c r="AD43" i="17"/>
  <c r="AD406" i="17"/>
  <c r="AC406" i="17"/>
  <c r="AA406" i="17"/>
  <c r="AC419" i="17"/>
  <c r="AA419" i="17"/>
  <c r="AD419" i="17"/>
  <c r="AD459" i="17"/>
  <c r="AC459" i="17"/>
  <c r="AA459" i="17"/>
  <c r="AA159" i="17"/>
  <c r="AC159" i="17"/>
  <c r="AD159" i="17"/>
  <c r="AD74" i="17"/>
  <c r="AC263" i="17"/>
  <c r="AA263" i="17"/>
  <c r="AD263" i="17"/>
  <c r="AA175" i="17"/>
  <c r="AD175" i="17"/>
  <c r="AC175" i="17"/>
  <c r="AC480" i="17"/>
  <c r="AA480" i="17"/>
  <c r="AD480" i="17"/>
  <c r="AC147" i="17"/>
  <c r="AD147" i="17"/>
  <c r="AC63" i="17"/>
  <c r="AD63" i="17"/>
  <c r="AC508" i="17"/>
  <c r="AD508" i="17"/>
  <c r="AA508" i="17"/>
  <c r="AC214" i="17"/>
  <c r="AD214" i="17"/>
  <c r="AA214" i="17"/>
  <c r="AD111" i="17"/>
  <c r="AC111" i="17"/>
  <c r="AC298" i="17"/>
  <c r="AA298" i="17"/>
  <c r="AD298" i="17"/>
  <c r="AC255" i="17"/>
  <c r="AD255" i="17"/>
  <c r="AA255" i="17"/>
  <c r="AC239" i="17"/>
  <c r="AA239" i="17"/>
  <c r="AD239" i="17"/>
  <c r="AC482" i="17"/>
  <c r="AD482" i="17"/>
  <c r="AA482" i="17"/>
  <c r="AD403" i="17"/>
  <c r="AC403" i="17"/>
  <c r="AA403" i="17"/>
  <c r="AA233" i="17"/>
  <c r="AD233" i="17"/>
  <c r="AC233" i="17"/>
  <c r="AC282" i="17"/>
  <c r="AD282" i="17"/>
  <c r="AA282" i="17"/>
  <c r="AC143" i="17"/>
  <c r="AD143" i="17"/>
  <c r="AD362" i="17"/>
  <c r="AA362" i="17"/>
  <c r="AC362" i="17"/>
  <c r="AA311" i="17"/>
  <c r="AD311" i="17"/>
  <c r="AC311" i="17"/>
  <c r="AD28" i="17"/>
  <c r="AD65" i="17"/>
  <c r="AC65" i="17"/>
  <c r="AA373" i="17"/>
  <c r="AD373" i="17"/>
  <c r="AC373" i="17"/>
  <c r="AD427" i="17"/>
  <c r="AC427" i="17"/>
  <c r="AA427" i="17"/>
  <c r="AC179" i="17"/>
  <c r="AA179" i="17"/>
  <c r="AD179" i="17"/>
  <c r="AD228" i="17"/>
  <c r="AC228" i="17"/>
  <c r="AA228" i="17"/>
  <c r="AC23" i="17"/>
  <c r="AD23" i="17"/>
  <c r="AD469" i="17"/>
  <c r="AC469" i="17"/>
  <c r="AA469" i="17"/>
  <c r="AD335" i="17"/>
  <c r="AC335" i="17"/>
  <c r="AA335" i="17"/>
  <c r="AC95" i="17"/>
  <c r="AD95" i="17"/>
  <c r="AC439" i="17"/>
  <c r="AA439" i="17"/>
  <c r="AD439" i="17"/>
  <c r="AD181" i="17"/>
  <c r="AC181" i="17"/>
  <c r="AA181" i="17"/>
  <c r="AC471" i="17"/>
  <c r="AD471" i="17"/>
  <c r="AA471" i="17"/>
  <c r="AA332" i="17"/>
  <c r="AC332" i="17"/>
  <c r="AD332" i="17"/>
  <c r="AD318" i="17"/>
  <c r="AC318" i="17"/>
  <c r="AA318" i="17"/>
  <c r="AD382" i="17"/>
  <c r="AA382" i="17"/>
  <c r="AC382" i="17"/>
  <c r="AD24" i="17"/>
  <c r="AC89" i="17"/>
  <c r="AD89" i="17"/>
  <c r="AA160" i="17"/>
  <c r="AD160" i="17"/>
  <c r="AC160" i="17"/>
  <c r="AC434" i="17"/>
  <c r="AA434" i="17"/>
  <c r="AD434" i="17"/>
  <c r="AD256" i="17"/>
  <c r="AC256" i="17"/>
  <c r="AA256" i="17"/>
  <c r="AC456" i="17"/>
  <c r="AD456" i="17"/>
  <c r="AA456" i="17"/>
  <c r="AC405" i="17"/>
  <c r="AD405" i="17"/>
  <c r="AA405" i="17"/>
  <c r="AD383" i="17"/>
  <c r="AA383" i="17"/>
  <c r="AC383" i="17"/>
  <c r="AC324" i="17"/>
  <c r="AD324" i="17"/>
  <c r="AA324" i="17"/>
  <c r="AA369" i="17"/>
  <c r="AD369" i="17"/>
  <c r="AC369" i="17"/>
  <c r="AC363" i="17"/>
  <c r="AD363" i="17"/>
  <c r="AA363" i="17"/>
  <c r="AA152" i="17"/>
  <c r="AD152" i="17"/>
  <c r="AC326" i="17"/>
  <c r="AA326" i="17"/>
  <c r="AD326" i="17"/>
  <c r="AC310" i="17"/>
  <c r="AA310" i="17"/>
  <c r="AD310" i="17"/>
  <c r="AA328" i="17"/>
  <c r="AC328" i="17"/>
  <c r="AD328" i="17"/>
  <c r="AC420" i="17"/>
  <c r="AA420" i="17"/>
  <c r="AD420" i="17"/>
  <c r="AC460" i="17"/>
  <c r="AD460" i="17"/>
  <c r="AA460" i="17"/>
  <c r="AA325" i="17"/>
  <c r="AD325" i="17"/>
  <c r="AC325" i="17"/>
  <c r="AD350" i="17"/>
  <c r="AC350" i="17"/>
  <c r="AA350" i="17"/>
  <c r="AA500" i="17"/>
  <c r="AC500" i="17"/>
  <c r="AD500" i="17"/>
  <c r="AA441" i="17"/>
  <c r="AD441" i="17"/>
  <c r="AC441" i="17"/>
  <c r="AD87" i="17"/>
  <c r="AC87" i="17"/>
  <c r="AC437" i="17"/>
  <c r="AD437" i="17"/>
  <c r="AA437" i="17"/>
  <c r="AA396" i="17"/>
  <c r="AC396" i="17"/>
  <c r="AD396" i="17"/>
  <c r="AC271" i="17"/>
  <c r="AA271" i="17"/>
  <c r="AD271" i="17"/>
  <c r="AC129" i="17"/>
  <c r="AD129" i="17"/>
  <c r="AD93" i="17"/>
  <c r="AC93" i="17"/>
  <c r="AD345" i="17"/>
  <c r="AA345" i="17"/>
  <c r="AC345" i="17"/>
  <c r="AA241" i="17"/>
  <c r="AC241" i="17"/>
  <c r="AD241" i="17"/>
  <c r="AD275" i="17"/>
  <c r="AC275" i="17"/>
  <c r="AA275" i="17"/>
  <c r="AD33" i="17"/>
  <c r="AC33" i="17"/>
  <c r="AD101" i="17"/>
  <c r="AC101" i="17"/>
  <c r="AA358" i="17"/>
  <c r="AC358" i="17"/>
  <c r="AD358" i="17"/>
  <c r="AD206" i="17"/>
  <c r="AC206" i="17"/>
  <c r="AA206" i="17"/>
  <c r="AC503" i="17"/>
  <c r="AA503" i="17"/>
  <c r="AD503" i="17"/>
  <c r="AC69" i="17"/>
  <c r="AD69" i="17"/>
  <c r="AC292" i="17"/>
  <c r="AD292" i="17"/>
  <c r="AA292" i="17"/>
  <c r="AA377" i="17"/>
  <c r="AD377" i="17"/>
  <c r="AC377" i="17"/>
  <c r="AD45" i="17"/>
  <c r="AC45" i="17"/>
  <c r="AC215" i="17"/>
  <c r="AD215" i="17"/>
  <c r="AA215" i="17"/>
  <c r="AA189" i="17"/>
  <c r="AD189" i="17"/>
  <c r="AC189" i="17"/>
  <c r="AD313" i="17"/>
  <c r="AC313" i="17"/>
  <c r="AA313" i="17"/>
  <c r="AC417" i="17"/>
  <c r="AD417" i="17"/>
  <c r="AA417" i="17"/>
  <c r="AD497" i="17"/>
  <c r="AC497" i="17"/>
  <c r="AA497" i="17"/>
  <c r="AD279" i="17"/>
  <c r="AC279" i="17"/>
  <c r="AA279" i="17"/>
  <c r="AC145" i="17"/>
  <c r="AD145" i="17"/>
  <c r="AA98" i="17"/>
  <c r="AD98" i="17"/>
  <c r="AD418" i="17"/>
  <c r="AC418" i="17"/>
  <c r="AA418" i="17"/>
  <c r="AD452" i="17"/>
  <c r="AC452" i="17"/>
  <c r="AA452" i="17"/>
  <c r="AA172" i="17"/>
  <c r="AC172" i="17"/>
  <c r="AD172" i="17"/>
  <c r="AC188" i="17"/>
  <c r="AA188" i="17"/>
  <c r="AD188" i="17"/>
  <c r="AD139" i="17"/>
  <c r="AC139" i="17"/>
  <c r="AA273" i="17"/>
  <c r="AC273" i="17"/>
  <c r="AD273" i="17"/>
  <c r="AA490" i="17"/>
  <c r="AD490" i="17"/>
  <c r="AC490" i="17"/>
  <c r="AA178" i="17"/>
  <c r="AD178" i="17"/>
  <c r="AC178" i="17"/>
  <c r="AD96" i="17"/>
  <c r="AC183" i="17"/>
  <c r="AA183" i="17"/>
  <c r="AD183" i="17"/>
  <c r="AD449" i="17"/>
  <c r="AC449" i="17"/>
  <c r="AA449" i="17"/>
  <c r="AD149" i="17"/>
  <c r="AC149" i="17"/>
  <c r="AD445" i="17"/>
  <c r="AC445" i="17"/>
  <c r="AA445" i="17"/>
  <c r="AD511" i="17"/>
  <c r="AC511" i="17"/>
  <c r="AA511" i="17"/>
  <c r="AC330" i="17"/>
  <c r="AD330" i="17"/>
  <c r="AA330" i="17"/>
  <c r="AC186" i="17"/>
  <c r="AD186" i="17"/>
  <c r="AA186" i="17"/>
  <c r="AA288" i="17"/>
  <c r="AD288" i="17"/>
  <c r="AC288" i="17"/>
  <c r="AC515" i="17"/>
  <c r="AA515" i="17"/>
  <c r="AD515" i="17"/>
  <c r="AC365" i="17"/>
  <c r="AA365" i="17"/>
  <c r="AD365" i="17"/>
  <c r="AC375" i="17"/>
  <c r="AD375" i="17"/>
  <c r="AA375" i="17"/>
  <c r="AD49" i="17"/>
  <c r="AC49" i="17"/>
  <c r="AC384" i="17"/>
  <c r="AA384" i="17"/>
  <c r="AD384" i="17"/>
  <c r="AD146" i="17"/>
  <c r="AC235" i="17"/>
  <c r="AA235" i="17"/>
  <c r="AD235" i="17"/>
  <c r="AD492" i="17"/>
  <c r="AC492" i="17"/>
  <c r="AA492" i="17"/>
  <c r="AD458" i="17"/>
  <c r="AA458" i="17"/>
  <c r="AC458" i="17"/>
  <c r="AD54" i="17"/>
  <c r="AD440" i="17"/>
  <c r="AA440" i="17"/>
  <c r="AC440" i="17"/>
  <c r="AD38" i="17"/>
  <c r="AD446" i="17"/>
  <c r="AC446" i="17"/>
  <c r="AA446" i="17"/>
  <c r="AC281" i="17"/>
  <c r="AD281" i="17"/>
  <c r="AA281" i="17"/>
  <c r="AD150" i="17"/>
  <c r="AA166" i="17"/>
  <c r="AC166" i="17"/>
  <c r="AD166" i="17"/>
  <c r="AD70" i="17"/>
  <c r="AD390" i="17"/>
  <c r="AC390" i="17"/>
  <c r="AA390" i="17"/>
  <c r="AD385" i="17"/>
  <c r="AC385" i="17"/>
  <c r="AA385" i="17"/>
  <c r="AA443" i="17"/>
  <c r="AD443" i="17"/>
  <c r="AC443" i="17"/>
  <c r="AD502" i="17"/>
  <c r="AA502" i="17"/>
  <c r="AC502" i="17"/>
  <c r="AA220" i="17"/>
  <c r="AD220" i="17"/>
  <c r="AC220" i="17"/>
  <c r="AA470" i="17"/>
  <c r="AD470" i="17"/>
  <c r="AC470" i="17"/>
  <c r="AD135" i="17"/>
  <c r="AC135" i="17"/>
  <c r="AD115" i="17"/>
  <c r="AC115" i="17"/>
  <c r="AC399" i="17"/>
  <c r="AA399" i="17"/>
  <c r="AD399" i="17"/>
  <c r="AA191" i="17"/>
  <c r="AD191" i="17"/>
  <c r="AC191" i="17"/>
  <c r="AD442" i="17"/>
  <c r="AA442" i="17"/>
  <c r="AC442" i="17"/>
  <c r="AD75" i="17"/>
  <c r="AC75" i="17"/>
  <c r="AD82" i="17"/>
  <c r="AA487" i="17"/>
  <c r="AC487" i="17"/>
  <c r="AD487" i="17"/>
  <c r="AD81" i="17"/>
  <c r="AC81" i="17"/>
  <c r="AD127" i="17"/>
  <c r="AC127" i="17"/>
  <c r="AA389" i="17"/>
  <c r="AC389" i="17"/>
  <c r="AD389" i="17"/>
  <c r="AA355" i="17"/>
  <c r="AD355" i="17"/>
  <c r="AC355" i="17"/>
  <c r="AD99" i="17"/>
  <c r="AC99" i="17"/>
  <c r="AA285" i="17"/>
  <c r="AC285" i="17"/>
  <c r="AD285" i="17"/>
  <c r="AA513" i="17"/>
  <c r="AC513" i="17"/>
  <c r="AD513" i="17"/>
  <c r="AD59" i="17"/>
  <c r="AC59" i="17"/>
  <c r="AD423" i="17"/>
  <c r="AC423" i="17"/>
  <c r="AA423" i="17"/>
  <c r="AD216" i="17"/>
  <c r="AC216" i="17"/>
  <c r="AA216" i="17"/>
  <c r="AD207" i="17"/>
  <c r="AC207" i="17"/>
  <c r="AA207" i="17"/>
  <c r="AA450" i="17"/>
  <c r="AD450" i="17"/>
  <c r="AC450" i="17"/>
  <c r="AA302" i="17"/>
  <c r="AD302" i="17"/>
  <c r="AC302" i="17"/>
  <c r="AC294" i="17"/>
  <c r="AA294" i="17"/>
  <c r="AD294" i="17"/>
  <c r="AC192" i="17"/>
  <c r="AD192" i="17"/>
  <c r="AA192" i="17"/>
  <c r="AD501" i="17"/>
  <c r="AC501" i="17"/>
  <c r="AA501" i="17"/>
  <c r="AA368" i="17"/>
  <c r="AC368" i="17"/>
  <c r="AD368" i="17"/>
  <c r="AD57" i="17"/>
  <c r="AC57" i="17"/>
  <c r="AD180" i="17"/>
  <c r="AC180" i="17"/>
  <c r="AA180" i="17"/>
  <c r="AD341" i="17"/>
  <c r="AA341" i="17"/>
  <c r="AC341" i="17"/>
  <c r="AD144" i="17"/>
  <c r="AC378" i="17"/>
  <c r="AD378" i="17"/>
  <c r="AA378" i="17"/>
  <c r="AD47" i="17"/>
  <c r="AC47" i="17"/>
  <c r="AD321" i="17"/>
  <c r="AA321" i="17"/>
  <c r="AC321" i="17"/>
  <c r="AD444" i="17"/>
  <c r="AC444" i="17"/>
  <c r="AA444" i="17"/>
  <c r="AC107" i="17"/>
  <c r="AD107" i="17"/>
  <c r="AC468" i="17"/>
  <c r="AD468" i="17"/>
  <c r="AA468" i="17"/>
  <c r="AD479" i="17"/>
  <c r="AC479" i="17"/>
  <c r="AA479" i="17"/>
  <c r="AC372" i="17"/>
  <c r="AD372" i="17"/>
  <c r="AA372" i="17"/>
  <c r="AD304" i="17"/>
  <c r="AA304" i="17"/>
  <c r="AC304" i="17"/>
  <c r="AC51" i="17"/>
  <c r="AD51" i="17"/>
  <c r="AD92" i="17"/>
  <c r="AC209" i="17"/>
  <c r="AA209" i="17"/>
  <c r="AD209" i="17"/>
  <c r="AD117" i="17"/>
  <c r="AC117" i="17"/>
  <c r="AC231" i="17"/>
  <c r="AD231" i="17"/>
  <c r="AA231" i="17"/>
  <c r="AD295" i="17"/>
  <c r="AC295" i="17"/>
  <c r="AA295" i="17"/>
  <c r="AA436" i="17"/>
  <c r="AC436" i="17"/>
  <c r="AD436" i="17"/>
  <c r="AA274" i="17"/>
  <c r="AC274" i="17"/>
  <c r="AD274" i="17"/>
  <c r="AD346" i="17"/>
  <c r="AC346" i="17"/>
  <c r="AA346" i="17"/>
  <c r="AD72" i="17"/>
  <c r="AC290" i="17"/>
  <c r="AA290" i="17"/>
  <c r="AD290" i="17"/>
  <c r="AA453" i="17"/>
  <c r="AD453" i="17"/>
  <c r="AC453" i="17"/>
  <c r="AC398" i="17"/>
  <c r="AD398" i="17"/>
  <c r="AA398" i="17"/>
  <c r="AC371" i="17"/>
  <c r="AD371" i="17"/>
  <c r="AA371" i="17"/>
  <c r="AD316" i="17"/>
  <c r="AA316" i="17"/>
  <c r="AC316" i="17"/>
  <c r="AA169" i="17"/>
  <c r="AD169" i="17"/>
  <c r="AC169" i="17"/>
  <c r="AD102" i="17"/>
  <c r="AC438" i="17"/>
  <c r="AA438" i="17"/>
  <c r="AD438" i="17"/>
  <c r="AA284" i="17"/>
  <c r="AD284" i="17"/>
  <c r="AC284" i="17"/>
  <c r="AD234" i="17"/>
  <c r="AC234" i="17"/>
  <c r="AA234" i="17"/>
  <c r="AA357" i="17"/>
  <c r="AC357" i="17"/>
  <c r="AD357" i="17"/>
  <c r="AA156" i="17"/>
  <c r="AD156" i="17"/>
  <c r="AC156" i="17"/>
  <c r="AA494" i="17"/>
  <c r="AC494" i="17"/>
  <c r="AD494" i="17"/>
  <c r="AD113" i="17"/>
  <c r="AC113" i="17"/>
  <c r="AA120" i="17"/>
  <c r="AD120" i="17"/>
  <c r="AD306" i="17"/>
  <c r="AC306" i="17"/>
  <c r="AA306" i="17"/>
  <c r="AC499" i="17"/>
  <c r="AA499" i="17"/>
  <c r="AD499" i="17"/>
  <c r="AD84" i="17"/>
  <c r="AD194" i="17"/>
  <c r="AA194" i="17"/>
  <c r="AC194" i="17"/>
  <c r="AD80" i="17"/>
  <c r="AC123" i="17"/>
  <c r="AD123" i="17"/>
  <c r="AD73" i="17"/>
  <c r="AC73" i="17"/>
  <c r="AD510" i="17"/>
  <c r="AC510" i="17"/>
  <c r="AA510" i="17"/>
  <c r="AC83" i="17"/>
  <c r="AD83" i="17"/>
  <c r="AC340" i="17"/>
  <c r="AA340" i="17"/>
  <c r="AD340" i="17"/>
  <c r="AD265" i="17"/>
  <c r="AA265" i="17"/>
  <c r="AC265" i="17"/>
  <c r="AD110" i="17"/>
  <c r="AC237" i="17"/>
  <c r="AA237" i="17"/>
  <c r="AD237" i="17"/>
  <c r="AC429" i="17"/>
  <c r="AD429" i="17"/>
  <c r="AA429" i="17"/>
  <c r="AA379" i="17"/>
  <c r="AD379" i="17"/>
  <c r="AC379" i="17"/>
  <c r="AA253" i="17"/>
  <c r="AC253" i="17"/>
  <c r="AD253" i="17"/>
  <c r="AC484" i="17"/>
  <c r="AA484" i="17"/>
  <c r="AD484" i="17"/>
  <c r="AD31" i="17"/>
  <c r="AC31" i="17"/>
  <c r="AD56" i="17"/>
  <c r="AD229" i="17"/>
  <c r="AA229" i="17"/>
  <c r="AC229" i="17"/>
  <c r="AD333" i="17"/>
  <c r="AA333" i="17"/>
  <c r="AC333" i="17"/>
  <c r="AC158" i="17"/>
  <c r="AD158" i="17"/>
  <c r="AA158" i="17"/>
  <c r="AD495" i="17"/>
  <c r="AC495" i="17"/>
  <c r="AA495" i="17"/>
  <c r="AA268" i="17"/>
  <c r="AD268" i="17"/>
  <c r="AC268" i="17"/>
  <c r="AA433" i="17"/>
  <c r="AD433" i="17"/>
  <c r="AC433" i="17"/>
  <c r="AA227" i="17"/>
  <c r="AC227" i="17"/>
  <c r="AD227" i="17"/>
  <c r="AC404" i="17"/>
  <c r="AA404" i="17"/>
  <c r="AD404" i="17"/>
  <c r="AD257" i="17"/>
  <c r="AA257" i="17"/>
  <c r="AC257" i="17"/>
  <c r="AC184" i="17"/>
  <c r="AA184" i="17"/>
  <c r="AD184" i="17"/>
  <c r="AA221" i="17"/>
  <c r="AD221" i="17"/>
  <c r="AC221" i="17"/>
  <c r="AA466" i="17"/>
  <c r="AD466" i="17"/>
  <c r="AC466" i="17"/>
  <c r="AA276" i="17"/>
  <c r="AD276" i="17"/>
  <c r="AC276" i="17"/>
  <c r="AD388" i="17"/>
  <c r="AA388" i="17"/>
  <c r="AC388" i="17"/>
  <c r="AA269" i="17"/>
  <c r="AC269" i="17"/>
  <c r="AD269" i="17"/>
  <c r="AD395" i="17"/>
  <c r="AA395" i="17"/>
  <c r="AC395" i="17"/>
  <c r="AA173" i="17"/>
  <c r="AD173" i="17"/>
  <c r="AC173" i="17"/>
  <c r="AD50" i="17"/>
  <c r="AC251" i="17"/>
  <c r="AD251" i="17"/>
  <c r="AA251" i="17"/>
  <c r="AD26" i="17"/>
  <c r="AA386" i="17"/>
  <c r="AD386" i="17"/>
  <c r="AC386" i="17"/>
  <c r="AC238" i="17"/>
  <c r="AD238" i="17"/>
  <c r="AA238" i="17"/>
  <c r="AA174" i="17"/>
  <c r="AC174" i="17"/>
  <c r="AD174" i="17"/>
  <c r="AD138" i="17"/>
  <c r="AD34" i="17"/>
  <c r="AA317" i="17"/>
  <c r="AC317" i="17"/>
  <c r="AD317" i="17"/>
  <c r="AD203" i="17"/>
  <c r="AA203" i="17"/>
  <c r="AC203" i="17"/>
  <c r="AA416" i="17"/>
  <c r="AD416" i="17"/>
  <c r="AC416" i="17"/>
  <c r="AC305" i="17"/>
  <c r="AA305" i="17"/>
  <c r="AD305" i="17"/>
  <c r="AD100" i="17"/>
  <c r="AC394" i="17"/>
  <c r="AA394" i="17"/>
  <c r="AD394" i="17"/>
  <c r="AC367" i="17"/>
  <c r="AA367" i="17"/>
  <c r="AD367" i="17"/>
  <c r="AD224" i="17"/>
  <c r="AC224" i="17"/>
  <c r="AA224" i="17"/>
  <c r="AD112" i="17"/>
  <c r="AC407" i="17"/>
  <c r="AA407" i="17"/>
  <c r="AD407" i="17"/>
  <c r="AD68" i="17"/>
  <c r="AA286" i="17"/>
  <c r="AD286" i="17"/>
  <c r="AC286" i="17"/>
  <c r="AD42" i="17"/>
  <c r="AA339" i="17"/>
  <c r="AD339" i="17"/>
  <c r="AC339" i="17"/>
  <c r="AC412" i="17"/>
  <c r="AD412" i="17"/>
  <c r="AA412" i="17"/>
  <c r="AC366" i="17"/>
  <c r="AA366" i="17"/>
  <c r="AD366" i="17"/>
  <c r="AA498" i="17"/>
  <c r="AC498" i="17"/>
  <c r="AD498" i="17"/>
  <c r="AC85" i="17"/>
  <c r="AD85" i="17"/>
  <c r="AA400" i="17"/>
  <c r="AC400" i="17"/>
  <c r="AD400" i="17"/>
  <c r="AD217" i="17"/>
  <c r="AA217" i="17"/>
  <c r="AC217" i="17"/>
  <c r="AC323" i="17"/>
  <c r="AA323" i="17"/>
  <c r="AD323" i="17"/>
  <c r="AC415" i="17"/>
  <c r="AA415" i="17"/>
  <c r="AD415" i="17"/>
  <c r="AD223" i="17"/>
  <c r="AC223" i="17"/>
  <c r="AA223" i="17"/>
  <c r="AC496" i="17"/>
  <c r="AA496" i="17"/>
  <c r="AD496" i="17"/>
  <c r="AA212" i="17"/>
  <c r="AD212" i="17"/>
  <c r="AC212" i="17"/>
  <c r="AC240" i="17"/>
  <c r="AD240" i="17"/>
  <c r="AA240" i="17"/>
  <c r="AD151" i="17"/>
  <c r="AC151" i="17"/>
  <c r="AD35" i="17"/>
  <c r="AC35" i="17"/>
  <c r="AC39" i="17"/>
  <c r="AD39" i="17"/>
  <c r="AD201" i="17"/>
  <c r="AC201" i="17"/>
  <c r="AA201" i="17"/>
  <c r="AC314" i="17"/>
  <c r="AA314" i="17"/>
  <c r="AD314" i="17"/>
  <c r="AD109" i="17"/>
  <c r="AC109" i="17"/>
  <c r="AC322" i="17"/>
  <c r="AD322" i="17"/>
  <c r="AA322" i="17"/>
  <c r="AD343" i="17"/>
  <c r="AC343" i="17"/>
  <c r="AA343" i="17"/>
  <c r="AD462" i="17"/>
  <c r="AC462" i="17"/>
  <c r="AA462" i="17"/>
  <c r="AD264" i="17"/>
  <c r="AA264" i="17"/>
  <c r="AC264" i="17"/>
  <c r="AD356" i="17"/>
  <c r="AA356" i="17"/>
  <c r="AC356" i="17"/>
  <c r="AA342" i="17"/>
  <c r="AC342" i="17"/>
  <c r="AD342" i="17"/>
  <c r="AC331" i="17"/>
  <c r="AD331" i="17"/>
  <c r="AA331" i="17"/>
  <c r="AA516" i="17"/>
  <c r="AD516" i="17"/>
  <c r="AC516" i="17"/>
  <c r="AD424" i="17"/>
  <c r="AC424" i="17"/>
  <c r="AA424" i="17"/>
  <c r="AD319" i="17"/>
  <c r="AC319" i="17"/>
  <c r="AA319" i="17"/>
  <c r="AC210" i="17"/>
  <c r="AA210" i="17"/>
  <c r="AD210" i="17"/>
  <c r="B8" i="13"/>
  <c r="D2" i="3" s="1"/>
  <c r="C37" i="5"/>
  <c r="C24" i="5" s="1"/>
  <c r="C23" i="5"/>
  <c r="AR20" i="17" l="1"/>
  <c r="AS20" i="17"/>
  <c r="AQ20" i="17"/>
  <c r="AA20" i="17" s="1"/>
  <c r="AP20" i="17"/>
  <c r="Z20" i="17" s="1"/>
  <c r="AS212" i="17"/>
  <c r="AP212" i="17"/>
  <c r="AR212" i="17"/>
  <c r="AT212" i="17"/>
  <c r="AB68" i="17"/>
  <c r="AR68" i="17"/>
  <c r="AS68" i="17"/>
  <c r="AP68" i="17"/>
  <c r="AT68" i="17"/>
  <c r="AA34" i="17"/>
  <c r="AP34" i="17"/>
  <c r="AT34" i="17"/>
  <c r="AR34" i="17"/>
  <c r="AS34" i="17"/>
  <c r="AA50" i="17"/>
  <c r="AP50" i="17"/>
  <c r="AT50" i="17"/>
  <c r="AR50" i="17"/>
  <c r="AS50" i="17"/>
  <c r="AP388" i="17"/>
  <c r="AT388" i="17"/>
  <c r="AR388" i="17"/>
  <c r="AS388" i="17"/>
  <c r="AA80" i="17"/>
  <c r="AR80" i="17"/>
  <c r="AS80" i="17"/>
  <c r="AP80" i="17"/>
  <c r="AT80" i="17"/>
  <c r="AA51" i="17"/>
  <c r="AP51" i="17"/>
  <c r="AT51" i="17"/>
  <c r="AR51" i="17"/>
  <c r="AS51" i="17"/>
  <c r="AA47" i="17"/>
  <c r="AP47" i="17"/>
  <c r="AT47" i="17"/>
  <c r="AR47" i="17"/>
  <c r="AS47" i="17"/>
  <c r="AP442" i="17"/>
  <c r="AT442" i="17"/>
  <c r="AR442" i="17"/>
  <c r="AS442" i="17"/>
  <c r="AA115" i="17"/>
  <c r="AR115" i="17"/>
  <c r="AP115" i="17"/>
  <c r="AS115" i="17"/>
  <c r="AT115" i="17"/>
  <c r="AR511" i="17"/>
  <c r="AS511" i="17"/>
  <c r="AT511" i="17"/>
  <c r="AP511" i="17"/>
  <c r="AR172" i="17"/>
  <c r="AS172" i="17"/>
  <c r="AT172" i="17"/>
  <c r="AP172" i="17"/>
  <c r="AP441" i="17"/>
  <c r="AT441" i="17"/>
  <c r="AR441" i="17"/>
  <c r="AS441" i="17"/>
  <c r="AR152" i="17"/>
  <c r="AS152" i="17"/>
  <c r="AT152" i="17"/>
  <c r="AP152" i="17"/>
  <c r="Z152" i="17" s="1"/>
  <c r="AS383" i="17"/>
  <c r="AP383" i="17"/>
  <c r="AT383" i="17"/>
  <c r="AR383" i="17"/>
  <c r="AA28" i="17"/>
  <c r="AP28" i="17"/>
  <c r="Z28" i="17" s="1"/>
  <c r="AT28" i="17"/>
  <c r="AR28" i="17"/>
  <c r="AS28" i="17"/>
  <c r="AR74" i="17"/>
  <c r="AS74" i="17"/>
  <c r="AT74" i="17"/>
  <c r="AP74" i="17"/>
  <c r="Z74" i="17" s="1"/>
  <c r="AS517" i="17"/>
  <c r="AT517" i="17"/>
  <c r="AR517" i="17"/>
  <c r="AP517" i="17"/>
  <c r="AS243" i="17"/>
  <c r="AR243" i="17"/>
  <c r="AT243" i="17"/>
  <c r="AP243" i="17"/>
  <c r="AS354" i="17"/>
  <c r="AP354" i="17"/>
  <c r="AT354" i="17"/>
  <c r="AR354" i="17"/>
  <c r="AP454" i="17"/>
  <c r="AT454" i="17"/>
  <c r="AR454" i="17"/>
  <c r="AS454" i="17"/>
  <c r="AB86" i="17"/>
  <c r="AS86" i="17"/>
  <c r="AT86" i="17"/>
  <c r="AR86" i="17"/>
  <c r="AP86" i="17"/>
  <c r="Z86" i="17" s="1"/>
  <c r="AS518" i="17"/>
  <c r="AT518" i="17"/>
  <c r="AP518" i="17"/>
  <c r="AR518" i="17"/>
  <c r="AP25" i="17"/>
  <c r="Z25" i="17" s="1"/>
  <c r="AT25" i="17"/>
  <c r="AR25" i="17"/>
  <c r="AS25" i="17"/>
  <c r="AP392" i="17"/>
  <c r="AT392" i="17"/>
  <c r="AR392" i="17"/>
  <c r="AS392" i="17"/>
  <c r="AR177" i="17"/>
  <c r="AS177" i="17"/>
  <c r="AP177" i="17"/>
  <c r="AT177" i="17"/>
  <c r="AA83" i="17"/>
  <c r="AR83" i="17"/>
  <c r="AS83" i="17"/>
  <c r="AT83" i="17"/>
  <c r="AP83" i="17"/>
  <c r="AS210" i="17"/>
  <c r="AR210" i="17"/>
  <c r="AT210" i="17"/>
  <c r="AP210" i="17"/>
  <c r="AS224" i="17"/>
  <c r="AP224" i="17"/>
  <c r="AR224" i="17"/>
  <c r="AT224" i="17"/>
  <c r="AR100" i="17"/>
  <c r="AS100" i="17"/>
  <c r="AT100" i="17"/>
  <c r="AP100" i="17"/>
  <c r="Z100" i="17" s="1"/>
  <c r="AS333" i="17"/>
  <c r="AP333" i="17"/>
  <c r="AT333" i="17"/>
  <c r="AR333" i="17"/>
  <c r="AP429" i="17"/>
  <c r="AT429" i="17"/>
  <c r="AR429" i="17"/>
  <c r="AS429" i="17"/>
  <c r="AS304" i="17"/>
  <c r="AP304" i="17"/>
  <c r="AT304" i="17"/>
  <c r="AR304" i="17"/>
  <c r="AR144" i="17"/>
  <c r="AS144" i="17"/>
  <c r="AT144" i="17"/>
  <c r="AP144" i="17"/>
  <c r="Z144" i="17" s="1"/>
  <c r="AR180" i="17"/>
  <c r="AS180" i="17"/>
  <c r="AT180" i="17"/>
  <c r="AP180" i="17"/>
  <c r="AS241" i="17"/>
  <c r="AT241" i="17"/>
  <c r="AR241" i="17"/>
  <c r="AP241" i="17"/>
  <c r="AP471" i="17"/>
  <c r="AT471" i="17"/>
  <c r="AR471" i="17"/>
  <c r="AS471" i="17"/>
  <c r="AS311" i="17"/>
  <c r="AP311" i="17"/>
  <c r="AT311" i="17"/>
  <c r="AR311" i="17"/>
  <c r="AR255" i="17"/>
  <c r="AS255" i="17"/>
  <c r="AT255" i="17"/>
  <c r="AP255" i="17"/>
  <c r="AP430" i="17"/>
  <c r="AT430" i="17"/>
  <c r="AR430" i="17"/>
  <c r="AS430" i="17"/>
  <c r="AA153" i="17"/>
  <c r="AR153" i="17"/>
  <c r="AS153" i="17"/>
  <c r="AP153" i="17"/>
  <c r="AT153" i="17"/>
  <c r="AB60" i="17"/>
  <c r="AP60" i="17"/>
  <c r="Z60" i="17" s="1"/>
  <c r="AT60" i="17"/>
  <c r="AR60" i="17"/>
  <c r="AS60" i="17"/>
  <c r="AR132" i="17"/>
  <c r="AS132" i="17"/>
  <c r="AT132" i="17"/>
  <c r="AP132" i="17"/>
  <c r="Z132" i="17" s="1"/>
  <c r="AA44" i="17"/>
  <c r="AP44" i="17"/>
  <c r="Z44" i="17" s="1"/>
  <c r="AT44" i="17"/>
  <c r="AR44" i="17"/>
  <c r="AS44" i="17"/>
  <c r="AR78" i="17"/>
  <c r="AS78" i="17"/>
  <c r="AT78" i="17"/>
  <c r="AP78" i="17"/>
  <c r="Z78" i="17" s="1"/>
  <c r="AS381" i="17"/>
  <c r="AP381" i="17"/>
  <c r="AT381" i="17"/>
  <c r="AR381" i="17"/>
  <c r="AP431" i="17"/>
  <c r="AT431" i="17"/>
  <c r="AR431" i="17"/>
  <c r="AS431" i="17"/>
  <c r="AR187" i="17"/>
  <c r="AS187" i="17"/>
  <c r="AT187" i="17"/>
  <c r="AP187" i="17"/>
  <c r="AB22" i="17"/>
  <c r="AP22" i="17"/>
  <c r="Z22" i="17" s="1"/>
  <c r="AT22" i="17"/>
  <c r="AR22" i="17"/>
  <c r="AS22" i="17"/>
  <c r="AR106" i="17"/>
  <c r="AS106" i="17"/>
  <c r="AT106" i="17"/>
  <c r="AP106" i="17"/>
  <c r="Z106" i="17" s="1"/>
  <c r="AS380" i="17"/>
  <c r="AP380" i="17"/>
  <c r="AT380" i="17"/>
  <c r="AR380" i="17"/>
  <c r="AS349" i="17"/>
  <c r="AP349" i="17"/>
  <c r="AT349" i="17"/>
  <c r="AR349" i="17"/>
  <c r="AR195" i="17"/>
  <c r="AS195" i="17"/>
  <c r="AT195" i="17"/>
  <c r="AP195" i="17"/>
  <c r="AR104" i="17"/>
  <c r="AS104" i="17"/>
  <c r="AT104" i="17"/>
  <c r="AP104" i="17"/>
  <c r="Z104" i="17" s="1"/>
  <c r="AR262" i="17"/>
  <c r="AT262" i="17"/>
  <c r="AP262" i="17"/>
  <c r="AS262" i="17"/>
  <c r="AR491" i="17"/>
  <c r="AS491" i="17"/>
  <c r="AT491" i="17"/>
  <c r="AP491" i="17"/>
  <c r="AS352" i="17"/>
  <c r="AP352" i="17"/>
  <c r="AT352" i="17"/>
  <c r="AR352" i="17"/>
  <c r="AA81" i="17"/>
  <c r="AR81" i="17"/>
  <c r="AS81" i="17"/>
  <c r="AT81" i="17"/>
  <c r="AP81" i="17"/>
  <c r="AA69" i="17"/>
  <c r="AR69" i="17"/>
  <c r="AS69" i="17"/>
  <c r="AT69" i="17"/>
  <c r="AP69" i="17"/>
  <c r="AA95" i="17"/>
  <c r="AS95" i="17"/>
  <c r="AP95" i="17"/>
  <c r="AR95" i="17"/>
  <c r="AT95" i="17"/>
  <c r="AP63" i="17"/>
  <c r="Z63" i="17" s="1"/>
  <c r="AR63" i="17"/>
  <c r="AS63" i="17"/>
  <c r="AT63" i="17"/>
  <c r="AA125" i="17"/>
  <c r="AR125" i="17"/>
  <c r="AP125" i="17"/>
  <c r="AS125" i="17"/>
  <c r="AT125" i="17"/>
  <c r="AA67" i="17"/>
  <c r="AR67" i="17"/>
  <c r="AS67" i="17"/>
  <c r="AP67" i="17"/>
  <c r="AT67" i="17"/>
  <c r="AA41" i="17"/>
  <c r="AP41" i="17"/>
  <c r="AT41" i="17"/>
  <c r="AR41" i="17"/>
  <c r="AS41" i="17"/>
  <c r="AA53" i="17"/>
  <c r="AP53" i="17"/>
  <c r="AT53" i="17"/>
  <c r="AR53" i="17"/>
  <c r="AS53" i="17"/>
  <c r="AS356" i="17"/>
  <c r="AP356" i="17"/>
  <c r="AT356" i="17"/>
  <c r="AR356" i="17"/>
  <c r="AP35" i="17"/>
  <c r="AT35" i="17"/>
  <c r="AR35" i="17"/>
  <c r="AS35" i="17"/>
  <c r="AS323" i="17"/>
  <c r="AP323" i="17"/>
  <c r="AT323" i="17"/>
  <c r="AR323" i="17"/>
  <c r="AA113" i="17"/>
  <c r="AR113" i="17"/>
  <c r="AP113" i="17"/>
  <c r="AS113" i="17"/>
  <c r="AT113" i="17"/>
  <c r="AS209" i="17"/>
  <c r="AR209" i="17"/>
  <c r="AT209" i="17"/>
  <c r="AP209" i="17"/>
  <c r="AA75" i="17"/>
  <c r="AR75" i="17"/>
  <c r="AS75" i="17"/>
  <c r="AP75" i="17"/>
  <c r="AT75" i="17"/>
  <c r="AP399" i="17"/>
  <c r="AT399" i="17"/>
  <c r="AR399" i="17"/>
  <c r="AS399" i="17"/>
  <c r="AR186" i="17"/>
  <c r="AS186" i="17"/>
  <c r="AP186" i="17"/>
  <c r="AT186" i="17"/>
  <c r="AA87" i="17"/>
  <c r="AS87" i="17"/>
  <c r="AP87" i="17"/>
  <c r="AR87" i="17"/>
  <c r="AT87" i="17"/>
  <c r="AS369" i="17"/>
  <c r="AP369" i="17"/>
  <c r="AT369" i="17"/>
  <c r="AR369" i="17"/>
  <c r="AS373" i="17"/>
  <c r="AP373" i="17"/>
  <c r="AT373" i="17"/>
  <c r="AR373" i="17"/>
  <c r="AS299" i="17"/>
  <c r="AP299" i="17"/>
  <c r="AT299" i="17"/>
  <c r="AR299" i="17"/>
  <c r="AS225" i="17"/>
  <c r="AT225" i="17"/>
  <c r="AR225" i="17"/>
  <c r="AP225" i="17"/>
  <c r="AA37" i="17"/>
  <c r="AP37" i="17"/>
  <c r="AT37" i="17"/>
  <c r="AR37" i="17"/>
  <c r="AS37" i="17"/>
  <c r="AP391" i="17"/>
  <c r="AT391" i="17"/>
  <c r="AR391" i="17"/>
  <c r="AS391" i="17"/>
  <c r="AS348" i="17"/>
  <c r="AP348" i="17"/>
  <c r="AT348" i="17"/>
  <c r="AR348" i="17"/>
  <c r="AA21" i="17"/>
  <c r="AP21" i="17"/>
  <c r="AT21" i="17"/>
  <c r="AR21" i="17"/>
  <c r="AB21" i="17" s="1"/>
  <c r="AS21" i="17"/>
  <c r="AC21" i="17" s="1"/>
  <c r="AS236" i="17"/>
  <c r="AR236" i="17"/>
  <c r="AP236" i="17"/>
  <c r="AT236" i="17"/>
  <c r="AR176" i="17"/>
  <c r="AS176" i="17"/>
  <c r="AT176" i="17"/>
  <c r="AP176" i="17"/>
  <c r="AS300" i="17"/>
  <c r="AP300" i="17"/>
  <c r="AT300" i="17"/>
  <c r="AR300" i="17"/>
  <c r="AR163" i="17"/>
  <c r="AS163" i="17"/>
  <c r="AT163" i="17"/>
  <c r="AP163" i="17"/>
  <c r="AS232" i="17"/>
  <c r="AR232" i="17"/>
  <c r="AP232" i="17"/>
  <c r="AT232" i="17"/>
  <c r="AB76" i="17"/>
  <c r="AR76" i="17"/>
  <c r="AS76" i="17"/>
  <c r="AP76" i="17"/>
  <c r="Z76" i="17" s="1"/>
  <c r="AT76" i="17"/>
  <c r="AS331" i="17"/>
  <c r="AP331" i="17"/>
  <c r="AT331" i="17"/>
  <c r="AR331" i="17"/>
  <c r="AB42" i="17"/>
  <c r="AP42" i="17"/>
  <c r="Z42" i="17" s="1"/>
  <c r="AT42" i="17"/>
  <c r="AR42" i="17"/>
  <c r="AS42" i="17"/>
  <c r="AP394" i="17"/>
  <c r="AT394" i="17"/>
  <c r="AR394" i="17"/>
  <c r="AS394" i="17"/>
  <c r="AP433" i="17"/>
  <c r="AT433" i="17"/>
  <c r="AR433" i="17"/>
  <c r="AS433" i="17"/>
  <c r="AR495" i="17"/>
  <c r="AS495" i="17"/>
  <c r="AT495" i="17"/>
  <c r="AP495" i="17"/>
  <c r="AR253" i="17"/>
  <c r="AS253" i="17"/>
  <c r="AT253" i="17"/>
  <c r="AP253" i="17"/>
  <c r="AB84" i="17"/>
  <c r="AR84" i="17"/>
  <c r="AS84" i="17"/>
  <c r="AP84" i="17"/>
  <c r="AT84" i="17"/>
  <c r="AS306" i="17"/>
  <c r="AP306" i="17"/>
  <c r="AT306" i="17"/>
  <c r="AR306" i="17"/>
  <c r="AA72" i="17"/>
  <c r="AR72" i="17"/>
  <c r="AS72" i="17"/>
  <c r="AP72" i="17"/>
  <c r="Z72" i="17" s="1"/>
  <c r="AT72" i="17"/>
  <c r="AA117" i="17"/>
  <c r="AR117" i="17"/>
  <c r="AP117" i="17"/>
  <c r="AS117" i="17"/>
  <c r="AT117" i="17"/>
  <c r="AS378" i="17"/>
  <c r="AP378" i="17"/>
  <c r="AT378" i="17"/>
  <c r="AR378" i="17"/>
  <c r="AA82" i="17"/>
  <c r="AR82" i="17"/>
  <c r="AS82" i="17"/>
  <c r="AT82" i="17"/>
  <c r="AP82" i="17"/>
  <c r="Z82" i="17" s="1"/>
  <c r="AA49" i="17"/>
  <c r="AP49" i="17"/>
  <c r="AT49" i="17"/>
  <c r="AR49" i="17"/>
  <c r="AS49" i="17"/>
  <c r="AS515" i="17"/>
  <c r="AP515" i="17"/>
  <c r="AT515" i="17"/>
  <c r="AR515" i="17"/>
  <c r="AR490" i="17"/>
  <c r="AP490" i="17"/>
  <c r="AT490" i="17"/>
  <c r="AS490" i="17"/>
  <c r="AR145" i="17"/>
  <c r="AS145" i="17"/>
  <c r="AP145" i="17"/>
  <c r="AT145" i="17"/>
  <c r="AP417" i="17"/>
  <c r="AT417" i="17"/>
  <c r="AR417" i="17"/>
  <c r="AS417" i="17"/>
  <c r="AS358" i="17"/>
  <c r="AP358" i="17"/>
  <c r="AT358" i="17"/>
  <c r="AR358" i="17"/>
  <c r="AP437" i="17"/>
  <c r="AT437" i="17"/>
  <c r="AR437" i="17"/>
  <c r="AS437" i="17"/>
  <c r="AP434" i="17"/>
  <c r="AT434" i="17"/>
  <c r="AR434" i="17"/>
  <c r="AS434" i="17"/>
  <c r="AP462" i="17"/>
  <c r="AT462" i="17"/>
  <c r="AR462" i="17"/>
  <c r="AS462" i="17"/>
  <c r="AA109" i="17"/>
  <c r="AR109" i="17"/>
  <c r="AP109" i="17"/>
  <c r="AS109" i="17"/>
  <c r="AT109" i="17"/>
  <c r="AP39" i="17"/>
  <c r="AT39" i="17"/>
  <c r="AR39" i="17"/>
  <c r="AS39" i="17"/>
  <c r="AR151" i="17"/>
  <c r="AS151" i="17"/>
  <c r="AT151" i="17"/>
  <c r="AP151" i="17"/>
  <c r="AP400" i="17"/>
  <c r="AT400" i="17"/>
  <c r="AR400" i="17"/>
  <c r="AS400" i="17"/>
  <c r="AS286" i="17"/>
  <c r="AP286" i="17"/>
  <c r="AT286" i="17"/>
  <c r="AR286" i="17"/>
  <c r="AS238" i="17"/>
  <c r="AP238" i="17"/>
  <c r="AR238" i="17"/>
  <c r="AT238" i="17"/>
  <c r="AB26" i="17"/>
  <c r="AP26" i="17"/>
  <c r="Z26" i="17" s="1"/>
  <c r="AT26" i="17"/>
  <c r="AR26" i="17"/>
  <c r="AS26" i="17"/>
  <c r="AR251" i="17"/>
  <c r="AS251" i="17"/>
  <c r="AT251" i="17"/>
  <c r="AP251" i="17"/>
  <c r="AA31" i="17"/>
  <c r="AP31" i="17"/>
  <c r="AT31" i="17"/>
  <c r="AR31" i="17"/>
  <c r="AS31" i="17"/>
  <c r="AR110" i="17"/>
  <c r="AS110" i="17"/>
  <c r="AT110" i="17"/>
  <c r="AP110" i="17"/>
  <c r="Z110" i="17" s="1"/>
  <c r="AA73" i="17"/>
  <c r="AR73" i="17"/>
  <c r="AS73" i="17"/>
  <c r="AT73" i="17"/>
  <c r="AP73" i="17"/>
  <c r="AA123" i="17"/>
  <c r="AR123" i="17"/>
  <c r="AP123" i="17"/>
  <c r="AS123" i="17"/>
  <c r="AT123" i="17"/>
  <c r="AR194" i="17"/>
  <c r="AS194" i="17"/>
  <c r="AP194" i="17"/>
  <c r="AT194" i="17"/>
  <c r="AR102" i="17"/>
  <c r="AS102" i="17"/>
  <c r="AT102" i="17"/>
  <c r="AP102" i="17"/>
  <c r="Z102" i="17" s="1"/>
  <c r="AR169" i="17"/>
  <c r="AS169" i="17"/>
  <c r="AP169" i="17"/>
  <c r="AT169" i="17"/>
  <c r="AS371" i="17"/>
  <c r="AP371" i="17"/>
  <c r="AT371" i="17"/>
  <c r="AR371" i="17"/>
  <c r="AP436" i="17"/>
  <c r="AT436" i="17"/>
  <c r="AR436" i="17"/>
  <c r="AS436" i="17"/>
  <c r="AB92" i="17"/>
  <c r="AS92" i="17"/>
  <c r="AR92" i="17"/>
  <c r="AT92" i="17"/>
  <c r="AP92" i="17"/>
  <c r="Z92" i="17" s="1"/>
  <c r="AS321" i="17"/>
  <c r="AP321" i="17"/>
  <c r="AT321" i="17"/>
  <c r="AR321" i="17"/>
  <c r="AB38" i="17"/>
  <c r="AP38" i="17"/>
  <c r="Z38" i="17" s="1"/>
  <c r="AT38" i="17"/>
  <c r="AR38" i="17"/>
  <c r="AS38" i="17"/>
  <c r="AR492" i="17"/>
  <c r="AP492" i="17"/>
  <c r="AT492" i="17"/>
  <c r="AS492" i="17"/>
  <c r="AR146" i="17"/>
  <c r="AS146" i="17"/>
  <c r="AT146" i="17"/>
  <c r="AP146" i="17"/>
  <c r="Z146" i="17" s="1"/>
  <c r="AR98" i="17"/>
  <c r="AS98" i="17"/>
  <c r="AT98" i="17"/>
  <c r="AP98" i="17"/>
  <c r="Z98" i="17" s="1"/>
  <c r="AR279" i="17"/>
  <c r="AS279" i="17"/>
  <c r="AT279" i="17"/>
  <c r="AP279" i="17"/>
  <c r="AR189" i="17"/>
  <c r="AS189" i="17"/>
  <c r="AP189" i="17"/>
  <c r="AT189" i="17"/>
  <c r="AA101" i="17"/>
  <c r="AR101" i="17"/>
  <c r="AP101" i="17"/>
  <c r="AS101" i="17"/>
  <c r="AT101" i="17"/>
  <c r="AA33" i="17"/>
  <c r="AP33" i="17"/>
  <c r="AT33" i="17"/>
  <c r="AR33" i="17"/>
  <c r="AS33" i="17"/>
  <c r="AA93" i="17"/>
  <c r="AS93" i="17"/>
  <c r="AR93" i="17"/>
  <c r="AP93" i="17"/>
  <c r="AT93" i="17"/>
  <c r="AA129" i="17"/>
  <c r="AR129" i="17"/>
  <c r="AS129" i="17"/>
  <c r="AP129" i="17"/>
  <c r="AT129" i="17"/>
  <c r="AR271" i="17"/>
  <c r="AS271" i="17"/>
  <c r="AT271" i="17"/>
  <c r="AP271" i="17"/>
  <c r="AS328" i="17"/>
  <c r="AP328" i="17"/>
  <c r="AT328" i="17"/>
  <c r="AR328" i="17"/>
  <c r="AS326" i="17"/>
  <c r="AP326" i="17"/>
  <c r="AT326" i="17"/>
  <c r="AR326" i="17"/>
  <c r="AP456" i="17"/>
  <c r="AT456" i="17"/>
  <c r="AR456" i="17"/>
  <c r="AS456" i="17"/>
  <c r="AA24" i="17"/>
  <c r="AP24" i="17"/>
  <c r="Z24" i="17" s="1"/>
  <c r="AT24" i="17"/>
  <c r="AR24" i="17"/>
  <c r="AS24" i="17"/>
  <c r="AS318" i="17"/>
  <c r="AP318" i="17"/>
  <c r="AT318" i="17"/>
  <c r="AR318" i="17"/>
  <c r="AP439" i="17"/>
  <c r="AT439" i="17"/>
  <c r="AR439" i="17"/>
  <c r="AS439" i="17"/>
  <c r="AS335" i="17"/>
  <c r="AP335" i="17"/>
  <c r="AT335" i="17"/>
  <c r="AR335" i="17"/>
  <c r="AR179" i="17"/>
  <c r="AS179" i="17"/>
  <c r="AT179" i="17"/>
  <c r="AP179" i="17"/>
  <c r="AR508" i="17"/>
  <c r="AP508" i="17"/>
  <c r="AT508" i="17"/>
  <c r="AS508" i="17"/>
  <c r="AA147" i="17"/>
  <c r="AR147" i="17"/>
  <c r="AS147" i="17"/>
  <c r="AP147" i="17"/>
  <c r="AT147" i="17"/>
  <c r="AS301" i="17"/>
  <c r="AP301" i="17"/>
  <c r="AT301" i="17"/>
  <c r="AR301" i="17"/>
  <c r="AA30" i="17"/>
  <c r="AP30" i="17"/>
  <c r="Z30" i="17" s="1"/>
  <c r="AT30" i="17"/>
  <c r="AR30" i="17"/>
  <c r="AS30" i="17"/>
  <c r="AS289" i="17"/>
  <c r="AP289" i="17"/>
  <c r="AT289" i="17"/>
  <c r="AR289" i="17"/>
  <c r="AA46" i="17"/>
  <c r="AP46" i="17"/>
  <c r="Z46" i="17" s="1"/>
  <c r="AT46" i="17"/>
  <c r="AR46" i="17"/>
  <c r="AS46" i="17"/>
  <c r="AR140" i="17"/>
  <c r="AS140" i="17"/>
  <c r="AT140" i="17"/>
  <c r="AP140" i="17"/>
  <c r="Z140" i="17" s="1"/>
  <c r="AA141" i="17"/>
  <c r="AR141" i="17"/>
  <c r="AS141" i="17"/>
  <c r="AP141" i="17"/>
  <c r="AT141" i="17"/>
  <c r="AP401" i="17"/>
  <c r="AT401" i="17"/>
  <c r="AR401" i="17"/>
  <c r="AS401" i="17"/>
  <c r="AS230" i="17"/>
  <c r="AP230" i="17"/>
  <c r="AR230" i="17"/>
  <c r="AT230" i="17"/>
  <c r="AR486" i="17"/>
  <c r="AP486" i="17"/>
  <c r="AS486" i="17"/>
  <c r="AT486" i="17"/>
  <c r="AA77" i="17"/>
  <c r="AR77" i="17"/>
  <c r="AS77" i="17"/>
  <c r="AP77" i="17"/>
  <c r="AT77" i="17"/>
  <c r="AS291" i="17"/>
  <c r="AP291" i="17"/>
  <c r="AT291" i="17"/>
  <c r="AR291" i="17"/>
  <c r="AR193" i="17"/>
  <c r="AS193" i="17"/>
  <c r="AP193" i="17"/>
  <c r="AT193" i="17"/>
  <c r="AR488" i="17"/>
  <c r="AP488" i="17"/>
  <c r="AT488" i="17"/>
  <c r="AS488" i="17"/>
  <c r="AS94" i="17"/>
  <c r="AT94" i="17"/>
  <c r="AR94" i="17"/>
  <c r="AP94" i="17"/>
  <c r="Z94" i="17" s="1"/>
  <c r="AR248" i="17"/>
  <c r="AT248" i="17"/>
  <c r="AP248" i="17"/>
  <c r="AS248" i="17"/>
  <c r="AP414" i="17"/>
  <c r="AT414" i="17"/>
  <c r="AR414" i="17"/>
  <c r="AS414" i="17"/>
  <c r="AR266" i="17"/>
  <c r="AT266" i="17"/>
  <c r="AP266" i="17"/>
  <c r="AS266" i="17"/>
  <c r="AR118" i="17"/>
  <c r="AS118" i="17"/>
  <c r="AT118" i="17"/>
  <c r="AP118" i="17"/>
  <c r="Z118" i="17" s="1"/>
  <c r="AB126" i="17"/>
  <c r="AR126" i="17"/>
  <c r="AS126" i="17"/>
  <c r="AT126" i="17"/>
  <c r="AP126" i="17"/>
  <c r="AR136" i="17"/>
  <c r="AS136" i="17"/>
  <c r="AT136" i="17"/>
  <c r="AP136" i="17"/>
  <c r="Z136" i="17" s="1"/>
  <c r="AP465" i="17"/>
  <c r="AT465" i="17"/>
  <c r="AR465" i="17"/>
  <c r="AS465" i="17"/>
  <c r="AR483" i="17"/>
  <c r="AS483" i="17"/>
  <c r="AT483" i="17"/>
  <c r="AP483" i="17"/>
  <c r="AS315" i="17"/>
  <c r="AP315" i="17"/>
  <c r="AT315" i="17"/>
  <c r="AR315" i="17"/>
  <c r="AP411" i="17"/>
  <c r="AT411" i="17"/>
  <c r="AR411" i="17"/>
  <c r="AS411" i="17"/>
  <c r="AA90" i="17"/>
  <c r="AS90" i="17"/>
  <c r="AT90" i="17"/>
  <c r="AR90" i="17"/>
  <c r="AP90" i="17"/>
  <c r="Z90" i="17" s="1"/>
  <c r="AR277" i="17"/>
  <c r="AS277" i="17"/>
  <c r="AT277" i="17"/>
  <c r="AP277" i="17"/>
  <c r="AP474" i="17"/>
  <c r="AT474" i="17"/>
  <c r="AR474" i="17"/>
  <c r="AS474" i="17"/>
  <c r="AS374" i="17"/>
  <c r="AP374" i="17"/>
  <c r="AT374" i="17"/>
  <c r="AR374" i="17"/>
  <c r="AR154" i="17"/>
  <c r="AS154" i="17"/>
  <c r="AP154" i="17"/>
  <c r="Z154" i="17" s="1"/>
  <c r="AT154" i="17"/>
  <c r="AR142" i="17"/>
  <c r="AS142" i="17"/>
  <c r="AT142" i="17"/>
  <c r="AP142" i="17"/>
  <c r="Z142" i="17" s="1"/>
  <c r="AP402" i="17"/>
  <c r="AT402" i="17"/>
  <c r="AR402" i="17"/>
  <c r="AS402" i="17"/>
  <c r="AP451" i="17"/>
  <c r="AT451" i="17"/>
  <c r="AR451" i="17"/>
  <c r="AS451" i="17"/>
  <c r="AR280" i="17"/>
  <c r="AT280" i="17"/>
  <c r="AP280" i="17"/>
  <c r="AS280" i="17"/>
  <c r="AA32" i="17"/>
  <c r="AP32" i="17"/>
  <c r="Z32" i="17" s="1"/>
  <c r="AT32" i="17"/>
  <c r="AR32" i="17"/>
  <c r="AS32" i="17"/>
  <c r="AR505" i="17"/>
  <c r="AS505" i="17"/>
  <c r="AT505" i="17"/>
  <c r="AP505" i="17"/>
  <c r="AP448" i="17"/>
  <c r="AT448" i="17"/>
  <c r="AR448" i="17"/>
  <c r="AS448" i="17"/>
  <c r="AR509" i="17"/>
  <c r="AS509" i="17"/>
  <c r="AT509" i="17"/>
  <c r="AP509" i="17"/>
  <c r="AB88" i="17"/>
  <c r="AS88" i="17"/>
  <c r="AR88" i="17"/>
  <c r="AT88" i="17"/>
  <c r="AP88" i="17"/>
  <c r="AR254" i="17"/>
  <c r="AT254" i="17"/>
  <c r="AP254" i="17"/>
  <c r="AS254" i="17"/>
  <c r="AR108" i="17"/>
  <c r="AS108" i="17"/>
  <c r="AT108" i="17"/>
  <c r="AP108" i="17"/>
  <c r="AR507" i="17"/>
  <c r="AS507" i="17"/>
  <c r="AT507" i="17"/>
  <c r="AP507" i="17"/>
  <c r="AS337" i="17"/>
  <c r="AP337" i="17"/>
  <c r="AT337" i="17"/>
  <c r="AR337" i="17"/>
  <c r="AA121" i="17"/>
  <c r="AR121" i="17"/>
  <c r="AP121" i="17"/>
  <c r="AS121" i="17"/>
  <c r="AT121" i="17"/>
  <c r="AP475" i="17"/>
  <c r="AR475" i="17"/>
  <c r="AS475" i="17"/>
  <c r="AT475" i="17"/>
  <c r="AA71" i="17"/>
  <c r="AR71" i="17"/>
  <c r="AS71" i="17"/>
  <c r="AP71" i="17"/>
  <c r="AT71" i="17"/>
  <c r="AR481" i="17"/>
  <c r="AS481" i="17"/>
  <c r="AT481" i="17"/>
  <c r="AP481" i="17"/>
  <c r="AS514" i="17"/>
  <c r="AT514" i="17"/>
  <c r="AR514" i="17"/>
  <c r="AP514" i="17"/>
  <c r="AA137" i="17"/>
  <c r="AR137" i="17"/>
  <c r="AS137" i="17"/>
  <c r="AP137" i="17"/>
  <c r="AT137" i="17"/>
  <c r="AS319" i="17"/>
  <c r="AP319" i="17"/>
  <c r="AT319" i="17"/>
  <c r="AR319" i="17"/>
  <c r="AS516" i="17"/>
  <c r="AP516" i="17"/>
  <c r="AT516" i="17"/>
  <c r="AR516" i="17"/>
  <c r="AS342" i="17"/>
  <c r="AP342" i="17"/>
  <c r="AT342" i="17"/>
  <c r="AR342" i="17"/>
  <c r="AR264" i="17"/>
  <c r="AT264" i="17"/>
  <c r="AP264" i="17"/>
  <c r="AS264" i="17"/>
  <c r="AS343" i="17"/>
  <c r="AP343" i="17"/>
  <c r="AT343" i="17"/>
  <c r="AR343" i="17"/>
  <c r="AR201" i="17"/>
  <c r="AS201" i="17"/>
  <c r="AP201" i="17"/>
  <c r="AT201" i="17"/>
  <c r="AS240" i="17"/>
  <c r="AR240" i="17"/>
  <c r="AP240" i="17"/>
  <c r="AT240" i="17"/>
  <c r="AR496" i="17"/>
  <c r="AP496" i="17"/>
  <c r="AT496" i="17"/>
  <c r="AS496" i="17"/>
  <c r="AP415" i="17"/>
  <c r="AT415" i="17"/>
  <c r="AR415" i="17"/>
  <c r="AS415" i="17"/>
  <c r="AS217" i="17"/>
  <c r="AR217" i="17"/>
  <c r="AT217" i="17"/>
  <c r="AP217" i="17"/>
  <c r="AS366" i="17"/>
  <c r="AP366" i="17"/>
  <c r="AT366" i="17"/>
  <c r="AR366" i="17"/>
  <c r="AS339" i="17"/>
  <c r="AP339" i="17"/>
  <c r="AT339" i="17"/>
  <c r="AR339" i="17"/>
  <c r="AP407" i="17"/>
  <c r="AT407" i="17"/>
  <c r="AR407" i="17"/>
  <c r="AS407" i="17"/>
  <c r="AS367" i="17"/>
  <c r="AP367" i="17"/>
  <c r="AT367" i="17"/>
  <c r="AR367" i="17"/>
  <c r="AS305" i="17"/>
  <c r="AP305" i="17"/>
  <c r="AT305" i="17"/>
  <c r="AR305" i="17"/>
  <c r="AR203" i="17"/>
  <c r="AS203" i="17"/>
  <c r="AT203" i="17"/>
  <c r="AP203" i="17"/>
  <c r="AR174" i="17"/>
  <c r="AS174" i="17"/>
  <c r="AP174" i="17"/>
  <c r="AT174" i="17"/>
  <c r="AP386" i="17"/>
  <c r="AT386" i="17"/>
  <c r="AR386" i="17"/>
  <c r="AS386" i="17"/>
  <c r="AR173" i="17"/>
  <c r="AS173" i="17"/>
  <c r="AP173" i="17"/>
  <c r="AT173" i="17"/>
  <c r="AR269" i="17"/>
  <c r="AS269" i="17"/>
  <c r="AT269" i="17"/>
  <c r="AP269" i="17"/>
  <c r="AR276" i="17"/>
  <c r="AT276" i="17"/>
  <c r="AP276" i="17"/>
  <c r="AS276" i="17"/>
  <c r="AS221" i="17"/>
  <c r="AR221" i="17"/>
  <c r="AT221" i="17"/>
  <c r="AP221" i="17"/>
  <c r="AR257" i="17"/>
  <c r="AS257" i="17"/>
  <c r="AT257" i="17"/>
  <c r="AP257" i="17"/>
  <c r="AS227" i="17"/>
  <c r="AT227" i="17"/>
  <c r="AP227" i="17"/>
  <c r="AR227" i="17"/>
  <c r="AR268" i="17"/>
  <c r="AT268" i="17"/>
  <c r="AP268" i="17"/>
  <c r="AS268" i="17"/>
  <c r="AR158" i="17"/>
  <c r="AS158" i="17"/>
  <c r="AP158" i="17"/>
  <c r="AT158" i="17"/>
  <c r="AS229" i="17"/>
  <c r="AT229" i="17"/>
  <c r="AR229" i="17"/>
  <c r="AP229" i="17"/>
  <c r="AR484" i="17"/>
  <c r="AP484" i="17"/>
  <c r="AT484" i="17"/>
  <c r="AS484" i="17"/>
  <c r="AS379" i="17"/>
  <c r="AP379" i="17"/>
  <c r="AT379" i="17"/>
  <c r="AR379" i="17"/>
  <c r="AS237" i="17"/>
  <c r="AT237" i="17"/>
  <c r="AR237" i="17"/>
  <c r="AP237" i="17"/>
  <c r="AS340" i="17"/>
  <c r="AP340" i="17"/>
  <c r="AT340" i="17"/>
  <c r="AR340" i="17"/>
  <c r="AR510" i="17"/>
  <c r="AP510" i="17"/>
  <c r="AS510" i="17"/>
  <c r="AT510" i="17"/>
  <c r="AR499" i="17"/>
  <c r="AS499" i="17"/>
  <c r="AT499" i="17"/>
  <c r="AP499" i="17"/>
  <c r="AR156" i="17"/>
  <c r="AS156" i="17"/>
  <c r="AT156" i="17"/>
  <c r="AP156" i="17"/>
  <c r="AS234" i="17"/>
  <c r="AP234" i="17"/>
  <c r="AR234" i="17"/>
  <c r="AT234" i="17"/>
  <c r="AP438" i="17"/>
  <c r="AT438" i="17"/>
  <c r="AR438" i="17"/>
  <c r="AS438" i="17"/>
  <c r="AS316" i="17"/>
  <c r="AP316" i="17"/>
  <c r="AT316" i="17"/>
  <c r="AR316" i="17"/>
  <c r="AP398" i="17"/>
  <c r="AT398" i="17"/>
  <c r="AR398" i="17"/>
  <c r="AS398" i="17"/>
  <c r="AS290" i="17"/>
  <c r="AP290" i="17"/>
  <c r="AT290" i="17"/>
  <c r="AR290" i="17"/>
  <c r="AR274" i="17"/>
  <c r="AT274" i="17"/>
  <c r="AP274" i="17"/>
  <c r="AS274" i="17"/>
  <c r="AS295" i="17"/>
  <c r="AP295" i="17"/>
  <c r="AT295" i="17"/>
  <c r="AR295" i="17"/>
  <c r="AS372" i="17"/>
  <c r="AP372" i="17"/>
  <c r="AT372" i="17"/>
  <c r="AR372" i="17"/>
  <c r="AP468" i="17"/>
  <c r="AT468" i="17"/>
  <c r="AR468" i="17"/>
  <c r="AS468" i="17"/>
  <c r="AP444" i="17"/>
  <c r="AT444" i="17"/>
  <c r="AR444" i="17"/>
  <c r="AS444" i="17"/>
  <c r="AS341" i="17"/>
  <c r="AP341" i="17"/>
  <c r="AT341" i="17"/>
  <c r="AR341" i="17"/>
  <c r="AP457" i="17"/>
  <c r="AT457" i="17"/>
  <c r="AR457" i="17"/>
  <c r="AS457" i="17"/>
  <c r="AR204" i="17"/>
  <c r="AS204" i="17"/>
  <c r="AT204" i="17"/>
  <c r="AP204" i="17"/>
  <c r="AR196" i="17"/>
  <c r="AS196" i="17"/>
  <c r="AT196" i="17"/>
  <c r="AP196" i="17"/>
  <c r="AS368" i="17"/>
  <c r="AP368" i="17"/>
  <c r="AT368" i="17"/>
  <c r="AR368" i="17"/>
  <c r="AR192" i="17"/>
  <c r="AS192" i="17"/>
  <c r="AT192" i="17"/>
  <c r="AP192" i="17"/>
  <c r="AS302" i="17"/>
  <c r="AP302" i="17"/>
  <c r="AT302" i="17"/>
  <c r="AR302" i="17"/>
  <c r="AR207" i="17"/>
  <c r="AS207" i="17"/>
  <c r="AT207" i="17"/>
  <c r="AP207" i="17"/>
  <c r="AP423" i="17"/>
  <c r="AT423" i="17"/>
  <c r="AR423" i="17"/>
  <c r="AS423" i="17"/>
  <c r="AS513" i="17"/>
  <c r="AT513" i="17"/>
  <c r="AP513" i="17"/>
  <c r="AR513" i="17"/>
  <c r="AP389" i="17"/>
  <c r="AT389" i="17"/>
  <c r="AR389" i="17"/>
  <c r="AS389" i="17"/>
  <c r="AR191" i="17"/>
  <c r="AS191" i="17"/>
  <c r="AT191" i="17"/>
  <c r="AP191" i="17"/>
  <c r="AP470" i="17"/>
  <c r="AT470" i="17"/>
  <c r="AR470" i="17"/>
  <c r="AS470" i="17"/>
  <c r="AR502" i="17"/>
  <c r="AP502" i="17"/>
  <c r="AT502" i="17"/>
  <c r="AS502" i="17"/>
  <c r="AP385" i="17"/>
  <c r="AT385" i="17"/>
  <c r="AR385" i="17"/>
  <c r="AS385" i="17"/>
  <c r="AR166" i="17"/>
  <c r="AS166" i="17"/>
  <c r="AP166" i="17"/>
  <c r="AT166" i="17"/>
  <c r="AP446" i="17"/>
  <c r="AT446" i="17"/>
  <c r="AR446" i="17"/>
  <c r="AS446" i="17"/>
  <c r="AP458" i="17"/>
  <c r="AT458" i="17"/>
  <c r="AR458" i="17"/>
  <c r="AS458" i="17"/>
  <c r="AS235" i="17"/>
  <c r="AR235" i="17"/>
  <c r="AT235" i="17"/>
  <c r="AP235" i="17"/>
  <c r="AS365" i="17"/>
  <c r="AP365" i="17"/>
  <c r="AT365" i="17"/>
  <c r="AR365" i="17"/>
  <c r="AS288" i="17"/>
  <c r="AP288" i="17"/>
  <c r="AT288" i="17"/>
  <c r="AR288" i="17"/>
  <c r="AS330" i="17"/>
  <c r="AP330" i="17"/>
  <c r="AT330" i="17"/>
  <c r="AR330" i="17"/>
  <c r="AP445" i="17"/>
  <c r="AT445" i="17"/>
  <c r="AR445" i="17"/>
  <c r="AS445" i="17"/>
  <c r="AP449" i="17"/>
  <c r="AT449" i="17"/>
  <c r="AR449" i="17"/>
  <c r="AS449" i="17"/>
  <c r="AR178" i="17"/>
  <c r="AS178" i="17"/>
  <c r="AP178" i="17"/>
  <c r="AT178" i="17"/>
  <c r="AR273" i="17"/>
  <c r="AS273" i="17"/>
  <c r="AT273" i="17"/>
  <c r="AP273" i="17"/>
  <c r="AR188" i="17"/>
  <c r="AS188" i="17"/>
  <c r="AT188" i="17"/>
  <c r="AP188" i="17"/>
  <c r="AP452" i="17"/>
  <c r="AT452" i="17"/>
  <c r="AR452" i="17"/>
  <c r="AS452" i="17"/>
  <c r="AR497" i="17"/>
  <c r="AS497" i="17"/>
  <c r="AT497" i="17"/>
  <c r="AP497" i="17"/>
  <c r="AS313" i="17"/>
  <c r="AP313" i="17"/>
  <c r="AT313" i="17"/>
  <c r="AR313" i="17"/>
  <c r="AS215" i="17"/>
  <c r="AT215" i="17"/>
  <c r="AP215" i="17"/>
  <c r="AR215" i="17"/>
  <c r="AS377" i="17"/>
  <c r="AP377" i="17"/>
  <c r="AT377" i="17"/>
  <c r="AR377" i="17"/>
  <c r="AR206" i="17"/>
  <c r="AS206" i="17"/>
  <c r="AP206" i="17"/>
  <c r="AT206" i="17"/>
  <c r="AR275" i="17"/>
  <c r="AS275" i="17"/>
  <c r="AT275" i="17"/>
  <c r="AP275" i="17"/>
  <c r="AS345" i="17"/>
  <c r="AP345" i="17"/>
  <c r="AT345" i="17"/>
  <c r="AR345" i="17"/>
  <c r="AP396" i="17"/>
  <c r="AT396" i="17"/>
  <c r="AR396" i="17"/>
  <c r="AS396" i="17"/>
  <c r="AR500" i="17"/>
  <c r="AP500" i="17"/>
  <c r="AS500" i="17"/>
  <c r="AT500" i="17"/>
  <c r="AS325" i="17"/>
  <c r="AP325" i="17"/>
  <c r="AT325" i="17"/>
  <c r="AR325" i="17"/>
  <c r="AP420" i="17"/>
  <c r="AT420" i="17"/>
  <c r="AR420" i="17"/>
  <c r="AS420" i="17"/>
  <c r="AS310" i="17"/>
  <c r="AP310" i="17"/>
  <c r="AT310" i="17"/>
  <c r="AR310" i="17"/>
  <c r="AS363" i="17"/>
  <c r="AP363" i="17"/>
  <c r="AT363" i="17"/>
  <c r="AR363" i="17"/>
  <c r="AS324" i="17"/>
  <c r="AP324" i="17"/>
  <c r="AT324" i="17"/>
  <c r="AR324" i="17"/>
  <c r="AP405" i="17"/>
  <c r="AT405" i="17"/>
  <c r="AR405" i="17"/>
  <c r="AS405" i="17"/>
  <c r="AR256" i="17"/>
  <c r="AT256" i="17"/>
  <c r="AP256" i="17"/>
  <c r="AS256" i="17"/>
  <c r="AR160" i="17"/>
  <c r="AS160" i="17"/>
  <c r="AT160" i="17"/>
  <c r="AP160" i="17"/>
  <c r="AS382" i="17"/>
  <c r="AP382" i="17"/>
  <c r="AT382" i="17"/>
  <c r="AR382" i="17"/>
  <c r="AS332" i="17"/>
  <c r="AP332" i="17"/>
  <c r="AT332" i="17"/>
  <c r="AR332" i="17"/>
  <c r="AR181" i="17"/>
  <c r="AS181" i="17"/>
  <c r="AP181" i="17"/>
  <c r="AT181" i="17"/>
  <c r="AP469" i="17"/>
  <c r="AT469" i="17"/>
  <c r="AR469" i="17"/>
  <c r="AS469" i="17"/>
  <c r="AS228" i="17"/>
  <c r="AP228" i="17"/>
  <c r="AR228" i="17"/>
  <c r="AT228" i="17"/>
  <c r="AP427" i="17"/>
  <c r="AT427" i="17"/>
  <c r="AR427" i="17"/>
  <c r="AS427" i="17"/>
  <c r="AS362" i="17"/>
  <c r="AP362" i="17"/>
  <c r="AT362" i="17"/>
  <c r="AR362" i="17"/>
  <c r="AR282" i="17"/>
  <c r="AT282" i="17"/>
  <c r="AP282" i="17"/>
  <c r="AS282" i="17"/>
  <c r="AP403" i="17"/>
  <c r="AT403" i="17"/>
  <c r="AR403" i="17"/>
  <c r="AS403" i="17"/>
  <c r="AS239" i="17"/>
  <c r="AR239" i="17"/>
  <c r="AT239" i="17"/>
  <c r="AP239" i="17"/>
  <c r="AS298" i="17"/>
  <c r="AP298" i="17"/>
  <c r="AT298" i="17"/>
  <c r="AR298" i="17"/>
  <c r="AS214" i="17"/>
  <c r="AR214" i="17"/>
  <c r="AT214" i="17"/>
  <c r="AP214" i="17"/>
  <c r="AR480" i="17"/>
  <c r="AP480" i="17"/>
  <c r="AS480" i="17"/>
  <c r="AT480" i="17"/>
  <c r="AR263" i="17"/>
  <c r="AS263" i="17"/>
  <c r="AT263" i="17"/>
  <c r="AP263" i="17"/>
  <c r="AP459" i="17"/>
  <c r="AT459" i="17"/>
  <c r="AR459" i="17"/>
  <c r="AS459" i="17"/>
  <c r="AP406" i="17"/>
  <c r="AT406" i="17"/>
  <c r="AR406" i="17"/>
  <c r="AS406" i="17"/>
  <c r="AR155" i="17"/>
  <c r="AS155" i="17"/>
  <c r="AT155" i="17"/>
  <c r="AP155" i="17"/>
  <c r="AS244" i="17"/>
  <c r="AR244" i="17"/>
  <c r="AP244" i="17"/>
  <c r="AT244" i="17"/>
  <c r="AR170" i="17"/>
  <c r="AS170" i="17"/>
  <c r="AP170" i="17"/>
  <c r="AT170" i="17"/>
  <c r="AP455" i="17"/>
  <c r="AT455" i="17"/>
  <c r="AR455" i="17"/>
  <c r="AS455" i="17"/>
  <c r="AP472" i="17"/>
  <c r="AT472" i="17"/>
  <c r="AR472" i="17"/>
  <c r="AS472" i="17"/>
  <c r="AR182" i="17"/>
  <c r="AS182" i="17"/>
  <c r="AP182" i="17"/>
  <c r="AT182" i="17"/>
  <c r="AS336" i="17"/>
  <c r="AP336" i="17"/>
  <c r="AT336" i="17"/>
  <c r="AR336" i="17"/>
  <c r="AS218" i="17"/>
  <c r="AR218" i="17"/>
  <c r="AT218" i="17"/>
  <c r="AP218" i="17"/>
  <c r="AR476" i="17"/>
  <c r="AP476" i="17"/>
  <c r="AT476" i="17"/>
  <c r="AS476" i="17"/>
  <c r="AS246" i="17"/>
  <c r="AP246" i="17"/>
  <c r="AR246" i="17"/>
  <c r="AT246" i="17"/>
  <c r="AS364" i="17"/>
  <c r="AP364" i="17"/>
  <c r="AT364" i="17"/>
  <c r="AR364" i="17"/>
  <c r="AP413" i="17"/>
  <c r="AT413" i="17"/>
  <c r="AR413" i="17"/>
  <c r="AS413" i="17"/>
  <c r="AR478" i="17"/>
  <c r="AP478" i="17"/>
  <c r="AT478" i="17"/>
  <c r="AS478" i="17"/>
  <c r="AR197" i="17"/>
  <c r="AS197" i="17"/>
  <c r="AP197" i="17"/>
  <c r="AT197" i="17"/>
  <c r="AR198" i="17"/>
  <c r="AS198" i="17"/>
  <c r="AP198" i="17"/>
  <c r="AT198" i="17"/>
  <c r="AP393" i="17"/>
  <c r="AT393" i="17"/>
  <c r="AR393" i="17"/>
  <c r="AS393" i="17"/>
  <c r="AR283" i="17"/>
  <c r="AS283" i="17"/>
  <c r="AT283" i="17"/>
  <c r="AP283" i="17"/>
  <c r="AS353" i="17"/>
  <c r="AP353" i="17"/>
  <c r="AT353" i="17"/>
  <c r="AR353" i="17"/>
  <c r="AS297" i="17"/>
  <c r="AP297" i="17"/>
  <c r="AT297" i="17"/>
  <c r="AR297" i="17"/>
  <c r="AR261" i="17"/>
  <c r="AS261" i="17"/>
  <c r="AT261" i="17"/>
  <c r="AP261" i="17"/>
  <c r="AS296" i="17"/>
  <c r="AP296" i="17"/>
  <c r="AT296" i="17"/>
  <c r="AR296" i="17"/>
  <c r="AP409" i="17"/>
  <c r="AT409" i="17"/>
  <c r="AR409" i="17"/>
  <c r="AS409" i="17"/>
  <c r="AR250" i="17"/>
  <c r="AT250" i="17"/>
  <c r="AP250" i="17"/>
  <c r="AS250" i="17"/>
  <c r="AR506" i="17"/>
  <c r="AP506" i="17"/>
  <c r="AT506" i="17"/>
  <c r="AS506" i="17"/>
  <c r="AS293" i="17"/>
  <c r="AP293" i="17"/>
  <c r="AT293" i="17"/>
  <c r="AR293" i="17"/>
  <c r="AS303" i="17"/>
  <c r="AP303" i="17"/>
  <c r="AT303" i="17"/>
  <c r="AR303" i="17"/>
  <c r="AS226" i="17"/>
  <c r="AR226" i="17"/>
  <c r="AP226" i="17"/>
  <c r="AT226" i="17"/>
  <c r="AR278" i="17"/>
  <c r="AT278" i="17"/>
  <c r="AP278" i="17"/>
  <c r="AS278" i="17"/>
  <c r="AS338" i="17"/>
  <c r="AP338" i="17"/>
  <c r="AT338" i="17"/>
  <c r="AR338" i="17"/>
  <c r="AP447" i="17"/>
  <c r="AT447" i="17"/>
  <c r="AR447" i="17"/>
  <c r="AS447" i="17"/>
  <c r="AR267" i="17"/>
  <c r="AS267" i="17"/>
  <c r="AT267" i="17"/>
  <c r="AP267" i="17"/>
  <c r="AS347" i="17"/>
  <c r="AP347" i="17"/>
  <c r="AT347" i="17"/>
  <c r="AR347" i="17"/>
  <c r="AP464" i="17"/>
  <c r="AT464" i="17"/>
  <c r="AR464" i="17"/>
  <c r="AS464" i="17"/>
  <c r="AR252" i="17"/>
  <c r="AT252" i="17"/>
  <c r="AP252" i="17"/>
  <c r="AS252" i="17"/>
  <c r="AR167" i="17"/>
  <c r="AS167" i="17"/>
  <c r="AT167" i="17"/>
  <c r="AP167" i="17"/>
  <c r="AR260" i="17"/>
  <c r="AT260" i="17"/>
  <c r="AP260" i="17"/>
  <c r="AS260" i="17"/>
  <c r="AS213" i="17"/>
  <c r="AR213" i="17"/>
  <c r="AT213" i="17"/>
  <c r="AP213" i="17"/>
  <c r="AP397" i="17"/>
  <c r="AT397" i="17"/>
  <c r="AR397" i="17"/>
  <c r="AS397" i="17"/>
  <c r="AR270" i="17"/>
  <c r="AT270" i="17"/>
  <c r="AP270" i="17"/>
  <c r="AS270" i="17"/>
  <c r="AR477" i="17"/>
  <c r="AS477" i="17"/>
  <c r="AT477" i="17"/>
  <c r="AP477" i="17"/>
  <c r="AS247" i="17"/>
  <c r="AR247" i="17"/>
  <c r="AT247" i="17"/>
  <c r="AP247" i="17"/>
  <c r="AR259" i="17"/>
  <c r="AS259" i="17"/>
  <c r="AT259" i="17"/>
  <c r="AP259" i="17"/>
  <c r="AS370" i="17"/>
  <c r="AP370" i="17"/>
  <c r="AT370" i="17"/>
  <c r="AR370" i="17"/>
  <c r="AR164" i="17"/>
  <c r="AS164" i="17"/>
  <c r="AT164" i="17"/>
  <c r="AP164" i="17"/>
  <c r="AR205" i="17"/>
  <c r="AS205" i="17"/>
  <c r="AP205" i="17"/>
  <c r="AT205" i="17"/>
  <c r="AS245" i="17"/>
  <c r="AT245" i="17"/>
  <c r="AR245" i="17"/>
  <c r="AP245" i="17"/>
  <c r="AS287" i="17"/>
  <c r="AP287" i="17"/>
  <c r="AT287" i="17"/>
  <c r="AR287" i="17"/>
  <c r="AR171" i="17"/>
  <c r="AS171" i="17"/>
  <c r="AT171" i="17"/>
  <c r="AP171" i="17"/>
  <c r="AR489" i="17"/>
  <c r="AS489" i="17"/>
  <c r="AT489" i="17"/>
  <c r="AP489" i="17"/>
  <c r="AP408" i="17"/>
  <c r="AT408" i="17"/>
  <c r="AR408" i="17"/>
  <c r="AS408" i="17"/>
  <c r="AP387" i="17"/>
  <c r="AT387" i="17"/>
  <c r="AR387" i="17"/>
  <c r="AS387" i="17"/>
  <c r="AP426" i="17"/>
  <c r="AT426" i="17"/>
  <c r="AR426" i="17"/>
  <c r="AS426" i="17"/>
  <c r="AR202" i="17"/>
  <c r="AS202" i="17"/>
  <c r="AP202" i="17"/>
  <c r="AT202" i="17"/>
  <c r="AR161" i="17"/>
  <c r="AS161" i="17"/>
  <c r="AP161" i="17"/>
  <c r="AT161" i="17"/>
  <c r="AS320" i="17"/>
  <c r="AP320" i="17"/>
  <c r="AT320" i="17"/>
  <c r="AR320" i="17"/>
  <c r="AP422" i="17"/>
  <c r="AT422" i="17"/>
  <c r="AR422" i="17"/>
  <c r="AS422" i="17"/>
  <c r="AR249" i="17"/>
  <c r="AS249" i="17"/>
  <c r="AT249" i="17"/>
  <c r="AP249" i="17"/>
  <c r="AR200" i="17"/>
  <c r="AS200" i="17"/>
  <c r="AT200" i="17"/>
  <c r="AP200" i="17"/>
  <c r="AS222" i="17"/>
  <c r="AR222" i="17"/>
  <c r="AP222" i="17"/>
  <c r="AT222" i="17"/>
  <c r="AR190" i="17"/>
  <c r="AS190" i="17"/>
  <c r="AP190" i="17"/>
  <c r="AT190" i="17"/>
  <c r="AS361" i="17"/>
  <c r="AP361" i="17"/>
  <c r="AT361" i="17"/>
  <c r="AR361" i="17"/>
  <c r="AS308" i="17"/>
  <c r="AP308" i="17"/>
  <c r="AT308" i="17"/>
  <c r="AR308" i="17"/>
  <c r="AS314" i="17"/>
  <c r="AP314" i="17"/>
  <c r="AT314" i="17"/>
  <c r="AR314" i="17"/>
  <c r="AR498" i="17"/>
  <c r="AP498" i="17"/>
  <c r="AT498" i="17"/>
  <c r="AS498" i="17"/>
  <c r="AR112" i="17"/>
  <c r="AS112" i="17"/>
  <c r="AT112" i="17"/>
  <c r="AP112" i="17"/>
  <c r="Z112" i="17" s="1"/>
  <c r="AS346" i="17"/>
  <c r="AP346" i="17"/>
  <c r="AT346" i="17"/>
  <c r="AR346" i="17"/>
  <c r="AA57" i="17"/>
  <c r="AP57" i="17"/>
  <c r="AT57" i="17"/>
  <c r="AR57" i="17"/>
  <c r="AS57" i="17"/>
  <c r="AS216" i="17"/>
  <c r="AP216" i="17"/>
  <c r="AR216" i="17"/>
  <c r="AT216" i="17"/>
  <c r="AP390" i="17"/>
  <c r="AT390" i="17"/>
  <c r="AR390" i="17"/>
  <c r="AS390" i="17"/>
  <c r="AR159" i="17"/>
  <c r="AS159" i="17"/>
  <c r="AT159" i="17"/>
  <c r="AP159" i="17"/>
  <c r="AS219" i="17"/>
  <c r="AT219" i="17"/>
  <c r="AP219" i="17"/>
  <c r="AR219" i="17"/>
  <c r="AR168" i="17"/>
  <c r="AS168" i="17"/>
  <c r="AT168" i="17"/>
  <c r="AP168" i="17"/>
  <c r="AR114" i="17"/>
  <c r="AS114" i="17"/>
  <c r="AT114" i="17"/>
  <c r="AP114" i="17"/>
  <c r="Z114" i="17" s="1"/>
  <c r="AR272" i="17"/>
  <c r="AT272" i="17"/>
  <c r="AP272" i="17"/>
  <c r="AS272" i="17"/>
  <c r="AB64" i="17"/>
  <c r="AR64" i="17"/>
  <c r="AS64" i="17"/>
  <c r="AT64" i="17"/>
  <c r="AP64" i="17"/>
  <c r="Z64" i="17" s="1"/>
  <c r="AS359" i="17"/>
  <c r="AP359" i="17"/>
  <c r="AT359" i="17"/>
  <c r="AR359" i="17"/>
  <c r="AS329" i="17"/>
  <c r="AP329" i="17"/>
  <c r="AT329" i="17"/>
  <c r="AR329" i="17"/>
  <c r="AR258" i="17"/>
  <c r="AT258" i="17"/>
  <c r="AP258" i="17"/>
  <c r="AS258" i="17"/>
  <c r="AS334" i="17"/>
  <c r="AP334" i="17"/>
  <c r="AT334" i="17"/>
  <c r="AR334" i="17"/>
  <c r="AP55" i="17"/>
  <c r="AT55" i="17"/>
  <c r="AR55" i="17"/>
  <c r="AS55" i="17"/>
  <c r="AB122" i="17"/>
  <c r="AR122" i="17"/>
  <c r="AS122" i="17"/>
  <c r="AT122" i="17"/>
  <c r="AP122" i="17"/>
  <c r="Z122" i="17" s="1"/>
  <c r="AS307" i="17"/>
  <c r="AP307" i="17"/>
  <c r="AT307" i="17"/>
  <c r="AR307" i="17"/>
  <c r="AS242" i="17"/>
  <c r="AP242" i="17"/>
  <c r="AR242" i="17"/>
  <c r="AT242" i="17"/>
  <c r="AA40" i="17"/>
  <c r="AP40" i="17"/>
  <c r="Z40" i="17" s="1"/>
  <c r="AT40" i="17"/>
  <c r="AR40" i="17"/>
  <c r="AS40" i="17"/>
  <c r="AP425" i="17"/>
  <c r="AT425" i="17"/>
  <c r="AR425" i="17"/>
  <c r="AS425" i="17"/>
  <c r="AA107" i="17"/>
  <c r="AR107" i="17"/>
  <c r="AP107" i="17"/>
  <c r="AS107" i="17"/>
  <c r="AT107" i="17"/>
  <c r="AA105" i="17"/>
  <c r="AR105" i="17"/>
  <c r="AP105" i="17"/>
  <c r="AS105" i="17"/>
  <c r="AT105" i="17"/>
  <c r="AA135" i="17"/>
  <c r="AR135" i="17"/>
  <c r="AS135" i="17"/>
  <c r="AP135" i="17"/>
  <c r="AT135" i="17"/>
  <c r="AR139" i="17"/>
  <c r="AS139" i="17"/>
  <c r="AP139" i="17"/>
  <c r="AT139" i="17"/>
  <c r="AA45" i="17"/>
  <c r="AP45" i="17"/>
  <c r="AT45" i="17"/>
  <c r="AR45" i="17"/>
  <c r="AS45" i="17"/>
  <c r="AA89" i="17"/>
  <c r="AS89" i="17"/>
  <c r="AR89" i="17"/>
  <c r="AP89" i="17"/>
  <c r="AT89" i="17"/>
  <c r="AA143" i="17"/>
  <c r="AR143" i="17"/>
  <c r="AS143" i="17"/>
  <c r="AP143" i="17"/>
  <c r="AT143" i="17"/>
  <c r="AA111" i="17"/>
  <c r="AR111" i="17"/>
  <c r="AP111" i="17"/>
  <c r="AS111" i="17"/>
  <c r="AT111" i="17"/>
  <c r="AA43" i="17"/>
  <c r="AP43" i="17"/>
  <c r="AT43" i="17"/>
  <c r="AR43" i="17"/>
  <c r="AS43" i="17"/>
  <c r="AA133" i="17"/>
  <c r="AR133" i="17"/>
  <c r="AS133" i="17"/>
  <c r="AP133" i="17"/>
  <c r="AT133" i="17"/>
  <c r="AA79" i="17"/>
  <c r="AR79" i="17"/>
  <c r="AS79" i="17"/>
  <c r="AP79" i="17"/>
  <c r="AT79" i="17"/>
  <c r="AA119" i="17"/>
  <c r="AR119" i="17"/>
  <c r="AP119" i="17"/>
  <c r="AS119" i="17"/>
  <c r="AT119" i="17"/>
  <c r="AA131" i="17"/>
  <c r="AR131" i="17"/>
  <c r="AS131" i="17"/>
  <c r="AP131" i="17"/>
  <c r="AT131" i="17"/>
  <c r="AA103" i="17"/>
  <c r="AR103" i="17"/>
  <c r="AP103" i="17"/>
  <c r="AS103" i="17"/>
  <c r="AT103" i="17"/>
  <c r="AA97" i="17"/>
  <c r="AR97" i="17"/>
  <c r="AP97" i="17"/>
  <c r="AS97" i="17"/>
  <c r="AT97" i="17"/>
  <c r="AA27" i="17"/>
  <c r="AP27" i="17"/>
  <c r="AT27" i="17"/>
  <c r="AR27" i="17"/>
  <c r="AS27" i="17"/>
  <c r="AA61" i="17"/>
  <c r="AP61" i="17"/>
  <c r="AT61" i="17"/>
  <c r="AR61" i="17"/>
  <c r="AS61" i="17"/>
  <c r="AA29" i="17"/>
  <c r="AP29" i="17"/>
  <c r="Z29" i="17" s="1"/>
  <c r="AT29" i="17"/>
  <c r="AR29" i="17"/>
  <c r="AS29" i="17"/>
  <c r="AA91" i="17"/>
  <c r="AS91" i="17"/>
  <c r="AP91" i="17"/>
  <c r="AR91" i="17"/>
  <c r="AT91" i="17"/>
  <c r="AP424" i="17"/>
  <c r="AT424" i="17"/>
  <c r="AR424" i="17"/>
  <c r="AS424" i="17"/>
  <c r="AS322" i="17"/>
  <c r="AP322" i="17"/>
  <c r="AT322" i="17"/>
  <c r="AR322" i="17"/>
  <c r="AS223" i="17"/>
  <c r="AT223" i="17"/>
  <c r="AP223" i="17"/>
  <c r="AR223" i="17"/>
  <c r="AA85" i="17"/>
  <c r="AS85" i="17"/>
  <c r="AR85" i="17"/>
  <c r="AP85" i="17"/>
  <c r="AT85" i="17"/>
  <c r="AP412" i="17"/>
  <c r="AT412" i="17"/>
  <c r="AR412" i="17"/>
  <c r="AS412" i="17"/>
  <c r="AP416" i="17"/>
  <c r="AT416" i="17"/>
  <c r="AR416" i="17"/>
  <c r="AS416" i="17"/>
  <c r="AS317" i="17"/>
  <c r="AP317" i="17"/>
  <c r="AT317" i="17"/>
  <c r="AR317" i="17"/>
  <c r="AR138" i="17"/>
  <c r="AS138" i="17"/>
  <c r="AT138" i="17"/>
  <c r="AP138" i="17"/>
  <c r="Z138" i="17" s="1"/>
  <c r="AP395" i="17"/>
  <c r="AT395" i="17"/>
  <c r="AR395" i="17"/>
  <c r="AS395" i="17"/>
  <c r="AP466" i="17"/>
  <c r="AT466" i="17"/>
  <c r="AR466" i="17"/>
  <c r="AS466" i="17"/>
  <c r="AR184" i="17"/>
  <c r="AS184" i="17"/>
  <c r="AT184" i="17"/>
  <c r="AP184" i="17"/>
  <c r="AP404" i="17"/>
  <c r="AT404" i="17"/>
  <c r="AR404" i="17"/>
  <c r="AS404" i="17"/>
  <c r="AA56" i="17"/>
  <c r="AP56" i="17"/>
  <c r="Z56" i="17" s="1"/>
  <c r="AT56" i="17"/>
  <c r="AR56" i="17"/>
  <c r="AS56" i="17"/>
  <c r="AR265" i="17"/>
  <c r="AS265" i="17"/>
  <c r="AT265" i="17"/>
  <c r="AP265" i="17"/>
  <c r="AR120" i="17"/>
  <c r="AS120" i="17"/>
  <c r="AT120" i="17"/>
  <c r="AP120" i="17"/>
  <c r="AR494" i="17"/>
  <c r="AP494" i="17"/>
  <c r="AT494" i="17"/>
  <c r="AS494" i="17"/>
  <c r="AS357" i="17"/>
  <c r="AP357" i="17"/>
  <c r="AT357" i="17"/>
  <c r="AR357" i="17"/>
  <c r="AS284" i="17"/>
  <c r="AP284" i="17"/>
  <c r="AT284" i="17"/>
  <c r="AR284" i="17"/>
  <c r="AP453" i="17"/>
  <c r="AT453" i="17"/>
  <c r="AR453" i="17"/>
  <c r="AS453" i="17"/>
  <c r="AS231" i="17"/>
  <c r="AR231" i="17"/>
  <c r="AT231" i="17"/>
  <c r="AP231" i="17"/>
  <c r="AR479" i="17"/>
  <c r="AS479" i="17"/>
  <c r="AT479" i="17"/>
  <c r="AP479" i="17"/>
  <c r="AR501" i="17"/>
  <c r="AS501" i="17"/>
  <c r="AT501" i="17"/>
  <c r="AP501" i="17"/>
  <c r="AS294" i="17"/>
  <c r="AP294" i="17"/>
  <c r="AT294" i="17"/>
  <c r="AR294" i="17"/>
  <c r="AP450" i="17"/>
  <c r="AT450" i="17"/>
  <c r="AR450" i="17"/>
  <c r="AS450" i="17"/>
  <c r="AA59" i="17"/>
  <c r="AP59" i="17"/>
  <c r="AT59" i="17"/>
  <c r="AR59" i="17"/>
  <c r="AS59" i="17"/>
  <c r="AS285" i="17"/>
  <c r="AP285" i="17"/>
  <c r="AT285" i="17"/>
  <c r="AR285" i="17"/>
  <c r="AA99" i="17"/>
  <c r="AR99" i="17"/>
  <c r="AP99" i="17"/>
  <c r="AS99" i="17"/>
  <c r="AT99" i="17"/>
  <c r="AS355" i="17"/>
  <c r="AP355" i="17"/>
  <c r="AT355" i="17"/>
  <c r="AR355" i="17"/>
  <c r="AA127" i="17"/>
  <c r="AR127" i="17"/>
  <c r="AP127" i="17"/>
  <c r="AS127" i="17"/>
  <c r="AT127" i="17"/>
  <c r="AR487" i="17"/>
  <c r="AS487" i="17"/>
  <c r="AT487" i="17"/>
  <c r="AP487" i="17"/>
  <c r="AS220" i="17"/>
  <c r="AP220" i="17"/>
  <c r="AR220" i="17"/>
  <c r="AT220" i="17"/>
  <c r="AP443" i="17"/>
  <c r="AT443" i="17"/>
  <c r="AR443" i="17"/>
  <c r="AS443" i="17"/>
  <c r="AA70" i="17"/>
  <c r="AR70" i="17"/>
  <c r="AS70" i="17"/>
  <c r="AT70" i="17"/>
  <c r="AP70" i="17"/>
  <c r="Z70" i="17" s="1"/>
  <c r="AR150" i="17"/>
  <c r="AS150" i="17"/>
  <c r="AP150" i="17"/>
  <c r="Z150" i="17" s="1"/>
  <c r="AT150" i="17"/>
  <c r="AR281" i="17"/>
  <c r="AS281" i="17"/>
  <c r="AT281" i="17"/>
  <c r="AP281" i="17"/>
  <c r="AP440" i="17"/>
  <c r="AT440" i="17"/>
  <c r="AR440" i="17"/>
  <c r="AS440" i="17"/>
  <c r="AA54" i="17"/>
  <c r="AP54" i="17"/>
  <c r="Z54" i="17" s="1"/>
  <c r="AT54" i="17"/>
  <c r="AR54" i="17"/>
  <c r="AS54" i="17"/>
  <c r="AS384" i="17"/>
  <c r="AP384" i="17"/>
  <c r="AT384" i="17"/>
  <c r="AR384" i="17"/>
  <c r="AS375" i="17"/>
  <c r="AP375" i="17"/>
  <c r="AT375" i="17"/>
  <c r="AR375" i="17"/>
  <c r="AR149" i="17"/>
  <c r="AS149" i="17"/>
  <c r="AP149" i="17"/>
  <c r="AT149" i="17"/>
  <c r="AR183" i="17"/>
  <c r="AS183" i="17"/>
  <c r="AT183" i="17"/>
  <c r="AP183" i="17"/>
  <c r="AS96" i="17"/>
  <c r="AR96" i="17"/>
  <c r="AT96" i="17"/>
  <c r="AP96" i="17"/>
  <c r="Z96" i="17" s="1"/>
  <c r="AP418" i="17"/>
  <c r="AT418" i="17"/>
  <c r="AR418" i="17"/>
  <c r="AS418" i="17"/>
  <c r="AS292" i="17"/>
  <c r="AP292" i="17"/>
  <c r="AT292" i="17"/>
  <c r="AR292" i="17"/>
  <c r="AR503" i="17"/>
  <c r="AS503" i="17"/>
  <c r="AT503" i="17"/>
  <c r="AP503" i="17"/>
  <c r="AS350" i="17"/>
  <c r="AP350" i="17"/>
  <c r="AT350" i="17"/>
  <c r="AR350" i="17"/>
  <c r="AP460" i="17"/>
  <c r="AT460" i="17"/>
  <c r="AR460" i="17"/>
  <c r="AS460" i="17"/>
  <c r="AP23" i="17"/>
  <c r="AT23" i="17"/>
  <c r="AR23" i="17"/>
  <c r="AS23" i="17"/>
  <c r="AA65" i="17"/>
  <c r="AR65" i="17"/>
  <c r="AS65" i="17"/>
  <c r="AT65" i="17"/>
  <c r="AP65" i="17"/>
  <c r="AS233" i="17"/>
  <c r="AT233" i="17"/>
  <c r="AR233" i="17"/>
  <c r="AP233" i="17"/>
  <c r="AR482" i="17"/>
  <c r="AP482" i="17"/>
  <c r="AT482" i="17"/>
  <c r="AS482" i="17"/>
  <c r="AR175" i="17"/>
  <c r="AS175" i="17"/>
  <c r="AT175" i="17"/>
  <c r="AP175" i="17"/>
  <c r="AP419" i="17"/>
  <c r="AT419" i="17"/>
  <c r="AR419" i="17"/>
  <c r="AS419" i="17"/>
  <c r="AS360" i="17"/>
  <c r="AP360" i="17"/>
  <c r="AT360" i="17"/>
  <c r="AR360" i="17"/>
  <c r="AR162" i="17"/>
  <c r="AS162" i="17"/>
  <c r="AP162" i="17"/>
  <c r="AT162" i="17"/>
  <c r="AP421" i="17"/>
  <c r="AT421" i="17"/>
  <c r="AR421" i="17"/>
  <c r="AS421" i="17"/>
  <c r="AA48" i="17"/>
  <c r="AP48" i="17"/>
  <c r="Z48" i="17" s="1"/>
  <c r="AT48" i="17"/>
  <c r="AR48" i="17"/>
  <c r="AS48" i="17"/>
  <c r="AP428" i="17"/>
  <c r="AT428" i="17"/>
  <c r="AR428" i="17"/>
  <c r="AS428" i="17"/>
  <c r="AP432" i="17"/>
  <c r="AT432" i="17"/>
  <c r="AR432" i="17"/>
  <c r="AS432" i="17"/>
  <c r="AS344" i="17"/>
  <c r="AP344" i="17"/>
  <c r="AT344" i="17"/>
  <c r="AR344" i="17"/>
  <c r="AR199" i="17"/>
  <c r="AS199" i="17"/>
  <c r="AT199" i="17"/>
  <c r="AP199" i="17"/>
  <c r="AS208" i="17"/>
  <c r="AP208" i="17"/>
  <c r="AR208" i="17"/>
  <c r="AT208" i="17"/>
  <c r="AR157" i="17"/>
  <c r="AS157" i="17"/>
  <c r="AP157" i="17"/>
  <c r="AT157" i="17"/>
  <c r="AA36" i="17"/>
  <c r="AP36" i="17"/>
  <c r="Z36" i="17" s="1"/>
  <c r="AT36" i="17"/>
  <c r="AR36" i="17"/>
  <c r="AS36" i="17"/>
  <c r="AS327" i="17"/>
  <c r="AP327" i="17"/>
  <c r="AT327" i="17"/>
  <c r="AR327" i="17"/>
  <c r="AR130" i="17"/>
  <c r="AS130" i="17"/>
  <c r="AT130" i="17"/>
  <c r="AP130" i="17"/>
  <c r="Z130" i="17" s="1"/>
  <c r="AR485" i="17"/>
  <c r="AS485" i="17"/>
  <c r="AT485" i="17"/>
  <c r="AP485" i="17"/>
  <c r="AP410" i="17"/>
  <c r="AT410" i="17"/>
  <c r="AR410" i="17"/>
  <c r="AS410" i="17"/>
  <c r="AP461" i="17"/>
  <c r="AT461" i="17"/>
  <c r="AR461" i="17"/>
  <c r="AS461" i="17"/>
  <c r="AS376" i="17"/>
  <c r="AP376" i="17"/>
  <c r="AT376" i="17"/>
  <c r="AR376" i="17"/>
  <c r="AR124" i="17"/>
  <c r="AS124" i="17"/>
  <c r="AT124" i="17"/>
  <c r="AP124" i="17"/>
  <c r="Z124" i="17" s="1"/>
  <c r="AS211" i="17"/>
  <c r="AT211" i="17"/>
  <c r="AP211" i="17"/>
  <c r="AR211" i="17"/>
  <c r="AP435" i="17"/>
  <c r="AT435" i="17"/>
  <c r="AR435" i="17"/>
  <c r="AS435" i="17"/>
  <c r="AS512" i="17"/>
  <c r="AT512" i="17"/>
  <c r="AP512" i="17"/>
  <c r="AR512" i="17"/>
  <c r="AP473" i="17"/>
  <c r="AT473" i="17"/>
  <c r="AR473" i="17"/>
  <c r="AS473" i="17"/>
  <c r="AR504" i="17"/>
  <c r="AP504" i="17"/>
  <c r="AS504" i="17"/>
  <c r="AT504" i="17"/>
  <c r="AR128" i="17"/>
  <c r="AS128" i="17"/>
  <c r="AT128" i="17"/>
  <c r="AP128" i="17"/>
  <c r="Z128" i="17" s="1"/>
  <c r="AP62" i="17"/>
  <c r="Z62" i="17" s="1"/>
  <c r="AT62" i="17"/>
  <c r="AR62" i="17"/>
  <c r="AS62" i="17"/>
  <c r="AB66" i="17"/>
  <c r="AR66" i="17"/>
  <c r="AS66" i="17"/>
  <c r="AP66" i="17"/>
  <c r="Z66" i="17" s="1"/>
  <c r="AT66" i="17"/>
  <c r="AP467" i="17"/>
  <c r="AT467" i="17"/>
  <c r="AR467" i="17"/>
  <c r="AS467" i="17"/>
  <c r="AR116" i="17"/>
  <c r="AS116" i="17"/>
  <c r="AT116" i="17"/>
  <c r="AP116" i="17"/>
  <c r="Z116" i="17" s="1"/>
  <c r="AP58" i="17"/>
  <c r="Z58" i="17" s="1"/>
  <c r="AT58" i="17"/>
  <c r="AR58" i="17"/>
  <c r="AS58" i="17"/>
  <c r="AR134" i="17"/>
  <c r="AS134" i="17"/>
  <c r="AT134" i="17"/>
  <c r="AP134" i="17"/>
  <c r="Z134" i="17" s="1"/>
  <c r="AS309" i="17"/>
  <c r="AP309" i="17"/>
  <c r="AT309" i="17"/>
  <c r="AR309" i="17"/>
  <c r="AS351" i="17"/>
  <c r="AP351" i="17"/>
  <c r="AT351" i="17"/>
  <c r="AR351" i="17"/>
  <c r="AR185" i="17"/>
  <c r="AS185" i="17"/>
  <c r="AP185" i="17"/>
  <c r="AT185" i="17"/>
  <c r="AR148" i="17"/>
  <c r="AS148" i="17"/>
  <c r="AT148" i="17"/>
  <c r="AP148" i="17"/>
  <c r="Z148" i="17" s="1"/>
  <c r="AR493" i="17"/>
  <c r="AS493" i="17"/>
  <c r="AT493" i="17"/>
  <c r="AP493" i="17"/>
  <c r="AR165" i="17"/>
  <c r="AS165" i="17"/>
  <c r="AP165" i="17"/>
  <c r="AT165" i="17"/>
  <c r="AA52" i="17"/>
  <c r="AP52" i="17"/>
  <c r="Z52" i="17" s="1"/>
  <c r="AT52" i="17"/>
  <c r="AR52" i="17"/>
  <c r="AS52" i="17"/>
  <c r="AP463" i="17"/>
  <c r="AT463" i="17"/>
  <c r="AR463" i="17"/>
  <c r="AS463" i="17"/>
  <c r="AS312" i="17"/>
  <c r="AP312" i="17"/>
  <c r="AT312" i="17"/>
  <c r="AR312" i="17"/>
  <c r="AM19" i="17"/>
  <c r="AR19" i="17" s="1"/>
  <c r="AA139" i="17"/>
  <c r="AA151" i="17"/>
  <c r="AA149" i="17"/>
  <c r="AA145" i="17"/>
  <c r="AA76" i="17"/>
  <c r="AA84" i="17"/>
  <c r="AA55" i="17"/>
  <c r="AA63" i="17"/>
  <c r="AA66" i="17"/>
  <c r="AA86" i="17"/>
  <c r="AA22" i="17"/>
  <c r="AA88" i="17"/>
  <c r="AA68" i="17"/>
  <c r="AA64" i="17"/>
  <c r="AA25" i="17"/>
  <c r="AA42" i="17"/>
  <c r="AA39" i="17"/>
  <c r="AA35" i="17"/>
  <c r="AA26" i="17"/>
  <c r="AA38" i="17"/>
  <c r="AA23" i="17"/>
  <c r="Z34" i="17"/>
  <c r="AC34" i="17"/>
  <c r="AB50" i="17"/>
  <c r="AC50" i="17"/>
  <c r="Z50" i="17"/>
  <c r="AB56" i="17"/>
  <c r="AC56" i="17"/>
  <c r="AB48" i="17"/>
  <c r="AC48" i="17"/>
  <c r="AB118" i="17"/>
  <c r="AC118" i="17"/>
  <c r="AB36" i="17"/>
  <c r="AC36" i="17"/>
  <c r="AB124" i="17"/>
  <c r="AC124" i="17"/>
  <c r="AB44" i="17"/>
  <c r="AC44" i="17"/>
  <c r="AB128" i="17"/>
  <c r="AC128" i="17"/>
  <c r="AB20" i="17"/>
  <c r="AC20" i="17"/>
  <c r="AB100" i="17"/>
  <c r="AC100" i="17"/>
  <c r="AB80" i="17"/>
  <c r="Z80" i="17"/>
  <c r="AC80" i="17"/>
  <c r="AB102" i="17"/>
  <c r="AC102" i="17"/>
  <c r="AB146" i="17"/>
  <c r="AC146" i="17"/>
  <c r="AB28" i="17"/>
  <c r="AC28" i="17"/>
  <c r="AB98" i="17"/>
  <c r="AC98" i="17"/>
  <c r="AB24" i="17"/>
  <c r="AC24" i="17"/>
  <c r="AB74" i="17"/>
  <c r="AC74" i="17"/>
  <c r="AC106" i="17"/>
  <c r="AB32" i="17"/>
  <c r="AC32" i="17"/>
  <c r="AC88" i="17"/>
  <c r="AB108" i="17"/>
  <c r="AC108" i="17"/>
  <c r="AB40" i="17"/>
  <c r="AC40" i="17"/>
  <c r="Z68" i="17"/>
  <c r="AC68" i="17"/>
  <c r="AB112" i="17"/>
  <c r="AC112" i="17"/>
  <c r="AB138" i="17"/>
  <c r="AC138" i="17"/>
  <c r="AB120" i="17"/>
  <c r="AC120" i="17"/>
  <c r="Z120" i="17"/>
  <c r="AC92" i="17"/>
  <c r="AB144" i="17"/>
  <c r="AC144" i="17"/>
  <c r="AB150" i="17"/>
  <c r="AC150" i="17"/>
  <c r="AB46" i="17"/>
  <c r="AC46" i="17"/>
  <c r="AB94" i="17"/>
  <c r="AC94" i="17"/>
  <c r="AC126" i="17"/>
  <c r="AB130" i="17"/>
  <c r="AC130" i="17"/>
  <c r="AB78" i="17"/>
  <c r="AC78" i="17"/>
  <c r="AC66" i="17"/>
  <c r="AC122" i="17"/>
  <c r="AB148" i="17"/>
  <c r="AC148" i="17"/>
  <c r="AC76" i="17"/>
  <c r="AC42" i="17"/>
  <c r="AB110" i="17"/>
  <c r="AC110" i="17"/>
  <c r="AC38" i="17"/>
  <c r="AB54" i="17"/>
  <c r="AC54" i="17"/>
  <c r="AB30" i="17"/>
  <c r="AC30" i="17"/>
  <c r="AB140" i="17"/>
  <c r="AC140" i="17"/>
  <c r="AC64" i="17"/>
  <c r="AB90" i="17"/>
  <c r="AC90" i="17"/>
  <c r="AB116" i="17"/>
  <c r="AC116" i="17"/>
  <c r="AB154" i="17"/>
  <c r="AC154" i="17"/>
  <c r="AB34" i="17"/>
  <c r="AC26" i="17"/>
  <c r="AC84" i="17"/>
  <c r="AB72" i="17"/>
  <c r="AC72" i="17"/>
  <c r="AB82" i="17"/>
  <c r="AC82" i="17"/>
  <c r="AB70" i="17"/>
  <c r="AC70" i="17"/>
  <c r="AB96" i="17"/>
  <c r="AC96" i="17"/>
  <c r="AB152" i="17"/>
  <c r="AC152" i="17"/>
  <c r="AB114" i="17"/>
  <c r="AC114" i="17"/>
  <c r="AC60" i="17"/>
  <c r="AB136" i="17"/>
  <c r="AC136" i="17"/>
  <c r="AB132" i="17"/>
  <c r="AC132" i="17"/>
  <c r="AB62" i="17"/>
  <c r="AC62" i="17"/>
  <c r="AB58" i="17"/>
  <c r="AC58" i="17"/>
  <c r="AB134" i="17"/>
  <c r="AC134" i="17"/>
  <c r="AB142" i="17"/>
  <c r="AC142" i="17"/>
  <c r="AC86" i="17"/>
  <c r="AC22" i="17"/>
  <c r="AB106" i="17"/>
  <c r="AB104" i="17"/>
  <c r="AC104" i="17"/>
  <c r="AB52" i="17"/>
  <c r="AC52" i="17"/>
  <c r="D44" i="5"/>
  <c r="H14" i="3"/>
  <c r="H20" i="3"/>
  <c r="H17" i="3"/>
  <c r="AS19" i="17" l="1"/>
  <c r="AT19" i="17"/>
  <c r="AP19" i="17"/>
  <c r="Z19" i="17" s="1"/>
  <c r="AQ19" i="17"/>
  <c r="AA19" i="17" s="1"/>
  <c r="Z426" i="17"/>
  <c r="AE426" i="17" s="1"/>
  <c r="Z422" i="17"/>
  <c r="AE422" i="17" s="1"/>
  <c r="Z334" i="17"/>
  <c r="AE334" i="17" s="1"/>
  <c r="Z230" i="17"/>
  <c r="AE230" i="17" s="1"/>
  <c r="Z481" i="17"/>
  <c r="AE481" i="17" s="1"/>
  <c r="Z352" i="17"/>
  <c r="AE352" i="17" s="1"/>
  <c r="Z308" i="17"/>
  <c r="AE308" i="17" s="1"/>
  <c r="Z190" i="17"/>
  <c r="AE190" i="17" s="1"/>
  <c r="Z161" i="17"/>
  <c r="AE161" i="17" s="1"/>
  <c r="Z387" i="17"/>
  <c r="AE387" i="17" s="1"/>
  <c r="Z489" i="17"/>
  <c r="AE489" i="17" s="1"/>
  <c r="Z347" i="17"/>
  <c r="AE347" i="17" s="1"/>
  <c r="Z473" i="17"/>
  <c r="AE473" i="17" s="1"/>
  <c r="Z486" i="17"/>
  <c r="AE486" i="17" s="1"/>
  <c r="Z364" i="17"/>
  <c r="AE364" i="17" s="1"/>
  <c r="Z246" i="17"/>
  <c r="AE246" i="17" s="1"/>
  <c r="Z182" i="17"/>
  <c r="AE182" i="17" s="1"/>
  <c r="Z517" i="17"/>
  <c r="AE517" i="17" s="1"/>
  <c r="Z406" i="17"/>
  <c r="AE406" i="17" s="1"/>
  <c r="Z214" i="17"/>
  <c r="AE214" i="17" s="1"/>
  <c r="Z282" i="17"/>
  <c r="AE282" i="17" s="1"/>
  <c r="Z89" i="17"/>
  <c r="AE89" i="17" s="1"/>
  <c r="Z456" i="17"/>
  <c r="AE456" i="17" s="1"/>
  <c r="Z441" i="17"/>
  <c r="AE441" i="17" s="1"/>
  <c r="Z273" i="17"/>
  <c r="AE273" i="17" s="1"/>
  <c r="Z399" i="17"/>
  <c r="AE399" i="17" s="1"/>
  <c r="Z127" i="17"/>
  <c r="AE127" i="17" s="1"/>
  <c r="Z372" i="17"/>
  <c r="AE372" i="17" s="1"/>
  <c r="Z304" i="17"/>
  <c r="AE304" i="17" s="1"/>
  <c r="Z209" i="17"/>
  <c r="AE209" i="17" s="1"/>
  <c r="Z436" i="17"/>
  <c r="AE436" i="17" s="1"/>
  <c r="Z316" i="17"/>
  <c r="AE316" i="17" s="1"/>
  <c r="Z379" i="17"/>
  <c r="AE379" i="17" s="1"/>
  <c r="Z367" i="17"/>
  <c r="AE367" i="17" s="1"/>
  <c r="Z323" i="17"/>
  <c r="AE323" i="17" s="1"/>
  <c r="Z201" i="17"/>
  <c r="AE201" i="17" s="1"/>
  <c r="Z356" i="17"/>
  <c r="AE356" i="17" s="1"/>
  <c r="Z137" i="17"/>
  <c r="AE137" i="17" s="1"/>
  <c r="Z232" i="17"/>
  <c r="AE232" i="17" s="1"/>
  <c r="Z53" i="17"/>
  <c r="AE53" i="17" s="1"/>
  <c r="Z163" i="17"/>
  <c r="AE163" i="17" s="1"/>
  <c r="Z164" i="17"/>
  <c r="AE164" i="17" s="1"/>
  <c r="Z196" i="17"/>
  <c r="AE196" i="17" s="1"/>
  <c r="Z353" i="17"/>
  <c r="AE353" i="17" s="1"/>
  <c r="Z272" i="17"/>
  <c r="AE272" i="17" s="1"/>
  <c r="Z344" i="17"/>
  <c r="AE344" i="17" s="1"/>
  <c r="Z324" i="17"/>
  <c r="AE324" i="17" s="1"/>
  <c r="Z500" i="17"/>
  <c r="AE500" i="17" s="1"/>
  <c r="Z69" i="17"/>
  <c r="AE69" i="17" s="1"/>
  <c r="Z215" i="17"/>
  <c r="AE215" i="17" s="1"/>
  <c r="Z313" i="17"/>
  <c r="AE313" i="17" s="1"/>
  <c r="Z107" i="17"/>
  <c r="AE107" i="17" s="1"/>
  <c r="Z117" i="17"/>
  <c r="AE117" i="17" s="1"/>
  <c r="Z269" i="17"/>
  <c r="AE269" i="17" s="1"/>
  <c r="Z210" i="17"/>
  <c r="AE210" i="17" s="1"/>
  <c r="Z119" i="17"/>
  <c r="AE119" i="17" s="1"/>
  <c r="Z121" i="17"/>
  <c r="AE121" i="17" s="1"/>
  <c r="Z491" i="17"/>
  <c r="AE491" i="17" s="1"/>
  <c r="Z185" i="17"/>
  <c r="AE185" i="17" s="1"/>
  <c r="Z259" i="17"/>
  <c r="AE259" i="17" s="1"/>
  <c r="Z467" i="17"/>
  <c r="AE467" i="17" s="1"/>
  <c r="Z397" i="17"/>
  <c r="AE397" i="17" s="1"/>
  <c r="Z478" i="17"/>
  <c r="AE478" i="17" s="1"/>
  <c r="Z67" i="17"/>
  <c r="AE67" i="17" s="1"/>
  <c r="Z77" i="17"/>
  <c r="AE77" i="17" s="1"/>
  <c r="Z471" i="17"/>
  <c r="AE471" i="17" s="1"/>
  <c r="Z369" i="17"/>
  <c r="AE369" i="17" s="1"/>
  <c r="Z377" i="17"/>
  <c r="AE377" i="17" s="1"/>
  <c r="Z172" i="17"/>
  <c r="AE172" i="17" s="1"/>
  <c r="Z139" i="17"/>
  <c r="AE139" i="17" s="1"/>
  <c r="Z458" i="17"/>
  <c r="AE458" i="17" s="1"/>
  <c r="Z385" i="17"/>
  <c r="AE385" i="17" s="1"/>
  <c r="Z501" i="17"/>
  <c r="AE501" i="17" s="1"/>
  <c r="Z321" i="17"/>
  <c r="AE321" i="17" s="1"/>
  <c r="Z290" i="17"/>
  <c r="AE290" i="17" s="1"/>
  <c r="Z386" i="17"/>
  <c r="AE386" i="17" s="1"/>
  <c r="Z286" i="17"/>
  <c r="AE286" i="17" s="1"/>
  <c r="Z314" i="17"/>
  <c r="AE314" i="17" s="1"/>
  <c r="Z343" i="17"/>
  <c r="AE343" i="17" s="1"/>
  <c r="Z477" i="17"/>
  <c r="AE477" i="17" s="1"/>
  <c r="Z197" i="17"/>
  <c r="AE197" i="17" s="1"/>
  <c r="Z419" i="17"/>
  <c r="AE419" i="17" s="1"/>
  <c r="Z87" i="17"/>
  <c r="AE87" i="17" s="1"/>
  <c r="Z396" i="17"/>
  <c r="AE396" i="17" s="1"/>
  <c r="Z513" i="17"/>
  <c r="AE513" i="17" s="1"/>
  <c r="Z223" i="17"/>
  <c r="AE223" i="17" s="1"/>
  <c r="Z240" i="17"/>
  <c r="AE240" i="17" s="1"/>
  <c r="Z151" i="17"/>
  <c r="AE151" i="17" s="1"/>
  <c r="Z109" i="17"/>
  <c r="AE109" i="17" s="1"/>
  <c r="Z143" i="17"/>
  <c r="AE143" i="17" s="1"/>
  <c r="Z95" i="17"/>
  <c r="AE95" i="17" s="1"/>
  <c r="Z271" i="17"/>
  <c r="AE271" i="17" s="1"/>
  <c r="Z490" i="17"/>
  <c r="AE490" i="17" s="1"/>
  <c r="Z135" i="17"/>
  <c r="AE135" i="17" s="1"/>
  <c r="Z341" i="17"/>
  <c r="AE341" i="17" s="1"/>
  <c r="Z224" i="17"/>
  <c r="AE224" i="17" s="1"/>
  <c r="Z236" i="17"/>
  <c r="AE236" i="17" s="1"/>
  <c r="Z374" i="17"/>
  <c r="AE374" i="17" s="1"/>
  <c r="Z213" i="17"/>
  <c r="AE213" i="17" s="1"/>
  <c r="Z277" i="17"/>
  <c r="AE277" i="17" s="1"/>
  <c r="Z376" i="17"/>
  <c r="AE376" i="17" s="1"/>
  <c r="Z485" i="17"/>
  <c r="AE485" i="17" s="1"/>
  <c r="Z250" i="17"/>
  <c r="AE250" i="17" s="1"/>
  <c r="Z153" i="17"/>
  <c r="AE153" i="17" s="1"/>
  <c r="Z413" i="17"/>
  <c r="AE413" i="17" s="1"/>
  <c r="Z141" i="17"/>
  <c r="AE141" i="17" s="1"/>
  <c r="Z115" i="17"/>
  <c r="AE115" i="17" s="1"/>
  <c r="Z453" i="17"/>
  <c r="AE453" i="17" s="1"/>
  <c r="Z357" i="17"/>
  <c r="AE357" i="17" s="1"/>
  <c r="Z113" i="17"/>
  <c r="AE113" i="17" s="1"/>
  <c r="Z229" i="17"/>
  <c r="AE229" i="17" s="1"/>
  <c r="Z268" i="17"/>
  <c r="AE268" i="17" s="1"/>
  <c r="Z173" i="17"/>
  <c r="AE173" i="17" s="1"/>
  <c r="Z91" i="17"/>
  <c r="AE91" i="17" s="1"/>
  <c r="Z202" i="17"/>
  <c r="AE202" i="17" s="1"/>
  <c r="Z103" i="17"/>
  <c r="AE103" i="17" s="1"/>
  <c r="Z370" i="17"/>
  <c r="AE370" i="17" s="1"/>
  <c r="Z198" i="17"/>
  <c r="AE198" i="17" s="1"/>
  <c r="Z488" i="17"/>
  <c r="AE488" i="17" s="1"/>
  <c r="Z199" i="17"/>
  <c r="AE199" i="17" s="1"/>
  <c r="Z291" i="17"/>
  <c r="AE291" i="17" s="1"/>
  <c r="Z432" i="17"/>
  <c r="AE432" i="17" s="1"/>
  <c r="Z263" i="17"/>
  <c r="AE263" i="17" s="1"/>
  <c r="Z508" i="17"/>
  <c r="AE508" i="17" s="1"/>
  <c r="Z239" i="17"/>
  <c r="AE239" i="17" s="1"/>
  <c r="Z427" i="17"/>
  <c r="AE427" i="17" s="1"/>
  <c r="Z178" i="17"/>
  <c r="AE178" i="17" s="1"/>
  <c r="Z49" i="17"/>
  <c r="AE49" i="17" s="1"/>
  <c r="Z440" i="17"/>
  <c r="AE440" i="17" s="1"/>
  <c r="Z281" i="17"/>
  <c r="AE281" i="17" s="1"/>
  <c r="Z389" i="17"/>
  <c r="AE389" i="17" s="1"/>
  <c r="Z368" i="17"/>
  <c r="AE368" i="17" s="1"/>
  <c r="Z180" i="17"/>
  <c r="AE180" i="17" s="1"/>
  <c r="Z51" i="17"/>
  <c r="AE51" i="17" s="1"/>
  <c r="Z234" i="17"/>
  <c r="AE234" i="17" s="1"/>
  <c r="Z429" i="17"/>
  <c r="AE429" i="17" s="1"/>
  <c r="Z339" i="17"/>
  <c r="AE339" i="17" s="1"/>
  <c r="Z322" i="17"/>
  <c r="AE322" i="17" s="1"/>
  <c r="Z507" i="17"/>
  <c r="AE507" i="17" s="1"/>
  <c r="Z171" i="17"/>
  <c r="AE171" i="17" s="1"/>
  <c r="Z205" i="17"/>
  <c r="AE205" i="17" s="1"/>
  <c r="Z247" i="17"/>
  <c r="AE247" i="17" s="1"/>
  <c r="Z297" i="17"/>
  <c r="AE297" i="17" s="1"/>
  <c r="Z414" i="17"/>
  <c r="AE414" i="17" s="1"/>
  <c r="Z193" i="17"/>
  <c r="AE193" i="17" s="1"/>
  <c r="Z168" i="17"/>
  <c r="AE168" i="17" s="1"/>
  <c r="Z418" i="17"/>
  <c r="AE418" i="17" s="1"/>
  <c r="Z390" i="17"/>
  <c r="AE390" i="17" s="1"/>
  <c r="Z470" i="17"/>
  <c r="AE470" i="17" s="1"/>
  <c r="Z499" i="17"/>
  <c r="AE499" i="17" s="1"/>
  <c r="Z176" i="17"/>
  <c r="AE176" i="17" s="1"/>
  <c r="Z431" i="17"/>
  <c r="AE431" i="17" s="1"/>
  <c r="Z474" i="17"/>
  <c r="AE474" i="17" s="1"/>
  <c r="Z381" i="17"/>
  <c r="AE381" i="17" s="1"/>
  <c r="Z410" i="17"/>
  <c r="AE410" i="17" s="1"/>
  <c r="Z79" i="17"/>
  <c r="AE79" i="17" s="1"/>
  <c r="Z391" i="17"/>
  <c r="AE391" i="17" s="1"/>
  <c r="Z430" i="17"/>
  <c r="AE430" i="17" s="1"/>
  <c r="Z336" i="17"/>
  <c r="AE336" i="17" s="1"/>
  <c r="Z299" i="17"/>
  <c r="AE299" i="17" s="1"/>
  <c r="Z480" i="17"/>
  <c r="AE480" i="17" s="1"/>
  <c r="Z111" i="17"/>
  <c r="AE111" i="17" s="1"/>
  <c r="Z93" i="17"/>
  <c r="AE93" i="17" s="1"/>
  <c r="Z241" i="17"/>
  <c r="AE241" i="17" s="1"/>
  <c r="Z33" i="17"/>
  <c r="AE33" i="17" s="1"/>
  <c r="Z503" i="17"/>
  <c r="AE503" i="17" s="1"/>
  <c r="Z497" i="17"/>
  <c r="AE497" i="17" s="1"/>
  <c r="Z449" i="17"/>
  <c r="AE449" i="17" s="1"/>
  <c r="Z81" i="17"/>
  <c r="AE81" i="17" s="1"/>
  <c r="Z194" i="17"/>
  <c r="AE194" i="17" s="1"/>
  <c r="Z257" i="17"/>
  <c r="AE257" i="17" s="1"/>
  <c r="Z276" i="17"/>
  <c r="AE276" i="17" s="1"/>
  <c r="Z317" i="17"/>
  <c r="AE317" i="17" s="1"/>
  <c r="Z320" i="17"/>
  <c r="AE320" i="17" s="1"/>
  <c r="Z242" i="17"/>
  <c r="AE242" i="17" s="1"/>
  <c r="Z211" i="17"/>
  <c r="AE211" i="17" s="1"/>
  <c r="Z459" i="17"/>
  <c r="AE459" i="17" s="1"/>
  <c r="Z175" i="17"/>
  <c r="AE175" i="17" s="1"/>
  <c r="Z298" i="17"/>
  <c r="AE298" i="17" s="1"/>
  <c r="Z332" i="17"/>
  <c r="AE332" i="17" s="1"/>
  <c r="Z160" i="17"/>
  <c r="AE160" i="17" s="1"/>
  <c r="Z256" i="17"/>
  <c r="AE256" i="17" s="1"/>
  <c r="Z350" i="17"/>
  <c r="AE350" i="17" s="1"/>
  <c r="Z365" i="17"/>
  <c r="AE365" i="17" s="1"/>
  <c r="Z274" i="17"/>
  <c r="AE274" i="17" s="1"/>
  <c r="Z415" i="17"/>
  <c r="AE415" i="17" s="1"/>
  <c r="Z147" i="17"/>
  <c r="AE147" i="17" s="1"/>
  <c r="Z469" i="17"/>
  <c r="AE469" i="17" s="1"/>
  <c r="Z358" i="17"/>
  <c r="AE358" i="17" s="1"/>
  <c r="Z188" i="17"/>
  <c r="AE188" i="17" s="1"/>
  <c r="Z183" i="17"/>
  <c r="AE183" i="17" s="1"/>
  <c r="Z57" i="17"/>
  <c r="AE57" i="17" s="1"/>
  <c r="Z510" i="17"/>
  <c r="AE510" i="17" s="1"/>
  <c r="Z495" i="17"/>
  <c r="AE495" i="17" s="1"/>
  <c r="Z433" i="17"/>
  <c r="AE433" i="17" s="1"/>
  <c r="Z404" i="17"/>
  <c r="AE404" i="17" s="1"/>
  <c r="Z395" i="17"/>
  <c r="AE395" i="17" s="1"/>
  <c r="Z366" i="17"/>
  <c r="AE366" i="17" s="1"/>
  <c r="Z392" i="17"/>
  <c r="AE392" i="17" s="1"/>
  <c r="Z402" i="17"/>
  <c r="AE402" i="17" s="1"/>
  <c r="Z504" i="17"/>
  <c r="AE504" i="17" s="1"/>
  <c r="Z167" i="17"/>
  <c r="AE167" i="17" s="1"/>
  <c r="Z354" i="17"/>
  <c r="AE354" i="17" s="1"/>
  <c r="Z21" i="17"/>
  <c r="AE21" i="17" s="1"/>
  <c r="AU21" i="17" s="1"/>
  <c r="AV21" i="17" s="1"/>
  <c r="Z362" i="17"/>
  <c r="AE362" i="17" s="1"/>
  <c r="Z310" i="17"/>
  <c r="AE310" i="17" s="1"/>
  <c r="Z330" i="17"/>
  <c r="AE330" i="17" s="1"/>
  <c r="Z515" i="17"/>
  <c r="AE515" i="17" s="1"/>
  <c r="Z375" i="17"/>
  <c r="AE375" i="17" s="1"/>
  <c r="Z384" i="17"/>
  <c r="AE384" i="17" s="1"/>
  <c r="Z59" i="17"/>
  <c r="AE59" i="17" s="1"/>
  <c r="Z302" i="17"/>
  <c r="AE302" i="17" s="1"/>
  <c r="Z398" i="17"/>
  <c r="AE398" i="17" s="1"/>
  <c r="Z169" i="17"/>
  <c r="AE169" i="17" s="1"/>
  <c r="Z306" i="17"/>
  <c r="AE306" i="17" s="1"/>
  <c r="Z287" i="17"/>
  <c r="AE287" i="17" s="1"/>
  <c r="Z208" i="17"/>
  <c r="AE208" i="17" s="1"/>
  <c r="Z476" i="17"/>
  <c r="AE476" i="17" s="1"/>
  <c r="Z145" i="17"/>
  <c r="AE145" i="17" s="1"/>
  <c r="Z452" i="17"/>
  <c r="AE452" i="17" s="1"/>
  <c r="Z166" i="17"/>
  <c r="AE166" i="17" s="1"/>
  <c r="Z443" i="17"/>
  <c r="AE443" i="17" s="1"/>
  <c r="Z99" i="17"/>
  <c r="AE99" i="17" s="1"/>
  <c r="Z284" i="17"/>
  <c r="AE284" i="17" s="1"/>
  <c r="Z31" i="17"/>
  <c r="AE31" i="17" s="1"/>
  <c r="Z251" i="17"/>
  <c r="AE251" i="17" s="1"/>
  <c r="Z203" i="17"/>
  <c r="AE203" i="17" s="1"/>
  <c r="Z400" i="17"/>
  <c r="AE400" i="17" s="1"/>
  <c r="Z349" i="17"/>
  <c r="AE349" i="17" s="1"/>
  <c r="Z300" i="17"/>
  <c r="AE300" i="17" s="1"/>
  <c r="Z187" i="17"/>
  <c r="AE187" i="17" s="1"/>
  <c r="Z260" i="17"/>
  <c r="AE260" i="17" s="1"/>
  <c r="Z454" i="17"/>
  <c r="AE454" i="17" s="1"/>
  <c r="Z447" i="17"/>
  <c r="AE447" i="17" s="1"/>
  <c r="Z303" i="17"/>
  <c r="AE303" i="17" s="1"/>
  <c r="Z266" i="17"/>
  <c r="AE266" i="17" s="1"/>
  <c r="Z283" i="17"/>
  <c r="AE283" i="17" s="1"/>
  <c r="Z255" i="17"/>
  <c r="AE255" i="17" s="1"/>
  <c r="Z206" i="17"/>
  <c r="AE206" i="17" s="1"/>
  <c r="Z305" i="17"/>
  <c r="AE305" i="17" s="1"/>
  <c r="Z35" i="17"/>
  <c r="AE35" i="17" s="1"/>
  <c r="Z514" i="17"/>
  <c r="AE514" i="17" s="1"/>
  <c r="Z307" i="17"/>
  <c r="AE307" i="17" s="1"/>
  <c r="Z131" i="17"/>
  <c r="AE131" i="17" s="1"/>
  <c r="Z270" i="17"/>
  <c r="AE270" i="17" s="1"/>
  <c r="Z359" i="17"/>
  <c r="AE359" i="17" s="1"/>
  <c r="Z243" i="17"/>
  <c r="AE243" i="17" s="1"/>
  <c r="Z327" i="17"/>
  <c r="AE327" i="17" s="1"/>
  <c r="Z472" i="17"/>
  <c r="AE472" i="17" s="1"/>
  <c r="Z482" i="17"/>
  <c r="AE482" i="17" s="1"/>
  <c r="Z228" i="17"/>
  <c r="AE228" i="17" s="1"/>
  <c r="Z129" i="17"/>
  <c r="AE129" i="17" s="1"/>
  <c r="Z275" i="17"/>
  <c r="AE275" i="17" s="1"/>
  <c r="Z292" i="17"/>
  <c r="AE292" i="17" s="1"/>
  <c r="Z445" i="17"/>
  <c r="AE445" i="17" s="1"/>
  <c r="Z294" i="17"/>
  <c r="AE294" i="17" s="1"/>
  <c r="Z231" i="17"/>
  <c r="AE231" i="17" s="1"/>
  <c r="Z221" i="17"/>
  <c r="AE221" i="17" s="1"/>
  <c r="Z174" i="17"/>
  <c r="AE174" i="17" s="1"/>
  <c r="Z416" i="17"/>
  <c r="AE416" i="17" s="1"/>
  <c r="Z394" i="17"/>
  <c r="AE394" i="17" s="1"/>
  <c r="Z475" i="17"/>
  <c r="AE475" i="17" s="1"/>
  <c r="Z254" i="17"/>
  <c r="AE254" i="17" s="1"/>
  <c r="Z249" i="17"/>
  <c r="AE249" i="17" s="1"/>
  <c r="Z309" i="17"/>
  <c r="AE309" i="17" s="1"/>
  <c r="Z258" i="17"/>
  <c r="AE258" i="17" s="1"/>
  <c r="Z105" i="17"/>
  <c r="AE105" i="17" s="1"/>
  <c r="Z457" i="17"/>
  <c r="AE457" i="17" s="1"/>
  <c r="Z225" i="17"/>
  <c r="AE225" i="17" s="1"/>
  <c r="Z421" i="17"/>
  <c r="AE421" i="17" s="1"/>
  <c r="Z311" i="17"/>
  <c r="AE311" i="17" s="1"/>
  <c r="Z373" i="17"/>
  <c r="AE373" i="17" s="1"/>
  <c r="Z181" i="17"/>
  <c r="AE181" i="17" s="1"/>
  <c r="Z363" i="17"/>
  <c r="AE363" i="17" s="1"/>
  <c r="Z420" i="17"/>
  <c r="AE420" i="17" s="1"/>
  <c r="Z295" i="17"/>
  <c r="AE295" i="17" s="1"/>
  <c r="Z264" i="17"/>
  <c r="AE264" i="17" s="1"/>
  <c r="Z331" i="17"/>
  <c r="AE331" i="17" s="1"/>
  <c r="Z170" i="17"/>
  <c r="AE170" i="17" s="1"/>
  <c r="Z125" i="17"/>
  <c r="AE125" i="17" s="1"/>
  <c r="Z43" i="17"/>
  <c r="AE43" i="17" s="1"/>
  <c r="Z159" i="17"/>
  <c r="AE159" i="17" s="1"/>
  <c r="Z325" i="17"/>
  <c r="AE325" i="17" s="1"/>
  <c r="Z45" i="17"/>
  <c r="AE45" i="17" s="1"/>
  <c r="Z342" i="17"/>
  <c r="AE342" i="17" s="1"/>
  <c r="Z319" i="17"/>
  <c r="AE319" i="17" s="1"/>
  <c r="Z518" i="17"/>
  <c r="AE518" i="17" s="1"/>
  <c r="Z245" i="17"/>
  <c r="AE245" i="17" s="1"/>
  <c r="Z329" i="17"/>
  <c r="AE329" i="17" s="1"/>
  <c r="Z278" i="17"/>
  <c r="AE278" i="17" s="1"/>
  <c r="Z41" i="17"/>
  <c r="AE41" i="17" s="1"/>
  <c r="Z348" i="17"/>
  <c r="AE348" i="17" s="1"/>
  <c r="Z133" i="17"/>
  <c r="AE133" i="17" s="1"/>
  <c r="Z244" i="17"/>
  <c r="AE244" i="17" s="1"/>
  <c r="Z437" i="17"/>
  <c r="AE437" i="17" s="1"/>
  <c r="Z101" i="17"/>
  <c r="AE101" i="17" s="1"/>
  <c r="Z511" i="17"/>
  <c r="AE511" i="17" s="1"/>
  <c r="Z191" i="17"/>
  <c r="AE191" i="17" s="1"/>
  <c r="Z442" i="17"/>
  <c r="AE442" i="17" s="1"/>
  <c r="Z487" i="17"/>
  <c r="AE487" i="17" s="1"/>
  <c r="Z423" i="17"/>
  <c r="AE423" i="17" s="1"/>
  <c r="Z216" i="17"/>
  <c r="AE216" i="17" s="1"/>
  <c r="Z450" i="17"/>
  <c r="AE450" i="17" s="1"/>
  <c r="Z494" i="17"/>
  <c r="AE494" i="17" s="1"/>
  <c r="Z123" i="17"/>
  <c r="AE123" i="17" s="1"/>
  <c r="Z333" i="17"/>
  <c r="AE333" i="17" s="1"/>
  <c r="Z388" i="17"/>
  <c r="AE388" i="17" s="1"/>
  <c r="Z238" i="17"/>
  <c r="AE238" i="17" s="1"/>
  <c r="Z448" i="17"/>
  <c r="AE448" i="17" s="1"/>
  <c r="Z351" i="17"/>
  <c r="AE351" i="17" s="1"/>
  <c r="Z280" i="17"/>
  <c r="AE280" i="17" s="1"/>
  <c r="Z337" i="17"/>
  <c r="AE337" i="17" s="1"/>
  <c r="Z464" i="17"/>
  <c r="AE464" i="17" s="1"/>
  <c r="Z248" i="17"/>
  <c r="AE248" i="17" s="1"/>
  <c r="Z65" i="17"/>
  <c r="AE65" i="17" s="1"/>
  <c r="Z425" i="17"/>
  <c r="AE425" i="17" s="1"/>
  <c r="Z222" i="17"/>
  <c r="AE222" i="17" s="1"/>
  <c r="Z165" i="17"/>
  <c r="AE165" i="17" s="1"/>
  <c r="Z493" i="17"/>
  <c r="AE493" i="17" s="1"/>
  <c r="Z97" i="17"/>
  <c r="AE97" i="17" s="1"/>
  <c r="Z55" i="17"/>
  <c r="AE55" i="17" s="1"/>
  <c r="Z451" i="17"/>
  <c r="AE451" i="17" s="1"/>
  <c r="Z204" i="17"/>
  <c r="AE204" i="17" s="1"/>
  <c r="Z483" i="17"/>
  <c r="AE483" i="17" s="1"/>
  <c r="Z461" i="17"/>
  <c r="AE461" i="17" s="1"/>
  <c r="Z261" i="17"/>
  <c r="AE261" i="17" s="1"/>
  <c r="Z37" i="17"/>
  <c r="AE37" i="17" s="1"/>
  <c r="Z301" i="17"/>
  <c r="AE301" i="17" s="1"/>
  <c r="Z318" i="17"/>
  <c r="AE318" i="17" s="1"/>
  <c r="Z383" i="17"/>
  <c r="AE383" i="17" s="1"/>
  <c r="Z460" i="17"/>
  <c r="AE460" i="17" s="1"/>
  <c r="Z220" i="17"/>
  <c r="AE220" i="17" s="1"/>
  <c r="Z371" i="17"/>
  <c r="AE371" i="17" s="1"/>
  <c r="Z438" i="17"/>
  <c r="AE438" i="17" s="1"/>
  <c r="Z156" i="17"/>
  <c r="AE156" i="17" s="1"/>
  <c r="Z84" i="17"/>
  <c r="AE84" i="17" s="1"/>
  <c r="Z340" i="17"/>
  <c r="AE340" i="17" s="1"/>
  <c r="Z265" i="17"/>
  <c r="AE265" i="17" s="1"/>
  <c r="Z237" i="17"/>
  <c r="AE237" i="17" s="1"/>
  <c r="Z158" i="17"/>
  <c r="AE158" i="17" s="1"/>
  <c r="Z412" i="17"/>
  <c r="AE412" i="17" s="1"/>
  <c r="Z498" i="17"/>
  <c r="AE498" i="17" s="1"/>
  <c r="Z312" i="17"/>
  <c r="AE312" i="17" s="1"/>
  <c r="Z506" i="17"/>
  <c r="AE506" i="17" s="1"/>
  <c r="Z361" i="17"/>
  <c r="AE361" i="17" s="1"/>
  <c r="Z61" i="17"/>
  <c r="AE61" i="17" s="1"/>
  <c r="Z200" i="17"/>
  <c r="AE200" i="17" s="1"/>
  <c r="Z195" i="17"/>
  <c r="AE195" i="17" s="1"/>
  <c r="Z505" i="17"/>
  <c r="AE505" i="17" s="1"/>
  <c r="Z226" i="17"/>
  <c r="AE226" i="17" s="1"/>
  <c r="Z435" i="17"/>
  <c r="AE435" i="17" s="1"/>
  <c r="Z465" i="17"/>
  <c r="AE465" i="17" s="1"/>
  <c r="Z296" i="17"/>
  <c r="AE296" i="17" s="1"/>
  <c r="Z393" i="17"/>
  <c r="AE393" i="17" s="1"/>
  <c r="Z162" i="17"/>
  <c r="AE162" i="17" s="1"/>
  <c r="Z219" i="17"/>
  <c r="AE219" i="17" s="1"/>
  <c r="Z155" i="17"/>
  <c r="AE155" i="17" s="1"/>
  <c r="Z149" i="17"/>
  <c r="AE149" i="17" s="1"/>
  <c r="Z73" i="17"/>
  <c r="AE73" i="17" s="1"/>
  <c r="Z227" i="17"/>
  <c r="AE227" i="17" s="1"/>
  <c r="Z407" i="17"/>
  <c r="AE407" i="17" s="1"/>
  <c r="Z85" i="17"/>
  <c r="AE85" i="17" s="1"/>
  <c r="Z496" i="17"/>
  <c r="AE496" i="17" s="1"/>
  <c r="Z27" i="17"/>
  <c r="AE27" i="17" s="1"/>
  <c r="Z262" i="17"/>
  <c r="AE262" i="17" s="1"/>
  <c r="Z509" i="17"/>
  <c r="AE509" i="17" s="1"/>
  <c r="Z380" i="17"/>
  <c r="AE380" i="17" s="1"/>
  <c r="Z252" i="17"/>
  <c r="AE252" i="17" s="1"/>
  <c r="Z267" i="17"/>
  <c r="AE267" i="17" s="1"/>
  <c r="Z338" i="17"/>
  <c r="AE338" i="17" s="1"/>
  <c r="Z315" i="17"/>
  <c r="AE315" i="17" s="1"/>
  <c r="Z126" i="17"/>
  <c r="AE126" i="17" s="1"/>
  <c r="Z428" i="17"/>
  <c r="AE428" i="17" s="1"/>
  <c r="Z233" i="17"/>
  <c r="AE233" i="17" s="1"/>
  <c r="Z23" i="17"/>
  <c r="AE23" i="17" s="1"/>
  <c r="Z335" i="17"/>
  <c r="AE335" i="17" s="1"/>
  <c r="Z434" i="17"/>
  <c r="AE434" i="17" s="1"/>
  <c r="Z405" i="17"/>
  <c r="AE405" i="17" s="1"/>
  <c r="Z326" i="17"/>
  <c r="AE326" i="17" s="1"/>
  <c r="Z235" i="17"/>
  <c r="AE235" i="17" s="1"/>
  <c r="Z446" i="17"/>
  <c r="AE446" i="17" s="1"/>
  <c r="Z502" i="17"/>
  <c r="AE502" i="17" s="1"/>
  <c r="Z285" i="17"/>
  <c r="AE285" i="17" s="1"/>
  <c r="Z207" i="17"/>
  <c r="AE207" i="17" s="1"/>
  <c r="Z192" i="17"/>
  <c r="AE192" i="17" s="1"/>
  <c r="Z47" i="17"/>
  <c r="AE47" i="17" s="1"/>
  <c r="Z346" i="17"/>
  <c r="AE346" i="17" s="1"/>
  <c r="Z39" i="17"/>
  <c r="AE39" i="17" s="1"/>
  <c r="Z462" i="17"/>
  <c r="AE462" i="17" s="1"/>
  <c r="Z293" i="17"/>
  <c r="AE293" i="17" s="1"/>
  <c r="Z71" i="17"/>
  <c r="AE71" i="17" s="1"/>
  <c r="Z177" i="17"/>
  <c r="AE177" i="17" s="1"/>
  <c r="Z463" i="17"/>
  <c r="AE463" i="17" s="1"/>
  <c r="Z108" i="17"/>
  <c r="AE108" i="17" s="1"/>
  <c r="Z88" i="17"/>
  <c r="AE88" i="17" s="1"/>
  <c r="Z408" i="17"/>
  <c r="AE408" i="17" s="1"/>
  <c r="Z218" i="17"/>
  <c r="AE218" i="17" s="1"/>
  <c r="Z360" i="17"/>
  <c r="AE360" i="17" s="1"/>
  <c r="Z403" i="17"/>
  <c r="AE403" i="17" s="1"/>
  <c r="Z179" i="17"/>
  <c r="AE179" i="17" s="1"/>
  <c r="Z439" i="17"/>
  <c r="AE439" i="17" s="1"/>
  <c r="Z345" i="17"/>
  <c r="AE345" i="17" s="1"/>
  <c r="Z417" i="17"/>
  <c r="AE417" i="17" s="1"/>
  <c r="Z492" i="17"/>
  <c r="AE492" i="17" s="1"/>
  <c r="Z355" i="17"/>
  <c r="AE355" i="17" s="1"/>
  <c r="Z378" i="17"/>
  <c r="AE378" i="17" s="1"/>
  <c r="Z468" i="17"/>
  <c r="AE468" i="17" s="1"/>
  <c r="Z516" i="17"/>
  <c r="AE516" i="17" s="1"/>
  <c r="Z424" i="17"/>
  <c r="AE424" i="17" s="1"/>
  <c r="Z289" i="17"/>
  <c r="AE289" i="17" s="1"/>
  <c r="Z455" i="17"/>
  <c r="AE455" i="17" s="1"/>
  <c r="Z382" i="17"/>
  <c r="AE382" i="17" s="1"/>
  <c r="Z328" i="17"/>
  <c r="AE328" i="17" s="1"/>
  <c r="Z189" i="17"/>
  <c r="AE189" i="17" s="1"/>
  <c r="Z279" i="17"/>
  <c r="AE279" i="17" s="1"/>
  <c r="Z186" i="17"/>
  <c r="AE186" i="17" s="1"/>
  <c r="Z75" i="17"/>
  <c r="AE75" i="17" s="1"/>
  <c r="Z444" i="17"/>
  <c r="AE444" i="17" s="1"/>
  <c r="Z479" i="17"/>
  <c r="AE479" i="17" s="1"/>
  <c r="Z83" i="17"/>
  <c r="AE83" i="17" s="1"/>
  <c r="Z253" i="17"/>
  <c r="AE253" i="17" s="1"/>
  <c r="Z212" i="17"/>
  <c r="AE212" i="17" s="1"/>
  <c r="Z512" i="17"/>
  <c r="AE512" i="17" s="1"/>
  <c r="Z411" i="17"/>
  <c r="AE411" i="17" s="1"/>
  <c r="Z409" i="17"/>
  <c r="AE409" i="17" s="1"/>
  <c r="Z157" i="17"/>
  <c r="AE157" i="17" s="1"/>
  <c r="Z401" i="17"/>
  <c r="AE401" i="17" s="1"/>
  <c r="Z288" i="17"/>
  <c r="AE288" i="17" s="1"/>
  <c r="Z484" i="17"/>
  <c r="AE484" i="17" s="1"/>
  <c r="Z184" i="17"/>
  <c r="AE184" i="17" s="1"/>
  <c r="Z466" i="17"/>
  <c r="AE466" i="17" s="1"/>
  <c r="Z217" i="17"/>
  <c r="AE217" i="17" s="1"/>
  <c r="AE29" i="17"/>
  <c r="AE25" i="17"/>
  <c r="AE134" i="17"/>
  <c r="AE58" i="17"/>
  <c r="AE154" i="17"/>
  <c r="AE63" i="17"/>
  <c r="AE86" i="17"/>
  <c r="AE136" i="17"/>
  <c r="AE70" i="17"/>
  <c r="AE116" i="17"/>
  <c r="AE90" i="17"/>
  <c r="AE30" i="17"/>
  <c r="AE38" i="17"/>
  <c r="AE130" i="17"/>
  <c r="AE138" i="17"/>
  <c r="AE40" i="17"/>
  <c r="AE32" i="17"/>
  <c r="AE24" i="17"/>
  <c r="AE56" i="17"/>
  <c r="AE50" i="17"/>
  <c r="AE60" i="17"/>
  <c r="AE146" i="17"/>
  <c r="AE68" i="17"/>
  <c r="AE114" i="17"/>
  <c r="AE64" i="17"/>
  <c r="AE140" i="17"/>
  <c r="AE110" i="17"/>
  <c r="AE122" i="17"/>
  <c r="AE78" i="17"/>
  <c r="AE46" i="17"/>
  <c r="AE150" i="17"/>
  <c r="AE102" i="17"/>
  <c r="AE44" i="17"/>
  <c r="AE36" i="17"/>
  <c r="AE34" i="17"/>
  <c r="AE52" i="17"/>
  <c r="AE62" i="17"/>
  <c r="AE96" i="17"/>
  <c r="AE72" i="17"/>
  <c r="AE26" i="17"/>
  <c r="AE42" i="17"/>
  <c r="AE76" i="17"/>
  <c r="AE148" i="17"/>
  <c r="AE94" i="17"/>
  <c r="AE92" i="17"/>
  <c r="AE120" i="17"/>
  <c r="AE112" i="17"/>
  <c r="AE74" i="17"/>
  <c r="AE28" i="17"/>
  <c r="AE124" i="17"/>
  <c r="AE118" i="17"/>
  <c r="AE48" i="17"/>
  <c r="AE22" i="17"/>
  <c r="AU22" i="17" s="1"/>
  <c r="AV22" i="17" s="1"/>
  <c r="AE132" i="17"/>
  <c r="AE54" i="17"/>
  <c r="AE104" i="17"/>
  <c r="AE142" i="17"/>
  <c r="AE152" i="17"/>
  <c r="AE82" i="17"/>
  <c r="AE66" i="17"/>
  <c r="AE144" i="17"/>
  <c r="AE106" i="17"/>
  <c r="AE98" i="17"/>
  <c r="AE80" i="17"/>
  <c r="AE100" i="17"/>
  <c r="AE128" i="17"/>
  <c r="AE20" i="17"/>
  <c r="AU20" i="17" s="1"/>
  <c r="AV20" i="17" s="1"/>
  <c r="A3" i="9"/>
  <c r="A4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A272" i="9"/>
  <c r="A273" i="9"/>
  <c r="A274" i="9"/>
  <c r="A275" i="9"/>
  <c r="A276" i="9"/>
  <c r="A277" i="9"/>
  <c r="A278" i="9"/>
  <c r="A279" i="9"/>
  <c r="A280" i="9"/>
  <c r="A281" i="9"/>
  <c r="A282" i="9"/>
  <c r="A283" i="9"/>
  <c r="A284" i="9"/>
  <c r="A285" i="9"/>
  <c r="A286" i="9"/>
  <c r="A287" i="9"/>
  <c r="A288" i="9"/>
  <c r="A289" i="9"/>
  <c r="A290" i="9"/>
  <c r="A291" i="9"/>
  <c r="A292" i="9"/>
  <c r="A293" i="9"/>
  <c r="A294" i="9"/>
  <c r="A295" i="9"/>
  <c r="A296" i="9"/>
  <c r="A297" i="9"/>
  <c r="A298" i="9"/>
  <c r="A299" i="9"/>
  <c r="A300" i="9"/>
  <c r="A301" i="9"/>
  <c r="A302" i="9"/>
  <c r="A303" i="9"/>
  <c r="A304" i="9"/>
  <c r="A305" i="9"/>
  <c r="A306" i="9"/>
  <c r="A307" i="9"/>
  <c r="A308" i="9"/>
  <c r="A309" i="9"/>
  <c r="A310" i="9"/>
  <c r="A311" i="9"/>
  <c r="A312" i="9"/>
  <c r="A313" i="9"/>
  <c r="A314" i="9"/>
  <c r="A315" i="9"/>
  <c r="A316" i="9"/>
  <c r="A317" i="9"/>
  <c r="A318" i="9"/>
  <c r="A319" i="9"/>
  <c r="A320" i="9"/>
  <c r="A321" i="9"/>
  <c r="A322" i="9"/>
  <c r="A323" i="9"/>
  <c r="A324" i="9"/>
  <c r="A325" i="9"/>
  <c r="A326" i="9"/>
  <c r="A327" i="9"/>
  <c r="A328" i="9"/>
  <c r="A329" i="9"/>
  <c r="A330" i="9"/>
  <c r="A331" i="9"/>
  <c r="A332" i="9"/>
  <c r="A333" i="9"/>
  <c r="A334" i="9"/>
  <c r="A335" i="9"/>
  <c r="A336" i="9"/>
  <c r="A337" i="9"/>
  <c r="A338" i="9"/>
  <c r="A339" i="9"/>
  <c r="A340" i="9"/>
  <c r="A341" i="9"/>
  <c r="A342" i="9"/>
  <c r="A343" i="9"/>
  <c r="A344" i="9"/>
  <c r="A345" i="9"/>
  <c r="A346" i="9"/>
  <c r="A347" i="9"/>
  <c r="A348" i="9"/>
  <c r="A349" i="9"/>
  <c r="A350" i="9"/>
  <c r="A351" i="9"/>
  <c r="A352" i="9"/>
  <c r="A353" i="9"/>
  <c r="A354" i="9"/>
  <c r="A355" i="9"/>
  <c r="A356" i="9"/>
  <c r="A357" i="9"/>
  <c r="A358" i="9"/>
  <c r="A359" i="9"/>
  <c r="A360" i="9"/>
  <c r="A361" i="9"/>
  <c r="A362" i="9"/>
  <c r="A363" i="9"/>
  <c r="A364" i="9"/>
  <c r="A365" i="9"/>
  <c r="A366" i="9"/>
  <c r="A367" i="9"/>
  <c r="A368" i="9"/>
  <c r="A369" i="9"/>
  <c r="A370" i="9"/>
  <c r="A371" i="9"/>
  <c r="A372" i="9"/>
  <c r="A373" i="9"/>
  <c r="A374" i="9"/>
  <c r="A375" i="9"/>
  <c r="A376" i="9"/>
  <c r="A377" i="9"/>
  <c r="A378" i="9"/>
  <c r="A379" i="9"/>
  <c r="A380" i="9"/>
  <c r="A381" i="9"/>
  <c r="A382" i="9"/>
  <c r="A383" i="9"/>
  <c r="A384" i="9"/>
  <c r="A385" i="9"/>
  <c r="A386" i="9"/>
  <c r="A387" i="9"/>
  <c r="A388" i="9"/>
  <c r="A389" i="9"/>
  <c r="A390" i="9"/>
  <c r="A391" i="9"/>
  <c r="A392" i="9"/>
  <c r="A393" i="9"/>
  <c r="A394" i="9"/>
  <c r="A395" i="9"/>
  <c r="A396" i="9"/>
  <c r="A397" i="9"/>
  <c r="A398" i="9"/>
  <c r="A399" i="9"/>
  <c r="A400" i="9"/>
  <c r="A401" i="9"/>
  <c r="A402" i="9"/>
  <c r="A403" i="9"/>
  <c r="A404" i="9"/>
  <c r="A405" i="9"/>
  <c r="A406" i="9"/>
  <c r="A407" i="9"/>
  <c r="A408" i="9"/>
  <c r="A409" i="9"/>
  <c r="A410" i="9"/>
  <c r="A411" i="9"/>
  <c r="A412" i="9"/>
  <c r="A413" i="9"/>
  <c r="A414" i="9"/>
  <c r="A415" i="9"/>
  <c r="A416" i="9"/>
  <c r="A417" i="9"/>
  <c r="A418" i="9"/>
  <c r="A419" i="9"/>
  <c r="A420" i="9"/>
  <c r="A421" i="9"/>
  <c r="A422" i="9"/>
  <c r="A423" i="9"/>
  <c r="A424" i="9"/>
  <c r="A425" i="9"/>
  <c r="A426" i="9"/>
  <c r="A427" i="9"/>
  <c r="A428" i="9"/>
  <c r="A429" i="9"/>
  <c r="A430" i="9"/>
  <c r="A431" i="9"/>
  <c r="A432" i="9"/>
  <c r="A433" i="9"/>
  <c r="A434" i="9"/>
  <c r="A435" i="9"/>
  <c r="A436" i="9"/>
  <c r="A437" i="9"/>
  <c r="A438" i="9"/>
  <c r="A439" i="9"/>
  <c r="A440" i="9"/>
  <c r="A441" i="9"/>
  <c r="A442" i="9"/>
  <c r="A443" i="9"/>
  <c r="A444" i="9"/>
  <c r="A445" i="9"/>
  <c r="A446" i="9"/>
  <c r="A447" i="9"/>
  <c r="A448" i="9"/>
  <c r="A449" i="9"/>
  <c r="A450" i="9"/>
  <c r="A451" i="9"/>
  <c r="A452" i="9"/>
  <c r="A453" i="9"/>
  <c r="A454" i="9"/>
  <c r="A455" i="9"/>
  <c r="A456" i="9"/>
  <c r="A457" i="9"/>
  <c r="A458" i="9"/>
  <c r="A459" i="9"/>
  <c r="A460" i="9"/>
  <c r="A461" i="9"/>
  <c r="A462" i="9"/>
  <c r="A463" i="9"/>
  <c r="A464" i="9"/>
  <c r="A465" i="9"/>
  <c r="A466" i="9"/>
  <c r="A467" i="9"/>
  <c r="A468" i="9"/>
  <c r="A469" i="9"/>
  <c r="A470" i="9"/>
  <c r="A471" i="9"/>
  <c r="A472" i="9"/>
  <c r="A473" i="9"/>
  <c r="A474" i="9"/>
  <c r="A475" i="9"/>
  <c r="A476" i="9"/>
  <c r="A477" i="9"/>
  <c r="A478" i="9"/>
  <c r="A479" i="9"/>
  <c r="A480" i="9"/>
  <c r="A481" i="9"/>
  <c r="A482" i="9"/>
  <c r="A483" i="9"/>
  <c r="A484" i="9"/>
  <c r="A485" i="9"/>
  <c r="A486" i="9"/>
  <c r="A487" i="9"/>
  <c r="A488" i="9"/>
  <c r="A489" i="9"/>
  <c r="A490" i="9"/>
  <c r="A491" i="9"/>
  <c r="A492" i="9"/>
  <c r="A493" i="9"/>
  <c r="A494" i="9"/>
  <c r="A495" i="9"/>
  <c r="A496" i="9"/>
  <c r="A497" i="9"/>
  <c r="A498" i="9"/>
  <c r="A499" i="9"/>
  <c r="A500" i="9"/>
  <c r="A501" i="9"/>
  <c r="A502" i="9"/>
  <c r="A503" i="9"/>
  <c r="A504" i="9"/>
  <c r="A505" i="9"/>
  <c r="A506" i="9"/>
  <c r="A507" i="9"/>
  <c r="A508" i="9"/>
  <c r="A509" i="9"/>
  <c r="A510" i="9"/>
  <c r="A511" i="9"/>
  <c r="A512" i="9"/>
  <c r="A513" i="9"/>
  <c r="A514" i="9"/>
  <c r="A515" i="9"/>
  <c r="A516" i="9"/>
  <c r="A517" i="9"/>
  <c r="A518" i="9"/>
  <c r="A519" i="9"/>
  <c r="A520" i="9"/>
  <c r="A521" i="9"/>
  <c r="A522" i="9"/>
  <c r="A523" i="9"/>
  <c r="A524" i="9"/>
  <c r="A525" i="9"/>
  <c r="A526" i="9"/>
  <c r="A527" i="9"/>
  <c r="A528" i="9"/>
  <c r="A529" i="9"/>
  <c r="A530" i="9"/>
  <c r="A531" i="9"/>
  <c r="A532" i="9"/>
  <c r="A533" i="9"/>
  <c r="A534" i="9"/>
  <c r="A535" i="9"/>
  <c r="A536" i="9"/>
  <c r="A537" i="9"/>
  <c r="A538" i="9"/>
  <c r="A539" i="9"/>
  <c r="A540" i="9"/>
  <c r="A541" i="9"/>
  <c r="A542" i="9"/>
  <c r="A543" i="9"/>
  <c r="A544" i="9"/>
  <c r="A545" i="9"/>
  <c r="A546" i="9"/>
  <c r="A547" i="9"/>
  <c r="A548" i="9"/>
  <c r="A549" i="9"/>
  <c r="A550" i="9"/>
  <c r="A551" i="9"/>
  <c r="A552" i="9"/>
  <c r="A553" i="9"/>
  <c r="A554" i="9"/>
  <c r="A555" i="9"/>
  <c r="A556" i="9"/>
  <c r="A557" i="9"/>
  <c r="A558" i="9"/>
  <c r="A559" i="9"/>
  <c r="A560" i="9"/>
  <c r="A561" i="9"/>
  <c r="A562" i="9"/>
  <c r="A563" i="9"/>
  <c r="A564" i="9"/>
  <c r="A565" i="9"/>
  <c r="A566" i="9"/>
  <c r="A567" i="9"/>
  <c r="A568" i="9"/>
  <c r="A569" i="9"/>
  <c r="A570" i="9"/>
  <c r="A571" i="9"/>
  <c r="A572" i="9"/>
  <c r="A573" i="9"/>
  <c r="A574" i="9"/>
  <c r="A575" i="9"/>
  <c r="A576" i="9"/>
  <c r="A577" i="9"/>
  <c r="A578" i="9"/>
  <c r="A579" i="9"/>
  <c r="A580" i="9"/>
  <c r="A581" i="9"/>
  <c r="A582" i="9"/>
  <c r="A583" i="9"/>
  <c r="A584" i="9"/>
  <c r="A585" i="9"/>
  <c r="A586" i="9"/>
  <c r="A587" i="9"/>
  <c r="A588" i="9"/>
  <c r="A589" i="9"/>
  <c r="A590" i="9"/>
  <c r="A591" i="9"/>
  <c r="A592" i="9"/>
  <c r="A593" i="9"/>
  <c r="A594" i="9"/>
  <c r="A595" i="9"/>
  <c r="A596" i="9"/>
  <c r="A597" i="9"/>
  <c r="A598" i="9"/>
  <c r="A599" i="9"/>
  <c r="A600" i="9"/>
  <c r="A601" i="9"/>
  <c r="A602" i="9"/>
  <c r="A603" i="9"/>
  <c r="A604" i="9"/>
  <c r="A605" i="9"/>
  <c r="A606" i="9"/>
  <c r="A607" i="9"/>
  <c r="A608" i="9"/>
  <c r="A609" i="9"/>
  <c r="A610" i="9"/>
  <c r="A611" i="9"/>
  <c r="A612" i="9"/>
  <c r="A613" i="9"/>
  <c r="A614" i="9"/>
  <c r="A615" i="9"/>
  <c r="A616" i="9"/>
  <c r="A617" i="9"/>
  <c r="A618" i="9"/>
  <c r="A619" i="9"/>
  <c r="A620" i="9"/>
  <c r="A621" i="9"/>
  <c r="A622" i="9"/>
  <c r="A623" i="9"/>
  <c r="A624" i="9"/>
  <c r="A625" i="9"/>
  <c r="A626" i="9"/>
  <c r="A627" i="9"/>
  <c r="A628" i="9"/>
  <c r="A629" i="9"/>
  <c r="A630" i="9"/>
  <c r="A631" i="9"/>
  <c r="A632" i="9"/>
  <c r="A633" i="9"/>
  <c r="A634" i="9"/>
  <c r="A635" i="9"/>
  <c r="A636" i="9"/>
  <c r="A637" i="9"/>
  <c r="A638" i="9"/>
  <c r="A639" i="9"/>
  <c r="A640" i="9"/>
  <c r="A641" i="9"/>
  <c r="A642" i="9"/>
  <c r="A643" i="9"/>
  <c r="A644" i="9"/>
  <c r="A645" i="9"/>
  <c r="A646" i="9"/>
  <c r="A647" i="9"/>
  <c r="A648" i="9"/>
  <c r="A649" i="9"/>
  <c r="A650" i="9"/>
  <c r="A651" i="9"/>
  <c r="A652" i="9"/>
  <c r="A653" i="9"/>
  <c r="A654" i="9"/>
  <c r="A655" i="9"/>
  <c r="A656" i="9"/>
  <c r="A657" i="9"/>
  <c r="A658" i="9"/>
  <c r="A659" i="9"/>
  <c r="A660" i="9"/>
  <c r="A661" i="9"/>
  <c r="A662" i="9"/>
  <c r="A663" i="9"/>
  <c r="A664" i="9"/>
  <c r="A665" i="9"/>
  <c r="A666" i="9"/>
  <c r="A667" i="9"/>
  <c r="A668" i="9"/>
  <c r="A669" i="9"/>
  <c r="A670" i="9"/>
  <c r="A671" i="9"/>
  <c r="A672" i="9"/>
  <c r="A673" i="9"/>
  <c r="A674" i="9"/>
  <c r="A675" i="9"/>
  <c r="A676" i="9"/>
  <c r="A677" i="9"/>
  <c r="A678" i="9"/>
  <c r="A679" i="9"/>
  <c r="A680" i="9"/>
  <c r="A681" i="9"/>
  <c r="A682" i="9"/>
  <c r="A683" i="9"/>
  <c r="A684" i="9"/>
  <c r="A685" i="9"/>
  <c r="A686" i="9"/>
  <c r="A687" i="9"/>
  <c r="A688" i="9"/>
  <c r="A689" i="9"/>
  <c r="A690" i="9"/>
  <c r="A691" i="9"/>
  <c r="A692" i="9"/>
  <c r="A693" i="9"/>
  <c r="A694" i="9"/>
  <c r="A695" i="9"/>
  <c r="A696" i="9"/>
  <c r="A697" i="9"/>
  <c r="A698" i="9"/>
  <c r="A699" i="9"/>
  <c r="A700" i="9"/>
  <c r="A701" i="9"/>
  <c r="A702" i="9"/>
  <c r="A703" i="9"/>
  <c r="A704" i="9"/>
  <c r="A705" i="9"/>
  <c r="A706" i="9"/>
  <c r="A707" i="9"/>
  <c r="A708" i="9"/>
  <c r="A709" i="9"/>
  <c r="A710" i="9"/>
  <c r="A711" i="9"/>
  <c r="A712" i="9"/>
  <c r="A713" i="9"/>
  <c r="A714" i="9"/>
  <c r="A715" i="9"/>
  <c r="A716" i="9"/>
  <c r="A717" i="9"/>
  <c r="A718" i="9"/>
  <c r="A719" i="9"/>
  <c r="A720" i="9"/>
  <c r="A721" i="9"/>
  <c r="A722" i="9"/>
  <c r="A723" i="9"/>
  <c r="A724" i="9"/>
  <c r="A725" i="9"/>
  <c r="A726" i="9"/>
  <c r="A727" i="9"/>
  <c r="A728" i="9"/>
  <c r="A729" i="9"/>
  <c r="A730" i="9"/>
  <c r="A731" i="9"/>
  <c r="A732" i="9"/>
  <c r="A733" i="9"/>
  <c r="A734" i="9"/>
  <c r="A735" i="9"/>
  <c r="A736" i="9"/>
  <c r="A737" i="9"/>
  <c r="A738" i="9"/>
  <c r="A739" i="9"/>
  <c r="A740" i="9"/>
  <c r="A741" i="9"/>
  <c r="A742" i="9"/>
  <c r="A743" i="9"/>
  <c r="A744" i="9"/>
  <c r="A745" i="9"/>
  <c r="A746" i="9"/>
  <c r="A747" i="9"/>
  <c r="A748" i="9"/>
  <c r="A749" i="9"/>
  <c r="A750" i="9"/>
  <c r="A751" i="9"/>
  <c r="A752" i="9"/>
  <c r="A753" i="9"/>
  <c r="A754" i="9"/>
  <c r="A755" i="9"/>
  <c r="A756" i="9"/>
  <c r="A757" i="9"/>
  <c r="A758" i="9"/>
  <c r="A759" i="9"/>
  <c r="A760" i="9"/>
  <c r="A761" i="9"/>
  <c r="A762" i="9"/>
  <c r="A763" i="9"/>
  <c r="A764" i="9"/>
  <c r="A765" i="9"/>
  <c r="A766" i="9"/>
  <c r="A767" i="9"/>
  <c r="A768" i="9"/>
  <c r="A769" i="9"/>
  <c r="A770" i="9"/>
  <c r="A771" i="9"/>
  <c r="A772" i="9"/>
  <c r="A773" i="9"/>
  <c r="A774" i="9"/>
  <c r="A775" i="9"/>
  <c r="A776" i="9"/>
  <c r="A777" i="9"/>
  <c r="A778" i="9"/>
  <c r="A779" i="9"/>
  <c r="A780" i="9"/>
  <c r="A781" i="9"/>
  <c r="A782" i="9"/>
  <c r="A783" i="9"/>
  <c r="A784" i="9"/>
  <c r="A785" i="9"/>
  <c r="A786" i="9"/>
  <c r="A787" i="9"/>
  <c r="A788" i="9"/>
  <c r="A789" i="9"/>
  <c r="A790" i="9"/>
  <c r="A791" i="9"/>
  <c r="A792" i="9"/>
  <c r="A793" i="9"/>
  <c r="A794" i="9"/>
  <c r="A795" i="9"/>
  <c r="A796" i="9"/>
  <c r="A797" i="9"/>
  <c r="A798" i="9"/>
  <c r="A799" i="9"/>
  <c r="A800" i="9"/>
  <c r="A801" i="9"/>
  <c r="A802" i="9"/>
  <c r="A803" i="9"/>
  <c r="A804" i="9"/>
  <c r="A805" i="9"/>
  <c r="A806" i="9"/>
  <c r="A807" i="9"/>
  <c r="A808" i="9"/>
  <c r="A809" i="9"/>
  <c r="A810" i="9"/>
  <c r="A811" i="9"/>
  <c r="A812" i="9"/>
  <c r="A813" i="9"/>
  <c r="A814" i="9"/>
  <c r="A815" i="9"/>
  <c r="A816" i="9"/>
  <c r="A817" i="9"/>
  <c r="A818" i="9"/>
  <c r="A819" i="9"/>
  <c r="A820" i="9"/>
  <c r="A821" i="9"/>
  <c r="A822" i="9"/>
  <c r="A823" i="9"/>
  <c r="A824" i="9"/>
  <c r="A825" i="9"/>
  <c r="A826" i="9"/>
  <c r="A827" i="9"/>
  <c r="A828" i="9"/>
  <c r="A829" i="9"/>
  <c r="A830" i="9"/>
  <c r="A831" i="9"/>
  <c r="A832" i="9"/>
  <c r="A833" i="9"/>
  <c r="A834" i="9"/>
  <c r="A835" i="9"/>
  <c r="A836" i="9"/>
  <c r="A837" i="9"/>
  <c r="A838" i="9"/>
  <c r="A839" i="9"/>
  <c r="A840" i="9"/>
  <c r="A841" i="9"/>
  <c r="A842" i="9"/>
  <c r="A843" i="9"/>
  <c r="A844" i="9"/>
  <c r="A845" i="9"/>
  <c r="A846" i="9"/>
  <c r="A847" i="9"/>
  <c r="A848" i="9"/>
  <c r="A849" i="9"/>
  <c r="A850" i="9"/>
  <c r="A851" i="9"/>
  <c r="A852" i="9"/>
  <c r="A853" i="9"/>
  <c r="A854" i="9"/>
  <c r="A855" i="9"/>
  <c r="A856" i="9"/>
  <c r="A857" i="9"/>
  <c r="A858" i="9"/>
  <c r="A859" i="9"/>
  <c r="A860" i="9"/>
  <c r="A861" i="9"/>
  <c r="A862" i="9"/>
  <c r="A863" i="9"/>
  <c r="A864" i="9"/>
  <c r="A865" i="9"/>
  <c r="A866" i="9"/>
  <c r="A867" i="9"/>
  <c r="A868" i="9"/>
  <c r="A869" i="9"/>
  <c r="A870" i="9"/>
  <c r="A871" i="9"/>
  <c r="A872" i="9"/>
  <c r="A873" i="9"/>
  <c r="A874" i="9"/>
  <c r="A875" i="9"/>
  <c r="A876" i="9"/>
  <c r="A877" i="9"/>
  <c r="A878" i="9"/>
  <c r="A879" i="9"/>
  <c r="A880" i="9"/>
  <c r="A881" i="9"/>
  <c r="A882" i="9"/>
  <c r="A883" i="9"/>
  <c r="A884" i="9"/>
  <c r="A885" i="9"/>
  <c r="A886" i="9"/>
  <c r="A887" i="9"/>
  <c r="A888" i="9"/>
  <c r="A889" i="9"/>
  <c r="A890" i="9"/>
  <c r="A891" i="9"/>
  <c r="A892" i="9"/>
  <c r="A893" i="9"/>
  <c r="A894" i="9"/>
  <c r="A895" i="9"/>
  <c r="A896" i="9"/>
  <c r="A897" i="9"/>
  <c r="A898" i="9"/>
  <c r="A899" i="9"/>
  <c r="A900" i="9"/>
  <c r="A901" i="9"/>
  <c r="A902" i="9"/>
  <c r="A903" i="9"/>
  <c r="A904" i="9"/>
  <c r="A905" i="9"/>
  <c r="A906" i="9"/>
  <c r="A907" i="9"/>
  <c r="A908" i="9"/>
  <c r="A909" i="9"/>
  <c r="A910" i="9"/>
  <c r="A911" i="9"/>
  <c r="A912" i="9"/>
  <c r="A913" i="9"/>
  <c r="A914" i="9"/>
  <c r="A915" i="9"/>
  <c r="A916" i="9"/>
  <c r="A917" i="9"/>
  <c r="A918" i="9"/>
  <c r="A919" i="9"/>
  <c r="A920" i="9"/>
  <c r="A921" i="9"/>
  <c r="A922" i="9"/>
  <c r="A923" i="9"/>
  <c r="A924" i="9"/>
  <c r="A925" i="9"/>
  <c r="A926" i="9"/>
  <c r="A927" i="9"/>
  <c r="A928" i="9"/>
  <c r="A929" i="9"/>
  <c r="A930" i="9"/>
  <c r="A931" i="9"/>
  <c r="A932" i="9"/>
  <c r="A933" i="9"/>
  <c r="A934" i="9"/>
  <c r="A935" i="9"/>
  <c r="A936" i="9"/>
  <c r="A937" i="9"/>
  <c r="A938" i="9"/>
  <c r="A939" i="9"/>
  <c r="A940" i="9"/>
  <c r="A941" i="9"/>
  <c r="A942" i="9"/>
  <c r="A943" i="9"/>
  <c r="A944" i="9"/>
  <c r="A945" i="9"/>
  <c r="A946" i="9"/>
  <c r="A947" i="9"/>
  <c r="A948" i="9"/>
  <c r="A949" i="9"/>
  <c r="A950" i="9"/>
  <c r="A951" i="9"/>
  <c r="A952" i="9"/>
  <c r="A953" i="9"/>
  <c r="A954" i="9"/>
  <c r="A955" i="9"/>
  <c r="A956" i="9"/>
  <c r="A957" i="9"/>
  <c r="A958" i="9"/>
  <c r="A959" i="9"/>
  <c r="A960" i="9"/>
  <c r="A961" i="9"/>
  <c r="A962" i="9"/>
  <c r="A963" i="9"/>
  <c r="A964" i="9"/>
  <c r="A965" i="9"/>
  <c r="A966" i="9"/>
  <c r="A967" i="9"/>
  <c r="A968" i="9"/>
  <c r="A969" i="9"/>
  <c r="A970" i="9"/>
  <c r="A971" i="9"/>
  <c r="A972" i="9"/>
  <c r="A973" i="9"/>
  <c r="A974" i="9"/>
  <c r="A975" i="9"/>
  <c r="A976" i="9"/>
  <c r="A977" i="9"/>
  <c r="A978" i="9"/>
  <c r="A979" i="9"/>
  <c r="A980" i="9"/>
  <c r="A981" i="9"/>
  <c r="A982" i="9"/>
  <c r="A983" i="9"/>
  <c r="A984" i="9"/>
  <c r="A985" i="9"/>
  <c r="A986" i="9"/>
  <c r="A987" i="9"/>
  <c r="A988" i="9"/>
  <c r="A989" i="9"/>
  <c r="A990" i="9"/>
  <c r="A991" i="9"/>
  <c r="A992" i="9"/>
  <c r="A993" i="9"/>
  <c r="A994" i="9"/>
  <c r="A995" i="9"/>
  <c r="A996" i="9"/>
  <c r="A997" i="9"/>
  <c r="A998" i="9"/>
  <c r="A999" i="9"/>
  <c r="A1000" i="9"/>
  <c r="A1001" i="9"/>
  <c r="A1002" i="9"/>
  <c r="A1003" i="9"/>
  <c r="A1004" i="9"/>
  <c r="A1005" i="9"/>
  <c r="A1006" i="9"/>
  <c r="A1007" i="9"/>
  <c r="A1008" i="9"/>
  <c r="A1009" i="9"/>
  <c r="A1010" i="9"/>
  <c r="A1011" i="9"/>
  <c r="A1012" i="9"/>
  <c r="A1013" i="9"/>
  <c r="A1014" i="9"/>
  <c r="A1015" i="9"/>
  <c r="A1016" i="9"/>
  <c r="A1017" i="9"/>
  <c r="A1018" i="9"/>
  <c r="A1019" i="9"/>
  <c r="A1020" i="9"/>
  <c r="A1021" i="9"/>
  <c r="A1022" i="9"/>
  <c r="A1023" i="9"/>
  <c r="A1024" i="9"/>
  <c r="A1025" i="9"/>
  <c r="A1026" i="9"/>
  <c r="A1027" i="9"/>
  <c r="A1028" i="9"/>
  <c r="A1029" i="9"/>
  <c r="A1030" i="9"/>
  <c r="A1031" i="9"/>
  <c r="A1032" i="9"/>
  <c r="A1033" i="9"/>
  <c r="A1034" i="9"/>
  <c r="A1035" i="9"/>
  <c r="A1036" i="9"/>
  <c r="A1037" i="9"/>
  <c r="A1038" i="9"/>
  <c r="A1039" i="9"/>
  <c r="A1040" i="9"/>
  <c r="A1041" i="9"/>
  <c r="A1042" i="9"/>
  <c r="A1043" i="9"/>
  <c r="A1044" i="9"/>
  <c r="A1045" i="9"/>
  <c r="A1046" i="9"/>
  <c r="A1047" i="9"/>
  <c r="A1048" i="9"/>
  <c r="A1049" i="9"/>
  <c r="A1050" i="9"/>
  <c r="A1051" i="9"/>
  <c r="A1052" i="9"/>
  <c r="A1053" i="9"/>
  <c r="A1054" i="9"/>
  <c r="A1055" i="9"/>
  <c r="A1056" i="9"/>
  <c r="A1057" i="9"/>
  <c r="A1058" i="9"/>
  <c r="A1059" i="9"/>
  <c r="A1060" i="9"/>
  <c r="A1061" i="9"/>
  <c r="A1062" i="9"/>
  <c r="A1063" i="9"/>
  <c r="A1064" i="9"/>
  <c r="A1065" i="9"/>
  <c r="A1066" i="9"/>
  <c r="A1067" i="9"/>
  <c r="A1068" i="9"/>
  <c r="A1069" i="9"/>
  <c r="A1070" i="9"/>
  <c r="A1071" i="9"/>
  <c r="A1072" i="9"/>
  <c r="A1073" i="9"/>
  <c r="A1074" i="9"/>
  <c r="A1075" i="9"/>
  <c r="A1076" i="9"/>
  <c r="A1077" i="9"/>
  <c r="A1078" i="9"/>
  <c r="A1079" i="9"/>
  <c r="A1080" i="9"/>
  <c r="A1081" i="9"/>
  <c r="A1082" i="9"/>
  <c r="A1083" i="9"/>
  <c r="A1084" i="9"/>
  <c r="A1085" i="9"/>
  <c r="A1086" i="9"/>
  <c r="A1087" i="9"/>
  <c r="A1088" i="9"/>
  <c r="A1089" i="9"/>
  <c r="A1090" i="9"/>
  <c r="A1091" i="9"/>
  <c r="A1092" i="9"/>
  <c r="A1093" i="9"/>
  <c r="A1094" i="9"/>
  <c r="A1095" i="9"/>
  <c r="A1096" i="9"/>
  <c r="A1097" i="9"/>
  <c r="A1098" i="9"/>
  <c r="A1099" i="9"/>
  <c r="A1100" i="9"/>
  <c r="A1101" i="9"/>
  <c r="A1102" i="9"/>
  <c r="A1103" i="9"/>
  <c r="A1104" i="9"/>
  <c r="A1105" i="9"/>
  <c r="A1106" i="9"/>
  <c r="A1107" i="9"/>
  <c r="A1108" i="9"/>
  <c r="A1109" i="9"/>
  <c r="A1110" i="9"/>
  <c r="A1111" i="9"/>
  <c r="A1112" i="9"/>
  <c r="A1113" i="9"/>
  <c r="A1114" i="9"/>
  <c r="A1115" i="9"/>
  <c r="A1116" i="9"/>
  <c r="A1117" i="9"/>
  <c r="A1118" i="9"/>
  <c r="A1119" i="9"/>
  <c r="A1120" i="9"/>
  <c r="A1121" i="9"/>
  <c r="A1122" i="9"/>
  <c r="A1123" i="9"/>
  <c r="A1124" i="9"/>
  <c r="A1125" i="9"/>
  <c r="A1126" i="9"/>
  <c r="A1127" i="9"/>
  <c r="A1128" i="9"/>
  <c r="A1129" i="9"/>
  <c r="A1130" i="9"/>
  <c r="A1131" i="9"/>
  <c r="A1132" i="9"/>
  <c r="A1133" i="9"/>
  <c r="A1134" i="9"/>
  <c r="A1135" i="9"/>
  <c r="A1136" i="9"/>
  <c r="A1137" i="9"/>
  <c r="A1138" i="9"/>
  <c r="A1139" i="9"/>
  <c r="A1140" i="9"/>
  <c r="A1141" i="9"/>
  <c r="A1142" i="9"/>
  <c r="A1143" i="9"/>
  <c r="A1144" i="9"/>
  <c r="A1145" i="9"/>
  <c r="A1146" i="9"/>
  <c r="A1147" i="9"/>
  <c r="A1148" i="9"/>
  <c r="A1149" i="9"/>
  <c r="A1150" i="9"/>
  <c r="A1151" i="9"/>
  <c r="A1152" i="9"/>
  <c r="A1153" i="9"/>
  <c r="A1154" i="9"/>
  <c r="A1155" i="9"/>
  <c r="A1156" i="9"/>
  <c r="A1157" i="9"/>
  <c r="A1158" i="9"/>
  <c r="A1159" i="9"/>
  <c r="A1160" i="9"/>
  <c r="A1161" i="9"/>
  <c r="A1162" i="9"/>
  <c r="A1163" i="9"/>
  <c r="A1164" i="9"/>
  <c r="A1165" i="9"/>
  <c r="A1166" i="9"/>
  <c r="A1167" i="9"/>
  <c r="A1168" i="9"/>
  <c r="A1169" i="9"/>
  <c r="A1170" i="9"/>
  <c r="A1171" i="9"/>
  <c r="A1172" i="9"/>
  <c r="A1173" i="9"/>
  <c r="A1174" i="9"/>
  <c r="A1175" i="9"/>
  <c r="A1176" i="9"/>
  <c r="A1177" i="9"/>
  <c r="A1178" i="9"/>
  <c r="A1179" i="9"/>
  <c r="A1180" i="9"/>
  <c r="A1181" i="9"/>
  <c r="A1182" i="9"/>
  <c r="A1183" i="9"/>
  <c r="A1184" i="9"/>
  <c r="A1185" i="9"/>
  <c r="A1186" i="9"/>
  <c r="A1187" i="9"/>
  <c r="A1188" i="9"/>
  <c r="A1189" i="9"/>
  <c r="A1190" i="9"/>
  <c r="A1191" i="9"/>
  <c r="A1192" i="9"/>
  <c r="A1193" i="9"/>
  <c r="A1194" i="9"/>
  <c r="A1195" i="9"/>
  <c r="A1196" i="9"/>
  <c r="A1197" i="9"/>
  <c r="A1198" i="9"/>
  <c r="A1199" i="9"/>
  <c r="A1200" i="9"/>
  <c r="A1201" i="9"/>
  <c r="A1202" i="9"/>
  <c r="A1203" i="9"/>
  <c r="A1204" i="9"/>
  <c r="A1205" i="9"/>
  <c r="A1206" i="9"/>
  <c r="A1207" i="9"/>
  <c r="A1208" i="9"/>
  <c r="A1209" i="9"/>
  <c r="A1210" i="9"/>
  <c r="A1211" i="9"/>
  <c r="A1212" i="9"/>
  <c r="A1213" i="9"/>
  <c r="A1214" i="9"/>
  <c r="A1215" i="9"/>
  <c r="A1216" i="9"/>
  <c r="A1217" i="9"/>
  <c r="A1218" i="9"/>
  <c r="A1219" i="9"/>
  <c r="A1220" i="9"/>
  <c r="A1221" i="9"/>
  <c r="A1222" i="9"/>
  <c r="A1223" i="9"/>
  <c r="A1224" i="9"/>
  <c r="A1225" i="9"/>
  <c r="A1226" i="9"/>
  <c r="A1227" i="9"/>
  <c r="A1228" i="9"/>
  <c r="A1229" i="9"/>
  <c r="A1230" i="9"/>
  <c r="A1231" i="9"/>
  <c r="A1232" i="9"/>
  <c r="A1233" i="9"/>
  <c r="A1234" i="9"/>
  <c r="A1235" i="9"/>
  <c r="A1236" i="9"/>
  <c r="A1237" i="9"/>
  <c r="A1238" i="9"/>
  <c r="A1239" i="9"/>
  <c r="A1240" i="9"/>
  <c r="A1241" i="9"/>
  <c r="A1242" i="9"/>
  <c r="A1243" i="9"/>
  <c r="A1244" i="9"/>
  <c r="A1245" i="9"/>
  <c r="A1246" i="9"/>
  <c r="A1247" i="9"/>
  <c r="A1248" i="9"/>
  <c r="A1249" i="9"/>
  <c r="A1250" i="9"/>
  <c r="A1251" i="9"/>
  <c r="A1252" i="9"/>
  <c r="A1253" i="9"/>
  <c r="A1254" i="9"/>
  <c r="A1255" i="9"/>
  <c r="A1256" i="9"/>
  <c r="A1257" i="9"/>
  <c r="A1258" i="9"/>
  <c r="A1259" i="9"/>
  <c r="A1260" i="9"/>
  <c r="A1261" i="9"/>
  <c r="A1262" i="9"/>
  <c r="A1263" i="9"/>
  <c r="A1264" i="9"/>
  <c r="A1265" i="9"/>
  <c r="A1266" i="9"/>
  <c r="A1267" i="9"/>
  <c r="A1268" i="9"/>
  <c r="A1269" i="9"/>
  <c r="A1270" i="9"/>
  <c r="A1271" i="9"/>
  <c r="A1272" i="9"/>
  <c r="A1273" i="9"/>
  <c r="A1274" i="9"/>
  <c r="A1275" i="9"/>
  <c r="A1276" i="9"/>
  <c r="A1277" i="9"/>
  <c r="A1278" i="9"/>
  <c r="A1279" i="9"/>
  <c r="A1280" i="9"/>
  <c r="A1281" i="9"/>
  <c r="A1282" i="9"/>
  <c r="A1283" i="9"/>
  <c r="A1284" i="9"/>
  <c r="A1285" i="9"/>
  <c r="A1286" i="9"/>
  <c r="A1287" i="9"/>
  <c r="A1288" i="9"/>
  <c r="A1289" i="9"/>
  <c r="A1290" i="9"/>
  <c r="A1291" i="9"/>
  <c r="A1292" i="9"/>
  <c r="A1293" i="9"/>
  <c r="A1294" i="9"/>
  <c r="A1295" i="9"/>
  <c r="A1296" i="9"/>
  <c r="A1297" i="9"/>
  <c r="A1298" i="9"/>
  <c r="A1299" i="9"/>
  <c r="A1300" i="9"/>
  <c r="A1301" i="9"/>
  <c r="A1302" i="9"/>
  <c r="A1303" i="9"/>
  <c r="A1304" i="9"/>
  <c r="A1305" i="9"/>
  <c r="A1306" i="9"/>
  <c r="A1307" i="9"/>
  <c r="A1308" i="9"/>
  <c r="A1309" i="9"/>
  <c r="A1310" i="9"/>
  <c r="A1311" i="9"/>
  <c r="A1312" i="9"/>
  <c r="A1313" i="9"/>
  <c r="A1314" i="9"/>
  <c r="A1315" i="9"/>
  <c r="A1316" i="9"/>
  <c r="A1317" i="9"/>
  <c r="A1318" i="9"/>
  <c r="A1319" i="9"/>
  <c r="A1320" i="9"/>
  <c r="A1321" i="9"/>
  <c r="A1322" i="9"/>
  <c r="A1323" i="9"/>
  <c r="A1324" i="9"/>
  <c r="A1325" i="9"/>
  <c r="A1326" i="9"/>
  <c r="A1327" i="9"/>
  <c r="A1328" i="9"/>
  <c r="A1329" i="9"/>
  <c r="A1330" i="9"/>
  <c r="A1331" i="9"/>
  <c r="A1332" i="9"/>
  <c r="A1333" i="9"/>
  <c r="A1334" i="9"/>
  <c r="A1335" i="9"/>
  <c r="A1336" i="9"/>
  <c r="A1337" i="9"/>
  <c r="A1338" i="9"/>
  <c r="A1339" i="9"/>
  <c r="A1340" i="9"/>
  <c r="A1341" i="9"/>
  <c r="A1342" i="9"/>
  <c r="A1343" i="9"/>
  <c r="A1344" i="9"/>
  <c r="A1345" i="9"/>
  <c r="A1346" i="9"/>
  <c r="A1347" i="9"/>
  <c r="A1348" i="9"/>
  <c r="A1349" i="9"/>
  <c r="A1350" i="9"/>
  <c r="A1351" i="9"/>
  <c r="A1352" i="9"/>
  <c r="A1353" i="9"/>
  <c r="A1354" i="9"/>
  <c r="A1355" i="9"/>
  <c r="A1356" i="9"/>
  <c r="A1357" i="9"/>
  <c r="A1358" i="9"/>
  <c r="A1359" i="9"/>
  <c r="A1360" i="9"/>
  <c r="A1361" i="9"/>
  <c r="A1362" i="9"/>
  <c r="A1363" i="9"/>
  <c r="A1364" i="9"/>
  <c r="A1365" i="9"/>
  <c r="A1366" i="9"/>
  <c r="A1367" i="9"/>
  <c r="A1368" i="9"/>
  <c r="A1369" i="9"/>
  <c r="A1370" i="9"/>
  <c r="A1371" i="9"/>
  <c r="A1372" i="9"/>
  <c r="A1373" i="9"/>
  <c r="A1374" i="9"/>
  <c r="A1375" i="9"/>
  <c r="A1376" i="9"/>
  <c r="A1377" i="9"/>
  <c r="A1378" i="9"/>
  <c r="A1379" i="9"/>
  <c r="A1380" i="9"/>
  <c r="A1381" i="9"/>
  <c r="A1382" i="9"/>
  <c r="A1383" i="9"/>
  <c r="A1384" i="9"/>
  <c r="A1385" i="9"/>
  <c r="A1386" i="9"/>
  <c r="A1387" i="9"/>
  <c r="A1388" i="9"/>
  <c r="A1389" i="9"/>
  <c r="A1390" i="9"/>
  <c r="A1391" i="9"/>
  <c r="A1392" i="9"/>
  <c r="A1393" i="9"/>
  <c r="A1394" i="9"/>
  <c r="A1395" i="9"/>
  <c r="A1396" i="9"/>
  <c r="A1397" i="9"/>
  <c r="A1398" i="9"/>
  <c r="A1399" i="9"/>
  <c r="A1400" i="9"/>
  <c r="A1401" i="9"/>
  <c r="A1402" i="9"/>
  <c r="A1403" i="9"/>
  <c r="A1404" i="9"/>
  <c r="A1405" i="9"/>
  <c r="A1406" i="9"/>
  <c r="A1407" i="9"/>
  <c r="A1408" i="9"/>
  <c r="A1409" i="9"/>
  <c r="A1410" i="9"/>
  <c r="A1411" i="9"/>
  <c r="A1412" i="9"/>
  <c r="A1413" i="9"/>
  <c r="A1414" i="9"/>
  <c r="A1415" i="9"/>
  <c r="A1416" i="9"/>
  <c r="A1417" i="9"/>
  <c r="A1418" i="9"/>
  <c r="A1419" i="9"/>
  <c r="A1420" i="9"/>
  <c r="A1421" i="9"/>
  <c r="A1422" i="9"/>
  <c r="A1423" i="9"/>
  <c r="A1424" i="9"/>
  <c r="A1425" i="9"/>
  <c r="A1426" i="9"/>
  <c r="A1427" i="9"/>
  <c r="A1428" i="9"/>
  <c r="A1429" i="9"/>
  <c r="A1430" i="9"/>
  <c r="A1431" i="9"/>
  <c r="A1432" i="9"/>
  <c r="A1433" i="9"/>
  <c r="A1434" i="9"/>
  <c r="A1435" i="9"/>
  <c r="A1436" i="9"/>
  <c r="A1437" i="9"/>
  <c r="A1438" i="9"/>
  <c r="A1439" i="9"/>
  <c r="A1440" i="9"/>
  <c r="A1441" i="9"/>
  <c r="A1442" i="9"/>
  <c r="A1443" i="9"/>
  <c r="A1444" i="9"/>
  <c r="A1445" i="9"/>
  <c r="A1446" i="9"/>
  <c r="A1447" i="9"/>
  <c r="A1448" i="9"/>
  <c r="A1449" i="9"/>
  <c r="A1450" i="9"/>
  <c r="A1451" i="9"/>
  <c r="A1452" i="9"/>
  <c r="A1453" i="9"/>
  <c r="A1454" i="9"/>
  <c r="A1455" i="9"/>
  <c r="A1456" i="9"/>
  <c r="A1457" i="9"/>
  <c r="A1458" i="9"/>
  <c r="A1459" i="9"/>
  <c r="A1460" i="9"/>
  <c r="A1461" i="9"/>
  <c r="A1462" i="9"/>
  <c r="A1463" i="9"/>
  <c r="A1464" i="9"/>
  <c r="A1465" i="9"/>
  <c r="A1466" i="9"/>
  <c r="A1467" i="9"/>
  <c r="A1468" i="9"/>
  <c r="A1469" i="9"/>
  <c r="A1470" i="9"/>
  <c r="A1471" i="9"/>
  <c r="A1472" i="9"/>
  <c r="A1473" i="9"/>
  <c r="A1474" i="9"/>
  <c r="A1475" i="9"/>
  <c r="A1476" i="9"/>
  <c r="A1477" i="9"/>
  <c r="A1478" i="9"/>
  <c r="A1479" i="9"/>
  <c r="A1480" i="9"/>
  <c r="A1481" i="9"/>
  <c r="A1482" i="9"/>
  <c r="A1483" i="9"/>
  <c r="A1484" i="9"/>
  <c r="A1485" i="9"/>
  <c r="A1486" i="9"/>
  <c r="A1487" i="9"/>
  <c r="A1488" i="9"/>
  <c r="A1489" i="9"/>
  <c r="A1490" i="9"/>
  <c r="A1491" i="9"/>
  <c r="A1492" i="9"/>
  <c r="A1493" i="9"/>
  <c r="A1494" i="9"/>
  <c r="A1495" i="9"/>
  <c r="A1496" i="9"/>
  <c r="A1497" i="9"/>
  <c r="A1498" i="9"/>
  <c r="A1499" i="9"/>
  <c r="A1500" i="9"/>
  <c r="A1501" i="9"/>
  <c r="A1502" i="9"/>
  <c r="A1503" i="9"/>
  <c r="A1504" i="9"/>
  <c r="A1505" i="9"/>
  <c r="A1506" i="9"/>
  <c r="A1507" i="9"/>
  <c r="A1508" i="9"/>
  <c r="A1509" i="9"/>
  <c r="A1510" i="9"/>
  <c r="A1511" i="9"/>
  <c r="A1512" i="9"/>
  <c r="A1513" i="9"/>
  <c r="A1514" i="9"/>
  <c r="A1515" i="9"/>
  <c r="A1516" i="9"/>
  <c r="A1517" i="9"/>
  <c r="A1518" i="9"/>
  <c r="A1519" i="9"/>
  <c r="A1520" i="9"/>
  <c r="A1521" i="9"/>
  <c r="A1522" i="9"/>
  <c r="A1523" i="9"/>
  <c r="A1524" i="9"/>
  <c r="A1525" i="9"/>
  <c r="A1526" i="9"/>
  <c r="A1527" i="9"/>
  <c r="A1528" i="9"/>
  <c r="A1529" i="9"/>
  <c r="A1530" i="9"/>
  <c r="A1531" i="9"/>
  <c r="A1532" i="9"/>
  <c r="A1533" i="9"/>
  <c r="A1534" i="9"/>
  <c r="A1535" i="9"/>
  <c r="A1536" i="9"/>
  <c r="A1537" i="9"/>
  <c r="A1538" i="9"/>
  <c r="A1539" i="9"/>
  <c r="A1540" i="9"/>
  <c r="A1541" i="9"/>
  <c r="A1542" i="9"/>
  <c r="A1543" i="9"/>
  <c r="A1544" i="9"/>
  <c r="A1545" i="9"/>
  <c r="A1546" i="9"/>
  <c r="A1547" i="9"/>
  <c r="A1548" i="9"/>
  <c r="A1549" i="9"/>
  <c r="A1550" i="9"/>
  <c r="A1551" i="9"/>
  <c r="A1552" i="9"/>
  <c r="A1553" i="9"/>
  <c r="A1554" i="9"/>
  <c r="A1555" i="9"/>
  <c r="A1556" i="9"/>
  <c r="A1557" i="9"/>
  <c r="A1558" i="9"/>
  <c r="A1559" i="9"/>
  <c r="A1560" i="9"/>
  <c r="A1561" i="9"/>
  <c r="A1562" i="9"/>
  <c r="A1563" i="9"/>
  <c r="A1564" i="9"/>
  <c r="A1565" i="9"/>
  <c r="A1566" i="9"/>
  <c r="A1567" i="9"/>
  <c r="A1568" i="9"/>
  <c r="A1569" i="9"/>
  <c r="A1570" i="9"/>
  <c r="A1571" i="9"/>
  <c r="A1572" i="9"/>
  <c r="A1573" i="9"/>
  <c r="A1574" i="9"/>
  <c r="A1575" i="9"/>
  <c r="A1576" i="9"/>
  <c r="A1577" i="9"/>
  <c r="A1578" i="9"/>
  <c r="A1579" i="9"/>
  <c r="A1580" i="9"/>
  <c r="A1581" i="9"/>
  <c r="A1582" i="9"/>
  <c r="A1583" i="9"/>
  <c r="A1584" i="9"/>
  <c r="A1585" i="9"/>
  <c r="A1586" i="9"/>
  <c r="A1587" i="9"/>
  <c r="A1588" i="9"/>
  <c r="A1589" i="9"/>
  <c r="A1590" i="9"/>
  <c r="A1591" i="9"/>
  <c r="A1592" i="9"/>
  <c r="A1593" i="9"/>
  <c r="A1594" i="9"/>
  <c r="A1595" i="9"/>
  <c r="A1596" i="9"/>
  <c r="A1597" i="9"/>
  <c r="A1598" i="9"/>
  <c r="A1599" i="9"/>
  <c r="A1600" i="9"/>
  <c r="A1601" i="9"/>
  <c r="A1602" i="9"/>
  <c r="A1603" i="9"/>
  <c r="A1604" i="9"/>
  <c r="A1605" i="9"/>
  <c r="A1606" i="9"/>
  <c r="A1607" i="9"/>
  <c r="A1608" i="9"/>
  <c r="A1609" i="9"/>
  <c r="A1610" i="9"/>
  <c r="A1611" i="9"/>
  <c r="A1612" i="9"/>
  <c r="A1613" i="9"/>
  <c r="A1614" i="9"/>
  <c r="A1615" i="9"/>
  <c r="A1616" i="9"/>
  <c r="A1617" i="9"/>
  <c r="A1618" i="9"/>
  <c r="A1619" i="9"/>
  <c r="A1620" i="9"/>
  <c r="A1621" i="9"/>
  <c r="A1622" i="9"/>
  <c r="A1623" i="9"/>
  <c r="A1624" i="9"/>
  <c r="A1625" i="9"/>
  <c r="A1626" i="9"/>
  <c r="A1627" i="9"/>
  <c r="A1628" i="9"/>
  <c r="A1629" i="9"/>
  <c r="A1630" i="9"/>
  <c r="A1631" i="9"/>
  <c r="A1632" i="9"/>
  <c r="A1633" i="9"/>
  <c r="A1634" i="9"/>
  <c r="A1635" i="9"/>
  <c r="A1636" i="9"/>
  <c r="A1637" i="9"/>
  <c r="A1638" i="9"/>
  <c r="A1639" i="9"/>
  <c r="A1640" i="9"/>
  <c r="A1641" i="9"/>
  <c r="A1642" i="9"/>
  <c r="A1643" i="9"/>
  <c r="A1644" i="9"/>
  <c r="A1645" i="9"/>
  <c r="A1646" i="9"/>
  <c r="A1647" i="9"/>
  <c r="A1648" i="9"/>
  <c r="A1649" i="9"/>
  <c r="A1650" i="9"/>
  <c r="A1651" i="9"/>
  <c r="A1652" i="9"/>
  <c r="A1653" i="9"/>
  <c r="A1654" i="9"/>
  <c r="A1655" i="9"/>
  <c r="A1656" i="9"/>
  <c r="A1657" i="9"/>
  <c r="A1658" i="9"/>
  <c r="A1659" i="9"/>
  <c r="A1660" i="9"/>
  <c r="A1661" i="9"/>
  <c r="A1662" i="9"/>
  <c r="A1663" i="9"/>
  <c r="A1664" i="9"/>
  <c r="A1665" i="9"/>
  <c r="A1666" i="9"/>
  <c r="A1667" i="9"/>
  <c r="A1668" i="9"/>
  <c r="A1669" i="9"/>
  <c r="A1670" i="9"/>
  <c r="A1671" i="9"/>
  <c r="A1672" i="9"/>
  <c r="A1673" i="9"/>
  <c r="A1674" i="9"/>
  <c r="A1675" i="9"/>
  <c r="A1676" i="9"/>
  <c r="A1677" i="9"/>
  <c r="A1678" i="9"/>
  <c r="A1679" i="9"/>
  <c r="A1680" i="9"/>
  <c r="A1681" i="9"/>
  <c r="A1682" i="9"/>
  <c r="A1683" i="9"/>
  <c r="A1684" i="9"/>
  <c r="A1685" i="9"/>
  <c r="A1686" i="9"/>
  <c r="A1687" i="9"/>
  <c r="A1688" i="9"/>
  <c r="A1689" i="9"/>
  <c r="A1690" i="9"/>
  <c r="A1691" i="9"/>
  <c r="A1692" i="9"/>
  <c r="A1693" i="9"/>
  <c r="A1694" i="9"/>
  <c r="A1695" i="9"/>
  <c r="A1696" i="9"/>
  <c r="A1697" i="9"/>
  <c r="A1698" i="9"/>
  <c r="A1699" i="9"/>
  <c r="A1700" i="9"/>
  <c r="A1701" i="9"/>
  <c r="A1702" i="9"/>
  <c r="A1703" i="9"/>
  <c r="A1704" i="9"/>
  <c r="A1705" i="9"/>
  <c r="A1706" i="9"/>
  <c r="A1707" i="9"/>
  <c r="A1708" i="9"/>
  <c r="A1709" i="9"/>
  <c r="A1710" i="9"/>
  <c r="A1711" i="9"/>
  <c r="A1712" i="9"/>
  <c r="A1713" i="9"/>
  <c r="A1714" i="9"/>
  <c r="A1715" i="9"/>
  <c r="A1716" i="9"/>
  <c r="A1717" i="9"/>
  <c r="A1718" i="9"/>
  <c r="A1719" i="9"/>
  <c r="A1720" i="9"/>
  <c r="A1721" i="9"/>
  <c r="A1722" i="9"/>
  <c r="A1723" i="9"/>
  <c r="A1724" i="9"/>
  <c r="A1725" i="9"/>
  <c r="A1726" i="9"/>
  <c r="A1727" i="9"/>
  <c r="A1728" i="9"/>
  <c r="A1729" i="9"/>
  <c r="A1730" i="9"/>
  <c r="A1731" i="9"/>
  <c r="A1732" i="9"/>
  <c r="A1733" i="9"/>
  <c r="A1734" i="9"/>
  <c r="A1735" i="9"/>
  <c r="A1736" i="9"/>
  <c r="A1737" i="9"/>
  <c r="A1738" i="9"/>
  <c r="A1739" i="9"/>
  <c r="A1740" i="9"/>
  <c r="A1741" i="9"/>
  <c r="A1742" i="9"/>
  <c r="A1743" i="9"/>
  <c r="A1744" i="9"/>
  <c r="A1745" i="9"/>
  <c r="A1746" i="9"/>
  <c r="A1747" i="9"/>
  <c r="A1748" i="9"/>
  <c r="A1749" i="9"/>
  <c r="A1750" i="9"/>
  <c r="A1751" i="9"/>
  <c r="A1752" i="9"/>
  <c r="A1753" i="9"/>
  <c r="A1754" i="9"/>
  <c r="A1755" i="9"/>
  <c r="A1756" i="9"/>
  <c r="A1757" i="9"/>
  <c r="A1758" i="9"/>
  <c r="A1759" i="9"/>
  <c r="A1760" i="9"/>
  <c r="A1761" i="9"/>
  <c r="A1762" i="9"/>
  <c r="A1763" i="9"/>
  <c r="A1764" i="9"/>
  <c r="A1765" i="9"/>
  <c r="A2" i="9"/>
  <c r="AE19" i="17" l="1"/>
  <c r="S56" i="12"/>
  <c r="T56" i="12" s="1"/>
  <c r="S13" i="12"/>
  <c r="T13" i="12" s="1"/>
  <c r="S17" i="12"/>
  <c r="T17" i="12" s="1"/>
  <c r="S21" i="12"/>
  <c r="S25" i="12"/>
  <c r="T25" i="12" s="1"/>
  <c r="S29" i="12"/>
  <c r="T29" i="12" s="1"/>
  <c r="S33" i="12"/>
  <c r="T33" i="12" s="1"/>
  <c r="S37" i="12"/>
  <c r="S41" i="12"/>
  <c r="S45" i="12"/>
  <c r="T45" i="12" s="1"/>
  <c r="S49" i="12"/>
  <c r="T49" i="12" s="1"/>
  <c r="S53" i="12"/>
  <c r="S57" i="12"/>
  <c r="T57" i="12" s="1"/>
  <c r="S10" i="12"/>
  <c r="T10" i="12" s="1"/>
  <c r="U10" i="12" s="1"/>
  <c r="O10" i="12" s="1"/>
  <c r="S14" i="12"/>
  <c r="T14" i="12" s="1"/>
  <c r="S18" i="12"/>
  <c r="T18" i="12" s="1"/>
  <c r="S22" i="12"/>
  <c r="T22" i="12" s="1"/>
  <c r="S26" i="12"/>
  <c r="T26" i="12" s="1"/>
  <c r="S30" i="12"/>
  <c r="T30" i="12" s="1"/>
  <c r="S34" i="12"/>
  <c r="S38" i="12"/>
  <c r="S42" i="12"/>
  <c r="T42" i="12" s="1"/>
  <c r="S46" i="12"/>
  <c r="T46" i="12" s="1"/>
  <c r="S50" i="12"/>
  <c r="S54" i="12"/>
  <c r="S58" i="12"/>
  <c r="T58" i="12" s="1"/>
  <c r="S11" i="12"/>
  <c r="T11" i="12" s="1"/>
  <c r="U11" i="12" s="1"/>
  <c r="O11" i="12" s="1"/>
  <c r="S15" i="12"/>
  <c r="S19" i="12"/>
  <c r="T19" i="12" s="1"/>
  <c r="S23" i="12"/>
  <c r="T23" i="12" s="1"/>
  <c r="S27" i="12"/>
  <c r="T27" i="12" s="1"/>
  <c r="S31" i="12"/>
  <c r="T31" i="12" s="1"/>
  <c r="S35" i="12"/>
  <c r="T35" i="12" s="1"/>
  <c r="S39" i="12"/>
  <c r="T39" i="12" s="1"/>
  <c r="S43" i="12"/>
  <c r="T43" i="12" s="1"/>
  <c r="S47" i="12"/>
  <c r="T47" i="12" s="1"/>
  <c r="S51" i="12"/>
  <c r="T51" i="12" s="1"/>
  <c r="S55" i="12"/>
  <c r="T55" i="12" s="1"/>
  <c r="S12" i="12"/>
  <c r="T12" i="12" s="1"/>
  <c r="U12" i="12" s="1"/>
  <c r="O12" i="12" s="1"/>
  <c r="S16" i="12"/>
  <c r="T16" i="12" s="1"/>
  <c r="S20" i="12"/>
  <c r="T20" i="12" s="1"/>
  <c r="S24" i="12"/>
  <c r="T24" i="12" s="1"/>
  <c r="S28" i="12"/>
  <c r="T28" i="12" s="1"/>
  <c r="S32" i="12"/>
  <c r="T32" i="12" s="1"/>
  <c r="S36" i="12"/>
  <c r="T36" i="12" s="1"/>
  <c r="S40" i="12"/>
  <c r="T40" i="12" s="1"/>
  <c r="S44" i="12"/>
  <c r="T44" i="12" s="1"/>
  <c r="S48" i="12"/>
  <c r="T48" i="12" s="1"/>
  <c r="S52" i="12"/>
  <c r="T52" i="12" s="1"/>
  <c r="S9" i="12"/>
  <c r="T9" i="12" s="1"/>
  <c r="U9" i="12" s="1"/>
  <c r="O9" i="12" s="1"/>
  <c r="J14" i="12"/>
  <c r="E2" i="3"/>
  <c r="AU19" i="17" l="1"/>
  <c r="AV19" i="17" s="1"/>
  <c r="C39" i="5"/>
  <c r="C40" i="5"/>
  <c r="B40" i="5"/>
  <c r="B31" i="5"/>
  <c r="B39" i="5"/>
  <c r="J9" i="12"/>
  <c r="K9" i="12"/>
  <c r="N9" i="12"/>
  <c r="M9" i="12"/>
  <c r="L9" i="12"/>
  <c r="L53" i="12"/>
  <c r="T53" i="12"/>
  <c r="T37" i="12"/>
  <c r="M21" i="12"/>
  <c r="T21" i="12"/>
  <c r="T15" i="12"/>
  <c r="N50" i="12"/>
  <c r="T50" i="12"/>
  <c r="T34" i="12"/>
  <c r="N54" i="12"/>
  <c r="T54" i="12"/>
  <c r="T38" i="12"/>
  <c r="N41" i="12"/>
  <c r="T41" i="12"/>
  <c r="K57" i="12"/>
  <c r="L57" i="12"/>
  <c r="M57" i="12"/>
  <c r="N57" i="12"/>
  <c r="J57" i="12"/>
  <c r="P57" i="12" s="1"/>
  <c r="Q57" i="12" s="1"/>
  <c r="K53" i="12"/>
  <c r="J53" i="12"/>
  <c r="P53" i="12" s="1"/>
  <c r="Q53" i="12" s="1"/>
  <c r="N53" i="12"/>
  <c r="K34" i="12"/>
  <c r="L34" i="12"/>
  <c r="M34" i="12"/>
  <c r="J34" i="12"/>
  <c r="P34" i="12" s="1"/>
  <c r="Q34" i="12" s="1"/>
  <c r="N34" i="12"/>
  <c r="K28" i="12"/>
  <c r="L28" i="12"/>
  <c r="M28" i="12"/>
  <c r="N28" i="12"/>
  <c r="J28" i="12"/>
  <c r="P28" i="12" s="1"/>
  <c r="Q28" i="12" s="1"/>
  <c r="J37" i="12"/>
  <c r="P37" i="12" s="1"/>
  <c r="Q37" i="12" s="1"/>
  <c r="N37" i="12"/>
  <c r="K37" i="12"/>
  <c r="L37" i="12"/>
  <c r="M37" i="12"/>
  <c r="M54" i="12"/>
  <c r="J54" i="12"/>
  <c r="P54" i="12" s="1"/>
  <c r="Q54" i="12" s="1"/>
  <c r="L54" i="12"/>
  <c r="M42" i="12"/>
  <c r="N42" i="12"/>
  <c r="J42" i="12"/>
  <c r="P42" i="12" s="1"/>
  <c r="Q42" i="12" s="1"/>
  <c r="K42" i="12"/>
  <c r="L42" i="12"/>
  <c r="K22" i="12"/>
  <c r="L22" i="12"/>
  <c r="M22" i="12"/>
  <c r="N22" i="12"/>
  <c r="J22" i="12"/>
  <c r="P22" i="12" s="1"/>
  <c r="Q22" i="12" s="1"/>
  <c r="M25" i="12"/>
  <c r="J25" i="12"/>
  <c r="P25" i="12" s="1"/>
  <c r="Q25" i="12" s="1"/>
  <c r="N25" i="12"/>
  <c r="K25" i="12"/>
  <c r="L25" i="12"/>
  <c r="M33" i="12"/>
  <c r="J33" i="12"/>
  <c r="P33" i="12" s="1"/>
  <c r="Q33" i="12" s="1"/>
  <c r="N33" i="12"/>
  <c r="K33" i="12"/>
  <c r="L33" i="12"/>
  <c r="M44" i="12"/>
  <c r="J44" i="12"/>
  <c r="P44" i="12" s="1"/>
  <c r="Q44" i="12" s="1"/>
  <c r="N44" i="12"/>
  <c r="L44" i="12"/>
  <c r="K44" i="12"/>
  <c r="M50" i="12"/>
  <c r="J50" i="12"/>
  <c r="P50" i="12" s="1"/>
  <c r="Q50" i="12" s="1"/>
  <c r="L50" i="12"/>
  <c r="K18" i="12"/>
  <c r="L18" i="12"/>
  <c r="M18" i="12"/>
  <c r="J18" i="12"/>
  <c r="P18" i="12" s="1"/>
  <c r="Q18" i="12" s="1"/>
  <c r="N18" i="12"/>
  <c r="M52" i="12"/>
  <c r="J52" i="12"/>
  <c r="P52" i="12" s="1"/>
  <c r="Q52" i="12" s="1"/>
  <c r="N52" i="12"/>
  <c r="K52" i="12"/>
  <c r="L52" i="12"/>
  <c r="L36" i="12"/>
  <c r="M36" i="12"/>
  <c r="J36" i="12"/>
  <c r="P36" i="12" s="1"/>
  <c r="Q36" i="12" s="1"/>
  <c r="K36" i="12"/>
  <c r="N36" i="12"/>
  <c r="K20" i="12"/>
  <c r="L20" i="12"/>
  <c r="M20" i="12"/>
  <c r="N20" i="12"/>
  <c r="J20" i="12"/>
  <c r="P20" i="12" s="1"/>
  <c r="Q20" i="12" s="1"/>
  <c r="K45" i="12"/>
  <c r="L45" i="12"/>
  <c r="J45" i="12"/>
  <c r="P45" i="12" s="1"/>
  <c r="Q45" i="12" s="1"/>
  <c r="M45" i="12"/>
  <c r="N45" i="12"/>
  <c r="M46" i="12"/>
  <c r="J46" i="12"/>
  <c r="P46" i="12" s="1"/>
  <c r="Q46" i="12" s="1"/>
  <c r="N46" i="12"/>
  <c r="L46" i="12"/>
  <c r="K46" i="12"/>
  <c r="M29" i="12"/>
  <c r="J29" i="12"/>
  <c r="P29" i="12" s="1"/>
  <c r="Q29" i="12" s="1"/>
  <c r="N29" i="12"/>
  <c r="K29" i="12"/>
  <c r="L29" i="12"/>
  <c r="K30" i="12"/>
  <c r="L30" i="12"/>
  <c r="M30" i="12"/>
  <c r="N30" i="12"/>
  <c r="J30" i="12"/>
  <c r="P30" i="12" s="1"/>
  <c r="Q30" i="12" s="1"/>
  <c r="N21" i="12"/>
  <c r="K21" i="12"/>
  <c r="M58" i="12"/>
  <c r="J58" i="12"/>
  <c r="P58" i="12" s="1"/>
  <c r="Q58" i="12" s="1"/>
  <c r="N58" i="12"/>
  <c r="K58" i="12"/>
  <c r="L58" i="12"/>
  <c r="L38" i="12"/>
  <c r="M38" i="12"/>
  <c r="N38" i="12"/>
  <c r="K38" i="12"/>
  <c r="J38" i="12"/>
  <c r="P38" i="12" s="1"/>
  <c r="Q38" i="12" s="1"/>
  <c r="K26" i="12"/>
  <c r="L26" i="12"/>
  <c r="M26" i="12"/>
  <c r="J26" i="12"/>
  <c r="P26" i="12" s="1"/>
  <c r="Q26" i="12" s="1"/>
  <c r="N26" i="12"/>
  <c r="K51" i="12"/>
  <c r="L51" i="12"/>
  <c r="M51" i="12"/>
  <c r="J51" i="12"/>
  <c r="P51" i="12" s="1"/>
  <c r="Q51" i="12" s="1"/>
  <c r="N51" i="12"/>
  <c r="M56" i="12"/>
  <c r="J56" i="12"/>
  <c r="P56" i="12" s="1"/>
  <c r="Q56" i="12" s="1"/>
  <c r="N56" i="12"/>
  <c r="K56" i="12"/>
  <c r="L56" i="12"/>
  <c r="M48" i="12"/>
  <c r="J48" i="12"/>
  <c r="P48" i="12" s="1"/>
  <c r="Q48" i="12" s="1"/>
  <c r="L48" i="12"/>
  <c r="N48" i="12"/>
  <c r="K48" i="12"/>
  <c r="M40" i="12"/>
  <c r="J40" i="12"/>
  <c r="P40" i="12" s="1"/>
  <c r="Q40" i="12" s="1"/>
  <c r="K40" i="12"/>
  <c r="N40" i="12"/>
  <c r="L40" i="12"/>
  <c r="K32" i="12"/>
  <c r="L32" i="12"/>
  <c r="M32" i="12"/>
  <c r="J32" i="12"/>
  <c r="P32" i="12" s="1"/>
  <c r="Q32" i="12" s="1"/>
  <c r="N32" i="12"/>
  <c r="K24" i="12"/>
  <c r="L24" i="12"/>
  <c r="M24" i="12"/>
  <c r="J24" i="12"/>
  <c r="P24" i="12" s="1"/>
  <c r="Q24" i="12" s="1"/>
  <c r="N24" i="12"/>
  <c r="K16" i="12"/>
  <c r="L16" i="12"/>
  <c r="M16" i="12"/>
  <c r="J16" i="12"/>
  <c r="N16" i="12"/>
  <c r="M19" i="12"/>
  <c r="J19" i="12"/>
  <c r="P19" i="12" s="1"/>
  <c r="Q19" i="12" s="1"/>
  <c r="N19" i="12"/>
  <c r="K19" i="12"/>
  <c r="L19" i="12"/>
  <c r="M27" i="12"/>
  <c r="J27" i="12"/>
  <c r="P27" i="12" s="1"/>
  <c r="Q27" i="12" s="1"/>
  <c r="N27" i="12"/>
  <c r="K27" i="12"/>
  <c r="L27" i="12"/>
  <c r="K41" i="12"/>
  <c r="J41" i="12"/>
  <c r="P41" i="12" s="1"/>
  <c r="Q41" i="12" s="1"/>
  <c r="L41" i="12"/>
  <c r="M17" i="12"/>
  <c r="J17" i="12"/>
  <c r="P17" i="12" s="1"/>
  <c r="Q17" i="12" s="1"/>
  <c r="N17" i="12"/>
  <c r="K17" i="12"/>
  <c r="L17" i="12"/>
  <c r="K47" i="12"/>
  <c r="L47" i="12"/>
  <c r="J47" i="12"/>
  <c r="P47" i="12" s="1"/>
  <c r="Q47" i="12" s="1"/>
  <c r="M47" i="12"/>
  <c r="N47" i="12"/>
  <c r="M31" i="12"/>
  <c r="J31" i="12"/>
  <c r="P31" i="12" s="1"/>
  <c r="Q31" i="12" s="1"/>
  <c r="N31" i="12"/>
  <c r="K31" i="12"/>
  <c r="L31" i="12"/>
  <c r="J39" i="12"/>
  <c r="P39" i="12" s="1"/>
  <c r="Q39" i="12" s="1"/>
  <c r="N39" i="12"/>
  <c r="K39" i="12"/>
  <c r="L39" i="12"/>
  <c r="M39" i="12"/>
  <c r="K49" i="12"/>
  <c r="L49" i="12"/>
  <c r="N49" i="12"/>
  <c r="J49" i="12"/>
  <c r="P49" i="12" s="1"/>
  <c r="Q49" i="12" s="1"/>
  <c r="M49" i="12"/>
  <c r="J35" i="12"/>
  <c r="P35" i="12" s="1"/>
  <c r="Q35" i="12" s="1"/>
  <c r="N35" i="12"/>
  <c r="K35" i="12"/>
  <c r="L35" i="12"/>
  <c r="M35" i="12"/>
  <c r="K55" i="12"/>
  <c r="L55" i="12"/>
  <c r="M55" i="12"/>
  <c r="N55" i="12"/>
  <c r="J55" i="12"/>
  <c r="P55" i="12" s="1"/>
  <c r="Q55" i="12" s="1"/>
  <c r="M23" i="12"/>
  <c r="J23" i="12"/>
  <c r="P23" i="12" s="1"/>
  <c r="Q23" i="12" s="1"/>
  <c r="N23" i="12"/>
  <c r="K23" i="12"/>
  <c r="L23" i="12"/>
  <c r="K43" i="12"/>
  <c r="L43" i="12"/>
  <c r="J43" i="12"/>
  <c r="P43" i="12" s="1"/>
  <c r="Q43" i="12" s="1"/>
  <c r="M43" i="12"/>
  <c r="N43" i="12"/>
  <c r="N10" i="12"/>
  <c r="N11" i="12"/>
  <c r="N13" i="12"/>
  <c r="N14" i="12"/>
  <c r="N12" i="12"/>
  <c r="N15" i="12"/>
  <c r="L10" i="12"/>
  <c r="M10" i="12"/>
  <c r="L11" i="12"/>
  <c r="M11" i="12"/>
  <c r="L13" i="12"/>
  <c r="M13" i="12"/>
  <c r="L14" i="12"/>
  <c r="M14" i="12"/>
  <c r="L12" i="12"/>
  <c r="M12" i="12"/>
  <c r="L15" i="12"/>
  <c r="M15" i="12"/>
  <c r="J10" i="12"/>
  <c r="K10" i="12"/>
  <c r="J11" i="12"/>
  <c r="K11" i="12"/>
  <c r="J13" i="12"/>
  <c r="K13" i="12"/>
  <c r="K14" i="12"/>
  <c r="J12" i="12"/>
  <c r="K12" i="12"/>
  <c r="J15" i="12"/>
  <c r="K15" i="12"/>
  <c r="C30" i="5"/>
  <c r="P9" i="12" l="1"/>
  <c r="Q9" i="12" s="1"/>
  <c r="M41" i="12"/>
  <c r="L21" i="12"/>
  <c r="J21" i="12"/>
  <c r="P21" i="12" s="1"/>
  <c r="Q21" i="12" s="1"/>
  <c r="K50" i="12"/>
  <c r="K54" i="12"/>
  <c r="M53" i="12"/>
  <c r="P16" i="12"/>
  <c r="Q16" i="12" s="1"/>
  <c r="P13" i="12"/>
  <c r="Q13" i="12" s="1"/>
  <c r="P10" i="12"/>
  <c r="Q10" i="12" s="1"/>
  <c r="P15" i="12"/>
  <c r="Q15" i="12" s="1"/>
  <c r="P11" i="12"/>
  <c r="Q11" i="12" s="1"/>
  <c r="P12" i="12"/>
  <c r="Q12" i="12" s="1"/>
  <c r="P14" i="12"/>
  <c r="Q14" i="12" s="1"/>
  <c r="C21" i="5"/>
  <c r="C20" i="5"/>
  <c r="C19" i="5"/>
  <c r="C18" i="5"/>
  <c r="C17" i="5"/>
  <c r="C16" i="5"/>
  <c r="C25" i="5" l="1"/>
  <c r="Q2" i="12" l="1"/>
  <c r="D35" i="5"/>
  <c r="Q4" i="12" l="1"/>
  <c r="D26" i="5" l="1"/>
  <c r="C36" i="5"/>
  <c r="C31" i="5" s="1"/>
  <c r="C34" i="5" l="1"/>
  <c r="C33" i="5"/>
  <c r="C32" i="5"/>
  <c r="C29" i="5" l="1"/>
  <c r="H8" i="3" l="1"/>
  <c r="F2" i="3" s="1"/>
  <c r="G2" i="3" l="1"/>
  <c r="H5" i="3"/>
  <c r="H2" i="3" l="1"/>
  <c r="H11" i="3"/>
  <c r="C47" i="5" l="1"/>
  <c r="H28" i="1" s="1"/>
  <c r="E23" i="3" l="1"/>
  <c r="J13" i="1" s="1"/>
  <c r="F23" i="3"/>
  <c r="K13" i="1" s="1"/>
  <c r="D23" i="3"/>
  <c r="D28" i="3" s="1"/>
  <c r="C23" i="3"/>
  <c r="B23" i="3"/>
  <c r="F38" i="3"/>
  <c r="G38" i="3"/>
  <c r="C33" i="3"/>
  <c r="C38" i="3" s="1"/>
  <c r="D33" i="3"/>
  <c r="D38" i="3" s="1"/>
  <c r="B33" i="3"/>
  <c r="E33" i="3"/>
  <c r="E38" i="3" s="1"/>
  <c r="E28" i="3" l="1"/>
  <c r="F28" i="3"/>
  <c r="C43" i="3"/>
  <c r="G18" i="1"/>
  <c r="G13" i="1"/>
  <c r="H13" i="1"/>
  <c r="I13" i="1"/>
  <c r="C28" i="3"/>
  <c r="H18" i="1" l="1"/>
  <c r="B28" i="3"/>
  <c r="B38" i="3"/>
  <c r="G28" i="3" l="1"/>
  <c r="G23" i="1" l="1"/>
  <c r="H28" i="3"/>
  <c r="I23" i="1" s="1"/>
</calcChain>
</file>

<file path=xl/sharedStrings.xml><?xml version="1.0" encoding="utf-8"?>
<sst xmlns="http://schemas.openxmlformats.org/spreadsheetml/2006/main" count="50729" uniqueCount="826">
  <si>
    <t>Region</t>
  </si>
  <si>
    <t>EAC</t>
  </si>
  <si>
    <t>D</t>
  </si>
  <si>
    <t>N</t>
  </si>
  <si>
    <t>W</t>
  </si>
  <si>
    <t>Total</t>
  </si>
  <si>
    <t>ProductType</t>
  </si>
  <si>
    <t>Dist ID</t>
  </si>
  <si>
    <t>Meter Type</t>
  </si>
  <si>
    <t>Profile</t>
  </si>
  <si>
    <t>Product</t>
  </si>
  <si>
    <t>MinAQ</t>
  </si>
  <si>
    <t>MaxAQ</t>
  </si>
  <si>
    <t>Electricity</t>
  </si>
  <si>
    <t>Eastern</t>
  </si>
  <si>
    <t>3 year - with APR</t>
  </si>
  <si>
    <t>03</t>
  </si>
  <si>
    <t>E7</t>
  </si>
  <si>
    <t>04</t>
  </si>
  <si>
    <t>EW</t>
  </si>
  <si>
    <t>East Midlands (EMEB)</t>
  </si>
  <si>
    <t>London Electricity</t>
  </si>
  <si>
    <t>Manweb</t>
  </si>
  <si>
    <t>Midlands (MEB)</t>
  </si>
  <si>
    <t>Northern Electric</t>
  </si>
  <si>
    <t>Norweb</t>
  </si>
  <si>
    <t>Scottish Hydro-Electric</t>
  </si>
  <si>
    <t>ScottishPower</t>
  </si>
  <si>
    <t>SEEBOARD</t>
  </si>
  <si>
    <t>Southern Electricity</t>
  </si>
  <si>
    <t>SWALEC</t>
  </si>
  <si>
    <t>South Western (SWEB)</t>
  </si>
  <si>
    <t>Yorkshire</t>
  </si>
  <si>
    <t>2 year Fixed</t>
  </si>
  <si>
    <t>Standing Charge</t>
  </si>
  <si>
    <t>Evening and Weekend Rate</t>
  </si>
  <si>
    <t>Night Rate</t>
  </si>
  <si>
    <t>Day Rate</t>
  </si>
  <si>
    <t>Universal Rate</t>
  </si>
  <si>
    <t>Sale Type</t>
  </si>
  <si>
    <t>Estimated Annual Bill</t>
  </si>
  <si>
    <t>Commission</t>
  </si>
  <si>
    <t>Description</t>
  </si>
  <si>
    <t>Rule</t>
  </si>
  <si>
    <t>ERROR - Cannot enter a negative commission amount</t>
  </si>
  <si>
    <t>ERROR - Minimum EAC accepted is 5,000</t>
  </si>
  <si>
    <t>Code</t>
  </si>
  <si>
    <t>Duration Yrs</t>
  </si>
  <si>
    <t>E7 Split</t>
  </si>
  <si>
    <t>3 Rate Split</t>
  </si>
  <si>
    <t>EW Split</t>
  </si>
  <si>
    <t>ERROR - Dual Energy do not offer rates for this meter type combination</t>
  </si>
  <si>
    <t xml:space="preserve">ERROR - A minimum of 10 days notice must be given on new contracts </t>
  </si>
  <si>
    <t>ERROR - Cannot enter a Contract Renewal Date that is in the past</t>
  </si>
  <si>
    <t>ERROR - Cannot renew contracts that are due to end in less than 90 days</t>
  </si>
  <si>
    <t>ERROR - Please enter a correct date in the format of DD/MM/YYYY</t>
  </si>
  <si>
    <t>ERROR - Please enter a correct figure for Broker commission</t>
  </si>
  <si>
    <t>ERROR - Please enter a correct figure for Contract EAC</t>
  </si>
  <si>
    <t>Note:</t>
  </si>
  <si>
    <t>SSD/CRD Date</t>
  </si>
  <si>
    <t>Profile Class</t>
  </si>
  <si>
    <r>
      <t xml:space="preserve">Commission </t>
    </r>
    <r>
      <rPr>
        <sz val="9"/>
        <color theme="0"/>
        <rFont val="Calibri"/>
        <family val="2"/>
        <scheme val="minor"/>
      </rPr>
      <t>(p/kWh)</t>
    </r>
  </si>
  <si>
    <t>BP Estimate</t>
  </si>
  <si>
    <t>CCL CHARGE</t>
  </si>
  <si>
    <t>Estimated Monthly Budget Plan*</t>
  </si>
  <si>
    <t>ERROR - Cannot enter a Service Start Date that is in the past</t>
  </si>
  <si>
    <t>Contract Type</t>
  </si>
  <si>
    <t>ERROR - Maximum uplift of 3.0p allowed on Reward Plus renewals</t>
  </si>
  <si>
    <t>2 year Reward</t>
  </si>
  <si>
    <t>2 year Reward Plus</t>
  </si>
  <si>
    <t>3 year APR - Reward</t>
  </si>
  <si>
    <t>3 year APR - Reward Plus</t>
  </si>
  <si>
    <t>Level</t>
  </si>
  <si>
    <t>Level 1 SSD To Date:</t>
  </si>
  <si>
    <t>Level 2 SSD To Date:</t>
  </si>
  <si>
    <t>Please enter the Service Start Date/Contract Renewal Date</t>
  </si>
  <si>
    <t>Please enter the Service Start Date</t>
  </si>
  <si>
    <t>Please enter the Contract Renewal Date</t>
  </si>
  <si>
    <t>Please select the type of Acquisition/Renewal plan required</t>
  </si>
  <si>
    <t>Please select the desired product</t>
  </si>
  <si>
    <t>Please enter the contract EAC</t>
  </si>
  <si>
    <t>Please enter a Broker Commission amount. If no commission is required, please enter 0 in the commission box.</t>
  </si>
  <si>
    <t>Sale</t>
  </si>
  <si>
    <t>Standing Charge   (p/Day)</t>
  </si>
  <si>
    <t>Peak Rate</t>
  </si>
  <si>
    <t>Low Rate</t>
  </si>
  <si>
    <t>Off Peak Rate</t>
  </si>
  <si>
    <t>TOU</t>
  </si>
  <si>
    <t>00</t>
  </si>
  <si>
    <t>Peak</t>
  </si>
  <si>
    <t>Off Peak</t>
  </si>
  <si>
    <t>Low</t>
  </si>
  <si>
    <t>HH E7 Split</t>
  </si>
  <si>
    <t>HH TOU Split</t>
  </si>
  <si>
    <t>Uplift</t>
  </si>
  <si>
    <t>ERROR - Commission amount can only be entered to 1 decimal place e.g 0.1 - 0.2 - 0.3</t>
  </si>
  <si>
    <t>kVa Per Month</t>
  </si>
  <si>
    <t>Total Capacity Charge</t>
  </si>
  <si>
    <t>SSD</t>
  </si>
  <si>
    <t>Capacity charge (p/kVA/Month)</t>
  </si>
  <si>
    <t>kVa Capacity</t>
  </si>
  <si>
    <t>ERROR - Cannot enter a negative kVa Capacity per month</t>
  </si>
  <si>
    <t>ERROR - Please enter a correct figure for kVa Capacity</t>
  </si>
  <si>
    <t>Please enter a kVa Capacity amount</t>
  </si>
  <si>
    <t>ERROR - Currently Profile Class 0 MPANs are only able to use 2 Rate Half Hourly</t>
  </si>
  <si>
    <t>Rates:</t>
  </si>
  <si>
    <t>Charge:</t>
  </si>
  <si>
    <t>HH TOU Rates:</t>
  </si>
  <si>
    <t>HH TOU Charge:</t>
  </si>
  <si>
    <t>kVa Rates and Charge:</t>
  </si>
  <si>
    <t>Commission (p/kWh)</t>
  </si>
  <si>
    <t>EW Rate (p/kWh)</t>
  </si>
  <si>
    <t>Standing Charge (p/Day)</t>
  </si>
  <si>
    <t>Universal Rate (P/kWh)</t>
  </si>
  <si>
    <t>Day Rate (p/kWh)</t>
  </si>
  <si>
    <t>Night Rate (p/kWh)</t>
  </si>
  <si>
    <t>Estimated Monthly BP</t>
  </si>
  <si>
    <t>Test Formula</t>
  </si>
  <si>
    <t>MPAN</t>
  </si>
  <si>
    <t>* Need error to say that if a line returns no values, to input details into Main Pricing Tool to see what error message returns</t>
  </si>
  <si>
    <t>Total Estimated Annual Bill</t>
  </si>
  <si>
    <t>Total Estimated Monthly BP</t>
  </si>
  <si>
    <t>* Maybe have format on rows in two alternating tones?</t>
  </si>
  <si>
    <t>Please Enter Contract details below</t>
  </si>
  <si>
    <t>Pricing details output</t>
  </si>
  <si>
    <t>* MPAN field doesn't need to be populated and has no effect on pricing, it is there to help differentiate between multiple rows on the tool.</t>
  </si>
  <si>
    <t>Acquisition</t>
  </si>
  <si>
    <t>SmartTRACKER</t>
  </si>
  <si>
    <t>MTC</t>
  </si>
  <si>
    <t>LLF</t>
  </si>
  <si>
    <t>Core</t>
  </si>
  <si>
    <t>Check</t>
  </si>
  <si>
    <t>Meter type</t>
  </si>
  <si>
    <t>Universal Rate      (P/kWh)</t>
  </si>
  <si>
    <t>Day Rate                (p/kWh)</t>
  </si>
  <si>
    <t>Night Rate             (p/kWh)</t>
  </si>
  <si>
    <t>Evening &amp; Wknd Rate (p/kWh)</t>
  </si>
  <si>
    <t>PC</t>
  </si>
  <si>
    <t>Tariff_Type</t>
  </si>
  <si>
    <t>Unrestricted</t>
  </si>
  <si>
    <t>3-Rate</t>
  </si>
  <si>
    <t>UE7</t>
  </si>
  <si>
    <t>DN</t>
  </si>
  <si>
    <t>10</t>
  </si>
  <si>
    <t>801</t>
  </si>
  <si>
    <t>802</t>
  </si>
  <si>
    <t>500</t>
  </si>
  <si>
    <t>501</t>
  </si>
  <si>
    <t>124</t>
  </si>
  <si>
    <t>125</t>
  </si>
  <si>
    <t>11</t>
  </si>
  <si>
    <t>126</t>
  </si>
  <si>
    <t>12</t>
  </si>
  <si>
    <t>127</t>
  </si>
  <si>
    <t>13</t>
  </si>
  <si>
    <t>142</t>
  </si>
  <si>
    <t>14</t>
  </si>
  <si>
    <t>143</t>
  </si>
  <si>
    <t>15</t>
  </si>
  <si>
    <t>146</t>
  </si>
  <si>
    <t>16</t>
  </si>
  <si>
    <t>147</t>
  </si>
  <si>
    <t>17</t>
  </si>
  <si>
    <t>148</t>
  </si>
  <si>
    <t>18</t>
  </si>
  <si>
    <t>149</t>
  </si>
  <si>
    <t>19</t>
  </si>
  <si>
    <t>166</t>
  </si>
  <si>
    <t>20</t>
  </si>
  <si>
    <t>167</t>
  </si>
  <si>
    <t>21</t>
  </si>
  <si>
    <t>176</t>
  </si>
  <si>
    <t>22</t>
  </si>
  <si>
    <t>177</t>
  </si>
  <si>
    <t>23</t>
  </si>
  <si>
    <t>178</t>
  </si>
  <si>
    <t>24</t>
  </si>
  <si>
    <t>179</t>
  </si>
  <si>
    <t>25</t>
  </si>
  <si>
    <t>182</t>
  </si>
  <si>
    <t>26</t>
  </si>
  <si>
    <t>183</t>
  </si>
  <si>
    <t>27</t>
  </si>
  <si>
    <t>194</t>
  </si>
  <si>
    <t>195</t>
  </si>
  <si>
    <t>807</t>
  </si>
  <si>
    <t>808</t>
  </si>
  <si>
    <t>809</t>
  </si>
  <si>
    <t>810</t>
  </si>
  <si>
    <t>811</t>
  </si>
  <si>
    <t>812</t>
  </si>
  <si>
    <t>624</t>
  </si>
  <si>
    <t>625</t>
  </si>
  <si>
    <t>626</t>
  </si>
  <si>
    <t>627</t>
  </si>
  <si>
    <t>642</t>
  </si>
  <si>
    <t>643</t>
  </si>
  <si>
    <t>646</t>
  </si>
  <si>
    <t>647</t>
  </si>
  <si>
    <t>648</t>
  </si>
  <si>
    <t>649</t>
  </si>
  <si>
    <t>666</t>
  </si>
  <si>
    <t>46</t>
  </si>
  <si>
    <t>667</t>
  </si>
  <si>
    <t>676</t>
  </si>
  <si>
    <t>677</t>
  </si>
  <si>
    <t>678</t>
  </si>
  <si>
    <t>679</t>
  </si>
  <si>
    <t>682</t>
  </si>
  <si>
    <t>683</t>
  </si>
  <si>
    <t>694</t>
  </si>
  <si>
    <t>695</t>
  </si>
  <si>
    <t>656</t>
  </si>
  <si>
    <t>657</t>
  </si>
  <si>
    <t>658</t>
  </si>
  <si>
    <t>659</t>
  </si>
  <si>
    <t>660</t>
  </si>
  <si>
    <t>661</t>
  </si>
  <si>
    <t>630</t>
  </si>
  <si>
    <t>631</t>
  </si>
  <si>
    <t>690</t>
  </si>
  <si>
    <t>691</t>
  </si>
  <si>
    <t>100</t>
  </si>
  <si>
    <t>101</t>
  </si>
  <si>
    <t>192</t>
  </si>
  <si>
    <t>193</t>
  </si>
  <si>
    <t>130</t>
  </si>
  <si>
    <t>131</t>
  </si>
  <si>
    <t>190</t>
  </si>
  <si>
    <t>191</t>
  </si>
  <si>
    <t>600</t>
  </si>
  <si>
    <t>601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</si>
  <si>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</si>
  <si>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</si>
  <si>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</si>
  <si>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</si>
  <si>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</si>
  <si>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</si>
  <si>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</si>
  <si>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</si>
  <si>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</si>
  <si>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</si>
  <si>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</si>
  <si>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</si>
  <si>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</si>
  <si>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</si>
  <si>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</si>
  <si>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118</t>
  </si>
  <si>
    <t>119</t>
  </si>
  <si>
    <t>120</t>
  </si>
  <si>
    <t>121</t>
  </si>
  <si>
    <t>122</t>
  </si>
  <si>
    <t>123</t>
  </si>
  <si>
    <t>128</t>
  </si>
  <si>
    <t>129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</si>
  <si>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</si>
  <si>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</si>
  <si>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</si>
  <si>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</si>
  <si>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</si>
  <si>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</si>
  <si>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</si>
  <si>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</si>
  <si>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</si>
  <si>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</si>
  <si>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180</t>
  </si>
  <si>
    <t>144</t>
  </si>
  <si>
    <t>181</t>
  </si>
  <si>
    <t>145</t>
  </si>
  <si>
    <t>636</t>
  </si>
  <si>
    <t>637</t>
  </si>
  <si>
    <t>680</t>
  </si>
  <si>
    <t>681</t>
  </si>
  <si>
    <t>692</t>
  </si>
  <si>
    <t>693</t>
  </si>
  <si>
    <t>154</t>
  </si>
  <si>
    <t>155</t>
  </si>
  <si>
    <t>156</t>
  </si>
  <si>
    <t>157</t>
  </si>
  <si>
    <t>158</t>
  </si>
  <si>
    <t>638</t>
  </si>
  <si>
    <t>639</t>
  </si>
  <si>
    <t>640</t>
  </si>
  <si>
    <t>641</t>
  </si>
  <si>
    <t>184</t>
  </si>
  <si>
    <t>185</t>
  </si>
  <si>
    <t>186</t>
  </si>
  <si>
    <t>187</t>
  </si>
  <si>
    <t>188</t>
  </si>
  <si>
    <t>608</t>
  </si>
  <si>
    <t>609</t>
  </si>
  <si>
    <t>614</t>
  </si>
  <si>
    <t>615</t>
  </si>
  <si>
    <t>632</t>
  </si>
  <si>
    <t>633</t>
  </si>
  <si>
    <t>684</t>
  </si>
  <si>
    <t>685</t>
  </si>
  <si>
    <t>196</t>
  </si>
  <si>
    <t>686</t>
  </si>
  <si>
    <t>687</t>
  </si>
  <si>
    <t>688</t>
  </si>
  <si>
    <t>689</t>
  </si>
  <si>
    <t>201</t>
  </si>
  <si>
    <t>203</t>
  </si>
  <si>
    <t>205</t>
  </si>
  <si>
    <t>207</t>
  </si>
  <si>
    <t>208</t>
  </si>
  <si>
    <t>211</t>
  </si>
  <si>
    <t>213</t>
  </si>
  <si>
    <t>220</t>
  </si>
  <si>
    <t>221</t>
  </si>
  <si>
    <t>222</t>
  </si>
  <si>
    <t>223</t>
  </si>
  <si>
    <t>05</t>
  </si>
  <si>
    <t>230</t>
  </si>
  <si>
    <t>622</t>
  </si>
  <si>
    <t>623</t>
  </si>
  <si>
    <t>06</t>
  </si>
  <si>
    <t>246</t>
  </si>
  <si>
    <t>07</t>
  </si>
  <si>
    <t>08</t>
  </si>
  <si>
    <t>015</t>
  </si>
  <si>
    <t>022</t>
  </si>
  <si>
    <t>532</t>
  </si>
  <si>
    <t>276</t>
  </si>
  <si>
    <t>541</t>
  </si>
  <si>
    <t>279</t>
  </si>
  <si>
    <t>033</t>
  </si>
  <si>
    <t>280</t>
  </si>
  <si>
    <t>034</t>
  </si>
  <si>
    <t>281</t>
  </si>
  <si>
    <t>282</t>
  </si>
  <si>
    <t>283</t>
  </si>
  <si>
    <t>814</t>
  </si>
  <si>
    <t>284</t>
  </si>
  <si>
    <t>815</t>
  </si>
  <si>
    <t>816</t>
  </si>
  <si>
    <t>286</t>
  </si>
  <si>
    <t>817</t>
  </si>
  <si>
    <t>287</t>
  </si>
  <si>
    <t>830</t>
  </si>
  <si>
    <t>831</t>
  </si>
  <si>
    <t>556</t>
  </si>
  <si>
    <t>557</t>
  </si>
  <si>
    <t>291</t>
  </si>
  <si>
    <t>522</t>
  </si>
  <si>
    <t>292</t>
  </si>
  <si>
    <t>543</t>
  </si>
  <si>
    <t>549</t>
  </si>
  <si>
    <t>294</t>
  </si>
  <si>
    <t>534</t>
  </si>
  <si>
    <t>524</t>
  </si>
  <si>
    <t>536</t>
  </si>
  <si>
    <t>542</t>
  </si>
  <si>
    <t>548</t>
  </si>
  <si>
    <t>029</t>
  </si>
  <si>
    <t>300</t>
  </si>
  <si>
    <t>030</t>
  </si>
  <si>
    <t>301</t>
  </si>
  <si>
    <t>826</t>
  </si>
  <si>
    <t>302</t>
  </si>
  <si>
    <t>827</t>
  </si>
  <si>
    <t>558</t>
  </si>
  <si>
    <t>559</t>
  </si>
  <si>
    <t>529</t>
  </si>
  <si>
    <t>538</t>
  </si>
  <si>
    <t>320</t>
  </si>
  <si>
    <t>025</t>
  </si>
  <si>
    <t>028</t>
  </si>
  <si>
    <t>031</t>
  </si>
  <si>
    <t>032</t>
  </si>
  <si>
    <t>828</t>
  </si>
  <si>
    <t>829</t>
  </si>
  <si>
    <t>546</t>
  </si>
  <si>
    <t>552</t>
  </si>
  <si>
    <t>560</t>
  </si>
  <si>
    <t>561</t>
  </si>
  <si>
    <t>530</t>
  </si>
  <si>
    <t>539</t>
  </si>
  <si>
    <t>526</t>
  </si>
  <si>
    <t>527</t>
  </si>
  <si>
    <t>528</t>
  </si>
  <si>
    <t>518</t>
  </si>
  <si>
    <t>519</t>
  </si>
  <si>
    <t>521</t>
  </si>
  <si>
    <t>510</t>
  </si>
  <si>
    <t>511</t>
  </si>
  <si>
    <t>513</t>
  </si>
  <si>
    <t>514</t>
  </si>
  <si>
    <t>516</t>
  </si>
  <si>
    <t>517</t>
  </si>
  <si>
    <t>554</t>
  </si>
  <si>
    <t>012</t>
  </si>
  <si>
    <t>019</t>
  </si>
  <si>
    <t>525</t>
  </si>
  <si>
    <t>537</t>
  </si>
  <si>
    <t>016</t>
  </si>
  <si>
    <t>533</t>
  </si>
  <si>
    <t>512</t>
  </si>
  <si>
    <t>005</t>
  </si>
  <si>
    <t>006</t>
  </si>
  <si>
    <t>007</t>
  </si>
  <si>
    <t>011</t>
  </si>
  <si>
    <t>013</t>
  </si>
  <si>
    <t>520</t>
  </si>
  <si>
    <t>008</t>
  </si>
  <si>
    <t>009</t>
  </si>
  <si>
    <t>515</t>
  </si>
  <si>
    <t>523</t>
  </si>
  <si>
    <t>531</t>
  </si>
  <si>
    <t>535</t>
  </si>
  <si>
    <t>540</t>
  </si>
  <si>
    <t>544</t>
  </si>
  <si>
    <t>545</t>
  </si>
  <si>
    <t>547</t>
  </si>
  <si>
    <t>550</t>
  </si>
  <si>
    <t>551</t>
  </si>
  <si>
    <t>553</t>
  </si>
  <si>
    <t>555</t>
  </si>
  <si>
    <t>043</t>
  </si>
  <si>
    <t>044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</si>
  <si>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</si>
  <si>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</si>
  <si>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</si>
  <si>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</si>
  <si>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</si>
  <si>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</si>
  <si>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</si>
  <si>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</si>
  <si>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</si>
  <si>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</si>
  <si>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</si>
  <si>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</si>
  <si>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</si>
  <si>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</si>
  <si>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</si>
  <si>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</si>
  <si>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</si>
  <si>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</si>
  <si>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</si>
  <si>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</si>
  <si>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</si>
  <si>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</si>
  <si>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</si>
  <si>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</si>
  <si>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</si>
  <si>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</si>
  <si>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</si>
  <si>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</si>
  <si>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</si>
  <si>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</si>
  <si>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</si>
  <si>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</si>
  <si>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045</t>
  </si>
  <si>
    <t>594</t>
  </si>
  <si>
    <t>046</t>
  </si>
  <si>
    <t>595</t>
  </si>
  <si>
    <t>596</t>
  </si>
  <si>
    <t>597</t>
  </si>
  <si>
    <t>598</t>
  </si>
  <si>
    <t>599</t>
  </si>
  <si>
    <t>602</t>
  </si>
  <si>
    <t>603</t>
  </si>
  <si>
    <t>604</t>
  </si>
  <si>
    <t>605</t>
  </si>
  <si>
    <t>606</t>
  </si>
  <si>
    <t>607</t>
  </si>
  <si>
    <t>610</t>
  </si>
  <si>
    <t>611</t>
  </si>
  <si>
    <t>612</t>
  </si>
  <si>
    <t>613</t>
  </si>
  <si>
    <t>616</t>
  </si>
  <si>
    <t>617</t>
  </si>
  <si>
    <t>618</t>
  </si>
  <si>
    <t>619</t>
  </si>
  <si>
    <t>620</t>
  </si>
  <si>
    <t>621</t>
  </si>
  <si>
    <t>021</t>
  </si>
  <si>
    <t>628</t>
  </si>
  <si>
    <t>629</t>
  </si>
  <si>
    <t>023</t>
  </si>
  <si>
    <t>024</t>
  </si>
  <si>
    <t>059</t>
  </si>
  <si>
    <t>634</t>
  </si>
  <si>
    <t>635</t>
  </si>
  <si>
    <t>644</t>
  </si>
  <si>
    <t>645</t>
  </si>
  <si>
    <t>650</t>
  </si>
  <si>
    <t>651</t>
  </si>
  <si>
    <t>652</t>
  </si>
  <si>
    <t>653</t>
  </si>
  <si>
    <t>654</t>
  </si>
  <si>
    <t>655</t>
  </si>
  <si>
    <t>662</t>
  </si>
  <si>
    <t>663</t>
  </si>
  <si>
    <t>664</t>
  </si>
  <si>
    <t>665</t>
  </si>
  <si>
    <t>035</t>
  </si>
  <si>
    <t>668</t>
  </si>
  <si>
    <t>669</t>
  </si>
  <si>
    <t>670</t>
  </si>
  <si>
    <t>671</t>
  </si>
  <si>
    <t>672</t>
  </si>
  <si>
    <t>673</t>
  </si>
  <si>
    <t>674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</si>
  <si>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</si>
  <si>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</si>
  <si>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</si>
  <si>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</si>
  <si>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</si>
  <si>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</si>
  <si>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</si>
  <si>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</si>
  <si>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</si>
  <si>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</si>
  <si>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</si>
  <si>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</si>
  <si>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</si>
  <si>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</si>
  <si>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</si>
  <si>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</si>
  <si>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</si>
  <si>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</si>
  <si>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</si>
  <si>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716</t>
  </si>
  <si>
    <t>717</t>
  </si>
  <si>
    <t>718</t>
  </si>
  <si>
    <t>719</t>
  </si>
  <si>
    <t>720</t>
  </si>
  <si>
    <t>723</t>
  </si>
  <si>
    <t>725</t>
  </si>
  <si>
    <t>014</t>
  </si>
  <si>
    <t>822</t>
  </si>
  <si>
    <t>823</t>
  </si>
  <si>
    <t>740</t>
  </si>
  <si>
    <t>741</t>
  </si>
  <si>
    <t>742</t>
  </si>
  <si>
    <t>776</t>
  </si>
  <si>
    <t>778</t>
  </si>
  <si>
    <t>800</t>
  </si>
  <si>
    <t>803</t>
  </si>
  <si>
    <t>813</t>
  </si>
  <si>
    <t>804</t>
  </si>
  <si>
    <t>805</t>
  </si>
  <si>
    <t>806</t>
  </si>
  <si>
    <t>027</t>
  </si>
  <si>
    <t>818</t>
  </si>
  <si>
    <t>819</t>
  </si>
  <si>
    <t>820</t>
  </si>
  <si>
    <t>001</t>
  </si>
  <si>
    <t>821</t>
  </si>
  <si>
    <t>824</t>
  </si>
  <si>
    <t>825</t>
  </si>
  <si>
    <t>832</t>
  </si>
  <si>
    <t>833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</si>
  <si>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</si>
  <si>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</si>
  <si>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</si>
  <si>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</si>
  <si>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</si>
  <si>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</si>
  <si>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</si>
  <si>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</si>
  <si>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</si>
  <si>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864</t>
  </si>
  <si>
    <t>872</t>
  </si>
  <si>
    <t>873</t>
  </si>
  <si>
    <t>874</t>
  </si>
  <si>
    <t>890</t>
  </si>
  <si>
    <t>893</t>
  </si>
  <si>
    <t>894</t>
  </si>
  <si>
    <t>895</t>
  </si>
  <si>
    <t>896</t>
  </si>
  <si>
    <t>900</t>
  </si>
  <si>
    <t>902</t>
  </si>
  <si>
    <t>017</t>
  </si>
  <si>
    <t>018</t>
  </si>
  <si>
    <t>020</t>
  </si>
  <si>
    <t>906</t>
  </si>
  <si>
    <t>026</t>
  </si>
  <si>
    <t>036</t>
  </si>
  <si>
    <t>038</t>
  </si>
  <si>
    <t>039</t>
  </si>
  <si>
    <t>041</t>
  </si>
  <si>
    <t>042</t>
  </si>
  <si>
    <t>047</t>
  </si>
  <si>
    <t>048</t>
  </si>
  <si>
    <t>050</t>
  </si>
  <si>
    <t>051</t>
  </si>
  <si>
    <t>089</t>
  </si>
  <si>
    <t>090</t>
  </si>
  <si>
    <t>094</t>
  </si>
  <si>
    <t>095</t>
  </si>
  <si>
    <t>097</t>
  </si>
  <si>
    <t>098</t>
  </si>
  <si>
    <t>099</t>
  </si>
  <si>
    <t>002</t>
  </si>
  <si>
    <t>003</t>
  </si>
  <si>
    <t>004</t>
  </si>
  <si>
    <t>010</t>
  </si>
  <si>
    <t>071</t>
  </si>
  <si>
    <t>072</t>
  </si>
  <si>
    <t>067</t>
  </si>
  <si>
    <t>068</t>
  </si>
  <si>
    <t>069</t>
  </si>
  <si>
    <t>070</t>
  </si>
  <si>
    <t>049</t>
  </si>
  <si>
    <t>053</t>
  </si>
  <si>
    <t>055</t>
  </si>
  <si>
    <t>066</t>
  </si>
  <si>
    <t>064</t>
  </si>
  <si>
    <t>065</t>
  </si>
  <si>
    <t>073</t>
  </si>
  <si>
    <t>074</t>
  </si>
  <si>
    <t>040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</si>
  <si>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</si>
  <si>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</si>
  <si>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</si>
  <si>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</si>
  <si>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</si>
  <si>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</si>
  <si>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</si>
  <si>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</si>
  <si>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</si>
  <si>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</si>
  <si>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037</t>
  </si>
  <si>
    <t>056</t>
  </si>
  <si>
    <t>060</t>
  </si>
  <si>
    <t>054</t>
  </si>
  <si>
    <t>058</t>
  </si>
  <si>
    <t>052</t>
  </si>
  <si>
    <t>063</t>
  </si>
  <si>
    <t>062</t>
  </si>
  <si>
    <t>085</t>
  </si>
  <si>
    <t>086</t>
  </si>
  <si>
    <t>087</t>
  </si>
  <si>
    <t>061</t>
  </si>
  <si>
    <t>088</t>
  </si>
  <si>
    <t>057</t>
  </si>
  <si>
    <t>02</t>
  </si>
  <si>
    <t>01</t>
  </si>
  <si>
    <t>091</t>
  </si>
  <si>
    <t>093</t>
  </si>
  <si>
    <t>096</t>
  </si>
  <si>
    <t>Lookup</t>
  </si>
  <si>
    <t>HH Meter Type</t>
  </si>
  <si>
    <t>Tariff_Name</t>
  </si>
  <si>
    <t>Open_LLFCs</t>
  </si>
  <si>
    <t>Capacity_Charge_p/kVA/day</t>
  </si>
  <si>
    <t>Reactive_Power_Charge_p/kVArh</t>
  </si>
  <si>
    <t>Exceeded_Capacity_Charge_p/kVA/day</t>
  </si>
  <si>
    <t>Charging_Year</t>
  </si>
  <si>
    <t>Effective_From</t>
  </si>
  <si>
    <t>Effective_To</t>
  </si>
  <si>
    <t>LV Network Non-Domestic Non-CT</t>
  </si>
  <si>
    <t>LV HH Metered</t>
  </si>
  <si>
    <t>LV Sub HH Metered</t>
  </si>
  <si>
    <t>HV HH Metered</t>
  </si>
  <si>
    <t>2017/2018</t>
  </si>
  <si>
    <t>2018/2019</t>
  </si>
  <si>
    <t>2019/2020</t>
  </si>
  <si>
    <t>2016/2017</t>
  </si>
  <si>
    <t>2020/2021</t>
  </si>
  <si>
    <t>2021/2022</t>
  </si>
  <si>
    <t>2022/2023</t>
  </si>
  <si>
    <t>2023/2024</t>
  </si>
  <si>
    <t>2024/2025</t>
  </si>
  <si>
    <t>2025/2026</t>
  </si>
  <si>
    <t>ERROR - Either the Line Loss Factor figure is incorrect or Dual Energy will not supply this type of HH Meter</t>
  </si>
  <si>
    <t>CCL</t>
  </si>
  <si>
    <t>Version</t>
  </si>
  <si>
    <t>Type</t>
  </si>
  <si>
    <t>(WC)</t>
  </si>
  <si>
    <t>(CT)</t>
  </si>
  <si>
    <t>Please enter the Profile Class</t>
  </si>
  <si>
    <t>Please enter the Line Loss Factor</t>
  </si>
  <si>
    <t>Please enter the Region</t>
  </si>
  <si>
    <t>Please enter the MPAN Core</t>
  </si>
  <si>
    <t>Please enter the Meter Time-Switch Code</t>
  </si>
  <si>
    <t>Please enter the Check Digit</t>
  </si>
  <si>
    <t>ERROR - Please enter a correct Profile Class number</t>
  </si>
  <si>
    <t>ERROR - Please enter a correct Meter Time-Switch Code number</t>
  </si>
  <si>
    <t>ERROR - Please enter a correct Line Loss Factor number</t>
  </si>
  <si>
    <t>ERROR - Please enter a correct Region number</t>
  </si>
  <si>
    <t>ERROR - Please enter a correct Check Digit number</t>
  </si>
  <si>
    <t>ERROR - Please enter a correct MPAN Core number</t>
  </si>
  <si>
    <t>SmartFIX – 1 Year</t>
  </si>
  <si>
    <t>SmartFIX – 2 Year</t>
  </si>
  <si>
    <t>HH Profile</t>
  </si>
  <si>
    <t>ERROR - Please select a HH profile</t>
  </si>
  <si>
    <t>ERROR - 1 or 2 Rate Half Hourly only offered on Profile Class 0 MPANs</t>
  </si>
  <si>
    <t>SmartFIX – 3 Year</t>
  </si>
  <si>
    <t>l2</t>
  </si>
  <si>
    <t>ERROR - Cannot renew contracts that are not due to end for over 365 days</t>
  </si>
  <si>
    <t>ERROR - Maximum uplift of 2.0p allowed on Renewals</t>
  </si>
  <si>
    <t>ERROR - Maximum uplift of 2.0p allowed on Acquisition sales</t>
  </si>
  <si>
    <t>ERROR - Maximum EAC accepted is 500,000</t>
  </si>
  <si>
    <t>SmartPAY12</t>
  </si>
  <si>
    <t>SmartPAY24</t>
  </si>
  <si>
    <t>SmartPAY36</t>
  </si>
  <si>
    <t>Renewal</t>
  </si>
  <si>
    <t>SmartPay</t>
  </si>
  <si>
    <t>ERROR - Please reselect a correct Product</t>
  </si>
  <si>
    <t>Estimated Annual kVa Charge</t>
  </si>
  <si>
    <t>Capacity Charge p/kva/month</t>
  </si>
  <si>
    <t>kva Capacity</t>
  </si>
  <si>
    <t>kVa</t>
  </si>
  <si>
    <t>Estimated Annual Bill (excl VAT)</t>
  </si>
  <si>
    <t>Top Line (MPAN)</t>
  </si>
  <si>
    <t>Bottom Line (MPAN)</t>
  </si>
  <si>
    <t>Estimated Monthly Budget Plan (incl VAT + CCL)</t>
  </si>
  <si>
    <t>SmartPay_Renewal</t>
  </si>
  <si>
    <t>Effective To Date</t>
  </si>
  <si>
    <t>Renewable Energy</t>
  </si>
  <si>
    <t>Uni/Day Rate</t>
  </si>
  <si>
    <t>Night Unit Rate</t>
  </si>
  <si>
    <t>DAY</t>
  </si>
  <si>
    <t/>
  </si>
  <si>
    <t>No</t>
  </si>
  <si>
    <t>EWN</t>
  </si>
  <si>
    <t>OP</t>
  </si>
  <si>
    <t>SmartFIX – 1 Year Renewal</t>
  </si>
  <si>
    <t>SmartFIX – 2 Year Renewal</t>
  </si>
  <si>
    <t>SmartTRACKER Renewal</t>
  </si>
  <si>
    <t>SmartTRACKER (Level 2)</t>
  </si>
  <si>
    <t>SmartFIX – 1 Year (Level 2)</t>
  </si>
  <si>
    <t>SmartFIX – 2 Year (Level 2)</t>
  </si>
  <si>
    <t>SmartFIX – 3 Year (Level 2)</t>
  </si>
  <si>
    <t>SmartFIX – 3 Year Renewal</t>
  </si>
  <si>
    <t>HH 2RATE (CT)</t>
  </si>
  <si>
    <t>HH 2RATE (WC)</t>
  </si>
  <si>
    <t>HH 1RATE (CT)</t>
  </si>
  <si>
    <t>HH 1RATE (WC)</t>
  </si>
  <si>
    <t>SmartTRACKER Renewal (Level 2)</t>
  </si>
  <si>
    <t>SmartFIX – 1 Year Renewal (Level 2)</t>
  </si>
  <si>
    <t>SmartFIX – 2 Year Renewal (Level 2)</t>
  </si>
  <si>
    <t>SmartFIX – 3 Year Renewal (Level 2)</t>
  </si>
  <si>
    <t>SmartFIX – 5 Year</t>
  </si>
  <si>
    <t>SmartFIX – 5 Year Renewal</t>
  </si>
  <si>
    <t>SmartFIX – 5 Year (Level 2)</t>
  </si>
  <si>
    <t>SmartFIX – 5 Year Renewal (Level 2)</t>
  </si>
  <si>
    <t>SmartPAY12_Renewal</t>
  </si>
  <si>
    <t>SmartPAY24_Renewal</t>
  </si>
  <si>
    <t>SmartPAY36_Renewal</t>
  </si>
  <si>
    <t>SmartPAY12 (Level 2)</t>
  </si>
  <si>
    <t>SmartPAY24 (Level 2)</t>
  </si>
  <si>
    <t>SmartPAY36 (Level 2)</t>
  </si>
  <si>
    <t>SmartPAY12_Renewal (Level 2)</t>
  </si>
  <si>
    <t>SmartPAY24_Renewal (Level 2)</t>
  </si>
  <si>
    <t>SmartPAY36_Renewal (Level 2)</t>
  </si>
  <si>
    <t>102002021/2022</t>
  </si>
  <si>
    <t>112472021/2022</t>
  </si>
  <si>
    <t>122002021/2022</t>
  </si>
  <si>
    <t>132802021/2022</t>
  </si>
  <si>
    <t>146332021/2022</t>
  </si>
  <si>
    <t>152782021/2022</t>
  </si>
  <si>
    <t>168312021/2022</t>
  </si>
  <si>
    <t>168612021/2022</t>
  </si>
  <si>
    <t>175072021/2022</t>
  </si>
  <si>
    <t>182802021/2022</t>
  </si>
  <si>
    <t>192002021/2022</t>
  </si>
  <si>
    <t>201662021/2022</t>
  </si>
  <si>
    <t>204572021/2022</t>
  </si>
  <si>
    <t>211172021/2022</t>
  </si>
  <si>
    <t>222032021/2022</t>
  </si>
  <si>
    <t>232992021/2022</t>
  </si>
  <si>
    <t>100862021/2022</t>
  </si>
  <si>
    <t>110582021/2022</t>
  </si>
  <si>
    <t>119902021/2022</t>
  </si>
  <si>
    <t>120092021/2022</t>
  </si>
  <si>
    <t>135112021/2022</t>
  </si>
  <si>
    <t>135912021/2022</t>
  </si>
  <si>
    <t>141272021/2022</t>
  </si>
  <si>
    <t>141292021/2022</t>
  </si>
  <si>
    <t>152512021/2022</t>
  </si>
  <si>
    <t>168012021/2022</t>
  </si>
  <si>
    <t>168412021/2022</t>
  </si>
  <si>
    <t>175002021/2022</t>
  </si>
  <si>
    <t>185002021/2022</t>
  </si>
  <si>
    <t>185042021/2022</t>
  </si>
  <si>
    <t>195502021/2022</t>
  </si>
  <si>
    <t>204532021/2022</t>
  </si>
  <si>
    <t>204702021/2022</t>
  </si>
  <si>
    <t>213002021/2022</t>
  </si>
  <si>
    <t>225702021/2022</t>
  </si>
  <si>
    <t>232812021/2022</t>
  </si>
  <si>
    <t>100802021/2022</t>
  </si>
  <si>
    <t>110592021/2022</t>
  </si>
  <si>
    <t>127562021/2022</t>
  </si>
  <si>
    <t>135132021/2022</t>
  </si>
  <si>
    <t>135922021/2022</t>
  </si>
  <si>
    <t>141282021/2022</t>
  </si>
  <si>
    <t>152932021/2022</t>
  </si>
  <si>
    <t>168022021/2022</t>
  </si>
  <si>
    <t>168422021/2022</t>
  </si>
  <si>
    <t>175052021/2022</t>
  </si>
  <si>
    <t>185062021/2022</t>
  </si>
  <si>
    <t>185072021/2022</t>
  </si>
  <si>
    <t>197562021/2022</t>
  </si>
  <si>
    <t>204552021/2022</t>
  </si>
  <si>
    <t>213442021/2022</t>
  </si>
  <si>
    <t>225402021/2022</t>
  </si>
  <si>
    <t>234712021/2022</t>
  </si>
  <si>
    <t>100842021/2022</t>
  </si>
  <si>
    <t>110602021/2022</t>
  </si>
  <si>
    <t>119912021/2022</t>
  </si>
  <si>
    <t>123592021/2022</t>
  </si>
  <si>
    <t>135152021/2022</t>
  </si>
  <si>
    <t>135932021/2022</t>
  </si>
  <si>
    <t>143652021/2022</t>
  </si>
  <si>
    <t>143672021/2022</t>
  </si>
  <si>
    <t>153012021/2022</t>
  </si>
  <si>
    <t>168032021/2022</t>
  </si>
  <si>
    <t>168432021/2022</t>
  </si>
  <si>
    <t>176002021/2022</t>
  </si>
  <si>
    <t>185012021/2022</t>
  </si>
  <si>
    <t>185052021/2022</t>
  </si>
  <si>
    <t>196502021/2022</t>
  </si>
  <si>
    <t>204762021/2022</t>
  </si>
  <si>
    <t>206582021/2022</t>
  </si>
  <si>
    <t>214002021/2022</t>
  </si>
  <si>
    <t>225102021/2022</t>
  </si>
  <si>
    <t>235812021/2022</t>
  </si>
  <si>
    <t>Your SMARTSaver business electricity quote:</t>
  </si>
  <si>
    <r>
      <rPr>
        <sz val="10"/>
        <color rgb="FF0A1C42"/>
        <rFont val="Calibri"/>
        <family val="2"/>
        <scheme val="minor"/>
      </rPr>
      <t>START HERE</t>
    </r>
    <r>
      <rPr>
        <sz val="10"/>
        <color theme="0" tint="-0.499984740745262"/>
        <rFont val="Calibri"/>
        <family val="2"/>
        <scheme val="minor"/>
      </rPr>
      <t xml:space="preserve"> - Please enter/select the following:</t>
    </r>
  </si>
  <si>
    <t>JAN21V2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</si>
</sst>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"/>
    <numFmt numFmtId="165" formatCode="&quot;£&quot;#,##0.00"/>
    <numFmt numFmtId="166" formatCode="0.0000"/>
    <numFmt numFmtId="167" formatCode="_-* #,##0_-;\-* #,##0_-;_-* &quot;-&quot;??_-;_-@_-"/>
    <numFmt numFmtId="168" formatCode="0.00000000000"/>
    <numFmt numFmtId="169" formatCode="0.00000"/>
  </numFmts>
  <fonts count="2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  <font>
      <b/>
      <sz val="10"/>
      <color rgb="FF0084C7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0"/>
      <color indexed="8"/>
      <name val="Calibri"/>
      <family val="2"/>
    </font>
    <font>
      <sz val="8"/>
      <name val="Calibri"/>
      <family val="2"/>
      <scheme val="minor"/>
    </font>
    <font>
      <sz val="20"/>
      <color rgb="FF0A1C42"/>
      <name val="Calibri"/>
      <family val="2"/>
      <scheme val="minor"/>
    </font>
    <font>
      <sz val="11"/>
      <color rgb="FF0A1C42"/>
      <name val="Calibri"/>
      <family val="2"/>
      <scheme val="minor"/>
    </font>
    <font>
      <sz val="10"/>
      <color rgb="FF0A1C42"/>
      <name val="Calibri"/>
      <family val="2"/>
      <scheme val="minor"/>
    </font>
    <font>
      <sz val="11"/>
      <color theme="0" tint="-4.9989318521683403E-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B71E"/>
        <bgColor indexed="64"/>
      </patternFill>
    </fill>
    <fill>
      <patternFill patternType="solid">
        <fgColor rgb="FF0A1C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</borders>
  <cellStyleXfs count="8">
    <xf numFmtId="0" fontId="0" fillId="0" borderId="0"/>
    <xf numFmtId="0" fontId="2" fillId="0" borderId="0"/>
    <xf numFmtId="0" fontId="4" fillId="0" borderId="0"/>
    <xf numFmtId="43" fontId="6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</cellStyleXfs>
  <cellXfs count="210">
    <xf numFmtId="0" fontId="0" fillId="0" borderId="0" xfId="0"/>
    <xf numFmtId="165" fontId="0" fillId="0" borderId="1" xfId="0" applyNumberFormat="1" applyBorder="1"/>
    <xf numFmtId="0" fontId="3" fillId="0" borderId="2" xfId="1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64" fontId="0" fillId="0" borderId="1" xfId="0" applyNumberForma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5" fontId="5" fillId="0" borderId="1" xfId="0" applyNumberFormat="1" applyFont="1" applyBorder="1"/>
    <xf numFmtId="0" fontId="0" fillId="3" borderId="0" xfId="0" applyFill="1"/>
    <xf numFmtId="1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3" borderId="0" xfId="0" applyNumberFormat="1" applyFill="1"/>
    <xf numFmtId="0" fontId="0" fillId="0" borderId="0" xfId="0" applyAlignment="1">
      <alignment vertical="center"/>
    </xf>
    <xf numFmtId="0" fontId="0" fillId="3" borderId="0" xfId="0" applyFill="1" applyAlignment="1">
      <alignment horizontal="center"/>
    </xf>
    <xf numFmtId="0" fontId="10" fillId="3" borderId="0" xfId="0" applyFont="1" applyFill="1"/>
    <xf numFmtId="0" fontId="13" fillId="3" borderId="0" xfId="0" applyFont="1" applyFill="1"/>
    <xf numFmtId="0" fontId="14" fillId="0" borderId="0" xfId="0" applyFont="1"/>
    <xf numFmtId="0" fontId="14" fillId="3" borderId="0" xfId="0" applyFont="1" applyFill="1"/>
    <xf numFmtId="0" fontId="15" fillId="0" borderId="0" xfId="0" applyFont="1" applyAlignment="1" applyProtection="1">
      <alignment horizontal="left" vertical="center"/>
      <protection hidden="1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165" fontId="5" fillId="0" borderId="14" xfId="0" applyNumberFormat="1" applyFont="1" applyBorder="1"/>
    <xf numFmtId="0" fontId="5" fillId="2" borderId="15" xfId="0" applyFont="1" applyFill="1" applyBorder="1" applyAlignment="1">
      <alignment horizontal="center"/>
    </xf>
    <xf numFmtId="0" fontId="16" fillId="3" borderId="0" xfId="0" applyFont="1" applyFill="1"/>
    <xf numFmtId="2" fontId="0" fillId="0" borderId="1" xfId="0" applyNumberFormat="1" applyBorder="1" applyAlignment="1">
      <alignment horizontal="right"/>
    </xf>
    <xf numFmtId="165" fontId="0" fillId="0" borderId="0" xfId="0" applyNumberFormat="1"/>
    <xf numFmtId="165" fontId="5" fillId="0" borderId="0" xfId="0" applyNumberFormat="1" applyFont="1"/>
    <xf numFmtId="0" fontId="1" fillId="0" borderId="16" xfId="1" applyFont="1" applyBorder="1" applyAlignment="1">
      <alignment horizontal="center" wrapText="1"/>
    </xf>
    <xf numFmtId="0" fontId="3" fillId="0" borderId="16" xfId="1" applyFont="1" applyBorder="1" applyAlignment="1">
      <alignment wrapText="1"/>
    </xf>
    <xf numFmtId="49" fontId="3" fillId="0" borderId="2" xfId="1" applyNumberFormat="1" applyFont="1" applyBorder="1" applyAlignment="1">
      <alignment wrapText="1"/>
    </xf>
    <xf numFmtId="166" fontId="3" fillId="0" borderId="2" xfId="1" applyNumberFormat="1" applyFont="1" applyBorder="1" applyAlignment="1">
      <alignment horizontal="right" wrapText="1"/>
    </xf>
    <xf numFmtId="0" fontId="3" fillId="0" borderId="2" xfId="1" applyFont="1" applyBorder="1" applyAlignment="1">
      <alignment horizontal="right" wrapText="1"/>
    </xf>
    <xf numFmtId="168" fontId="0" fillId="0" borderId="0" xfId="0" applyNumberFormat="1" applyAlignment="1">
      <alignment horizontal="center"/>
    </xf>
    <xf numFmtId="168" fontId="0" fillId="0" borderId="1" xfId="0" applyNumberFormat="1" applyBorder="1"/>
    <xf numFmtId="0" fontId="1" fillId="0" borderId="17" xfId="1" applyFont="1" applyBorder="1" applyAlignment="1">
      <alignment horizontal="center" wrapText="1"/>
    </xf>
    <xf numFmtId="0" fontId="1" fillId="0" borderId="18" xfId="1" applyFont="1" applyBorder="1" applyAlignment="1">
      <alignment horizontal="center" wrapText="1"/>
    </xf>
    <xf numFmtId="0" fontId="1" fillId="0" borderId="19" xfId="1" applyFont="1" applyBorder="1" applyAlignment="1">
      <alignment horizontal="center" wrapText="1"/>
    </xf>
    <xf numFmtId="166" fontId="1" fillId="0" borderId="18" xfId="1" applyNumberFormat="1" applyFont="1" applyBorder="1" applyAlignment="1">
      <alignment horizontal="center" textRotation="90" wrapText="1"/>
    </xf>
    <xf numFmtId="0" fontId="1" fillId="0" borderId="18" xfId="1" applyFont="1" applyBorder="1" applyAlignment="1">
      <alignment horizontal="left" wrapText="1"/>
    </xf>
    <xf numFmtId="0" fontId="17" fillId="0" borderId="0" xfId="6"/>
    <xf numFmtId="0" fontId="3" fillId="0" borderId="16" xfId="1" applyFont="1" applyBorder="1" applyAlignment="1">
      <alignment horizontal="right" wrapText="1"/>
    </xf>
    <xf numFmtId="0" fontId="2" fillId="0" borderId="2" xfId="6" applyFont="1" applyBorder="1" applyAlignment="1">
      <alignment vertical="center" wrapText="1"/>
    </xf>
    <xf numFmtId="164" fontId="3" fillId="0" borderId="2" xfId="1" applyNumberFormat="1" applyFont="1" applyBorder="1" applyAlignment="1">
      <alignment wrapText="1"/>
    </xf>
    <xf numFmtId="0" fontId="3" fillId="0" borderId="2" xfId="7" applyFont="1" applyBorder="1" applyAlignment="1">
      <alignment horizontal="right" wrapText="1"/>
    </xf>
    <xf numFmtId="0" fontId="3" fillId="0" borderId="2" xfId="6" applyFont="1" applyBorder="1" applyAlignment="1">
      <alignment horizontal="left" wrapText="1"/>
    </xf>
    <xf numFmtId="0" fontId="3" fillId="0" borderId="16" xfId="6" applyFont="1" applyBorder="1" applyAlignment="1">
      <alignment horizontal="right" wrapText="1"/>
    </xf>
    <xf numFmtId="0" fontId="3" fillId="0" borderId="2" xfId="6" applyFont="1" applyBorder="1" applyAlignment="1">
      <alignment horizontal="right" wrapText="1"/>
    </xf>
    <xf numFmtId="0" fontId="18" fillId="0" borderId="16" xfId="6" applyFont="1" applyBorder="1" applyAlignment="1">
      <alignment horizontal="right"/>
    </xf>
    <xf numFmtId="0" fontId="18" fillId="0" borderId="2" xfId="6" applyFont="1" applyBorder="1" applyAlignment="1">
      <alignment horizontal="left"/>
    </xf>
    <xf numFmtId="0" fontId="18" fillId="0" borderId="2" xfId="6" applyFont="1" applyBorder="1" applyAlignment="1">
      <alignment horizontal="right"/>
    </xf>
    <xf numFmtId="0" fontId="3" fillId="0" borderId="2" xfId="6" applyFont="1" applyBorder="1" applyAlignment="1">
      <alignment wrapText="1"/>
    </xf>
    <xf numFmtId="0" fontId="3" fillId="0" borderId="2" xfId="6" applyFont="1" applyBorder="1"/>
    <xf numFmtId="0" fontId="3" fillId="0" borderId="2" xfId="6" applyFont="1" applyBorder="1" applyAlignment="1">
      <alignment horizontal="right"/>
    </xf>
    <xf numFmtId="0" fontId="3" fillId="0" borderId="16" xfId="6" applyFont="1" applyBorder="1" applyAlignment="1">
      <alignment horizontal="left" wrapText="1"/>
    </xf>
    <xf numFmtId="0" fontId="18" fillId="0" borderId="16" xfId="6" applyFont="1" applyBorder="1" applyAlignment="1">
      <alignment horizontal="left" wrapText="1"/>
    </xf>
    <xf numFmtId="0" fontId="17" fillId="0" borderId="20" xfId="6" applyBorder="1"/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2" xfId="0" applyBorder="1"/>
    <xf numFmtId="0" fontId="5" fillId="0" borderId="14" xfId="0" applyFont="1" applyBorder="1" applyAlignment="1">
      <alignment horizontal="center"/>
    </xf>
    <xf numFmtId="0" fontId="19" fillId="0" borderId="0" xfId="0" applyFont="1"/>
    <xf numFmtId="165" fontId="19" fillId="0" borderId="0" xfId="0" applyNumberFormat="1" applyFont="1"/>
    <xf numFmtId="0" fontId="19" fillId="0" borderId="0" xfId="0" applyFont="1" applyAlignment="1">
      <alignment horizontal="center" wrapText="1"/>
    </xf>
    <xf numFmtId="1" fontId="19" fillId="0" borderId="27" xfId="0" applyNumberFormat="1" applyFont="1" applyBorder="1"/>
    <xf numFmtId="14" fontId="19" fillId="0" borderId="28" xfId="0" applyNumberFormat="1" applyFont="1" applyBorder="1"/>
    <xf numFmtId="0" fontId="21" fillId="0" borderId="28" xfId="0" applyFont="1" applyBorder="1" applyAlignment="1" applyProtection="1">
      <alignment horizontal="right"/>
      <protection locked="0"/>
    </xf>
    <xf numFmtId="0" fontId="21" fillId="0" borderId="28" xfId="0" applyFont="1" applyBorder="1" applyProtection="1">
      <protection locked="0"/>
    </xf>
    <xf numFmtId="0" fontId="21" fillId="0" borderId="28" xfId="0" quotePrefix="1" applyFont="1" applyBorder="1" applyProtection="1">
      <protection locked="0"/>
    </xf>
    <xf numFmtId="0" fontId="19" fillId="0" borderId="28" xfId="0" applyFont="1" applyBorder="1"/>
    <xf numFmtId="0" fontId="19" fillId="0" borderId="29" xfId="0" applyFont="1" applyBorder="1"/>
    <xf numFmtId="1" fontId="19" fillId="0" borderId="21" xfId="0" applyNumberFormat="1" applyFont="1" applyBorder="1"/>
    <xf numFmtId="14" fontId="19" fillId="0" borderId="0" xfId="0" applyNumberFormat="1" applyFont="1"/>
    <xf numFmtId="0" fontId="21" fillId="0" borderId="0" xfId="0" applyFont="1" applyAlignment="1" applyProtection="1">
      <alignment horizontal="right"/>
      <protection locked="0"/>
    </xf>
    <xf numFmtId="0" fontId="21" fillId="0" borderId="0" xfId="0" applyFont="1" applyProtection="1">
      <protection locked="0"/>
    </xf>
    <xf numFmtId="0" fontId="21" fillId="0" borderId="0" xfId="0" quotePrefix="1" applyFont="1" applyProtection="1">
      <protection locked="0"/>
    </xf>
    <xf numFmtId="0" fontId="19" fillId="0" borderId="22" xfId="0" applyFont="1" applyBorder="1"/>
    <xf numFmtId="1" fontId="19" fillId="0" borderId="23" xfId="0" applyNumberFormat="1" applyFont="1" applyBorder="1"/>
    <xf numFmtId="14" fontId="19" fillId="0" borderId="26" xfId="0" applyNumberFormat="1" applyFont="1" applyBorder="1"/>
    <xf numFmtId="0" fontId="21" fillId="0" borderId="26" xfId="0" applyFont="1" applyBorder="1" applyAlignment="1" applyProtection="1">
      <alignment horizontal="right"/>
      <protection locked="0"/>
    </xf>
    <xf numFmtId="0" fontId="21" fillId="0" borderId="26" xfId="0" applyFont="1" applyBorder="1" applyProtection="1">
      <protection locked="0"/>
    </xf>
    <xf numFmtId="0" fontId="21" fillId="0" borderId="26" xfId="0" quotePrefix="1" applyFont="1" applyBorder="1" applyProtection="1">
      <protection locked="0"/>
    </xf>
    <xf numFmtId="0" fontId="19" fillId="0" borderId="26" xfId="0" applyFont="1" applyBorder="1"/>
    <xf numFmtId="0" fontId="19" fillId="0" borderId="24" xfId="0" applyFont="1" applyBorder="1"/>
    <xf numFmtId="0" fontId="11" fillId="4" borderId="1" xfId="0" applyFont="1" applyFill="1" applyBorder="1" applyAlignment="1" applyProtection="1">
      <alignment horizontal="center"/>
      <protection locked="0"/>
    </xf>
    <xf numFmtId="0" fontId="19" fillId="0" borderId="0" xfId="0" applyFont="1" applyProtection="1">
      <protection hidden="1"/>
    </xf>
    <xf numFmtId="165" fontId="19" fillId="0" borderId="0" xfId="0" applyNumberFormat="1" applyFont="1" applyProtection="1">
      <protection hidden="1"/>
    </xf>
    <xf numFmtId="165" fontId="19" fillId="0" borderId="22" xfId="0" applyNumberFormat="1" applyFont="1" applyBorder="1" applyProtection="1">
      <protection hidden="1"/>
    </xf>
    <xf numFmtId="0" fontId="19" fillId="0" borderId="26" xfId="0" applyFont="1" applyBorder="1" applyProtection="1">
      <protection hidden="1"/>
    </xf>
    <xf numFmtId="165" fontId="19" fillId="0" borderId="26" xfId="0" applyNumberFormat="1" applyFont="1" applyBorder="1" applyProtection="1">
      <protection hidden="1"/>
    </xf>
    <xf numFmtId="165" fontId="19" fillId="0" borderId="24" xfId="0" applyNumberFormat="1" applyFont="1" applyBorder="1" applyProtection="1">
      <protection hidden="1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/>
    <xf numFmtId="49" fontId="5" fillId="0" borderId="0" xfId="0" applyNumberFormat="1" applyFont="1"/>
    <xf numFmtId="0" fontId="5" fillId="0" borderId="0" xfId="0" applyFont="1"/>
    <xf numFmtId="0" fontId="10" fillId="0" borderId="0" xfId="0" applyFont="1" applyAlignment="1">
      <alignment horizontal="center"/>
    </xf>
    <xf numFmtId="14" fontId="0" fillId="0" borderId="0" xfId="0" applyNumberFormat="1"/>
    <xf numFmtId="49" fontId="0" fillId="0" borderId="0" xfId="0" applyNumberFormat="1" applyAlignment="1">
      <alignment horizontal="right"/>
    </xf>
    <xf numFmtId="49" fontId="5" fillId="0" borderId="0" xfId="0" applyNumberFormat="1" applyFont="1" applyAlignment="1">
      <alignment horizontal="right"/>
    </xf>
    <xf numFmtId="14" fontId="5" fillId="0" borderId="0" xfId="0" applyNumberFormat="1" applyFont="1"/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15" fillId="3" borderId="0" xfId="0" applyFont="1" applyFill="1" applyAlignment="1" applyProtection="1">
      <alignment horizontal="left" vertical="center"/>
      <protection hidden="1"/>
    </xf>
    <xf numFmtId="0" fontId="0" fillId="3" borderId="0" xfId="0" applyFill="1" applyAlignment="1" applyProtection="1">
      <alignment horizontal="right"/>
      <protection locked="0"/>
    </xf>
    <xf numFmtId="49" fontId="5" fillId="0" borderId="1" xfId="0" applyNumberFormat="1" applyFont="1" applyBorder="1" applyAlignment="1">
      <alignment horizontal="center"/>
    </xf>
    <xf numFmtId="0" fontId="0" fillId="3" borderId="7" xfId="0" applyFill="1" applyBorder="1"/>
    <xf numFmtId="49" fontId="9" fillId="4" borderId="30" xfId="0" applyNumberFormat="1" applyFont="1" applyFill="1" applyBorder="1" applyAlignment="1" applyProtection="1">
      <alignment horizontal="center"/>
      <protection locked="0"/>
    </xf>
    <xf numFmtId="49" fontId="9" fillId="4" borderId="10" xfId="0" applyNumberFormat="1" applyFont="1" applyFill="1" applyBorder="1" applyAlignment="1" applyProtection="1">
      <alignment horizontal="center"/>
      <protection locked="0"/>
    </xf>
    <xf numFmtId="49" fontId="9" fillId="4" borderId="9" xfId="0" applyNumberFormat="1" applyFont="1" applyFill="1" applyBorder="1" applyAlignment="1" applyProtection="1">
      <alignment horizontal="center"/>
      <protection locked="0"/>
    </xf>
    <xf numFmtId="0" fontId="0" fillId="3" borderId="0" xfId="0" applyFill="1" applyProtection="1">
      <protection locked="0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/>
    <xf numFmtId="166" fontId="3" fillId="0" borderId="0" xfId="0" applyNumberFormat="1" applyFont="1"/>
    <xf numFmtId="0" fontId="12" fillId="0" borderId="7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5" fontId="12" fillId="0" borderId="0" xfId="0" applyNumberFormat="1" applyFont="1" applyAlignment="1" applyProtection="1">
      <alignment vertical="center"/>
      <protection hidden="1"/>
    </xf>
    <xf numFmtId="166" fontId="22" fillId="0" borderId="0" xfId="0" applyNumberFormat="1" applyFont="1" applyAlignment="1">
      <alignment wrapText="1"/>
    </xf>
    <xf numFmtId="166" fontId="0" fillId="0" borderId="2" xfId="0" applyNumberFormat="1" applyBorder="1" applyAlignment="1">
      <alignment horizontal="right"/>
    </xf>
    <xf numFmtId="166" fontId="0" fillId="0" borderId="0" xfId="0" applyNumberFormat="1" applyAlignment="1">
      <alignment horizontal="right"/>
    </xf>
    <xf numFmtId="0" fontId="0" fillId="6" borderId="0" xfId="0" applyFill="1"/>
    <xf numFmtId="49" fontId="0" fillId="0" borderId="0" xfId="0" applyNumberFormat="1" applyAlignment="1" applyProtection="1">
      <alignment horizontal="left"/>
      <protection hidden="1"/>
    </xf>
    <xf numFmtId="1" fontId="0" fillId="0" borderId="0" xfId="0" applyNumberFormat="1" applyProtection="1">
      <protection hidden="1"/>
    </xf>
    <xf numFmtId="14" fontId="0" fillId="0" borderId="0" xfId="0" applyNumberFormat="1" applyProtection="1">
      <protection hidden="1"/>
    </xf>
    <xf numFmtId="0" fontId="0" fillId="0" borderId="0" xfId="0" applyProtection="1">
      <protection hidden="1"/>
    </xf>
    <xf numFmtId="0" fontId="7" fillId="5" borderId="0" xfId="0" applyFont="1" applyFill="1" applyAlignment="1" applyProtection="1">
      <alignment horizontal="center" wrapText="1"/>
      <protection hidden="1"/>
    </xf>
    <xf numFmtId="0" fontId="0" fillId="0" borderId="0" xfId="0" applyAlignment="1" applyProtection="1">
      <alignment wrapText="1"/>
      <protection hidden="1"/>
    </xf>
    <xf numFmtId="0" fontId="10" fillId="0" borderId="0" xfId="0" applyFont="1" applyAlignment="1" applyProtection="1">
      <alignment horizontal="center" wrapText="1"/>
      <protection hidden="1"/>
    </xf>
    <xf numFmtId="49" fontId="9" fillId="4" borderId="30" xfId="0" applyNumberFormat="1" applyFont="1" applyFill="1" applyBorder="1" applyAlignment="1" applyProtection="1">
      <alignment horizontal="center"/>
      <protection locked="0" hidden="1"/>
    </xf>
    <xf numFmtId="49" fontId="9" fillId="4" borderId="10" xfId="0" applyNumberFormat="1" applyFont="1" applyFill="1" applyBorder="1" applyAlignment="1" applyProtection="1">
      <alignment horizontal="center"/>
      <protection locked="0" hidden="1"/>
    </xf>
    <xf numFmtId="1" fontId="9" fillId="4" borderId="10" xfId="0" applyNumberFormat="1" applyFont="1" applyFill="1" applyBorder="1" applyAlignment="1" applyProtection="1">
      <alignment horizontal="center"/>
      <protection locked="0" hidden="1"/>
    </xf>
    <xf numFmtId="14" fontId="9" fillId="4" borderId="10" xfId="0" applyNumberFormat="1" applyFont="1" applyFill="1" applyBorder="1" applyAlignment="1" applyProtection="1">
      <alignment horizontal="center"/>
      <protection locked="0" hidden="1"/>
    </xf>
    <xf numFmtId="164" fontId="9" fillId="0" borderId="0" xfId="0" applyNumberFormat="1" applyFont="1" applyProtection="1">
      <protection hidden="1"/>
    </xf>
    <xf numFmtId="1" fontId="0" fillId="0" borderId="1" xfId="0" applyNumberFormat="1" applyBorder="1" applyAlignment="1" applyProtection="1">
      <alignment horizontal="left"/>
      <protection hidden="1"/>
    </xf>
    <xf numFmtId="164" fontId="0" fillId="0" borderId="1" xfId="0" applyNumberFormat="1" applyBorder="1" applyAlignment="1" applyProtection="1">
      <alignment horizontal="left"/>
      <protection hidden="1"/>
    </xf>
    <xf numFmtId="164" fontId="0" fillId="0" borderId="14" xfId="0" applyNumberFormat="1" applyBorder="1" applyAlignment="1" applyProtection="1">
      <alignment horizontal="left"/>
      <protection hidden="1"/>
    </xf>
    <xf numFmtId="164" fontId="0" fillId="0" borderId="0" xfId="0" applyNumberFormat="1" applyAlignment="1" applyProtection="1">
      <alignment horizontal="left"/>
      <protection hidden="1"/>
    </xf>
    <xf numFmtId="49" fontId="9" fillId="4" borderId="9" xfId="0" applyNumberFormat="1" applyFont="1" applyFill="1" applyBorder="1" applyAlignment="1" applyProtection="1">
      <alignment horizontal="center"/>
      <protection locked="0" hidden="1"/>
    </xf>
    <xf numFmtId="1" fontId="9" fillId="4" borderId="30" xfId="0" applyNumberFormat="1" applyFont="1" applyFill="1" applyBorder="1" applyAlignment="1" applyProtection="1">
      <alignment horizontal="center"/>
      <protection locked="0" hidden="1"/>
    </xf>
    <xf numFmtId="0" fontId="9" fillId="4" borderId="30" xfId="0" applyNumberFormat="1" applyFont="1" applyFill="1" applyBorder="1" applyAlignment="1" applyProtection="1">
      <alignment horizontal="center"/>
      <protection hidden="1"/>
    </xf>
    <xf numFmtId="164" fontId="0" fillId="0" borderId="0" xfId="0" applyNumberFormat="1"/>
    <xf numFmtId="164" fontId="0" fillId="0" borderId="0" xfId="0" applyNumberFormat="1" applyProtection="1">
      <protection hidden="1"/>
    </xf>
    <xf numFmtId="164" fontId="9" fillId="4" borderId="10" xfId="0" applyNumberFormat="1" applyFont="1" applyFill="1" applyBorder="1" applyAlignment="1" applyProtection="1">
      <alignment horizontal="center"/>
      <protection locked="0" hidden="1"/>
    </xf>
    <xf numFmtId="165" fontId="9" fillId="4" borderId="30" xfId="0" applyNumberFormat="1" applyFont="1" applyFill="1" applyBorder="1" applyAlignment="1" applyProtection="1">
      <alignment horizontal="center"/>
      <protection hidden="1"/>
    </xf>
    <xf numFmtId="2" fontId="0" fillId="0" borderId="0" xfId="0" applyNumberFormat="1" applyProtection="1">
      <protection hidden="1"/>
    </xf>
    <xf numFmtId="166" fontId="0" fillId="0" borderId="0" xfId="0" applyNumberFormat="1"/>
    <xf numFmtId="169" fontId="0" fillId="0" borderId="0" xfId="0" applyNumberFormat="1" applyProtection="1">
      <protection hidden="1"/>
    </xf>
    <xf numFmtId="0" fontId="0" fillId="0" borderId="0" xfId="0" applyFill="1"/>
    <xf numFmtId="1" fontId="0" fillId="0" borderId="14" xfId="0" applyNumberFormat="1" applyBorder="1" applyAlignment="1" applyProtection="1">
      <alignment horizontal="left"/>
      <protection hidden="1"/>
    </xf>
    <xf numFmtId="164" fontId="0" fillId="0" borderId="0" xfId="0" applyNumberFormat="1" applyBorder="1" applyAlignment="1" applyProtection="1">
      <alignment horizontal="left"/>
      <protection hidden="1"/>
    </xf>
    <xf numFmtId="2" fontId="9" fillId="4" borderId="30" xfId="0" applyNumberFormat="1" applyFont="1" applyFill="1" applyBorder="1" applyAlignment="1" applyProtection="1">
      <alignment horizontal="center"/>
      <protection hidden="1"/>
    </xf>
    <xf numFmtId="0" fontId="24" fillId="3" borderId="0" xfId="0" applyFont="1" applyFill="1"/>
    <xf numFmtId="0" fontId="7" fillId="8" borderId="30" xfId="0" applyFont="1" applyFill="1" applyBorder="1" applyAlignment="1">
      <alignment horizontal="center"/>
    </xf>
    <xf numFmtId="0" fontId="7" fillId="8" borderId="0" xfId="0" applyFont="1" applyFill="1" applyAlignment="1">
      <alignment horizontal="center"/>
    </xf>
    <xf numFmtId="0" fontId="25" fillId="7" borderId="0" xfId="0" applyFont="1" applyFill="1" applyAlignment="1" applyProtection="1">
      <alignment horizontal="center" vertical="center" wrapText="1"/>
      <protection hidden="1"/>
    </xf>
    <xf numFmtId="0" fontId="27" fillId="8" borderId="0" xfId="0" applyFont="1" applyFill="1" applyAlignment="1" applyProtection="1">
      <alignment horizontal="center" vertical="center" wrapText="1"/>
      <protection hidden="1"/>
    </xf>
    <xf numFmtId="1" fontId="27" fillId="8" borderId="0" xfId="0" applyNumberFormat="1" applyFont="1" applyFill="1" applyAlignment="1" applyProtection="1">
      <alignment horizontal="center" vertical="center" wrapText="1"/>
      <protection hidden="1"/>
    </xf>
    <xf numFmtId="14" fontId="27" fillId="8" borderId="0" xfId="0" applyNumberFormat="1" applyFont="1" applyFill="1" applyAlignment="1" applyProtection="1">
      <alignment horizontal="center" vertical="center" wrapText="1"/>
      <protection hidden="1"/>
    </xf>
    <xf numFmtId="164" fontId="27" fillId="8" borderId="0" xfId="0" applyNumberFormat="1" applyFont="1" applyFill="1" applyAlignment="1" applyProtection="1">
      <alignment horizontal="center" vertical="center" wrapText="1"/>
      <protection hidden="1"/>
    </xf>
    <xf numFmtId="0" fontId="20" fillId="0" borderId="4" xfId="0" applyFont="1" applyBorder="1" applyAlignment="1">
      <alignment horizontal="center" wrapText="1"/>
    </xf>
    <xf numFmtId="0" fontId="20" fillId="0" borderId="5" xfId="0" applyFont="1" applyBorder="1" applyAlignment="1">
      <alignment horizontal="center" wrapText="1"/>
    </xf>
    <xf numFmtId="0" fontId="20" fillId="0" borderId="4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27" xfId="0" applyFont="1" applyBorder="1" applyAlignment="1">
      <alignment horizontal="center" wrapText="1"/>
    </xf>
    <xf numFmtId="0" fontId="20" fillId="0" borderId="23" xfId="0" applyFont="1" applyBorder="1" applyAlignment="1">
      <alignment horizontal="center" wrapText="1"/>
    </xf>
    <xf numFmtId="0" fontId="20" fillId="0" borderId="14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9" fillId="0" borderId="0" xfId="0" applyFont="1" applyAlignment="1">
      <alignment horizontal="center" wrapText="1"/>
    </xf>
    <xf numFmtId="0" fontId="25" fillId="7" borderId="0" xfId="0" applyFont="1" applyFill="1" applyAlignment="1" applyProtection="1">
      <alignment horizontal="center" vertical="center" wrapText="1"/>
      <protection hidden="1"/>
    </xf>
    <xf numFmtId="165" fontId="12" fillId="4" borderId="0" xfId="0" applyNumberFormat="1" applyFont="1" applyFill="1" applyAlignment="1" applyProtection="1">
      <alignment horizontal="center" vertical="center"/>
      <protection hidden="1"/>
    </xf>
    <xf numFmtId="165" fontId="12" fillId="0" borderId="0" xfId="0" applyNumberFormat="1" applyFont="1" applyAlignment="1" applyProtection="1">
      <alignment horizontal="center" vertical="center"/>
      <protection hidden="1"/>
    </xf>
    <xf numFmtId="2" fontId="12" fillId="4" borderId="0" xfId="0" applyNumberFormat="1" applyFont="1" applyFill="1" applyAlignment="1" applyProtection="1">
      <alignment horizontal="center" vertical="center"/>
      <protection hidden="1"/>
    </xf>
    <xf numFmtId="0" fontId="25" fillId="7" borderId="6" xfId="0" applyFont="1" applyFill="1" applyBorder="1" applyAlignment="1">
      <alignment horizontal="center" vertical="center" wrapText="1"/>
    </xf>
    <xf numFmtId="0" fontId="25" fillId="7" borderId="7" xfId="0" applyFont="1" applyFill="1" applyBorder="1" applyAlignment="1">
      <alignment horizontal="center" vertical="center" wrapText="1"/>
    </xf>
    <xf numFmtId="0" fontId="25" fillId="7" borderId="0" xfId="0" applyFont="1" applyFill="1" applyAlignment="1">
      <alignment horizontal="center" vertical="center" wrapText="1"/>
    </xf>
    <xf numFmtId="0" fontId="11" fillId="4" borderId="0" xfId="0" applyFont="1" applyFill="1" applyAlignment="1" applyProtection="1">
      <alignment horizontal="center" vertical="center" wrapText="1"/>
      <protection hidden="1"/>
    </xf>
    <xf numFmtId="165" fontId="12" fillId="4" borderId="6" xfId="0" applyNumberFormat="1" applyFont="1" applyFill="1" applyBorder="1" applyAlignment="1" applyProtection="1">
      <alignment horizontal="center" vertical="center"/>
      <protection hidden="1"/>
    </xf>
    <xf numFmtId="2" fontId="12" fillId="0" borderId="0" xfId="0" applyNumberFormat="1" applyFont="1" applyAlignment="1" applyProtection="1">
      <alignment horizontal="center" vertical="center"/>
      <protection hidden="1"/>
    </xf>
    <xf numFmtId="164" fontId="9" fillId="4" borderId="0" xfId="0" applyNumberFormat="1" applyFont="1" applyFill="1" applyAlignment="1" applyProtection="1">
      <alignment horizontal="right"/>
      <protection locked="0"/>
    </xf>
    <xf numFmtId="0" fontId="9" fillId="4" borderId="0" xfId="0" applyFont="1" applyFill="1" applyAlignment="1" applyProtection="1">
      <alignment horizontal="right"/>
      <protection locked="0"/>
    </xf>
    <xf numFmtId="49" fontId="11" fillId="4" borderId="30" xfId="0" applyNumberFormat="1" applyFont="1" applyFill="1" applyBorder="1" applyAlignment="1" applyProtection="1">
      <alignment horizontal="center"/>
      <protection hidden="1"/>
    </xf>
    <xf numFmtId="0" fontId="7" fillId="8" borderId="31" xfId="0" applyFont="1" applyFill="1" applyBorder="1" applyAlignment="1">
      <alignment horizontal="center" vertical="center"/>
    </xf>
    <xf numFmtId="0" fontId="7" fillId="8" borderId="32" xfId="0" applyFont="1" applyFill="1" applyBorder="1" applyAlignment="1">
      <alignment horizontal="center" vertical="center"/>
    </xf>
    <xf numFmtId="14" fontId="9" fillId="4" borderId="0" xfId="0" applyNumberFormat="1" applyFont="1" applyFill="1" applyAlignment="1" applyProtection="1">
      <alignment horizontal="right"/>
      <protection locked="0"/>
    </xf>
    <xf numFmtId="167" fontId="9" fillId="4" borderId="0" xfId="3" applyNumberFormat="1" applyFont="1" applyFill="1" applyAlignment="1" applyProtection="1">
      <alignment horizontal="right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8">
    <cellStyle name="Comma" xfId="3" builtinId="3"/>
    <cellStyle name="Normal" xfId="0" builtinId="0"/>
    <cellStyle name="Normal 2" xfId="4" xr:uid="{00000000-0005-0000-0000-000002000000}"/>
    <cellStyle name="Normal 2 10" xfId="2" xr:uid="{00000000-0005-0000-0000-000003000000}"/>
    <cellStyle name="Normal 2 10 2" xfId="5" xr:uid="{00000000-0005-0000-0000-000004000000}"/>
    <cellStyle name="Normal 2 10 3" xfId="7" xr:uid="{00000000-0005-0000-0000-000005000000}"/>
    <cellStyle name="Normal 3" xfId="6" xr:uid="{00000000-0005-0000-0000-000006000000}"/>
    <cellStyle name="Normal_elec 2" xfId="1" xr:uid="{00000000-0005-0000-0000-000007000000}"/>
  </cellStyles>
  <dxfs count="4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colors>
    <mruColors>
      <color rgb="FFFDB71E"/>
      <color rgb="FF0A1C42"/>
      <color rgb="FF0084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145675</xdr:colOff>
      <xdr:row>12</xdr:row>
      <xdr:rowOff>11205</xdr:rowOff>
    </xdr:from>
    <xdr:to>
      <xdr:col>7</xdr:col>
      <xdr:colOff>784412</xdr:colOff>
      <xdr:row>16</xdr:row>
      <xdr:rowOff>36979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302557" y="1355911"/>
          <a:ext cx="4303061" cy="4740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GB" sz="2000" b="0" i="1">
              <a:solidFill>
                <a:srgbClr val="FDB71E"/>
              </a:solidFill>
            </a:rPr>
            <a:t>&gt;</a:t>
          </a:r>
          <a:r>
            <a:rPr lang="en-GB" sz="2000" b="0" i="1">
              <a:solidFill>
                <a:schemeClr val="tx1">
                  <a:lumMod val="75000"/>
                  <a:lumOff val="25000"/>
                </a:schemeClr>
              </a:solidFill>
            </a:rPr>
            <a:t> </a:t>
          </a:r>
          <a:r>
            <a:rPr lang="en-GB" sz="2000" b="0" i="1">
              <a:solidFill>
                <a:srgbClr val="0A1C42"/>
              </a:solidFill>
            </a:rPr>
            <a:t>Electricity Multisite Pricing Matrix </a:t>
          </a:r>
          <a:endParaRPr lang="en-GB" sz="1200" b="0" i="1">
            <a:solidFill>
              <a:srgbClr val="0A1C42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103908</xdr:colOff>
      <xdr:row>11</xdr:row>
      <xdr:rowOff>34636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ED0DDDE1-5F17-4174-B99F-D3B7709E3B0F}"/>
            </a:ext>
          </a:extLst>
        </xdr:cNvPr>
        <xdr:cNvSpPr/>
      </xdr:nvSpPr>
      <xdr:spPr>
        <a:xfrm>
          <a:off x="0" y="0"/>
          <a:ext cx="17924317" cy="1368136"/>
        </a:xfrm>
        <a:prstGeom prst="rect">
          <a:avLst/>
        </a:prstGeom>
        <a:solidFill>
          <a:srgbClr val="0A1C42"/>
        </a:solidFill>
        <a:ln>
          <a:noFill/>
        </a:ln>
        <a:effectLst>
          <a:innerShdw blurRad="63500" dist="38100" dir="5400000">
            <a:prstClr val="black">
              <a:alpha val="2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46</xdr:col>
      <xdr:colOff>885824</xdr:colOff>
      <xdr:row>3</xdr:row>
      <xdr:rowOff>6323</xdr:rowOff>
    </xdr:from>
    <xdr:to>
      <xdr:col>48</xdr:col>
      <xdr:colOff>908337</xdr:colOff>
      <xdr:row>9</xdr:row>
      <xdr:rowOff>44824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2C6D37B3-5DF9-4B5F-842F-C537233EECE0}"/>
            </a:ext>
          </a:extLst>
        </xdr:cNvPr>
        <xdr:cNvSpPr txBox="1"/>
      </xdr:nvSpPr>
      <xdr:spPr>
        <a:xfrm>
          <a:off x="14803530" y="342499"/>
          <a:ext cx="2723131" cy="7108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GB" sz="2000" b="1">
              <a:solidFill>
                <a:schemeClr val="bg1"/>
              </a:solidFill>
            </a:rPr>
            <a:t>SMARTSaver</a:t>
          </a:r>
          <a:r>
            <a:rPr lang="en-GB" sz="2000" b="1">
              <a:solidFill>
                <a:schemeClr val="tx1">
                  <a:lumMod val="75000"/>
                  <a:lumOff val="25000"/>
                </a:schemeClr>
              </a:solidFill>
            </a:rPr>
            <a:t> </a:t>
          </a:r>
          <a:r>
            <a:rPr lang="en-GB" sz="2000" b="0" i="1">
              <a:solidFill>
                <a:srgbClr val="FDB71E"/>
              </a:solidFill>
            </a:rPr>
            <a:t>Electricity</a:t>
          </a:r>
        </a:p>
        <a:p>
          <a:pPr algn="r"/>
          <a:endParaRPr lang="en-GB" sz="300" b="0" i="1">
            <a:solidFill>
              <a:schemeClr val="bg1"/>
            </a:solidFill>
          </a:endParaRPr>
        </a:p>
        <a:p>
          <a:pPr algn="r"/>
          <a:r>
            <a:rPr lang="en-GB" sz="1100" b="0" i="1">
              <a:solidFill>
                <a:schemeClr val="bg1"/>
              </a:solidFill>
            </a:rPr>
            <a:t>Simple</a:t>
          </a:r>
          <a:r>
            <a:rPr lang="en-GB" sz="1100" b="0" i="1" baseline="0">
              <a:solidFill>
                <a:schemeClr val="bg1"/>
              </a:solidFill>
            </a:rPr>
            <a:t> savings, smarter service</a:t>
          </a:r>
          <a:endParaRPr lang="en-GB" sz="1100" b="0" i="1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46</xdr:col>
      <xdr:colOff>202014</xdr:colOff>
      <xdr:row>3</xdr:row>
      <xdr:rowOff>12122</xdr:rowOff>
    </xdr:from>
    <xdr:to>
      <xdr:col>46</xdr:col>
      <xdr:colOff>842095</xdr:colOff>
      <xdr:row>8</xdr:row>
      <xdr:rowOff>58259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E7F3BCC9-D468-486B-95D5-A19CAC81F1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25832" y="375804"/>
          <a:ext cx="640081" cy="652273"/>
        </a:xfrm>
        <a:prstGeom prst="rect">
          <a:avLst/>
        </a:prstGeom>
      </xdr:spPr>
    </xdr:pic>
    <xdr:clientData/>
  </xdr:twoCellAnchor>
  <xdr:twoCellAnchor editAs="oneCell">
    <xdr:from>
      <xdr:col>2</xdr:col>
      <xdr:colOff>88883</xdr:colOff>
      <xdr:row>1</xdr:row>
      <xdr:rowOff>44918</xdr:rowOff>
    </xdr:from>
    <xdr:to>
      <xdr:col>4</xdr:col>
      <xdr:colOff>62345</xdr:colOff>
      <xdr:row>9</xdr:row>
      <xdr:rowOff>90969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F997A70A-822D-4757-9098-B39FCBD1B0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474" y="166145"/>
          <a:ext cx="1705280" cy="1015869"/>
        </a:xfrm>
        <a:prstGeom prst="rect">
          <a:avLst/>
        </a:prstGeom>
      </xdr:spPr>
    </xdr:pic>
    <xdr:clientData/>
  </xdr:twoCellAnchor>
  <xdr:twoCellAnchor>
    <xdr:from>
      <xdr:col>46</xdr:col>
      <xdr:colOff>1073728</xdr:colOff>
      <xdr:row>6</xdr:row>
      <xdr:rowOff>4519</xdr:rowOff>
    </xdr:from>
    <xdr:to>
      <xdr:col>48</xdr:col>
      <xdr:colOff>852099</xdr:colOff>
      <xdr:row>6</xdr:row>
      <xdr:rowOff>4519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79BB2A8-7817-4F84-AE82-D4F87B5E8F8D}"/>
            </a:ext>
          </a:extLst>
        </xdr:cNvPr>
        <xdr:cNvCxnSpPr/>
      </xdr:nvCxnSpPr>
      <xdr:spPr>
        <a:xfrm>
          <a:off x="14971945" y="700258"/>
          <a:ext cx="2486784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458933</xdr:colOff>
      <xdr:row>31</xdr:row>
      <xdr:rowOff>41788</xdr:rowOff>
    </xdr:from>
    <xdr:to>
      <xdr:col>11</xdr:col>
      <xdr:colOff>94198</xdr:colOff>
      <xdr:row>33</xdr:row>
      <xdr:rowOff>22738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/>
      </xdr:nvSpPr>
      <xdr:spPr>
        <a:xfrm>
          <a:off x="7377547" y="5739470"/>
          <a:ext cx="3791628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GB" sz="2000" b="0" i="1">
              <a:solidFill>
                <a:srgbClr val="FDB71E"/>
              </a:solidFill>
            </a:rPr>
            <a:t>&gt;</a:t>
          </a:r>
          <a:r>
            <a:rPr lang="en-GB" sz="2000" b="0" i="1">
              <a:solidFill>
                <a:schemeClr val="tx1">
                  <a:lumMod val="75000"/>
                  <a:lumOff val="25000"/>
                </a:schemeClr>
              </a:solidFill>
            </a:rPr>
            <a:t> </a:t>
          </a:r>
          <a:r>
            <a:rPr lang="en-GB" sz="2000" b="0" i="1">
              <a:solidFill>
                <a:srgbClr val="0A1C42"/>
              </a:solidFill>
            </a:rPr>
            <a:t>Electricity Pricing Matrix </a:t>
          </a:r>
          <a:endParaRPr lang="en-GB" sz="1200" b="0" i="1">
            <a:solidFill>
              <a:srgbClr val="0A1C42"/>
            </a:solidFill>
          </a:endParaRPr>
        </a:p>
      </xdr:txBody>
    </xdr:sp>
    <xdr:clientData/>
  </xdr:twoCellAnchor>
  <xdr:twoCellAnchor>
    <xdr:from>
      <xdr:col>0</xdr:col>
      <xdr:colOff>463827</xdr:colOff>
      <xdr:row>9</xdr:row>
      <xdr:rowOff>8282</xdr:rowOff>
    </xdr:from>
    <xdr:to>
      <xdr:col>5</xdr:col>
      <xdr:colOff>153864</xdr:colOff>
      <xdr:row>27</xdr:row>
      <xdr:rowOff>7327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463827" y="1875182"/>
          <a:ext cx="3461937" cy="3447095"/>
        </a:xfrm>
        <a:prstGeom prst="rect">
          <a:avLst/>
        </a:prstGeom>
        <a:noFill/>
        <a:ln>
          <a:solidFill>
            <a:schemeClr val="bg2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  <a:p>
          <a:pPr algn="l"/>
          <a:endParaRPr lang="en-GB" sz="1100"/>
        </a:p>
      </xdr:txBody>
    </xdr:sp>
    <xdr:clientData/>
  </xdr:twoCellAnchor>
  <xdr:twoCellAnchor>
    <xdr:from>
      <xdr:col>9</xdr:col>
      <xdr:colOff>150502</xdr:colOff>
      <xdr:row>20</xdr:row>
      <xdr:rowOff>51613</xdr:rowOff>
    </xdr:from>
    <xdr:to>
      <xdr:col>10</xdr:col>
      <xdr:colOff>1322077</xdr:colOff>
      <xdr:row>25</xdr:row>
      <xdr:rowOff>93396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8457959" y="4027265"/>
          <a:ext cx="2554770" cy="61328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 b="0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*Includes CCL and VAT at appropriate rate. If customer</a:t>
          </a:r>
          <a:r>
            <a:rPr lang="en-GB" sz="800" b="0" i="0" u="none" strike="noStrike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EAC is below 12,000 kWh, VAT is charged at the reduced rate. Amount </a:t>
          </a:r>
          <a:r>
            <a:rPr lang="en-GB" sz="800" b="0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is intended as a guide only,</a:t>
          </a:r>
          <a:r>
            <a:rPr lang="en-GB" sz="800" b="0" i="0" u="none" strike="noStrike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actual payment </a:t>
          </a:r>
          <a:r>
            <a:rPr lang="en-GB" sz="800" b="0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will be confirmed</a:t>
          </a:r>
          <a:r>
            <a:rPr lang="en-GB" sz="800" b="0" i="0" u="none" strike="noStrike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following order acceptance.</a:t>
          </a:r>
          <a:endParaRPr lang="en-GB" sz="8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7</xdr:col>
      <xdr:colOff>33130</xdr:colOff>
      <xdr:row>20</xdr:row>
      <xdr:rowOff>58392</xdr:rowOff>
    </xdr:from>
    <xdr:to>
      <xdr:col>7</xdr:col>
      <xdr:colOff>1036568</xdr:colOff>
      <xdr:row>21</xdr:row>
      <xdr:rowOff>115541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5574195" y="4034044"/>
          <a:ext cx="1003438" cy="2476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 b="0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Prices exclude VAT.</a:t>
          </a:r>
          <a:endParaRPr lang="en-GB" sz="8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0</xdr:col>
      <xdr:colOff>534265</xdr:colOff>
      <xdr:row>27</xdr:row>
      <xdr:rowOff>37535</xdr:rowOff>
    </xdr:from>
    <xdr:to>
      <xdr:col>5</xdr:col>
      <xdr:colOff>209550</xdr:colOff>
      <xdr:row>31</xdr:row>
      <xdr:rowOff>180974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534265" y="5352485"/>
          <a:ext cx="3447185" cy="90543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 b="1" i="0" u="none" strike="noStrike">
              <a:solidFill>
                <a:srgbClr val="0A1C42"/>
              </a:solidFill>
              <a:effectLst/>
              <a:latin typeface="+mn-lt"/>
              <a:ea typeface="+mn-ea"/>
              <a:cs typeface="+mn-cs"/>
            </a:rPr>
            <a:t>Using the SmartSaver Pricing Tool:</a:t>
          </a:r>
        </a:p>
        <a:p>
          <a:r>
            <a:rPr lang="en-GB" sz="800" b="0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Firstly enter the full 21 digit MPAN number</a:t>
          </a:r>
        </a:p>
        <a:p>
          <a:r>
            <a:rPr lang="en-GB" sz="800" b="0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Then select the Start date, Contract</a:t>
          </a:r>
          <a:r>
            <a:rPr lang="en-GB" sz="800" b="0" i="0" u="none" strike="noStrike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Type and Product.</a:t>
          </a:r>
          <a:endParaRPr lang="en-GB" sz="800" b="0" i="0" u="none" strike="noStrike">
            <a:solidFill>
              <a:schemeClr val="bg1">
                <a:lumMod val="50000"/>
              </a:schemeClr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800" baseline="0">
              <a:solidFill>
                <a:schemeClr val="bg1">
                  <a:lumMod val="50000"/>
                </a:schemeClr>
              </a:solidFill>
            </a:rPr>
            <a:t>Finally enter </a:t>
          </a:r>
          <a:r>
            <a:rPr lang="en-GB" sz="800">
              <a:solidFill>
                <a:schemeClr val="bg1">
                  <a:lumMod val="50000"/>
                </a:schemeClr>
              </a:solidFill>
            </a:rPr>
            <a:t>Customer EAC and your Commission Uplift (in increments of 0.1).</a:t>
          </a:r>
        </a:p>
        <a:p>
          <a:r>
            <a:rPr lang="en-GB" sz="800">
              <a:solidFill>
                <a:schemeClr val="bg1">
                  <a:lumMod val="50000"/>
                </a:schemeClr>
              </a:solidFill>
            </a:rPr>
            <a:t>If</a:t>
          </a:r>
          <a:r>
            <a:rPr lang="en-GB" sz="800" baseline="0">
              <a:solidFill>
                <a:schemeClr val="bg1">
                  <a:lumMod val="50000"/>
                </a:schemeClr>
              </a:solidFill>
            </a:rPr>
            <a:t> customer is Half Hourly, select a 1 or 2 rate profile and a kVa amount will need to be added in the final box.</a:t>
          </a:r>
          <a:endParaRPr lang="en-GB" sz="8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0</xdr:colOff>
      <xdr:row>6</xdr:row>
      <xdr:rowOff>98806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4C367A6C-CDF1-4587-BF71-3867A324E8A2}"/>
            </a:ext>
          </a:extLst>
        </xdr:cNvPr>
        <xdr:cNvSpPr/>
      </xdr:nvSpPr>
      <xdr:spPr>
        <a:xfrm>
          <a:off x="0" y="0"/>
          <a:ext cx="11878235" cy="1253012"/>
        </a:xfrm>
        <a:prstGeom prst="rect">
          <a:avLst/>
        </a:prstGeom>
        <a:solidFill>
          <a:srgbClr val="0A1C42"/>
        </a:solidFill>
        <a:ln>
          <a:noFill/>
        </a:ln>
        <a:effectLst>
          <a:innerShdw blurRad="63500" dist="38100" dir="5400000">
            <a:prstClr val="black">
              <a:alpha val="2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171449</xdr:colOff>
      <xdr:row>1</xdr:row>
      <xdr:rowOff>127551</xdr:rowOff>
    </xdr:from>
    <xdr:to>
      <xdr:col>11</xdr:col>
      <xdr:colOff>145675</xdr:colOff>
      <xdr:row>5</xdr:row>
      <xdr:rowOff>19050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B1380A2A-FA3B-46AA-A992-3DDCC3610163}"/>
            </a:ext>
          </a:extLst>
        </xdr:cNvPr>
        <xdr:cNvSpPr txBox="1"/>
      </xdr:nvSpPr>
      <xdr:spPr>
        <a:xfrm>
          <a:off x="8687920" y="318051"/>
          <a:ext cx="2730873" cy="6647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GB" sz="2000" b="1">
              <a:solidFill>
                <a:schemeClr val="bg1"/>
              </a:solidFill>
            </a:rPr>
            <a:t>SMARTSaver</a:t>
          </a:r>
          <a:r>
            <a:rPr lang="en-GB" sz="2000" b="1">
              <a:solidFill>
                <a:schemeClr val="tx1">
                  <a:lumMod val="75000"/>
                  <a:lumOff val="25000"/>
                </a:schemeClr>
              </a:solidFill>
            </a:rPr>
            <a:t> </a:t>
          </a:r>
          <a:r>
            <a:rPr lang="en-GB" sz="2000" b="0" i="1">
              <a:solidFill>
                <a:srgbClr val="FDB71E"/>
              </a:solidFill>
            </a:rPr>
            <a:t>Electricity</a:t>
          </a:r>
        </a:p>
        <a:p>
          <a:pPr algn="r"/>
          <a:endParaRPr lang="en-GB" sz="300" b="0" i="1">
            <a:solidFill>
              <a:schemeClr val="bg1"/>
            </a:solidFill>
          </a:endParaRPr>
        </a:p>
        <a:p>
          <a:pPr algn="r"/>
          <a:r>
            <a:rPr lang="en-GB" sz="1100" b="0" i="1">
              <a:solidFill>
                <a:schemeClr val="bg1"/>
              </a:solidFill>
            </a:rPr>
            <a:t>Simple</a:t>
          </a:r>
          <a:r>
            <a:rPr lang="en-GB" sz="1100" b="0" i="1" baseline="0">
              <a:solidFill>
                <a:schemeClr val="bg1"/>
              </a:solidFill>
            </a:rPr>
            <a:t> savings, smarter service</a:t>
          </a:r>
          <a:endParaRPr lang="en-GB" sz="1100" b="0" i="1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339074</xdr:colOff>
      <xdr:row>3</xdr:row>
      <xdr:rowOff>107436</xdr:rowOff>
    </xdr:from>
    <xdr:to>
      <xdr:col>11</xdr:col>
      <xdr:colOff>134470</xdr:colOff>
      <xdr:row>3</xdr:row>
      <xdr:rowOff>107436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9529B192-29B3-4182-9C6A-81E3BCC000AD}"/>
            </a:ext>
          </a:extLst>
        </xdr:cNvPr>
        <xdr:cNvCxnSpPr/>
      </xdr:nvCxnSpPr>
      <xdr:spPr>
        <a:xfrm>
          <a:off x="8855545" y="678936"/>
          <a:ext cx="2552043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868765</xdr:colOff>
      <xdr:row>1</xdr:row>
      <xdr:rowOff>133350</xdr:rowOff>
    </xdr:from>
    <xdr:to>
      <xdr:col>9</xdr:col>
      <xdr:colOff>127721</xdr:colOff>
      <xdr:row>5</xdr:row>
      <xdr:rowOff>14098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6CB3C1B0-5473-4DF3-9312-6FA18E13C5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2515" y="323850"/>
          <a:ext cx="640081" cy="652273"/>
        </a:xfrm>
        <a:prstGeom prst="rect">
          <a:avLst/>
        </a:prstGeom>
      </xdr:spPr>
    </xdr:pic>
    <xdr:clientData/>
  </xdr:twoCellAnchor>
  <xdr:twoCellAnchor editAs="oneCell">
    <xdr:from>
      <xdr:col>0</xdr:col>
      <xdr:colOff>504520</xdr:colOff>
      <xdr:row>0</xdr:row>
      <xdr:rowOff>148827</xdr:rowOff>
    </xdr:from>
    <xdr:to>
      <xdr:col>2</xdr:col>
      <xdr:colOff>381000</xdr:colOff>
      <xdr:row>6</xdr:row>
      <xdr:rowOff>12171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FDAA09D9-8368-4873-AF95-74AE2BE0B0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520" y="148827"/>
          <a:ext cx="1705280" cy="10158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59"/>
  <sheetViews>
    <sheetView zoomScaleNormal="100" workbookViewId="0">
      <pane ySplit="8" topLeftCell="A9" activePane="bottomLeft" state="frozen"/>
      <selection pane="bottomLeft" activeCell="L22" sqref="L22"/>
    </sheetView>
  </sheetViews>
  <sheetFormatPr defaultColWidth="0" defaultRowHeight="14.4" zeroHeight="1" x14ac:dyDescent="0.3"/>
  <cols>
    <col min="1" max="1" width="1.44140625" style="69" customWidth="1"/>
    <col min="2" max="2" width="14.109375" style="69" customWidth="1"/>
    <col min="3" max="3" width="11.33203125" style="69" customWidth="1"/>
    <col min="4" max="4" width="7.44140625" style="69" customWidth="1"/>
    <col min="5" max="5" width="8.109375" style="69" customWidth="1"/>
    <col min="6" max="6" width="9.33203125" style="69" customWidth="1"/>
    <col min="7" max="7" width="12.33203125" style="69" customWidth="1"/>
    <col min="8" max="8" width="20.44140625" style="69" customWidth="1"/>
    <col min="9" max="9" width="10" style="69" customWidth="1"/>
    <col min="10" max="14" width="14" style="69" customWidth="1"/>
    <col min="15" max="15" width="15" style="69" customWidth="1"/>
    <col min="16" max="16" width="12" style="69" customWidth="1"/>
    <col min="17" max="17" width="14.109375" style="69" customWidth="1"/>
    <col min="18" max="18" width="1.44140625" style="69" customWidth="1"/>
    <col min="19" max="19" width="14.109375" style="69" hidden="1" customWidth="1"/>
    <col min="20" max="20" width="30.109375" style="69" hidden="1" customWidth="1"/>
    <col min="21" max="16384" width="9.109375" style="69" hidden="1"/>
  </cols>
  <sheetData>
    <row r="1" spans="2:21" ht="15" thickBot="1" x14ac:dyDescent="0.35"/>
    <row r="2" spans="2:21" ht="15" thickBot="1" x14ac:dyDescent="0.35">
      <c r="C2" s="69" t="s">
        <v>125</v>
      </c>
      <c r="L2" s="68" t="s">
        <v>66</v>
      </c>
      <c r="M2" s="92" t="s">
        <v>126</v>
      </c>
      <c r="O2" s="69" t="s">
        <v>120</v>
      </c>
      <c r="Q2" s="70">
        <f ca="1">IFERROR(SUM(P9:P58),"")</f>
        <v>0</v>
      </c>
    </row>
    <row r="3" spans="2:21" ht="15" thickBot="1" x14ac:dyDescent="0.35">
      <c r="C3" s="69" t="s">
        <v>122</v>
      </c>
    </row>
    <row r="4" spans="2:21" ht="15" thickBot="1" x14ac:dyDescent="0.35">
      <c r="C4" s="69" t="s">
        <v>119</v>
      </c>
      <c r="L4" s="68" t="s">
        <v>10</v>
      </c>
      <c r="M4" s="92" t="s">
        <v>127</v>
      </c>
      <c r="O4" s="69" t="s">
        <v>121</v>
      </c>
      <c r="Q4" s="70">
        <f ca="1">IFERROR(SUM(Q9:Q58),"")</f>
        <v>0</v>
      </c>
    </row>
    <row r="5" spans="2:21" ht="15" thickBot="1" x14ac:dyDescent="0.35"/>
    <row r="6" spans="2:21" ht="15" thickBot="1" x14ac:dyDescent="0.35">
      <c r="B6" s="172" t="s">
        <v>123</v>
      </c>
      <c r="C6" s="173"/>
      <c r="D6" s="173"/>
      <c r="E6" s="173"/>
      <c r="F6" s="173"/>
      <c r="G6" s="173"/>
      <c r="H6" s="173"/>
      <c r="I6" s="174"/>
      <c r="J6" s="177" t="s">
        <v>124</v>
      </c>
      <c r="K6" s="178"/>
      <c r="L6" s="178"/>
      <c r="M6" s="178"/>
      <c r="N6" s="178"/>
      <c r="O6" s="178"/>
      <c r="P6" s="178"/>
      <c r="Q6" s="179"/>
    </row>
    <row r="7" spans="2:21" ht="15" customHeight="1" x14ac:dyDescent="0.3">
      <c r="B7" s="170" t="s">
        <v>118</v>
      </c>
      <c r="C7" s="168" t="s">
        <v>59</v>
      </c>
      <c r="D7" s="168" t="s">
        <v>0</v>
      </c>
      <c r="E7" s="168" t="s">
        <v>60</v>
      </c>
      <c r="F7" s="168" t="s">
        <v>1</v>
      </c>
      <c r="G7" s="168" t="s">
        <v>110</v>
      </c>
      <c r="H7" s="168" t="s">
        <v>8</v>
      </c>
      <c r="I7" s="175" t="s">
        <v>96</v>
      </c>
      <c r="J7" s="168" t="s">
        <v>112</v>
      </c>
      <c r="K7" s="168" t="s">
        <v>113</v>
      </c>
      <c r="L7" s="168" t="s">
        <v>114</v>
      </c>
      <c r="M7" s="168" t="s">
        <v>115</v>
      </c>
      <c r="N7" s="168" t="s">
        <v>111</v>
      </c>
      <c r="O7" s="168" t="s">
        <v>99</v>
      </c>
      <c r="P7" s="168" t="s">
        <v>40</v>
      </c>
      <c r="Q7" s="168" t="s">
        <v>116</v>
      </c>
      <c r="R7" s="71"/>
      <c r="S7" s="180" t="s">
        <v>72</v>
      </c>
      <c r="T7" s="180" t="s">
        <v>117</v>
      </c>
    </row>
    <row r="8" spans="2:21" ht="15" thickBot="1" x14ac:dyDescent="0.35">
      <c r="B8" s="171"/>
      <c r="C8" s="169"/>
      <c r="D8" s="169"/>
      <c r="E8" s="169"/>
      <c r="F8" s="169"/>
      <c r="G8" s="169"/>
      <c r="H8" s="169"/>
      <c r="I8" s="176"/>
      <c r="J8" s="169"/>
      <c r="K8" s="169"/>
      <c r="L8" s="169"/>
      <c r="M8" s="169"/>
      <c r="N8" s="169"/>
      <c r="O8" s="169"/>
      <c r="P8" s="169"/>
      <c r="Q8" s="169"/>
      <c r="R8" s="71"/>
      <c r="S8" s="180"/>
      <c r="T8" s="180"/>
    </row>
    <row r="9" spans="2:21" x14ac:dyDescent="0.3">
      <c r="B9" s="72"/>
      <c r="C9" s="73"/>
      <c r="D9" s="75"/>
      <c r="E9" s="76"/>
      <c r="F9" s="77"/>
      <c r="G9" s="77"/>
      <c r="H9" s="74"/>
      <c r="I9" s="78"/>
      <c r="J9" s="93" t="str">
        <f ca="1">IF(U9=TRUE,"",IFERROR((((INDEX('Flat Rates'!$A$1:$M$3422,MATCH(T9,'Flat Rates'!$A$1:$A$3422,0),MATCH("Standing Charge",'Flat Rates'!$A$1:$M$1,0))*100))),""))</f>
        <v/>
      </c>
      <c r="K9" s="93" t="str">
        <f ca="1">IF(U9=TRUE,"",IFERROR((IF(NOT(H9="Universal"),"",INDEX('Flat Rates'!$A$1:$M$3422,MATCH(T9,'Flat Rates'!$A$1:$A$3422,0),MATCH("Uni/Day Rate",'Flat Rates'!$A$1:$M$1,0))+(G9/100))*100),""))</f>
        <v/>
      </c>
      <c r="L9" s="93" t="str">
        <f ca="1">IF(U9=TRUE,"",IFERROR((IF(H9="Universal","",INDEX('Flat Rates'!$A$1:$M$3422,MATCH(T9,'Flat Rates'!$A$1:$A$3422,0),MATCH("Uni/Day Rate",'Flat Rates'!$A$1:$M$1,0))+(G9/100))*100),""))</f>
        <v/>
      </c>
      <c r="M9" s="93" t="str">
        <f ca="1">IF(U9=TRUE,"",IFERROR(((INDEX('Flat Rates'!$A$1:$M$3422,MATCH(T9,'Flat Rates'!$A$1:$A$3422,0),MATCH("Night Unit Rate",'Flat Rates'!$A$1:$M$1,0))+(G9/100))*100),""))</f>
        <v/>
      </c>
      <c r="N9" s="93" t="str">
        <f ca="1">IF(U9=TRUE,"",IFERROR(((INDEX('Flat Rates'!$A$1:$M$3422,MATCH(T9,'Flat Rates'!$A$1:$A$3422,0),MATCH("Evening and Weekend Rate",'Flat Rates'!$A$1:$M$1,0))+(G9/100))*100),""))</f>
        <v/>
      </c>
      <c r="O9" s="93" t="str">
        <f ca="1">IF(U9=TRUE,"",IF(NOT(E9=0),"",INDEX(#REF!,MATCH(D9,#REF!,0),MATCH(IF(MONTH(C9)&lt;4,YEAR(C9)-1,YEAR(C9)),#REF!,0))))</f>
        <v/>
      </c>
      <c r="P9" s="94" t="str">
        <f ca="1">IF(U9=TRUE,"",IFERROR(IF(H9="Universal",SUM(((J9/100)*365),((K9/100)*F9)),IF(H9="Economy 7",SUM(((J9/100)*365),(((L9/100)*F9)*Calcs!$C$6),(((M9/100)*F9)*Calcs!$D$6)),IF(H9="Evening and Weekend",SUM(((J9/100)*365),(((L9/100)*F9)*Calcs!$C$12),(((N9/100)*F9)*Calcs!$D$12)),IF(H9="3 Rate",SUM(((J9/100)*365),(((L9/100)*F9)*Calcs!$C$9),(((M9/100)*F9)*Calcs!$D$9),(((N9/100)*F9)*Calcs!$E$9)),IF(H9="2 Rate Half Hourly",SUM(((J9/100)*365),(((L9/100)*F9)*Calcs!$C$18),(((M9/100)*F9)*Calcs!$D$18)))))))+IFERROR(((((O9/100)*I9)*12)),0),""))</f>
        <v/>
      </c>
      <c r="Q9" s="95" t="str">
        <f ca="1">IF(U9=TRUE,"",IFERROR(IF(F9&lt;12000,((P9*1.05)/12),(((F9*Calcs!#REF!)+P9)*1.2)/12),""))</f>
        <v/>
      </c>
      <c r="R9" s="70"/>
      <c r="S9" s="69" t="str">
        <f>IF(NOT($M$2="Acquisition"),"Level 1",IF(C9&lt;=Calcs!$I$2,"Level 1",IF(AND($M$4="36 Months APR",C9&lt;=Calcs!$I$4),"Level 2","")))</f>
        <v>Level 1</v>
      </c>
      <c r="T9" s="69" t="str">
        <f>IF(NOT(H9="3 Rate Half Hourly"),CONCATENATE(D9,"-",E9,"-",IF(H9="Universal","U",IF(H9="Economy 7","E7",IF(H9="Evening and Weekend","EW",IF(H9="3 Rate","3RATE",IF(H9="3 Rate Half Hourly","TOU",IF(H9="2 Rate Half Hourly","HH 2RATE")))))),"-",IF($M$4="12 Months","1 year",IF($M$4="24 Months","2 year",IF($M$4="36 Months","3 year",IF(AND($M$4="36 Months APR",$M$2="Acquisition"),"3 year - with APR",IF(AND($M$4="36 Months APR",NOT($M$2="Acquisition")),"3 year APR -",))))),IF(AND($M$4="36 Months APR",$M$2="Acquisition"),"",IF($M$2="Acquisition"," Fixed",CONCATENATE(" ",$M$2))),IF(S9="Level 2",CONCATENATE(" (",S9,")"),"")),CONCATENATE(G9,"-",D9,"-",E9,"-",IF(H9="Universal","U",IF(H9="Economy 7","E7",IF(H9="Evening and Weekend","EW",IF(H9="3 Rate","3RATE",IF(H9="3 Rate Half Hourly","TOU",IF(H9="2 Rate Half Hourly","HH 2RATE")))))),"-",IF($M$4="12 Months","1 year",IF($M$4="24 Months","2 year",IF($M$4="36 Months","3 year",IF(AND($M$4="36 Months APR",$M$2="Acquisition"),"3 year - with APR",IF(AND($M$4="36 Months APR",NOT($M$2="Acquisition")),"3 year APR -",))))),IF(AND($M$4="36 Months APR",$M$2="Acquisition"),"",IF($M$2="Acquisition"," Fixed",CONCATENATE(" ",$M$2))),IF(S9="Level 2",CONCATENATE(" (",S9,")"),"")))</f>
        <v>--FALSE- Fixed</v>
      </c>
      <c r="U9" s="69" t="b">
        <f ca="1">IFERROR(IF(AND(C9="",$M$2=""),TRUE,IF(AND($M$2="Acquisition",C9=""),TRUE,IF(AND(NOT($M$2="Acquisition"),C9=""),TRUE,IF($M$2="",TRUE,IF($M$4="",TRUE,IF(D9="",TRUE,IF(E9="",TRUE,IF(F9="",TRUE,IF(G9="",TRUE,IF(H9="",TRUE,IF(AND(E9=0,I9=""),TRUE,IF(G9&lt;0,TRUE,IF(F9&gt;1000000,TRUE,IF(F9&lt;5000,TRUE,IF(AND($M$2="Reward Plus",G9&gt;3),TRUE,IF(AND($M$2="Reward",G9&gt;1),TRUE,IF(AND($M$2="Acquisition",G9&gt;2),TRUE,IF(G9&lt;&gt;ROUND(G9,1),TRUE,IF(C9&lt;TODAY(),TRUE,IF(AND($M$2="Acquisition",C9-TODAY()&lt;10),TRUE,IF(AND($M$2="Acquisition",C9&gt;Calcs!$I$2),TRUE,IF(AND($M$2="Acquisition",C9&lt;TODAY()),TRUE,IF(AND(NOT($M$2="Acquisition"),C9&lt;TODAY()),TRUE,IF(AND(NOT($M$2="Acquisition"),C9&gt;(TODAY()+180)),TRUE,IF(ISERROR((C9+1)),TRUE,IF(ISERROR(F9+1),TRUE,IF(ISERROR(G9+1),TRUE,IF(AND($M$2="Acquisition",C9&gt;Calcs!$I$2),TRUE,IF(AND($M$2="Acquisition",E9=0,C9&gt;Calcs!$I$2),TRUE,IF(AND(H9="2 Rate Half Hourly",NOT(E9=0)),TRUE,IF(AND(E9=0,NOT(H9="2 Rate Half Hourly")),TRUE,IF(AND(ISNA(INDEX('New HHTOU Flat Rates'!$A$2:$A$4000,MATCH(T9,'New HHTOU Flat Rates'!$A$2:$A$4000,0))),ISNA(INDEX('Flat Rates'!$A$2:$A$3422,MATCH(T9,'Flat Rates'!$A$2:$A$3422,0)))),TRUE,IF(AND(E9=0,I9&lt;0),TRUE,IF(E9=0,IF(ISERROR(I9+1),TRUE,FALSE))))))))))))))))))))))))))))))))))),TRUE)</f>
        <v>1</v>
      </c>
    </row>
    <row r="10" spans="2:21" x14ac:dyDescent="0.3">
      <c r="B10" s="79"/>
      <c r="C10" s="80"/>
      <c r="D10" s="82"/>
      <c r="E10" s="83"/>
      <c r="H10" s="81"/>
      <c r="I10" s="84"/>
      <c r="J10" s="93" t="str">
        <f ca="1">IF(U10=TRUE,"",IFERROR((((INDEX('Flat Rates'!$A$1:$M$3422,MATCH(T10,'Flat Rates'!$A$1:$A$3422,0),MATCH("Standing Charge",'Flat Rates'!$A$1:$M$1,0))*100))),""))</f>
        <v/>
      </c>
      <c r="K10" s="93" t="str">
        <f ca="1">IF(U10=TRUE,"",IFERROR((IF(NOT(H10="Universal"),"",INDEX('Flat Rates'!$A$1:$M$3422,MATCH(T10,'Flat Rates'!$A$1:$A$3422,0),MATCH("Uni/Day Rate",'Flat Rates'!$A$1:$M$1,0))+(G10/100))*100),""))</f>
        <v/>
      </c>
      <c r="L10" s="93" t="str">
        <f ca="1">IF(U10=TRUE,"",IFERROR((IF(H10="Universal","",INDEX('Flat Rates'!$A$1:$M$3422,MATCH(T10,'Flat Rates'!$A$1:$A$3422,0),MATCH("Uni/Day Rate",'Flat Rates'!$A$1:$M$1,0))+(G10/100))*100),""))</f>
        <v/>
      </c>
      <c r="M10" s="93" t="str">
        <f ca="1">IF(U10=TRUE,"",IFERROR(((INDEX('Flat Rates'!$A$1:$M$3422,MATCH(T10,'Flat Rates'!$A$1:$A$3422,0),MATCH("Night Unit Rate",'Flat Rates'!$A$1:$M$1,0))+(G10/100))*100),""))</f>
        <v/>
      </c>
      <c r="N10" s="93" t="str">
        <f ca="1">IF(U10=TRUE,"",IFERROR(((INDEX('Flat Rates'!$A$1:$M$3422,MATCH(T10,'Flat Rates'!$A$1:$A$3422,0),MATCH("Evening and Weekend Rate",'Flat Rates'!$A$1:$M$1,0))+(G10/100))*100),""))</f>
        <v/>
      </c>
      <c r="O10" s="93" t="str">
        <f ca="1">IF(U10=TRUE,"",IF(NOT(E10=0),"",INDEX(#REF!,MATCH(D10,#REF!,0),MATCH(IF(MONTH(C10)&lt;4,YEAR(C10)-1,YEAR(C10)),#REF!,0))))</f>
        <v/>
      </c>
      <c r="P10" s="94" t="str">
        <f ca="1">IF(U10=TRUE,"",IFERROR(IF(H10="Universal",SUM(((J10/100)*365),((K10/100)*F10)),IF(H10="Economy 7",SUM(((J10/100)*365),(((L10/100)*F10)*Calcs!$C$6),(((M10/100)*F10)*Calcs!$D$6)),IF(H10="Evening and Weekend",SUM(((J10/100)*365),(((L10/100)*F10)*Calcs!$C$12),(((N10/100)*F10)*Calcs!$D$12)),IF(H10="3 Rate",SUM(((J10/100)*365),(((L10/100)*F10)*Calcs!$C$9),(((M10/100)*F10)*Calcs!$D$9),(((N10/100)*F10)*Calcs!$E$9)),IF(H10="2 Rate Half Hourly",SUM(((J10/100)*365),(((L10/100)*F10)*Calcs!$C$18),(((M10/100)*F10)*Calcs!$D$18)))))))+IFERROR(((((O10/100)*I10)*12)),0),""))</f>
        <v/>
      </c>
      <c r="Q10" s="95" t="str">
        <f ca="1">IF(U10=TRUE,"",IFERROR(IF(F10&lt;12000,((P10*1.05)/12),(((F10*Calcs!#REF!)+P10)*1.2)/12),""))</f>
        <v/>
      </c>
      <c r="R10" s="70"/>
      <c r="S10" s="69" t="str">
        <f>IF(NOT($M$2="Acquisition"),"Level 1",IF(C10&lt;=Calcs!$I$2,"Level 1",IF(AND($M$4="36 Months APR",C10&lt;=Calcs!$I$4),"Level 2","")))</f>
        <v>Level 1</v>
      </c>
      <c r="T10" s="69" t="str">
        <f t="shared" ref="T10:T58" si="0">IF(NOT(H10="3 Rate Half Hourly"),CONCATENATE(D10,"-",E10,"-",IF(H10="Universal","U",IF(H10="Economy 7","E7",IF(H10="Evening and Weekend","EW",IF(H10="3 Rate","3RATE",IF(H10="3 Rate Half Hourly","TOU",IF(H10="2 Rate Half Hourly","HH 2RATE")))))),"-",IF($M$4="12 Months","1 year",IF($M$4="24 Months","2 year",IF($M$4="36 Months","3 year",IF(AND($M$4="36 Months APR",$M$2="Acquisition"),"3 year - with APR",IF(AND($M$4="36 Months APR",NOT($M$2="Acquisition")),"3 year APR -",))))),IF(AND($M$4="36 Months APR",$M$2="Acquisition"),"",IF($M$2="Acquisition"," Fixed",CONCATENATE(" ",$M$2))),IF(S10="Level 2",CONCATENATE(" (",S10,")"),"")),CONCATENATE(G10,"-",D10,"-",E10,"-",IF(H10="Universal","U",IF(H10="Economy 7","E7",IF(H10="Evening and Weekend","EW",IF(H10="3 Rate","3RATE",IF(H10="3 Rate Half Hourly","TOU",IF(H10="2 Rate Half Hourly","HH 2RATE")))))),"-",IF($M$4="12 Months","1 year",IF($M$4="24 Months","2 year",IF($M$4="36 Months","3 year",IF(AND($M$4="36 Months APR",$M$2="Acquisition"),"3 year - with APR",IF(AND($M$4="36 Months APR",NOT($M$2="Acquisition")),"3 year APR -",))))),IF(AND($M$4="36 Months APR",$M$2="Acquisition"),"",IF($M$2="Acquisition"," Fixed",CONCATENATE(" ",$M$2))),IF(S10="Level 2",CONCATENATE(" (",S10,")"),"")))</f>
        <v>--FALSE- Fixed</v>
      </c>
      <c r="U10" s="69" t="b">
        <f ca="1">IFERROR(IF(AND(C10="",$M$2=""),TRUE,IF(AND($M$2="Acquisition",C10=""),TRUE,IF(AND(NOT($M$2="Acquisition"),C10=""),TRUE,IF($M$2="",TRUE,IF($M$4="",TRUE,IF(D10="",TRUE,IF(E10="",TRUE,IF(F10="",TRUE,IF(G10="",TRUE,IF(H10="",TRUE,IF(AND(E10=0,I10=""),TRUE,IF(G10&lt;0,TRUE,IF(F10&gt;1000000,TRUE,IF(F10&lt;5000,TRUE,IF(AND($M$2="Reward Plus",G10&gt;3),TRUE,IF(AND($M$2="Reward",G10&gt;1),TRUE,IF(AND($M$2="Acquisition",G10&gt;2),TRUE,IF(G10&lt;&gt;ROUND(G10,1),TRUE,IF(C10&lt;TODAY(),TRUE,IF(AND($M$2="Acquisition",C10-TODAY()&lt;10),TRUE,IF(AND($M$2="Acquisition",C10&gt;Calcs!$I$2),TRUE,IF(AND($M$2="Acquisition",C10&lt;TODAY()),TRUE,IF(AND(NOT($M$2="Acquisition"),C10&lt;TODAY()),TRUE,IF(AND(NOT($M$2="Acquisition"),C10&gt;(TODAY()+180)),TRUE,IF(ISERROR((C10+1)),TRUE,IF(ISERROR(F10+1),TRUE,IF(ISERROR(G10+1),TRUE,IF(AND($M$2="Acquisition",C10&gt;Calcs!$I$2),TRUE,IF(AND($M$2="Acquisition",E10=0,C10&gt;Calcs!$I$2),TRUE,IF(AND(H10="2 Rate Half Hourly",NOT(E10=0)),TRUE,IF(AND(E10=0,NOT(H10="2 Rate Half Hourly")),TRUE,IF(AND(ISNA(INDEX('New HHTOU Flat Rates'!$A$2:$A$4000,MATCH(T10,'New HHTOU Flat Rates'!$A$2:$A$4000,0))),ISNA(INDEX('Flat Rates'!$A$2:$A$3422,MATCH(T10,'Flat Rates'!$A$2:$A$3422,0)))),TRUE,IF(AND(E10=0,I10&lt;0),TRUE,IF(E10=0,IF(ISERROR(I10+1),TRUE,FALSE))))))))))))))))))))))))))))))))))),TRUE)</f>
        <v>1</v>
      </c>
    </row>
    <row r="11" spans="2:21" x14ac:dyDescent="0.3">
      <c r="B11" s="79"/>
      <c r="C11" s="80"/>
      <c r="D11" s="82"/>
      <c r="E11" s="83"/>
      <c r="H11" s="81"/>
      <c r="I11" s="84"/>
      <c r="J11" s="93" t="str">
        <f ca="1">IF(U11=TRUE,"",IFERROR((((INDEX('Flat Rates'!$A$1:$M$3422,MATCH(T11,'Flat Rates'!$A$1:$A$3422,0),MATCH("Standing Charge",'Flat Rates'!$A$1:$M$1,0))*100))),""))</f>
        <v/>
      </c>
      <c r="K11" s="93" t="str">
        <f ca="1">IF(U11=TRUE,"",IFERROR((IF(NOT(H11="Universal"),"",INDEX('Flat Rates'!$A$1:$M$3422,MATCH(T11,'Flat Rates'!$A$1:$A$3422,0),MATCH("Uni/Day Rate",'Flat Rates'!$A$1:$M$1,0))+(G11/100))*100),""))</f>
        <v/>
      </c>
      <c r="L11" s="93" t="str">
        <f ca="1">IF(U11=TRUE,"",IFERROR((IF(H11="Universal","",INDEX('Flat Rates'!$A$1:$M$3422,MATCH(T11,'Flat Rates'!$A$1:$A$3422,0),MATCH("Uni/Day Rate",'Flat Rates'!$A$1:$M$1,0))+(G11/100))*100),""))</f>
        <v/>
      </c>
      <c r="M11" s="93" t="str">
        <f ca="1">IF(U11=TRUE,"",IFERROR(((INDEX('Flat Rates'!$A$1:$M$3422,MATCH(T11,'Flat Rates'!$A$1:$A$3422,0),MATCH("Night Unit Rate",'Flat Rates'!$A$1:$M$1,0))+(G11/100))*100),""))</f>
        <v/>
      </c>
      <c r="N11" s="93" t="str">
        <f ca="1">IF(U11=TRUE,"",IFERROR(((INDEX('Flat Rates'!$A$1:$M$3422,MATCH(T11,'Flat Rates'!$A$1:$A$3422,0),MATCH("Evening and Weekend Rate",'Flat Rates'!$A$1:$M$1,0))+(G11/100))*100),""))</f>
        <v/>
      </c>
      <c r="O11" s="93" t="str">
        <f ca="1">IF(U11=TRUE,"",IF(NOT(E11=0),"",INDEX(#REF!,MATCH(D11,#REF!,0),MATCH(IF(MONTH(C11)&lt;4,YEAR(C11)-1,YEAR(C11)),#REF!,0))))</f>
        <v/>
      </c>
      <c r="P11" s="94" t="str">
        <f ca="1">IF(U11=TRUE,"",IFERROR(IF(H11="Universal",SUM(((J11/100)*365),((K11/100)*F11)),IF(H11="Economy 7",SUM(((J11/100)*365),(((L11/100)*F11)*Calcs!$C$6),(((M11/100)*F11)*Calcs!$D$6)),IF(H11="Evening and Weekend",SUM(((J11/100)*365),(((L11/100)*F11)*Calcs!$C$12),(((N11/100)*F11)*Calcs!$D$12)),IF(H11="3 Rate",SUM(((J11/100)*365),(((L11/100)*F11)*Calcs!$C$9),(((M11/100)*F11)*Calcs!$D$9),(((N11/100)*F11)*Calcs!$E$9)),IF(H11="2 Rate Half Hourly",SUM(((J11/100)*365),(((L11/100)*F11)*Calcs!$C$18),(((M11/100)*F11)*Calcs!$D$18)))))))+IFERROR(((((O11/100)*I11)*12)),0),""))</f>
        <v/>
      </c>
      <c r="Q11" s="95" t="str">
        <f ca="1">IF(U11=TRUE,"",IFERROR(IF(F11&lt;12000,((P11*1.05)/12),(((F11*Calcs!#REF!)+P11)*1.2)/12),""))</f>
        <v/>
      </c>
      <c r="R11" s="70"/>
      <c r="S11" s="69" t="str">
        <f>IF(NOT($M$2="Acquisition"),"Level 1",IF(C11&lt;=Calcs!$I$2,"Level 1",IF(AND($M$4="36 Months APR",C11&lt;=Calcs!$I$4),"Level 2","")))</f>
        <v>Level 1</v>
      </c>
      <c r="T11" s="69" t="str">
        <f t="shared" si="0"/>
        <v>--FALSE- Fixed</v>
      </c>
      <c r="U11" s="69" t="b">
        <f ca="1">IFERROR(IF(AND(C11="",$M$2=""),TRUE,IF(AND($M$2="Acquisition",C11=""),TRUE,IF(AND(NOT($M$2="Acquisition"),C11=""),TRUE,IF($M$2="",TRUE,IF($M$4="",TRUE,IF(D11="",TRUE,IF(E11="",TRUE,IF(F11="",TRUE,IF(G11="",TRUE,IF(H11="",TRUE,IF(AND(E11=0,I11=""),TRUE,IF(G11&lt;0,TRUE,IF(F11&gt;1000000,TRUE,IF(F11&lt;5000,TRUE,IF(AND($M$2="Reward Plus",G11&gt;3),TRUE,IF(AND($M$2="Reward",G11&gt;1),TRUE,IF(AND($M$2="Acquisition",G11&gt;2),TRUE,IF(G11&lt;&gt;ROUND(G11,1),TRUE,IF(C11&lt;TODAY(),TRUE,IF(AND($M$2="Acquisition",C11-TODAY()&lt;10),TRUE,IF(AND($M$2="Acquisition",C11&gt;Calcs!$I$2),TRUE,IF(AND($M$2="Acquisition",C11&lt;TODAY()),TRUE,IF(AND(NOT($M$2="Acquisition"),C11&lt;TODAY()),TRUE,IF(AND(NOT($M$2="Acquisition"),C11&gt;(TODAY()+180)),TRUE,IF(ISERROR((C11+1)),TRUE,IF(ISERROR(F11+1),TRUE,IF(ISERROR(G11+1),TRUE,IF(AND($M$2="Acquisition",C11&gt;Calcs!$I$2),TRUE,IF(AND($M$2="Acquisition",E11=0,C11&gt;Calcs!$I$2),TRUE,IF(AND(H11="2 Rate Half Hourly",NOT(E11=0)),TRUE,IF(AND(E11=0,NOT(H11="2 Rate Half Hourly")),TRUE,IF(AND(ISNA(INDEX('New HHTOU Flat Rates'!$A$2:$A$4000,MATCH(T11,'New HHTOU Flat Rates'!$A$2:$A$4000,0))),ISNA(INDEX('Flat Rates'!$A$2:$A$3422,MATCH(T11,'Flat Rates'!$A$2:$A$3422,0)))),TRUE,IF(AND(E11=0,I11&lt;0),TRUE,IF(E11=0,IF(ISERROR(I11+1),TRUE,FALSE))))))))))))))))))))))))))))))))))),TRUE)</f>
        <v>1</v>
      </c>
    </row>
    <row r="12" spans="2:21" x14ac:dyDescent="0.3">
      <c r="B12" s="79"/>
      <c r="C12" s="80"/>
      <c r="D12" s="82"/>
      <c r="E12" s="83"/>
      <c r="H12" s="81"/>
      <c r="I12" s="84"/>
      <c r="J12" s="93" t="str">
        <f ca="1">IF(U12=TRUE,"",IFERROR((((INDEX('Flat Rates'!$A$1:$M$3422,MATCH(T12,'Flat Rates'!$A$1:$A$3422,0),MATCH("Standing Charge",'Flat Rates'!$A$1:$M$1,0))*100))),""))</f>
        <v/>
      </c>
      <c r="K12" s="93" t="str">
        <f ca="1">IF(U12=TRUE,"",IFERROR((IF(NOT(H12="Universal"),"",INDEX('Flat Rates'!$A$1:$M$3422,MATCH(T12,'Flat Rates'!$A$1:$A$3422,0),MATCH("Uni/Day Rate",'Flat Rates'!$A$1:$M$1,0))+(G12/100))*100),""))</f>
        <v/>
      </c>
      <c r="L12" s="93" t="str">
        <f ca="1">IF(U12=TRUE,"",IFERROR((IF(H12="Universal","",INDEX('Flat Rates'!$A$1:$M$3422,MATCH(T12,'Flat Rates'!$A$1:$A$3422,0),MATCH("Uni/Day Rate",'Flat Rates'!$A$1:$M$1,0))+(G12/100))*100),""))</f>
        <v/>
      </c>
      <c r="M12" s="93" t="str">
        <f ca="1">IF(U12=TRUE,"",IFERROR(((INDEX('Flat Rates'!$A$1:$M$3422,MATCH(T12,'Flat Rates'!$A$1:$A$3422,0),MATCH("Night Unit Rate",'Flat Rates'!$A$1:$M$1,0))+(G12/100))*100),""))</f>
        <v/>
      </c>
      <c r="N12" s="93" t="str">
        <f ca="1">IF(U12=TRUE,"",IFERROR(((INDEX('Flat Rates'!$A$1:$M$3422,MATCH(T12,'Flat Rates'!$A$1:$A$3422,0),MATCH("Evening and Weekend Rate",'Flat Rates'!$A$1:$M$1,0))+(G12/100))*100),""))</f>
        <v/>
      </c>
      <c r="O12" s="93" t="str">
        <f ca="1">IF(U12=TRUE,"",IF(NOT(E12=0),"",INDEX(#REF!,MATCH(D12,#REF!,0),MATCH(IF(MONTH(C12)&lt;4,YEAR(C12)-1,YEAR(C12)),#REF!,0))))</f>
        <v/>
      </c>
      <c r="P12" s="94" t="str">
        <f ca="1">IF(U12=TRUE,"",IFERROR(IF(H12="Universal",SUM(((J12/100)*365),((K12/100)*F12)),IF(H12="Economy 7",SUM(((J12/100)*365),(((L12/100)*F12)*Calcs!$C$6),(((M12/100)*F12)*Calcs!$D$6)),IF(H12="Evening and Weekend",SUM(((J12/100)*365),(((L12/100)*F12)*Calcs!$C$12),(((N12/100)*F12)*Calcs!$D$12)),IF(H12="3 Rate",SUM(((J12/100)*365),(((L12/100)*F12)*Calcs!$C$9),(((M12/100)*F12)*Calcs!$D$9),(((N12/100)*F12)*Calcs!$E$9)),IF(H12="2 Rate Half Hourly",SUM(((J12/100)*365),(((L12/100)*F12)*Calcs!$C$18),(((M12/100)*F12)*Calcs!$D$18)))))))+IFERROR(((((O12/100)*I12)*12)),0),""))</f>
        <v/>
      </c>
      <c r="Q12" s="95" t="str">
        <f ca="1">IF(U12=TRUE,"",IFERROR(IF(F12&lt;12000,((P12*1.05)/12),(((F12*Calcs!#REF!)+P12)*1.2)/12),""))</f>
        <v/>
      </c>
      <c r="R12" s="70"/>
      <c r="S12" s="69" t="str">
        <f>IF(NOT($M$2="Acquisition"),"Level 1",IF(C12&lt;=Calcs!$I$2,"Level 1",IF(AND($M$4="36 Months APR",C12&lt;=Calcs!$I$4),"Level 2","")))</f>
        <v>Level 1</v>
      </c>
      <c r="T12" s="69" t="str">
        <f t="shared" si="0"/>
        <v>--FALSE- Fixed</v>
      </c>
      <c r="U12" s="69" t="b">
        <f ca="1">IFERROR(IF(AND(C12="",$M$2=""),TRUE,IF(AND($M$2="Acquisition",C12=""),TRUE,IF(AND(NOT($M$2="Acquisition"),C12=""),TRUE,IF($M$2="",TRUE,IF($M$4="",TRUE,IF(D12="",TRUE,IF(E12="",TRUE,IF(F12="",TRUE,IF(G12="",TRUE,IF(H12="",TRUE,IF(AND(E12=0,I12=""),TRUE,IF(G12&lt;0,TRUE,IF(F12&gt;1000000,TRUE,IF(F12&lt;5000,TRUE,IF(AND($M$2="Reward Plus",G12&gt;3),TRUE,IF(AND($M$2="Reward",G12&gt;1),TRUE,IF(AND($M$2="Acquisition",G12&gt;2),TRUE,IF(G12&lt;&gt;ROUND(G12,1),TRUE,IF(C12&lt;TODAY(),TRUE,IF(AND($M$2="Acquisition",C12-TODAY()&lt;10),TRUE,IF(AND($M$2="Acquisition",C12&gt;Calcs!$I$2),TRUE,IF(AND($M$2="Acquisition",C12&lt;TODAY()),TRUE,IF(AND(NOT($M$2="Acquisition"),C12&lt;TODAY()),TRUE,IF(AND(NOT($M$2="Acquisition"),C12&gt;(TODAY()+180)),TRUE,IF(ISERROR((C12+1)),TRUE,IF(ISERROR(F12+1),TRUE,IF(ISERROR(G12+1),TRUE,IF(AND($M$2="Acquisition",C12&gt;Calcs!$I$2),TRUE,IF(AND($M$2="Acquisition",E12=0,C12&gt;Calcs!$I$2),TRUE,IF(AND(H12="2 Rate Half Hourly",NOT(E12=0)),TRUE,IF(AND(E12=0,NOT(H12="2 Rate Half Hourly")),TRUE,IF(AND(ISNA(INDEX('New HHTOU Flat Rates'!$A$2:$A$4000,MATCH(T12,'New HHTOU Flat Rates'!$A$2:$A$4000,0))),ISNA(INDEX('Flat Rates'!$A$2:$A$3422,MATCH(T12,'Flat Rates'!$A$2:$A$3422,0)))),TRUE,IF(AND(E12=0,I12&lt;0),TRUE,IF(E12=0,IF(ISERROR(I12+1),TRUE,FALSE))))))))))))))))))))))))))))))))))),TRUE)</f>
        <v>1</v>
      </c>
    </row>
    <row r="13" spans="2:21" x14ac:dyDescent="0.3">
      <c r="B13" s="79"/>
      <c r="C13" s="80"/>
      <c r="D13" s="82"/>
      <c r="E13" s="83"/>
      <c r="H13" s="81"/>
      <c r="I13" s="84"/>
      <c r="J13" s="93" t="str">
        <f ca="1">IF(U13=TRUE,"",IFERROR((((INDEX('Flat Rates'!$A$1:$M$3422,MATCH(T13,'Flat Rates'!$A$1:$A$3422,0),MATCH("Standing Charge",'Flat Rates'!$A$1:$M$1,0))*100))),""))</f>
        <v/>
      </c>
      <c r="K13" s="93" t="str">
        <f ca="1">IF(U13=TRUE,"",IFERROR((IF(NOT(H13="Universal"),"",INDEX('Flat Rates'!$A$1:$M$3422,MATCH(T13,'Flat Rates'!$A$1:$A$3422,0),MATCH("Uni/Day Rate",'Flat Rates'!$A$1:$M$1,0))+(G13/100))*100),""))</f>
        <v/>
      </c>
      <c r="L13" s="93" t="str">
        <f ca="1">IF(U13=TRUE,"",IFERROR((IF(H13="Universal","",INDEX('Flat Rates'!$A$1:$M$3422,MATCH(T13,'Flat Rates'!$A$1:$A$3422,0),MATCH("Uni/Day Rate",'Flat Rates'!$A$1:$M$1,0))+(G13/100))*100),""))</f>
        <v/>
      </c>
      <c r="M13" s="93" t="str">
        <f ca="1">IF(U13=TRUE,"",IFERROR(((INDEX('Flat Rates'!$A$1:$M$3422,MATCH(T13,'Flat Rates'!$A$1:$A$3422,0),MATCH("Night Unit Rate",'Flat Rates'!$A$1:$M$1,0))+(G13/100))*100),""))</f>
        <v/>
      </c>
      <c r="N13" s="93" t="str">
        <f ca="1">IF(U13=TRUE,"",IFERROR(((INDEX('Flat Rates'!$A$1:$M$3422,MATCH(T13,'Flat Rates'!$A$1:$A$3422,0),MATCH("Evening and Weekend Rate",'Flat Rates'!$A$1:$M$1,0))+(G13/100))*100),""))</f>
        <v/>
      </c>
      <c r="O13" s="93" t="str">
        <f ca="1">IF(U13=TRUE,"",IF(NOT(E13=0),"",INDEX(#REF!,MATCH(D13,#REF!,0),MATCH(IF(MONTH(C13)&lt;4,YEAR(C13)-1,YEAR(C13)),#REF!,0))))</f>
        <v/>
      </c>
      <c r="P13" s="94" t="str">
        <f ca="1">IF(U13=TRUE,"",IFERROR(IF(H13="Universal",SUM(((J13/100)*365),((K13/100)*F13)),IF(H13="Economy 7",SUM(((J13/100)*365),(((L13/100)*F13)*Calcs!$C$6),(((M13/100)*F13)*Calcs!$D$6)),IF(H13="Evening and Weekend",SUM(((J13/100)*365),(((L13/100)*F13)*Calcs!$C$12),(((N13/100)*F13)*Calcs!$D$12)),IF(H13="3 Rate",SUM(((J13/100)*365),(((L13/100)*F13)*Calcs!$C$9),(((M13/100)*F13)*Calcs!$D$9),(((N13/100)*F13)*Calcs!$E$9)),IF(H13="2 Rate Half Hourly",SUM(((J13/100)*365),(((L13/100)*F13)*Calcs!$C$18),(((M13/100)*F13)*Calcs!$D$18)))))))+IFERROR(((((O13/100)*I13)*12)),0),""))</f>
        <v/>
      </c>
      <c r="Q13" s="95" t="str">
        <f ca="1">IF(U13=TRUE,"",IFERROR(IF(F13&lt;12000,((P13*1.05)/12),(((F13*Calcs!#REF!)+P13)*1.2)/12),""))</f>
        <v/>
      </c>
      <c r="R13" s="70"/>
      <c r="S13" s="69" t="str">
        <f>IF(NOT($M$2="Acquisition"),"Level 1",IF(C13&lt;=Calcs!$I$2,"Level 1",IF(AND($M$4="36 Months APR",C13&lt;=Calcs!$I$4),"Level 2","")))</f>
        <v>Level 1</v>
      </c>
      <c r="T13" s="69" t="str">
        <f t="shared" si="0"/>
        <v>--FALSE- Fixed</v>
      </c>
      <c r="U13" s="69" t="b">
        <f ca="1">IFERROR(IF(AND(C13="",$M$2=""),TRUE,IF(AND($M$2="Acquisition",C13=""),TRUE,IF(AND(NOT($M$2="Acquisition"),C13=""),TRUE,IF($M$2="",TRUE,IF($M$4="",TRUE,IF(D13="",TRUE,IF(E13="",TRUE,IF(F13="",TRUE,IF(G13="",TRUE,IF(H13="",TRUE,IF(AND(E13=0,I13=""),TRUE,IF(G13&lt;0,TRUE,IF(F13&gt;1000000,TRUE,IF(F13&lt;5000,TRUE,IF(AND($M$2="Reward Plus",G13&gt;3),TRUE,IF(AND($M$2="Reward",G13&gt;1),TRUE,IF(AND($M$2="Acquisition",G13&gt;2),TRUE,IF(G13&lt;&gt;ROUND(G13,1),TRUE,IF(C13&lt;TODAY(),TRUE,IF(AND($M$2="Acquisition",C13-TODAY()&lt;10),TRUE,IF(AND($M$2="Acquisition",C13&gt;Calcs!$I$2),TRUE,IF(AND($M$2="Acquisition",C13&lt;TODAY()),TRUE,IF(AND(NOT($M$2="Acquisition"),C13&lt;TODAY()),TRUE,IF(AND(NOT($M$2="Acquisition"),C13&gt;(TODAY()+180)),TRUE,IF(ISERROR((C13+1)),TRUE,IF(ISERROR(F13+1),TRUE,IF(ISERROR(G13+1),TRUE,IF(AND($M$2="Acquisition",C13&gt;Calcs!$I$2),TRUE,IF(AND($M$2="Acquisition",E13=0,C13&gt;Calcs!$I$2),TRUE,IF(AND(H13="2 Rate Half Hourly",NOT(E13=0)),TRUE,IF(AND(E13=0,NOT(H13="2 Rate Half Hourly")),TRUE,IF(AND(ISNA(INDEX('New HHTOU Flat Rates'!$A$2:$A$4000,MATCH(T13,'New HHTOU Flat Rates'!$A$2:$A$4000,0))),ISNA(INDEX('Flat Rates'!$A$2:$A$3422,MATCH(T13,'Flat Rates'!$A$2:$A$3422,0)))),TRUE,IF(AND(E13=0,I13&lt;0),TRUE,IF(E13=0,IF(ISERROR(I13+1),TRUE,FALSE))))))))))))))))))))))))))))))))))),TRUE)</f>
        <v>1</v>
      </c>
    </row>
    <row r="14" spans="2:21" x14ac:dyDescent="0.3">
      <c r="B14" s="79"/>
      <c r="C14" s="80"/>
      <c r="D14" s="82"/>
      <c r="E14" s="83"/>
      <c r="H14" s="81"/>
      <c r="I14" s="84"/>
      <c r="J14" s="93" t="str">
        <f ca="1">IF(U14=TRUE,"",IFERROR((((INDEX('Flat Rates'!$A$1:$M$3422,MATCH(T14,'Flat Rates'!$A$1:$A$3422,0),MATCH("Standing Charge",'Flat Rates'!$A$1:$M$1,0))*100))),""))</f>
        <v/>
      </c>
      <c r="K14" s="93" t="str">
        <f ca="1">IF(U14=TRUE,"",IFERROR((IF(NOT(H14="Universal"),"",INDEX('Flat Rates'!$A$1:$M$3422,MATCH(T14,'Flat Rates'!$A$1:$A$3422,0),MATCH("Uni/Day Rate",'Flat Rates'!$A$1:$M$1,0))+(G14/100))*100),""))</f>
        <v/>
      </c>
      <c r="L14" s="93" t="str">
        <f ca="1">IF(U14=TRUE,"",IFERROR((IF(H14="Universal","",INDEX('Flat Rates'!$A$1:$M$3422,MATCH(T14,'Flat Rates'!$A$1:$A$3422,0),MATCH("Uni/Day Rate",'Flat Rates'!$A$1:$M$1,0))+(G14/100))*100),""))</f>
        <v/>
      </c>
      <c r="M14" s="93" t="str">
        <f ca="1">IF(U14=TRUE,"",IFERROR(((INDEX('Flat Rates'!$A$1:$M$3422,MATCH(T14,'Flat Rates'!$A$1:$A$3422,0),MATCH("Night Unit Rate",'Flat Rates'!$A$1:$M$1,0))+(G14/100))*100),""))</f>
        <v/>
      </c>
      <c r="N14" s="93" t="str">
        <f ca="1">IF(U14=TRUE,"",IFERROR(((INDEX('Flat Rates'!$A$1:$M$3422,MATCH(T14,'Flat Rates'!$A$1:$A$3422,0),MATCH("Evening and Weekend Rate",'Flat Rates'!$A$1:$M$1,0))+(G14/100))*100),""))</f>
        <v/>
      </c>
      <c r="O14" s="93" t="str">
        <f ca="1">IF(U14=TRUE,"",IF(NOT(E14=0),"",INDEX(#REF!,MATCH(D14,#REF!,0),MATCH(IF(MONTH(C14)&lt;4,YEAR(C14)-1,YEAR(C14)),#REF!,0))))</f>
        <v/>
      </c>
      <c r="P14" s="94" t="str">
        <f ca="1">IF(U14=TRUE,"",IFERROR(IF(H14="Universal",SUM(((J14/100)*365),((K14/100)*F14)),IF(H14="Economy 7",SUM(((J14/100)*365),(((L14/100)*F14)*Calcs!$C$6),(((M14/100)*F14)*Calcs!$D$6)),IF(H14="Evening and Weekend",SUM(((J14/100)*365),(((L14/100)*F14)*Calcs!$C$12),(((N14/100)*F14)*Calcs!$D$12)),IF(H14="3 Rate",SUM(((J14/100)*365),(((L14/100)*F14)*Calcs!$C$9),(((M14/100)*F14)*Calcs!$D$9),(((N14/100)*F14)*Calcs!$E$9)),IF(H14="2 Rate Half Hourly",SUM(((J14/100)*365),(((L14/100)*F14)*Calcs!$C$18),(((M14/100)*F14)*Calcs!$D$18)))))))+IFERROR(((((O14/100)*I14)*12)),0),""))</f>
        <v/>
      </c>
      <c r="Q14" s="95" t="str">
        <f ca="1">IF(U14=TRUE,"",IFERROR(IF(F14&lt;12000,((P14*1.05)/12),(((F14*Calcs!#REF!)+P14)*1.2)/12),""))</f>
        <v/>
      </c>
      <c r="R14" s="70"/>
      <c r="S14" s="69" t="str">
        <f>IF(NOT($M$2="Acquisition"),"Level 1",IF(C14&lt;=Calcs!$I$2,"Level 1",IF(AND($M$4="36 Months APR",C14&lt;=Calcs!$I$4),"Level 2","")))</f>
        <v>Level 1</v>
      </c>
      <c r="T14" s="69" t="str">
        <f t="shared" si="0"/>
        <v>--FALSE- Fixed</v>
      </c>
      <c r="U14" s="69" t="b">
        <f ca="1">IFERROR(IF(AND(C14="",$M$2=""),TRUE,IF(AND($M$2="Acquisition",C14=""),TRUE,IF(AND(NOT($M$2="Acquisition"),C14=""),TRUE,IF($M$2="",TRUE,IF($M$4="",TRUE,IF(D14="",TRUE,IF(E14="",TRUE,IF(F14="",TRUE,IF(G14="",TRUE,IF(H14="",TRUE,IF(AND(E14=0,I14=""),TRUE,IF(G14&lt;0,TRUE,IF(F14&gt;1000000,TRUE,IF(F14&lt;5000,TRUE,IF(AND($M$2="Reward Plus",G14&gt;3),TRUE,IF(AND($M$2="Reward",G14&gt;1),TRUE,IF(AND($M$2="Acquisition",G14&gt;2),TRUE,IF(G14&lt;&gt;ROUND(G14,1),TRUE,IF(C14&lt;TODAY(),TRUE,IF(AND($M$2="Acquisition",C14-TODAY()&lt;10),TRUE,IF(AND($M$2="Acquisition",C14&gt;Calcs!$I$2),TRUE,IF(AND($M$2="Acquisition",C14&lt;TODAY()),TRUE,IF(AND(NOT($M$2="Acquisition"),C14&lt;TODAY()),TRUE,IF(AND(NOT($M$2="Acquisition"),C14&gt;(TODAY()+180)),TRUE,IF(ISERROR((C14+1)),TRUE,IF(ISERROR(F14+1),TRUE,IF(ISERROR(G14+1),TRUE,IF(AND($M$2="Acquisition",C14&gt;Calcs!$I$2),TRUE,IF(AND($M$2="Acquisition",E14=0,C14&gt;Calcs!$I$2),TRUE,IF(AND(H14="2 Rate Half Hourly",NOT(E14=0)),TRUE,IF(AND(E14=0,NOT(H14="2 Rate Half Hourly")),TRUE,IF(AND(ISNA(INDEX('New HHTOU Flat Rates'!$A$2:$A$4000,MATCH(T14,'New HHTOU Flat Rates'!$A$2:$A$4000,0))),ISNA(INDEX('Flat Rates'!$A$2:$A$3422,MATCH(T14,'Flat Rates'!$A$2:$A$3422,0)))),TRUE,IF(AND(E14=0,I14&lt;0),TRUE,IF(E14=0,IF(ISERROR(I14+1),TRUE,FALSE))))))))))))))))))))))))))))))))))),TRUE)</f>
        <v>1</v>
      </c>
    </row>
    <row r="15" spans="2:21" x14ac:dyDescent="0.3">
      <c r="B15" s="79"/>
      <c r="C15" s="80"/>
      <c r="D15" s="82"/>
      <c r="E15" s="83"/>
      <c r="H15" s="81"/>
      <c r="I15" s="84"/>
      <c r="J15" s="93" t="str">
        <f ca="1">IF(U15=TRUE,"",IFERROR((((INDEX('Flat Rates'!$A$1:$M$3422,MATCH(T15,'Flat Rates'!$A$1:$A$3422,0),MATCH("Standing Charge",'Flat Rates'!$A$1:$M$1,0))*100))),""))</f>
        <v/>
      </c>
      <c r="K15" s="93" t="str">
        <f ca="1">IF(U15=TRUE,"",IFERROR((IF(NOT(H15="Universal"),"",INDEX('Flat Rates'!$A$1:$M$3422,MATCH(T15,'Flat Rates'!$A$1:$A$3422,0),MATCH("Uni/Day Rate",'Flat Rates'!$A$1:$M$1,0))+(G15/100))*100),""))</f>
        <v/>
      </c>
      <c r="L15" s="93" t="str">
        <f ca="1">IF(U15=TRUE,"",IFERROR((IF(H15="Universal","",INDEX('Flat Rates'!$A$1:$M$3422,MATCH(T15,'Flat Rates'!$A$1:$A$3422,0),MATCH("Uni/Day Rate",'Flat Rates'!$A$1:$M$1,0))+(G15/100))*100),""))</f>
        <v/>
      </c>
      <c r="M15" s="93" t="str">
        <f ca="1">IF(U15=TRUE,"",IFERROR(((INDEX('Flat Rates'!$A$1:$M$3422,MATCH(T15,'Flat Rates'!$A$1:$A$3422,0),MATCH("Night Unit Rate",'Flat Rates'!$A$1:$M$1,0))+(G15/100))*100),""))</f>
        <v/>
      </c>
      <c r="N15" s="93" t="str">
        <f ca="1">IF(U15=TRUE,"",IFERROR(((INDEX('Flat Rates'!$A$1:$M$3422,MATCH(T15,'Flat Rates'!$A$1:$A$3422,0),MATCH("Evening and Weekend Rate",'Flat Rates'!$A$1:$M$1,0))+(G15/100))*100),""))</f>
        <v/>
      </c>
      <c r="O15" s="93" t="str">
        <f ca="1">IF(U15=TRUE,"",IF(NOT(E15=0),"",INDEX(#REF!,MATCH(D15,#REF!,0),MATCH(IF(MONTH(C15)&lt;4,YEAR(C15)-1,YEAR(C15)),#REF!,0))))</f>
        <v/>
      </c>
      <c r="P15" s="94" t="str">
        <f ca="1">IF(U15=TRUE,"",IFERROR(IF(H15="Universal",SUM(((J15/100)*365),((K15/100)*F15)),IF(H15="Economy 7",SUM(((J15/100)*365),(((L15/100)*F15)*Calcs!$C$6),(((M15/100)*F15)*Calcs!$D$6)),IF(H15="Evening and Weekend",SUM(((J15/100)*365),(((L15/100)*F15)*Calcs!$C$12),(((N15/100)*F15)*Calcs!$D$12)),IF(H15="3 Rate",SUM(((J15/100)*365),(((L15/100)*F15)*Calcs!$C$9),(((M15/100)*F15)*Calcs!$D$9),(((N15/100)*F15)*Calcs!$E$9)),IF(H15="2 Rate Half Hourly",SUM(((J15/100)*365),(((L15/100)*F15)*Calcs!$C$18),(((M15/100)*F15)*Calcs!$D$18)))))))+IFERROR(((((O15/100)*I15)*12)),0),""))</f>
        <v/>
      </c>
      <c r="Q15" s="95" t="str">
        <f ca="1">IF(U15=TRUE,"",IFERROR(IF(F15&lt;12000,((P15*1.05)/12),(((F15*Calcs!#REF!)+P15)*1.2)/12),""))</f>
        <v/>
      </c>
      <c r="R15" s="70"/>
      <c r="S15" s="69" t="str">
        <f>IF(NOT($M$2="Acquisition"),"Level 1",IF(C15&lt;=Calcs!$I$2,"Level 1",IF(AND($M$4="36 Months APR",C15&lt;=Calcs!$I$4),"Level 2","")))</f>
        <v>Level 1</v>
      </c>
      <c r="T15" s="69" t="str">
        <f t="shared" si="0"/>
        <v>--FALSE- Fixed</v>
      </c>
      <c r="U15" s="69" t="b">
        <f ca="1">IFERROR(IF(AND(C15="",$M$2=""),TRUE,IF(AND($M$2="Acquisition",C15=""),TRUE,IF(AND(NOT($M$2="Acquisition"),C15=""),TRUE,IF($M$2="",TRUE,IF($M$4="",TRUE,IF(D15="",TRUE,IF(E15="",TRUE,IF(F15="",TRUE,IF(G15="",TRUE,IF(H15="",TRUE,IF(AND(E15=0,I15=""),TRUE,IF(G15&lt;0,TRUE,IF(F15&gt;1000000,TRUE,IF(F15&lt;5000,TRUE,IF(AND($M$2="Reward Plus",G15&gt;3),TRUE,IF(AND($M$2="Reward",G15&gt;1),TRUE,IF(AND($M$2="Acquisition",G15&gt;2),TRUE,IF(G15&lt;&gt;ROUND(G15,1),TRUE,IF(C15&lt;TODAY(),TRUE,IF(AND($M$2="Acquisition",C15-TODAY()&lt;10),TRUE,IF(AND($M$2="Acquisition",C15&gt;Calcs!$I$2),TRUE,IF(AND($M$2="Acquisition",C15&lt;TODAY()),TRUE,IF(AND(NOT($M$2="Acquisition"),C15&lt;TODAY()),TRUE,IF(AND(NOT($M$2="Acquisition"),C15&gt;(TODAY()+180)),TRUE,IF(ISERROR((C15+1)),TRUE,IF(ISERROR(F15+1),TRUE,IF(ISERROR(G15+1),TRUE,IF(AND($M$2="Acquisition",C15&gt;Calcs!$I$2),TRUE,IF(AND($M$2="Acquisition",E15=0,C15&gt;Calcs!$I$2),TRUE,IF(AND(H15="2 Rate Half Hourly",NOT(E15=0)),TRUE,IF(AND(E15=0,NOT(H15="2 Rate Half Hourly")),TRUE,IF(AND(ISNA(INDEX('New HHTOU Flat Rates'!$A$2:$A$4000,MATCH(T15,'New HHTOU Flat Rates'!$A$2:$A$4000,0))),ISNA(INDEX('Flat Rates'!$A$2:$A$3422,MATCH(T15,'Flat Rates'!$A$2:$A$3422,0)))),TRUE,IF(AND(E15=0,I15&lt;0),TRUE,IF(E15=0,IF(ISERROR(I15+1),TRUE,FALSE))))))))))))))))))))))))))))))))))),TRUE)</f>
        <v>1</v>
      </c>
    </row>
    <row r="16" spans="2:21" x14ac:dyDescent="0.3">
      <c r="B16" s="79"/>
      <c r="C16" s="80"/>
      <c r="D16" s="82"/>
      <c r="E16" s="83"/>
      <c r="H16" s="81"/>
      <c r="I16" s="84"/>
      <c r="J16" s="93" t="str">
        <f ca="1">IF(U16=TRUE,"",IFERROR((((INDEX('Flat Rates'!$A$1:$M$3422,MATCH(T16,'Flat Rates'!$A$1:$A$3422,0),MATCH("Standing Charge",'Flat Rates'!$A$1:$M$1,0))*100))),""))</f>
        <v/>
      </c>
      <c r="K16" s="93" t="str">
        <f ca="1">IF(U16=TRUE,"",IFERROR((IF(NOT(H16="Universal"),"",INDEX('Flat Rates'!$A$1:$M$3422,MATCH(T16,'Flat Rates'!$A$1:$A$3422,0),MATCH("Uni/Day Rate",'Flat Rates'!$A$1:$M$1,0))+(G16/100))*100),""))</f>
        <v/>
      </c>
      <c r="L16" s="93" t="str">
        <f ca="1">IF(U16=TRUE,"",IFERROR((IF(H16="Universal","",INDEX('Flat Rates'!$A$1:$M$3422,MATCH(T16,'Flat Rates'!$A$1:$A$3422,0),MATCH("Uni/Day Rate",'Flat Rates'!$A$1:$M$1,0))+(G16/100))*100),""))</f>
        <v/>
      </c>
      <c r="M16" s="93" t="str">
        <f ca="1">IF(U16=TRUE,"",IFERROR(((INDEX('Flat Rates'!$A$1:$M$3422,MATCH(T16,'Flat Rates'!$A$1:$A$3422,0),MATCH("Night Unit Rate",'Flat Rates'!$A$1:$M$1,0))+(G16/100))*100),""))</f>
        <v/>
      </c>
      <c r="N16" s="93" t="str">
        <f ca="1">IF(U16=TRUE,"",IFERROR(((INDEX('Flat Rates'!$A$1:$M$3422,MATCH(T16,'Flat Rates'!$A$1:$A$3422,0),MATCH("Evening and Weekend Rate",'Flat Rates'!$A$1:$M$1,0))+(G16/100))*100),""))</f>
        <v/>
      </c>
      <c r="O16" s="93" t="str">
        <f ca="1">IF(U16=TRUE,"",IF(NOT(E16=0),"",INDEX(#REF!,MATCH(D16,#REF!,0),MATCH(IF(MONTH(C16)&lt;4,YEAR(C16)-1,YEAR(C16)),#REF!,0))))</f>
        <v/>
      </c>
      <c r="P16" s="94" t="str">
        <f ca="1">IF(U16=TRUE,"",IFERROR(IF(H16="Universal",SUM(((J16/100)*365),((K16/100)*F16)),IF(H16="Economy 7",SUM(((J16/100)*365),(((L16/100)*F16)*Calcs!$C$6),(((M16/100)*F16)*Calcs!$D$6)),IF(H16="Evening and Weekend",SUM(((J16/100)*365),(((L16/100)*F16)*Calcs!$C$12),(((N16/100)*F16)*Calcs!$D$12)),IF(H16="3 Rate",SUM(((J16/100)*365),(((L16/100)*F16)*Calcs!$C$9),(((M16/100)*F16)*Calcs!$D$9),(((N16/100)*F16)*Calcs!$E$9)),IF(H16="2 Rate Half Hourly",SUM(((J16/100)*365),(((L16/100)*F16)*Calcs!$C$18),(((M16/100)*F16)*Calcs!$D$18)))))))+IFERROR(((((O16/100)*I16)*12)),0),""))</f>
        <v/>
      </c>
      <c r="Q16" s="95" t="str">
        <f ca="1">IF(U16=TRUE,"",IFERROR(IF(F16&lt;12000,((P16*1.05)/12),(((F16*Calcs!#REF!)+P16)*1.2)/12),""))</f>
        <v/>
      </c>
      <c r="S16" s="69" t="str">
        <f>IF(NOT($M$2="Acquisition"),"Level 1",IF(C16&lt;=Calcs!$I$2,"Level 1",IF(AND($M$4="36 Months APR",C16&lt;=Calcs!$I$4),"Level 2","")))</f>
        <v>Level 1</v>
      </c>
      <c r="T16" s="69" t="str">
        <f t="shared" si="0"/>
        <v>--FALSE- Fixed</v>
      </c>
      <c r="U16" s="69" t="b">
        <f ca="1">IFERROR(IF(AND(C16="",$M$2=""),TRUE,IF(AND($M$2="Acquisition",C16=""),TRUE,IF(AND(NOT($M$2="Acquisition"),C16=""),TRUE,IF($M$2="",TRUE,IF($M$4="",TRUE,IF(D16="",TRUE,IF(E16="",TRUE,IF(F16="",TRUE,IF(G16="",TRUE,IF(H16="",TRUE,IF(AND(E16=0,I16=""),TRUE,IF(G16&lt;0,TRUE,IF(F16&gt;1000000,TRUE,IF(F16&lt;5000,TRUE,IF(AND($M$2="Reward Plus",G16&gt;3),TRUE,IF(AND($M$2="Reward",G16&gt;1),TRUE,IF(AND($M$2="Acquisition",G16&gt;2),TRUE,IF(G16&lt;&gt;ROUND(G16,1),TRUE,IF(C16&lt;TODAY(),TRUE,IF(AND($M$2="Acquisition",C16-TODAY()&lt;10),TRUE,IF(AND($M$2="Acquisition",C16&gt;Calcs!$I$2),TRUE,IF(AND($M$2="Acquisition",C16&lt;TODAY()),TRUE,IF(AND(NOT($M$2="Acquisition"),C16&lt;TODAY()),TRUE,IF(AND(NOT($M$2="Acquisition"),C16&gt;(TODAY()+180)),TRUE,IF(ISERROR((C16+1)),TRUE,IF(ISERROR(F16+1),TRUE,IF(ISERROR(G16+1),TRUE,IF(AND($M$2="Acquisition",C16&gt;Calcs!$I$2),TRUE,IF(AND($M$2="Acquisition",E16=0,C16&gt;Calcs!$I$2),TRUE,IF(AND(H16="2 Rate Half Hourly",NOT(E16=0)),TRUE,IF(AND(E16=0,NOT(H16="2 Rate Half Hourly")),TRUE,IF(AND(ISNA(INDEX('New HHTOU Flat Rates'!$A$2:$A$4000,MATCH(T16,'New HHTOU Flat Rates'!$A$2:$A$4000,0))),ISNA(INDEX('Flat Rates'!$A$2:$A$3422,MATCH(T16,'Flat Rates'!$A$2:$A$3422,0)))),TRUE,IF(AND(E16=0,I16&lt;0),TRUE,IF(E16=0,IF(ISERROR(I16+1),TRUE,FALSE))))))))))))))))))))))))))))))))))),TRUE)</f>
        <v>1</v>
      </c>
    </row>
    <row r="17" spans="2:21" x14ac:dyDescent="0.3">
      <c r="B17" s="79"/>
      <c r="C17" s="80"/>
      <c r="D17" s="82"/>
      <c r="E17" s="83"/>
      <c r="H17" s="81"/>
      <c r="I17" s="84"/>
      <c r="J17" s="93" t="str">
        <f ca="1">IF(U17=TRUE,"",IFERROR((((INDEX('Flat Rates'!$A$1:$M$3422,MATCH(T17,'Flat Rates'!$A$1:$A$3422,0),MATCH("Standing Charge",'Flat Rates'!$A$1:$M$1,0))*100))),""))</f>
        <v/>
      </c>
      <c r="K17" s="93" t="str">
        <f ca="1">IF(U17=TRUE,"",IFERROR((IF(NOT(H17="Universal"),"",INDEX('Flat Rates'!$A$1:$M$3422,MATCH(T17,'Flat Rates'!$A$1:$A$3422,0),MATCH("Uni/Day Rate",'Flat Rates'!$A$1:$M$1,0))+(G17/100))*100),""))</f>
        <v/>
      </c>
      <c r="L17" s="93" t="str">
        <f ca="1">IF(U17=TRUE,"",IFERROR((IF(H17="Universal","",INDEX('Flat Rates'!$A$1:$M$3422,MATCH(T17,'Flat Rates'!$A$1:$A$3422,0),MATCH("Uni/Day Rate",'Flat Rates'!$A$1:$M$1,0))+(G17/100))*100),""))</f>
        <v/>
      </c>
      <c r="M17" s="93" t="str">
        <f ca="1">IF(U17=TRUE,"",IFERROR(((INDEX('Flat Rates'!$A$1:$M$3422,MATCH(T17,'Flat Rates'!$A$1:$A$3422,0),MATCH("Night Unit Rate",'Flat Rates'!$A$1:$M$1,0))+(G17/100))*100),""))</f>
        <v/>
      </c>
      <c r="N17" s="93" t="str">
        <f ca="1">IF(U17=TRUE,"",IFERROR(((INDEX('Flat Rates'!$A$1:$M$3422,MATCH(T17,'Flat Rates'!$A$1:$A$3422,0),MATCH("Evening and Weekend Rate",'Flat Rates'!$A$1:$M$1,0))+(G17/100))*100),""))</f>
        <v/>
      </c>
      <c r="O17" s="93" t="str">
        <f ca="1">IF(U17=TRUE,"",IF(NOT(E17=0),"",INDEX(#REF!,MATCH(D17,#REF!,0),MATCH(IF(MONTH(C17)&lt;4,YEAR(C17)-1,YEAR(C17)),#REF!,0))))</f>
        <v/>
      </c>
      <c r="P17" s="94" t="str">
        <f ca="1">IF(U17=TRUE,"",IFERROR(IF(H17="Universal",SUM(((J17/100)*365),((K17/100)*F17)),IF(H17="Economy 7",SUM(((J17/100)*365),(((L17/100)*F17)*Calcs!$C$6),(((M17/100)*F17)*Calcs!$D$6)),IF(H17="Evening and Weekend",SUM(((J17/100)*365),(((L17/100)*F17)*Calcs!$C$12),(((N17/100)*F17)*Calcs!$D$12)),IF(H17="3 Rate",SUM(((J17/100)*365),(((L17/100)*F17)*Calcs!$C$9),(((M17/100)*F17)*Calcs!$D$9),(((N17/100)*F17)*Calcs!$E$9)),IF(H17="2 Rate Half Hourly",SUM(((J17/100)*365),(((L17/100)*F17)*Calcs!$C$18),(((M17/100)*F17)*Calcs!$D$18)))))))+IFERROR(((((O17/100)*I17)*12)),0),""))</f>
        <v/>
      </c>
      <c r="Q17" s="95" t="str">
        <f ca="1">IF(U17=TRUE,"",IFERROR(IF(F17&lt;12000,((P17*1.05)/12),(((F17*Calcs!#REF!)+P17)*1.2)/12),""))</f>
        <v/>
      </c>
      <c r="S17" s="69" t="str">
        <f>IF(NOT($M$2="Acquisition"),"Level 1",IF(C17&lt;=Calcs!$I$2,"Level 1",IF(AND($M$4="36 Months APR",C17&lt;=Calcs!$I$4),"Level 2","")))</f>
        <v>Level 1</v>
      </c>
      <c r="T17" s="69" t="str">
        <f t="shared" si="0"/>
        <v>--FALSE- Fixed</v>
      </c>
      <c r="U17" s="69" t="b">
        <f ca="1">IFERROR(IF(AND(C17="",$M$2=""),TRUE,IF(AND($M$2="Acquisition",C17=""),TRUE,IF(AND(NOT($M$2="Acquisition"),C17=""),TRUE,IF($M$2="",TRUE,IF($M$4="",TRUE,IF(D17="",TRUE,IF(E17="",TRUE,IF(F17="",TRUE,IF(G17="",TRUE,IF(H17="",TRUE,IF(AND(E17=0,I17=""),TRUE,IF(G17&lt;0,TRUE,IF(F17&gt;1000000,TRUE,IF(F17&lt;5000,TRUE,IF(AND($M$2="Reward Plus",G17&gt;3),TRUE,IF(AND($M$2="Reward",G17&gt;1),TRUE,IF(AND($M$2="Acquisition",G17&gt;2),TRUE,IF(G17&lt;&gt;ROUND(G17,1),TRUE,IF(C17&lt;TODAY(),TRUE,IF(AND($M$2="Acquisition",C17-TODAY()&lt;10),TRUE,IF(AND($M$2="Acquisition",C17&gt;Calcs!$I$2),TRUE,IF(AND($M$2="Acquisition",C17&lt;TODAY()),TRUE,IF(AND(NOT($M$2="Acquisition"),C17&lt;TODAY()),TRUE,IF(AND(NOT($M$2="Acquisition"),C17&gt;(TODAY()+180)),TRUE,IF(ISERROR((C17+1)),TRUE,IF(ISERROR(F17+1),TRUE,IF(ISERROR(G17+1),TRUE,IF(AND($M$2="Acquisition",C17&gt;Calcs!$I$2),TRUE,IF(AND($M$2="Acquisition",E17=0,C17&gt;Calcs!$I$2),TRUE,IF(AND(H17="2 Rate Half Hourly",NOT(E17=0)),TRUE,IF(AND(E17=0,NOT(H17="2 Rate Half Hourly")),TRUE,IF(AND(ISNA(INDEX('New HHTOU Flat Rates'!$A$2:$A$4000,MATCH(T17,'New HHTOU Flat Rates'!$A$2:$A$4000,0))),ISNA(INDEX('Flat Rates'!$A$2:$A$3422,MATCH(T17,'Flat Rates'!$A$2:$A$3422,0)))),TRUE,IF(AND(E17=0,I17&lt;0),TRUE,IF(E17=0,IF(ISERROR(I17+1),TRUE,FALSE))))))))))))))))))))))))))))))))))),TRUE)</f>
        <v>1</v>
      </c>
    </row>
    <row r="18" spans="2:21" x14ac:dyDescent="0.3">
      <c r="B18" s="79"/>
      <c r="C18" s="80"/>
      <c r="D18" s="82"/>
      <c r="E18" s="83"/>
      <c r="H18" s="81"/>
      <c r="I18" s="84"/>
      <c r="J18" s="93" t="str">
        <f ca="1">IF(U18=TRUE,"",IFERROR((((INDEX('Flat Rates'!$A$1:$M$3422,MATCH(T18,'Flat Rates'!$A$1:$A$3422,0),MATCH("Standing Charge",'Flat Rates'!$A$1:$M$1,0))*100))),""))</f>
        <v/>
      </c>
      <c r="K18" s="93" t="str">
        <f ca="1">IF(U18=TRUE,"",IFERROR((IF(NOT(H18="Universal"),"",INDEX('Flat Rates'!$A$1:$M$3422,MATCH(T18,'Flat Rates'!$A$1:$A$3422,0),MATCH("Uni/Day Rate",'Flat Rates'!$A$1:$M$1,0))+(G18/100))*100),""))</f>
        <v/>
      </c>
      <c r="L18" s="93" t="str">
        <f ca="1">IF(U18=TRUE,"",IFERROR((IF(H18="Universal","",INDEX('Flat Rates'!$A$1:$M$3422,MATCH(T18,'Flat Rates'!$A$1:$A$3422,0),MATCH("Uni/Day Rate",'Flat Rates'!$A$1:$M$1,0))+(G18/100))*100),""))</f>
        <v/>
      </c>
      <c r="M18" s="93" t="str">
        <f ca="1">IF(U18=TRUE,"",IFERROR(((INDEX('Flat Rates'!$A$1:$M$3422,MATCH(T18,'Flat Rates'!$A$1:$A$3422,0),MATCH("Night Unit Rate",'Flat Rates'!$A$1:$M$1,0))+(G18/100))*100),""))</f>
        <v/>
      </c>
      <c r="N18" s="93" t="str">
        <f ca="1">IF(U18=TRUE,"",IFERROR(((INDEX('Flat Rates'!$A$1:$M$3422,MATCH(T18,'Flat Rates'!$A$1:$A$3422,0),MATCH("Evening and Weekend Rate",'Flat Rates'!$A$1:$M$1,0))+(G18/100))*100),""))</f>
        <v/>
      </c>
      <c r="O18" s="93" t="str">
        <f ca="1">IF(U18=TRUE,"",IF(NOT(E18=0),"",INDEX(#REF!,MATCH(D18,#REF!,0),MATCH(IF(MONTH(C18)&lt;4,YEAR(C18)-1,YEAR(C18)),#REF!,0))))</f>
        <v/>
      </c>
      <c r="P18" s="94" t="str">
        <f ca="1">IF(U18=TRUE,"",IFERROR(IF(H18="Universal",SUM(((J18/100)*365),((K18/100)*F18)),IF(H18="Economy 7",SUM(((J18/100)*365),(((L18/100)*F18)*Calcs!$C$6),(((M18/100)*F18)*Calcs!$D$6)),IF(H18="Evening and Weekend",SUM(((J18/100)*365),(((L18/100)*F18)*Calcs!$C$12),(((N18/100)*F18)*Calcs!$D$12)),IF(H18="3 Rate",SUM(((J18/100)*365),(((L18/100)*F18)*Calcs!$C$9),(((M18/100)*F18)*Calcs!$D$9),(((N18/100)*F18)*Calcs!$E$9)),IF(H18="2 Rate Half Hourly",SUM(((J18/100)*365),(((L18/100)*F18)*Calcs!$C$18),(((M18/100)*F18)*Calcs!$D$18)))))))+IFERROR(((((O18/100)*I18)*12)),0),""))</f>
        <v/>
      </c>
      <c r="Q18" s="95" t="str">
        <f ca="1">IF(U18=TRUE,"",IFERROR(IF(F18&lt;12000,((P18*1.05)/12),(((F18*Calcs!#REF!)+P18)*1.2)/12),""))</f>
        <v/>
      </c>
      <c r="S18" s="69" t="str">
        <f>IF(NOT($M$2="Acquisition"),"Level 1",IF(C18&lt;=Calcs!$I$2,"Level 1",IF(AND($M$4="36 Months APR",C18&lt;=Calcs!$I$4),"Level 2","")))</f>
        <v>Level 1</v>
      </c>
      <c r="T18" s="69" t="str">
        <f t="shared" si="0"/>
        <v>--FALSE- Fixed</v>
      </c>
      <c r="U18" s="69" t="b">
        <f ca="1">IFERROR(IF(AND(C18="",$M$2=""),TRUE,IF(AND($M$2="Acquisition",C18=""),TRUE,IF(AND(NOT($M$2="Acquisition"),C18=""),TRUE,IF($M$2="",TRUE,IF($M$4="",TRUE,IF(D18="",TRUE,IF(E18="",TRUE,IF(F18="",TRUE,IF(G18="",TRUE,IF(H18="",TRUE,IF(AND(E18=0,I18=""),TRUE,IF(G18&lt;0,TRUE,IF(F18&gt;1000000,TRUE,IF(F18&lt;5000,TRUE,IF(AND($M$2="Reward Plus",G18&gt;3),TRUE,IF(AND($M$2="Reward",G18&gt;1),TRUE,IF(AND($M$2="Acquisition",G18&gt;2),TRUE,IF(G18&lt;&gt;ROUND(G18,1),TRUE,IF(C18&lt;TODAY(),TRUE,IF(AND($M$2="Acquisition",C18-TODAY()&lt;10),TRUE,IF(AND($M$2="Acquisition",C18&gt;Calcs!$I$2),TRUE,IF(AND($M$2="Acquisition",C18&lt;TODAY()),TRUE,IF(AND(NOT($M$2="Acquisition"),C18&lt;TODAY()),TRUE,IF(AND(NOT($M$2="Acquisition"),C18&gt;(TODAY()+180)),TRUE,IF(ISERROR((C18+1)),TRUE,IF(ISERROR(F18+1),TRUE,IF(ISERROR(G18+1),TRUE,IF(AND($M$2="Acquisition",C18&gt;Calcs!$I$2),TRUE,IF(AND($M$2="Acquisition",E18=0,C18&gt;Calcs!$I$2),TRUE,IF(AND(H18="2 Rate Half Hourly",NOT(E18=0)),TRUE,IF(AND(E18=0,NOT(H18="2 Rate Half Hourly")),TRUE,IF(AND(ISNA(INDEX('New HHTOU Flat Rates'!$A$2:$A$4000,MATCH(T18,'New HHTOU Flat Rates'!$A$2:$A$4000,0))),ISNA(INDEX('Flat Rates'!$A$2:$A$3422,MATCH(T18,'Flat Rates'!$A$2:$A$3422,0)))),TRUE,IF(AND(E18=0,I18&lt;0),TRUE,IF(E18=0,IF(ISERROR(I18+1),TRUE,FALSE))))))))))))))))))))))))))))))))))),TRUE)</f>
        <v>1</v>
      </c>
    </row>
    <row r="19" spans="2:21" x14ac:dyDescent="0.3">
      <c r="B19" s="79"/>
      <c r="C19" s="80"/>
      <c r="D19" s="82"/>
      <c r="E19" s="83"/>
      <c r="H19" s="81"/>
      <c r="I19" s="84"/>
      <c r="J19" s="93" t="str">
        <f ca="1">IF(U19=TRUE,"",IFERROR((((INDEX('Flat Rates'!$A$1:$M$3422,MATCH(T19,'Flat Rates'!$A$1:$A$3422,0),MATCH("Standing Charge",'Flat Rates'!$A$1:$M$1,0))*100))),""))</f>
        <v/>
      </c>
      <c r="K19" s="93" t="str">
        <f ca="1">IF(U19=TRUE,"",IFERROR((IF(NOT(H19="Universal"),"",INDEX('Flat Rates'!$A$1:$M$3422,MATCH(T19,'Flat Rates'!$A$1:$A$3422,0),MATCH("Uni/Day Rate",'Flat Rates'!$A$1:$M$1,0))+(G19/100))*100),""))</f>
        <v/>
      </c>
      <c r="L19" s="93" t="str">
        <f ca="1">IF(U19=TRUE,"",IFERROR((IF(H19="Universal","",INDEX('Flat Rates'!$A$1:$M$3422,MATCH(T19,'Flat Rates'!$A$1:$A$3422,0),MATCH("Uni/Day Rate",'Flat Rates'!$A$1:$M$1,0))+(G19/100))*100),""))</f>
        <v/>
      </c>
      <c r="M19" s="93" t="str">
        <f ca="1">IF(U19=TRUE,"",IFERROR(((INDEX('Flat Rates'!$A$1:$M$3422,MATCH(T19,'Flat Rates'!$A$1:$A$3422,0),MATCH("Night Unit Rate",'Flat Rates'!$A$1:$M$1,0))+(G19/100))*100),""))</f>
        <v/>
      </c>
      <c r="N19" s="93" t="str">
        <f ca="1">IF(U19=TRUE,"",IFERROR(((INDEX('Flat Rates'!$A$1:$M$3422,MATCH(T19,'Flat Rates'!$A$1:$A$3422,0),MATCH("Evening and Weekend Rate",'Flat Rates'!$A$1:$M$1,0))+(G19/100))*100),""))</f>
        <v/>
      </c>
      <c r="O19" s="93" t="str">
        <f ca="1">IF(U19=TRUE,"",IF(NOT(E19=0),"",INDEX(#REF!,MATCH(D19,#REF!,0),MATCH(IF(MONTH(C19)&lt;4,YEAR(C19)-1,YEAR(C19)),#REF!,0))))</f>
        <v/>
      </c>
      <c r="P19" s="94" t="str">
        <f ca="1">IF(U19=TRUE,"",IFERROR(IF(H19="Universal",SUM(((J19/100)*365),((K19/100)*F19)),IF(H19="Economy 7",SUM(((J19/100)*365),(((L19/100)*F19)*Calcs!$C$6),(((M19/100)*F19)*Calcs!$D$6)),IF(H19="Evening and Weekend",SUM(((J19/100)*365),(((L19/100)*F19)*Calcs!$C$12),(((N19/100)*F19)*Calcs!$D$12)),IF(H19="3 Rate",SUM(((J19/100)*365),(((L19/100)*F19)*Calcs!$C$9),(((M19/100)*F19)*Calcs!$D$9),(((N19/100)*F19)*Calcs!$E$9)),IF(H19="2 Rate Half Hourly",SUM(((J19/100)*365),(((L19/100)*F19)*Calcs!$C$18),(((M19/100)*F19)*Calcs!$D$18)))))))+IFERROR(((((O19/100)*I19)*12)),0),""))</f>
        <v/>
      </c>
      <c r="Q19" s="95" t="str">
        <f ca="1">IF(U19=TRUE,"",IFERROR(IF(F19&lt;12000,((P19*1.05)/12),(((F19*Calcs!#REF!)+P19)*1.2)/12),""))</f>
        <v/>
      </c>
      <c r="S19" s="69" t="str">
        <f>IF(NOT($M$2="Acquisition"),"Level 1",IF(C19&lt;=Calcs!$I$2,"Level 1",IF(AND($M$4="36 Months APR",C19&lt;=Calcs!$I$4),"Level 2","")))</f>
        <v>Level 1</v>
      </c>
      <c r="T19" s="69" t="str">
        <f t="shared" si="0"/>
        <v>--FALSE- Fixed</v>
      </c>
      <c r="U19" s="69" t="b">
        <f ca="1">IFERROR(IF(AND(C19="",$M$2=""),TRUE,IF(AND($M$2="Acquisition",C19=""),TRUE,IF(AND(NOT($M$2="Acquisition"),C19=""),TRUE,IF($M$2="",TRUE,IF($M$4="",TRUE,IF(D19="",TRUE,IF(E19="",TRUE,IF(F19="",TRUE,IF(G19="",TRUE,IF(H19="",TRUE,IF(AND(E19=0,I19=""),TRUE,IF(G19&lt;0,TRUE,IF(F19&gt;1000000,TRUE,IF(F19&lt;5000,TRUE,IF(AND($M$2="Reward Plus",G19&gt;3),TRUE,IF(AND($M$2="Reward",G19&gt;1),TRUE,IF(AND($M$2="Acquisition",G19&gt;2),TRUE,IF(G19&lt;&gt;ROUND(G19,1),TRUE,IF(C19&lt;TODAY(),TRUE,IF(AND($M$2="Acquisition",C19-TODAY()&lt;10),TRUE,IF(AND($M$2="Acquisition",C19&gt;Calcs!$I$2),TRUE,IF(AND($M$2="Acquisition",C19&lt;TODAY()),TRUE,IF(AND(NOT($M$2="Acquisition"),C19&lt;TODAY()),TRUE,IF(AND(NOT($M$2="Acquisition"),C19&gt;(TODAY()+180)),TRUE,IF(ISERROR((C19+1)),TRUE,IF(ISERROR(F19+1),TRUE,IF(ISERROR(G19+1),TRUE,IF(AND($M$2="Acquisition",C19&gt;Calcs!$I$2),TRUE,IF(AND($M$2="Acquisition",E19=0,C19&gt;Calcs!$I$2),TRUE,IF(AND(H19="2 Rate Half Hourly",NOT(E19=0)),TRUE,IF(AND(E19=0,NOT(H19="2 Rate Half Hourly")),TRUE,IF(AND(ISNA(INDEX('New HHTOU Flat Rates'!$A$2:$A$4000,MATCH(T19,'New HHTOU Flat Rates'!$A$2:$A$4000,0))),ISNA(INDEX('Flat Rates'!$A$2:$A$3422,MATCH(T19,'Flat Rates'!$A$2:$A$3422,0)))),TRUE,IF(AND(E19=0,I19&lt;0),TRUE,IF(E19=0,IF(ISERROR(I19+1),TRUE,FALSE))))))))))))))))))))))))))))))))))),TRUE)</f>
        <v>1</v>
      </c>
    </row>
    <row r="20" spans="2:21" x14ac:dyDescent="0.3">
      <c r="B20" s="79"/>
      <c r="C20" s="80"/>
      <c r="D20" s="82"/>
      <c r="E20" s="83"/>
      <c r="H20" s="81"/>
      <c r="I20" s="84"/>
      <c r="J20" s="93" t="str">
        <f ca="1">IF(U20=TRUE,"",IFERROR((((INDEX('Flat Rates'!$A$1:$M$3422,MATCH(T20,'Flat Rates'!$A$1:$A$3422,0),MATCH("Standing Charge",'Flat Rates'!$A$1:$M$1,0))*100))),""))</f>
        <v/>
      </c>
      <c r="K20" s="93" t="str">
        <f ca="1">IF(U20=TRUE,"",IFERROR((IF(NOT(H20="Universal"),"",INDEX('Flat Rates'!$A$1:$M$3422,MATCH(T20,'Flat Rates'!$A$1:$A$3422,0),MATCH("Uni/Day Rate",'Flat Rates'!$A$1:$M$1,0))+(G20/100))*100),""))</f>
        <v/>
      </c>
      <c r="L20" s="93" t="str">
        <f ca="1">IF(U20=TRUE,"",IFERROR((IF(H20="Universal","",INDEX('Flat Rates'!$A$1:$M$3422,MATCH(T20,'Flat Rates'!$A$1:$A$3422,0),MATCH("Uni/Day Rate",'Flat Rates'!$A$1:$M$1,0))+(G20/100))*100),""))</f>
        <v/>
      </c>
      <c r="M20" s="93" t="str">
        <f ca="1">IF(U20=TRUE,"",IFERROR(((INDEX('Flat Rates'!$A$1:$M$3422,MATCH(T20,'Flat Rates'!$A$1:$A$3422,0),MATCH("Night Unit Rate",'Flat Rates'!$A$1:$M$1,0))+(G20/100))*100),""))</f>
        <v/>
      </c>
      <c r="N20" s="93" t="str">
        <f ca="1">IF(U20=TRUE,"",IFERROR(((INDEX('Flat Rates'!$A$1:$M$3422,MATCH(T20,'Flat Rates'!$A$1:$A$3422,0),MATCH("Evening and Weekend Rate",'Flat Rates'!$A$1:$M$1,0))+(G20/100))*100),""))</f>
        <v/>
      </c>
      <c r="O20" s="93" t="str">
        <f ca="1">IF(U20=TRUE,"",IF(NOT(E20=0),"",INDEX(#REF!,MATCH(D20,#REF!,0),MATCH(IF(MONTH(C20)&lt;4,YEAR(C20)-1,YEAR(C20)),#REF!,0))))</f>
        <v/>
      </c>
      <c r="P20" s="94" t="str">
        <f ca="1">IF(U20=TRUE,"",IFERROR(IF(H20="Universal",SUM(((J20/100)*365),((K20/100)*F20)),IF(H20="Economy 7",SUM(((J20/100)*365),(((L20/100)*F20)*Calcs!$C$6),(((M20/100)*F20)*Calcs!$D$6)),IF(H20="Evening and Weekend",SUM(((J20/100)*365),(((L20/100)*F20)*Calcs!$C$12),(((N20/100)*F20)*Calcs!$D$12)),IF(H20="3 Rate",SUM(((J20/100)*365),(((L20/100)*F20)*Calcs!$C$9),(((M20/100)*F20)*Calcs!$D$9),(((N20/100)*F20)*Calcs!$E$9)),IF(H20="2 Rate Half Hourly",SUM(((J20/100)*365),(((L20/100)*F20)*Calcs!$C$18),(((M20/100)*F20)*Calcs!$D$18)))))))+IFERROR(((((O20/100)*I20)*12)),0),""))</f>
        <v/>
      </c>
      <c r="Q20" s="95" t="str">
        <f ca="1">IF(U20=TRUE,"",IFERROR(IF(F20&lt;12000,((P20*1.05)/12),(((F20*Calcs!#REF!)+P20)*1.2)/12),""))</f>
        <v/>
      </c>
      <c r="S20" s="69" t="str">
        <f>IF(NOT($M$2="Acquisition"),"Level 1",IF(C20&lt;=Calcs!$I$2,"Level 1",IF(AND($M$4="36 Months APR",C20&lt;=Calcs!$I$4),"Level 2","")))</f>
        <v>Level 1</v>
      </c>
      <c r="T20" s="69" t="str">
        <f t="shared" si="0"/>
        <v>--FALSE- Fixed</v>
      </c>
      <c r="U20" s="69" t="b">
        <f ca="1">IFERROR(IF(AND(C20="",$M$2=""),TRUE,IF(AND($M$2="Acquisition",C20=""),TRUE,IF(AND(NOT($M$2="Acquisition"),C20=""),TRUE,IF($M$2="",TRUE,IF($M$4="",TRUE,IF(D20="",TRUE,IF(E20="",TRUE,IF(F20="",TRUE,IF(G20="",TRUE,IF(H20="",TRUE,IF(AND(E20=0,I20=""),TRUE,IF(G20&lt;0,TRUE,IF(F20&gt;1000000,TRUE,IF(F20&lt;5000,TRUE,IF(AND($M$2="Reward Plus",G20&gt;3),TRUE,IF(AND($M$2="Reward",G20&gt;1),TRUE,IF(AND($M$2="Acquisition",G20&gt;2),TRUE,IF(G20&lt;&gt;ROUND(G20,1),TRUE,IF(C20&lt;TODAY(),TRUE,IF(AND($M$2="Acquisition",C20-TODAY()&lt;10),TRUE,IF(AND($M$2="Acquisition",C20&gt;Calcs!$I$2),TRUE,IF(AND($M$2="Acquisition",C20&lt;TODAY()),TRUE,IF(AND(NOT($M$2="Acquisition"),C20&lt;TODAY()),TRUE,IF(AND(NOT($M$2="Acquisition"),C20&gt;(TODAY()+180)),TRUE,IF(ISERROR((C20+1)),TRUE,IF(ISERROR(F20+1),TRUE,IF(ISERROR(G20+1),TRUE,IF(AND($M$2="Acquisition",C20&gt;Calcs!$I$2),TRUE,IF(AND($M$2="Acquisition",E20=0,C20&gt;Calcs!$I$2),TRUE,IF(AND(H20="2 Rate Half Hourly",NOT(E20=0)),TRUE,IF(AND(E20=0,NOT(H20="2 Rate Half Hourly")),TRUE,IF(AND(ISNA(INDEX('New HHTOU Flat Rates'!$A$2:$A$4000,MATCH(T20,'New HHTOU Flat Rates'!$A$2:$A$4000,0))),ISNA(INDEX('Flat Rates'!$A$2:$A$3422,MATCH(T20,'Flat Rates'!$A$2:$A$3422,0)))),TRUE,IF(AND(E20=0,I20&lt;0),TRUE,IF(E20=0,IF(ISERROR(I20+1),TRUE,FALSE))))))))))))))))))))))))))))))))))),TRUE)</f>
        <v>1</v>
      </c>
    </row>
    <row r="21" spans="2:21" x14ac:dyDescent="0.3">
      <c r="B21" s="79"/>
      <c r="C21" s="80"/>
      <c r="D21" s="82"/>
      <c r="E21" s="83"/>
      <c r="H21" s="81"/>
      <c r="I21" s="84"/>
      <c r="J21" s="93" t="str">
        <f ca="1">IF(U21=TRUE,"",IFERROR((((INDEX('Flat Rates'!$A$1:$M$3422,MATCH(T21,'Flat Rates'!$A$1:$A$3422,0),MATCH("Standing Charge",'Flat Rates'!$A$1:$M$1,0))*100))),""))</f>
        <v/>
      </c>
      <c r="K21" s="93" t="str">
        <f ca="1">IF(U21=TRUE,"",IFERROR((IF(NOT(H21="Universal"),"",INDEX('Flat Rates'!$A$1:$M$3422,MATCH(T21,'Flat Rates'!$A$1:$A$3422,0),MATCH("Uni/Day Rate",'Flat Rates'!$A$1:$M$1,0))+(G21/100))*100),""))</f>
        <v/>
      </c>
      <c r="L21" s="93" t="str">
        <f ca="1">IF(U21=TRUE,"",IFERROR((IF(H21="Universal","",INDEX('Flat Rates'!$A$1:$M$3422,MATCH(T21,'Flat Rates'!$A$1:$A$3422,0),MATCH("Uni/Day Rate",'Flat Rates'!$A$1:$M$1,0))+(G21/100))*100),""))</f>
        <v/>
      </c>
      <c r="M21" s="93" t="str">
        <f ca="1">IF(U21=TRUE,"",IFERROR(((INDEX('Flat Rates'!$A$1:$M$3422,MATCH(T21,'Flat Rates'!$A$1:$A$3422,0),MATCH("Night Unit Rate",'Flat Rates'!$A$1:$M$1,0))+(G21/100))*100),""))</f>
        <v/>
      </c>
      <c r="N21" s="93" t="str">
        <f ca="1">IF(U21=TRUE,"",IFERROR(((INDEX('Flat Rates'!$A$1:$M$3422,MATCH(T21,'Flat Rates'!$A$1:$A$3422,0),MATCH("Evening and Weekend Rate",'Flat Rates'!$A$1:$M$1,0))+(G21/100))*100),""))</f>
        <v/>
      </c>
      <c r="O21" s="93" t="str">
        <f ca="1">IF(U21=TRUE,"",IF(NOT(E21=0),"",INDEX(#REF!,MATCH(D21,#REF!,0),MATCH(IF(MONTH(C21)&lt;4,YEAR(C21)-1,YEAR(C21)),#REF!,0))))</f>
        <v/>
      </c>
      <c r="P21" s="94" t="str">
        <f ca="1">IF(U21=TRUE,"",IFERROR(IF(H21="Universal",SUM(((J21/100)*365),((K21/100)*F21)),IF(H21="Economy 7",SUM(((J21/100)*365),(((L21/100)*F21)*Calcs!$C$6),(((M21/100)*F21)*Calcs!$D$6)),IF(H21="Evening and Weekend",SUM(((J21/100)*365),(((L21/100)*F21)*Calcs!$C$12),(((N21/100)*F21)*Calcs!$D$12)),IF(H21="3 Rate",SUM(((J21/100)*365),(((L21/100)*F21)*Calcs!$C$9),(((M21/100)*F21)*Calcs!$D$9),(((N21/100)*F21)*Calcs!$E$9)),IF(H21="2 Rate Half Hourly",SUM(((J21/100)*365),(((L21/100)*F21)*Calcs!$C$18),(((M21/100)*F21)*Calcs!$D$18)))))))+IFERROR(((((O21/100)*I21)*12)),0),""))</f>
        <v/>
      </c>
      <c r="Q21" s="95" t="str">
        <f ca="1">IF(U21=TRUE,"",IFERROR(IF(F21&lt;12000,((P21*1.05)/12),(((F21*Calcs!#REF!)+P21)*1.2)/12),""))</f>
        <v/>
      </c>
      <c r="S21" s="69" t="str">
        <f>IF(NOT($M$2="Acquisition"),"Level 1",IF(C21&lt;=Calcs!$I$2,"Level 1",IF(AND($M$4="36 Months APR",C21&lt;=Calcs!$I$4),"Level 2","")))</f>
        <v>Level 1</v>
      </c>
      <c r="T21" s="69" t="str">
        <f t="shared" si="0"/>
        <v>--FALSE- Fixed</v>
      </c>
      <c r="U21" s="69" t="b">
        <f ca="1">IFERROR(IF(AND(C21="",$M$2=""),TRUE,IF(AND($M$2="Acquisition",C21=""),TRUE,IF(AND(NOT($M$2="Acquisition"),C21=""),TRUE,IF($M$2="",TRUE,IF($M$4="",TRUE,IF(D21="",TRUE,IF(E21="",TRUE,IF(F21="",TRUE,IF(G21="",TRUE,IF(H21="",TRUE,IF(AND(E21=0,I21=""),TRUE,IF(G21&lt;0,TRUE,IF(F21&gt;1000000,TRUE,IF(F21&lt;5000,TRUE,IF(AND($M$2="Reward Plus",G21&gt;3),TRUE,IF(AND($M$2="Reward",G21&gt;1),TRUE,IF(AND($M$2="Acquisition",G21&gt;2),TRUE,IF(G21&lt;&gt;ROUND(G21,1),TRUE,IF(C21&lt;TODAY(),TRUE,IF(AND($M$2="Acquisition",C21-TODAY()&lt;10),TRUE,IF(AND($M$2="Acquisition",C21&gt;Calcs!$I$2),TRUE,IF(AND($M$2="Acquisition",C21&lt;TODAY()),TRUE,IF(AND(NOT($M$2="Acquisition"),C21&lt;TODAY()),TRUE,IF(AND(NOT($M$2="Acquisition"),C21&gt;(TODAY()+180)),TRUE,IF(ISERROR((C21+1)),TRUE,IF(ISERROR(F21+1),TRUE,IF(ISERROR(G21+1),TRUE,IF(AND($M$2="Acquisition",C21&gt;Calcs!$I$2),TRUE,IF(AND($M$2="Acquisition",E21=0,C21&gt;Calcs!$I$2),TRUE,IF(AND(H21="2 Rate Half Hourly",NOT(E21=0)),TRUE,IF(AND(E21=0,NOT(H21="2 Rate Half Hourly")),TRUE,IF(AND(ISNA(INDEX('New HHTOU Flat Rates'!$A$2:$A$4000,MATCH(T21,'New HHTOU Flat Rates'!$A$2:$A$4000,0))),ISNA(INDEX('Flat Rates'!$A$2:$A$3422,MATCH(T21,'Flat Rates'!$A$2:$A$3422,0)))),TRUE,IF(AND(E21=0,I21&lt;0),TRUE,IF(E21=0,IF(ISERROR(I21+1),TRUE,FALSE))))))))))))))))))))))))))))))))))),TRUE)</f>
        <v>1</v>
      </c>
    </row>
    <row r="22" spans="2:21" x14ac:dyDescent="0.3">
      <c r="B22" s="79"/>
      <c r="C22" s="80"/>
      <c r="D22" s="82"/>
      <c r="E22" s="83"/>
      <c r="H22" s="81"/>
      <c r="I22" s="84"/>
      <c r="J22" s="93" t="str">
        <f ca="1">IF(U22=TRUE,"",IFERROR((((INDEX('Flat Rates'!$A$1:$M$3422,MATCH(T22,'Flat Rates'!$A$1:$A$3422,0),MATCH("Standing Charge",'Flat Rates'!$A$1:$M$1,0))*100))),""))</f>
        <v/>
      </c>
      <c r="K22" s="93" t="str">
        <f ca="1">IF(U22=TRUE,"",IFERROR((IF(NOT(H22="Universal"),"",INDEX('Flat Rates'!$A$1:$M$3422,MATCH(T22,'Flat Rates'!$A$1:$A$3422,0),MATCH("Uni/Day Rate",'Flat Rates'!$A$1:$M$1,0))+(G22/100))*100),""))</f>
        <v/>
      </c>
      <c r="L22" s="93" t="str">
        <f ca="1">IF(U22=TRUE,"",IFERROR((IF(H22="Universal","",INDEX('Flat Rates'!$A$1:$M$3422,MATCH(T22,'Flat Rates'!$A$1:$A$3422,0),MATCH("Uni/Day Rate",'Flat Rates'!$A$1:$M$1,0))+(G22/100))*100),""))</f>
        <v/>
      </c>
      <c r="M22" s="93" t="str">
        <f ca="1">IF(U22=TRUE,"",IFERROR(((INDEX('Flat Rates'!$A$1:$M$3422,MATCH(T22,'Flat Rates'!$A$1:$A$3422,0),MATCH("Night Unit Rate",'Flat Rates'!$A$1:$M$1,0))+(G22/100))*100),""))</f>
        <v/>
      </c>
      <c r="N22" s="93" t="str">
        <f ca="1">IF(U22=TRUE,"",IFERROR(((INDEX('Flat Rates'!$A$1:$M$3422,MATCH(T22,'Flat Rates'!$A$1:$A$3422,0),MATCH("Evening and Weekend Rate",'Flat Rates'!$A$1:$M$1,0))+(G22/100))*100),""))</f>
        <v/>
      </c>
      <c r="O22" s="93" t="str">
        <f ca="1">IF(U22=TRUE,"",IF(NOT(E22=0),"",INDEX(#REF!,MATCH(D22,#REF!,0),MATCH(IF(MONTH(C22)&lt;4,YEAR(C22)-1,YEAR(C22)),#REF!,0))))</f>
        <v/>
      </c>
      <c r="P22" s="94" t="str">
        <f ca="1">IF(U22=TRUE,"",IFERROR(IF(H22="Universal",SUM(((J22/100)*365),((K22/100)*F22)),IF(H22="Economy 7",SUM(((J22/100)*365),(((L22/100)*F22)*Calcs!$C$6),(((M22/100)*F22)*Calcs!$D$6)),IF(H22="Evening and Weekend",SUM(((J22/100)*365),(((L22/100)*F22)*Calcs!$C$12),(((N22/100)*F22)*Calcs!$D$12)),IF(H22="3 Rate",SUM(((J22/100)*365),(((L22/100)*F22)*Calcs!$C$9),(((M22/100)*F22)*Calcs!$D$9),(((N22/100)*F22)*Calcs!$E$9)),IF(H22="2 Rate Half Hourly",SUM(((J22/100)*365),(((L22/100)*F22)*Calcs!$C$18),(((M22/100)*F22)*Calcs!$D$18)))))))+IFERROR(((((O22/100)*I22)*12)),0),""))</f>
        <v/>
      </c>
      <c r="Q22" s="95" t="str">
        <f ca="1">IF(U22=TRUE,"",IFERROR(IF(F22&lt;12000,((P22*1.05)/12),(((F22*Calcs!#REF!)+P22)*1.2)/12),""))</f>
        <v/>
      </c>
      <c r="S22" s="69" t="str">
        <f>IF(NOT($M$2="Acquisition"),"Level 1",IF(C22&lt;=Calcs!$I$2,"Level 1",IF(AND($M$4="36 Months APR",C22&lt;=Calcs!$I$4),"Level 2","")))</f>
        <v>Level 1</v>
      </c>
      <c r="T22" s="69" t="str">
        <f t="shared" si="0"/>
        <v>--FALSE- Fixed</v>
      </c>
      <c r="U22" s="69" t="b">
        <f ca="1">IFERROR(IF(AND(C22="",$M$2=""),TRUE,IF(AND($M$2="Acquisition",C22=""),TRUE,IF(AND(NOT($M$2="Acquisition"),C22=""),TRUE,IF($M$2="",TRUE,IF($M$4="",TRUE,IF(D22="",TRUE,IF(E22="",TRUE,IF(F22="",TRUE,IF(G22="",TRUE,IF(H22="",TRUE,IF(AND(E22=0,I22=""),TRUE,IF(G22&lt;0,TRUE,IF(F22&gt;1000000,TRUE,IF(F22&lt;5000,TRUE,IF(AND($M$2="Reward Plus",G22&gt;3),TRUE,IF(AND($M$2="Reward",G22&gt;1),TRUE,IF(AND($M$2="Acquisition",G22&gt;2),TRUE,IF(G22&lt;&gt;ROUND(G22,1),TRUE,IF(C22&lt;TODAY(),TRUE,IF(AND($M$2="Acquisition",C22-TODAY()&lt;10),TRUE,IF(AND($M$2="Acquisition",C22&gt;Calcs!$I$2),TRUE,IF(AND($M$2="Acquisition",C22&lt;TODAY()),TRUE,IF(AND(NOT($M$2="Acquisition"),C22&lt;TODAY()),TRUE,IF(AND(NOT($M$2="Acquisition"),C22&gt;(TODAY()+180)),TRUE,IF(ISERROR((C22+1)),TRUE,IF(ISERROR(F22+1),TRUE,IF(ISERROR(G22+1),TRUE,IF(AND($M$2="Acquisition",C22&gt;Calcs!$I$2),TRUE,IF(AND($M$2="Acquisition",E22=0,C22&gt;Calcs!$I$2),TRUE,IF(AND(H22="2 Rate Half Hourly",NOT(E22=0)),TRUE,IF(AND(E22=0,NOT(H22="2 Rate Half Hourly")),TRUE,IF(AND(ISNA(INDEX('New HHTOU Flat Rates'!$A$2:$A$4000,MATCH(T22,'New HHTOU Flat Rates'!$A$2:$A$4000,0))),ISNA(INDEX('Flat Rates'!$A$2:$A$3422,MATCH(T22,'Flat Rates'!$A$2:$A$3422,0)))),TRUE,IF(AND(E22=0,I22&lt;0),TRUE,IF(E22=0,IF(ISERROR(I22+1),TRUE,FALSE))))))))))))))))))))))))))))))))))),TRUE)</f>
        <v>1</v>
      </c>
    </row>
    <row r="23" spans="2:21" x14ac:dyDescent="0.3">
      <c r="B23" s="79"/>
      <c r="C23" s="80"/>
      <c r="D23" s="82"/>
      <c r="E23" s="83"/>
      <c r="H23" s="81"/>
      <c r="I23" s="84"/>
      <c r="J23" s="93" t="str">
        <f ca="1">IF(U23=TRUE,"",IFERROR((((INDEX('Flat Rates'!$A$1:$M$3422,MATCH(T23,'Flat Rates'!$A$1:$A$3422,0),MATCH("Standing Charge",'Flat Rates'!$A$1:$M$1,0))*100))),""))</f>
        <v/>
      </c>
      <c r="K23" s="93" t="str">
        <f ca="1">IF(U23=TRUE,"",IFERROR((IF(NOT(H23="Universal"),"",INDEX('Flat Rates'!$A$1:$M$3422,MATCH(T23,'Flat Rates'!$A$1:$A$3422,0),MATCH("Uni/Day Rate",'Flat Rates'!$A$1:$M$1,0))+(G23/100))*100),""))</f>
        <v/>
      </c>
      <c r="L23" s="93" t="str">
        <f ca="1">IF(U23=TRUE,"",IFERROR((IF(H23="Universal","",INDEX('Flat Rates'!$A$1:$M$3422,MATCH(T23,'Flat Rates'!$A$1:$A$3422,0),MATCH("Uni/Day Rate",'Flat Rates'!$A$1:$M$1,0))+(G23/100))*100),""))</f>
        <v/>
      </c>
      <c r="M23" s="93" t="str">
        <f ca="1">IF(U23=TRUE,"",IFERROR(((INDEX('Flat Rates'!$A$1:$M$3422,MATCH(T23,'Flat Rates'!$A$1:$A$3422,0),MATCH("Night Unit Rate",'Flat Rates'!$A$1:$M$1,0))+(G23/100))*100),""))</f>
        <v/>
      </c>
      <c r="N23" s="93" t="str">
        <f ca="1">IF(U23=TRUE,"",IFERROR(((INDEX('Flat Rates'!$A$1:$M$3422,MATCH(T23,'Flat Rates'!$A$1:$A$3422,0),MATCH("Evening and Weekend Rate",'Flat Rates'!$A$1:$M$1,0))+(G23/100))*100),""))</f>
        <v/>
      </c>
      <c r="O23" s="93" t="str">
        <f ca="1">IF(U23=TRUE,"",IF(NOT(E23=0),"",INDEX(#REF!,MATCH(D23,#REF!,0),MATCH(IF(MONTH(C23)&lt;4,YEAR(C23)-1,YEAR(C23)),#REF!,0))))</f>
        <v/>
      </c>
      <c r="P23" s="94" t="str">
        <f ca="1">IF(U23=TRUE,"",IFERROR(IF(H23="Universal",SUM(((J23/100)*365),((K23/100)*F23)),IF(H23="Economy 7",SUM(((J23/100)*365),(((L23/100)*F23)*Calcs!$C$6),(((M23/100)*F23)*Calcs!$D$6)),IF(H23="Evening and Weekend",SUM(((J23/100)*365),(((L23/100)*F23)*Calcs!$C$12),(((N23/100)*F23)*Calcs!$D$12)),IF(H23="3 Rate",SUM(((J23/100)*365),(((L23/100)*F23)*Calcs!$C$9),(((M23/100)*F23)*Calcs!$D$9),(((N23/100)*F23)*Calcs!$E$9)),IF(H23="2 Rate Half Hourly",SUM(((J23/100)*365),(((L23/100)*F23)*Calcs!$C$18),(((M23/100)*F23)*Calcs!$D$18)))))))+IFERROR(((((O23/100)*I23)*12)),0),""))</f>
        <v/>
      </c>
      <c r="Q23" s="95" t="str">
        <f ca="1">IF(U23=TRUE,"",IFERROR(IF(F23&lt;12000,((P23*1.05)/12),(((F23*Calcs!#REF!)+P23)*1.2)/12),""))</f>
        <v/>
      </c>
      <c r="S23" s="69" t="str">
        <f>IF(NOT($M$2="Acquisition"),"Level 1",IF(C23&lt;=Calcs!$I$2,"Level 1",IF(AND($M$4="36 Months APR",C23&lt;=Calcs!$I$4),"Level 2","")))</f>
        <v>Level 1</v>
      </c>
      <c r="T23" s="69" t="str">
        <f t="shared" si="0"/>
        <v>--FALSE- Fixed</v>
      </c>
      <c r="U23" s="69" t="b">
        <f ca="1">IFERROR(IF(AND(C23="",$M$2=""),TRUE,IF(AND($M$2="Acquisition",C23=""),TRUE,IF(AND(NOT($M$2="Acquisition"),C23=""),TRUE,IF($M$2="",TRUE,IF($M$4="",TRUE,IF(D23="",TRUE,IF(E23="",TRUE,IF(F23="",TRUE,IF(G23="",TRUE,IF(H23="",TRUE,IF(AND(E23=0,I23=""),TRUE,IF(G23&lt;0,TRUE,IF(F23&gt;1000000,TRUE,IF(F23&lt;5000,TRUE,IF(AND($M$2="Reward Plus",G23&gt;3),TRUE,IF(AND($M$2="Reward",G23&gt;1),TRUE,IF(AND($M$2="Acquisition",G23&gt;2),TRUE,IF(G23&lt;&gt;ROUND(G23,1),TRUE,IF(C23&lt;TODAY(),TRUE,IF(AND($M$2="Acquisition",C23-TODAY()&lt;10),TRUE,IF(AND($M$2="Acquisition",C23&gt;Calcs!$I$2),TRUE,IF(AND($M$2="Acquisition",C23&lt;TODAY()),TRUE,IF(AND(NOT($M$2="Acquisition"),C23&lt;TODAY()),TRUE,IF(AND(NOT($M$2="Acquisition"),C23&gt;(TODAY()+180)),TRUE,IF(ISERROR((C23+1)),TRUE,IF(ISERROR(F23+1),TRUE,IF(ISERROR(G23+1),TRUE,IF(AND($M$2="Acquisition",C23&gt;Calcs!$I$2),TRUE,IF(AND($M$2="Acquisition",E23=0,C23&gt;Calcs!$I$2),TRUE,IF(AND(H23="2 Rate Half Hourly",NOT(E23=0)),TRUE,IF(AND(E23=0,NOT(H23="2 Rate Half Hourly")),TRUE,IF(AND(ISNA(INDEX('New HHTOU Flat Rates'!$A$2:$A$4000,MATCH(T23,'New HHTOU Flat Rates'!$A$2:$A$4000,0))),ISNA(INDEX('Flat Rates'!$A$2:$A$3422,MATCH(T23,'Flat Rates'!$A$2:$A$3422,0)))),TRUE,IF(AND(E23=0,I23&lt;0),TRUE,IF(E23=0,IF(ISERROR(I23+1),TRUE,FALSE))))))))))))))))))))))))))))))))))),TRUE)</f>
        <v>1</v>
      </c>
    </row>
    <row r="24" spans="2:21" x14ac:dyDescent="0.3">
      <c r="B24" s="79"/>
      <c r="C24" s="80"/>
      <c r="D24" s="82"/>
      <c r="E24" s="83"/>
      <c r="H24" s="81"/>
      <c r="I24" s="84"/>
      <c r="J24" s="93" t="str">
        <f ca="1">IF(U24=TRUE,"",IFERROR((((INDEX('Flat Rates'!$A$1:$M$3422,MATCH(T24,'Flat Rates'!$A$1:$A$3422,0),MATCH("Standing Charge",'Flat Rates'!$A$1:$M$1,0))*100))),""))</f>
        <v/>
      </c>
      <c r="K24" s="93" t="str">
        <f ca="1">IF(U24=TRUE,"",IFERROR((IF(NOT(H24="Universal"),"",INDEX('Flat Rates'!$A$1:$M$3422,MATCH(T24,'Flat Rates'!$A$1:$A$3422,0),MATCH("Uni/Day Rate",'Flat Rates'!$A$1:$M$1,0))+(G24/100))*100),""))</f>
        <v/>
      </c>
      <c r="L24" s="93" t="str">
        <f ca="1">IF(U24=TRUE,"",IFERROR((IF(H24="Universal","",INDEX('Flat Rates'!$A$1:$M$3422,MATCH(T24,'Flat Rates'!$A$1:$A$3422,0),MATCH("Uni/Day Rate",'Flat Rates'!$A$1:$M$1,0))+(G24/100))*100),""))</f>
        <v/>
      </c>
      <c r="M24" s="93" t="str">
        <f ca="1">IF(U24=TRUE,"",IFERROR(((INDEX('Flat Rates'!$A$1:$M$3422,MATCH(T24,'Flat Rates'!$A$1:$A$3422,0),MATCH("Night Unit Rate",'Flat Rates'!$A$1:$M$1,0))+(G24/100))*100),""))</f>
        <v/>
      </c>
      <c r="N24" s="93" t="str">
        <f ca="1">IF(U24=TRUE,"",IFERROR(((INDEX('Flat Rates'!$A$1:$M$3422,MATCH(T24,'Flat Rates'!$A$1:$A$3422,0),MATCH("Evening and Weekend Rate",'Flat Rates'!$A$1:$M$1,0))+(G24/100))*100),""))</f>
        <v/>
      </c>
      <c r="O24" s="93" t="str">
        <f ca="1">IF(U24=TRUE,"",IF(NOT(E24=0),"",INDEX(#REF!,MATCH(D24,#REF!,0),MATCH(IF(MONTH(C24)&lt;4,YEAR(C24)-1,YEAR(C24)),#REF!,0))))</f>
        <v/>
      </c>
      <c r="P24" s="94" t="str">
        <f ca="1">IF(U24=TRUE,"",IFERROR(IF(H24="Universal",SUM(((J24/100)*365),((K24/100)*F24)),IF(H24="Economy 7",SUM(((J24/100)*365),(((L24/100)*F24)*Calcs!$C$6),(((M24/100)*F24)*Calcs!$D$6)),IF(H24="Evening and Weekend",SUM(((J24/100)*365),(((L24/100)*F24)*Calcs!$C$12),(((N24/100)*F24)*Calcs!$D$12)),IF(H24="3 Rate",SUM(((J24/100)*365),(((L24/100)*F24)*Calcs!$C$9),(((M24/100)*F24)*Calcs!$D$9),(((N24/100)*F24)*Calcs!$E$9)),IF(H24="2 Rate Half Hourly",SUM(((J24/100)*365),(((L24/100)*F24)*Calcs!$C$18),(((M24/100)*F24)*Calcs!$D$18)))))))+IFERROR(((((O24/100)*I24)*12)),0),""))</f>
        <v/>
      </c>
      <c r="Q24" s="95" t="str">
        <f ca="1">IF(U24=TRUE,"",IFERROR(IF(F24&lt;12000,((P24*1.05)/12),(((F24*Calcs!#REF!)+P24)*1.2)/12),""))</f>
        <v/>
      </c>
      <c r="S24" s="69" t="str">
        <f>IF(NOT($M$2="Acquisition"),"Level 1",IF(C24&lt;=Calcs!$I$2,"Level 1",IF(AND($M$4="36 Months APR",C24&lt;=Calcs!$I$4),"Level 2","")))</f>
        <v>Level 1</v>
      </c>
      <c r="T24" s="69" t="str">
        <f t="shared" si="0"/>
        <v>--FALSE- Fixed</v>
      </c>
      <c r="U24" s="69" t="b">
        <f ca="1">IFERROR(IF(AND(C24="",$M$2=""),TRUE,IF(AND($M$2="Acquisition",C24=""),TRUE,IF(AND(NOT($M$2="Acquisition"),C24=""),TRUE,IF($M$2="",TRUE,IF($M$4="",TRUE,IF(D24="",TRUE,IF(E24="",TRUE,IF(F24="",TRUE,IF(G24="",TRUE,IF(H24="",TRUE,IF(AND(E24=0,I24=""),TRUE,IF(G24&lt;0,TRUE,IF(F24&gt;1000000,TRUE,IF(F24&lt;5000,TRUE,IF(AND($M$2="Reward Plus",G24&gt;3),TRUE,IF(AND($M$2="Reward",G24&gt;1),TRUE,IF(AND($M$2="Acquisition",G24&gt;2),TRUE,IF(G24&lt;&gt;ROUND(G24,1),TRUE,IF(C24&lt;TODAY(),TRUE,IF(AND($M$2="Acquisition",C24-TODAY()&lt;10),TRUE,IF(AND($M$2="Acquisition",C24&gt;Calcs!$I$2),TRUE,IF(AND($M$2="Acquisition",C24&lt;TODAY()),TRUE,IF(AND(NOT($M$2="Acquisition"),C24&lt;TODAY()),TRUE,IF(AND(NOT($M$2="Acquisition"),C24&gt;(TODAY()+180)),TRUE,IF(ISERROR((C24+1)),TRUE,IF(ISERROR(F24+1),TRUE,IF(ISERROR(G24+1),TRUE,IF(AND($M$2="Acquisition",C24&gt;Calcs!$I$2),TRUE,IF(AND($M$2="Acquisition",E24=0,C24&gt;Calcs!$I$2),TRUE,IF(AND(H24="2 Rate Half Hourly",NOT(E24=0)),TRUE,IF(AND(E24=0,NOT(H24="2 Rate Half Hourly")),TRUE,IF(AND(ISNA(INDEX('New HHTOU Flat Rates'!$A$2:$A$4000,MATCH(T24,'New HHTOU Flat Rates'!$A$2:$A$4000,0))),ISNA(INDEX('Flat Rates'!$A$2:$A$3422,MATCH(T24,'Flat Rates'!$A$2:$A$3422,0)))),TRUE,IF(AND(E24=0,I24&lt;0),TRUE,IF(E24=0,IF(ISERROR(I24+1),TRUE,FALSE))))))))))))))))))))))))))))))))))),TRUE)</f>
        <v>1</v>
      </c>
    </row>
    <row r="25" spans="2:21" x14ac:dyDescent="0.3">
      <c r="B25" s="79"/>
      <c r="C25" s="80"/>
      <c r="D25" s="82"/>
      <c r="E25" s="83"/>
      <c r="H25" s="81"/>
      <c r="I25" s="84"/>
      <c r="J25" s="93" t="str">
        <f ca="1">IF(U25=TRUE,"",IFERROR((((INDEX('Flat Rates'!$A$1:$M$3422,MATCH(T25,'Flat Rates'!$A$1:$A$3422,0),MATCH("Standing Charge",'Flat Rates'!$A$1:$M$1,0))*100))),""))</f>
        <v/>
      </c>
      <c r="K25" s="93" t="str">
        <f ca="1">IF(U25=TRUE,"",IFERROR((IF(NOT(H25="Universal"),"",INDEX('Flat Rates'!$A$1:$M$3422,MATCH(T25,'Flat Rates'!$A$1:$A$3422,0),MATCH("Uni/Day Rate",'Flat Rates'!$A$1:$M$1,0))+(G25/100))*100),""))</f>
        <v/>
      </c>
      <c r="L25" s="93" t="str">
        <f ca="1">IF(U25=TRUE,"",IFERROR((IF(H25="Universal","",INDEX('Flat Rates'!$A$1:$M$3422,MATCH(T25,'Flat Rates'!$A$1:$A$3422,0),MATCH("Uni/Day Rate",'Flat Rates'!$A$1:$M$1,0))+(G25/100))*100),""))</f>
        <v/>
      </c>
      <c r="M25" s="93" t="str">
        <f ca="1">IF(U25=TRUE,"",IFERROR(((INDEX('Flat Rates'!$A$1:$M$3422,MATCH(T25,'Flat Rates'!$A$1:$A$3422,0),MATCH("Night Unit Rate",'Flat Rates'!$A$1:$M$1,0))+(G25/100))*100),""))</f>
        <v/>
      </c>
      <c r="N25" s="93" t="str">
        <f ca="1">IF(U25=TRUE,"",IFERROR(((INDEX('Flat Rates'!$A$1:$M$3422,MATCH(T25,'Flat Rates'!$A$1:$A$3422,0),MATCH("Evening and Weekend Rate",'Flat Rates'!$A$1:$M$1,0))+(G25/100))*100),""))</f>
        <v/>
      </c>
      <c r="O25" s="93" t="str">
        <f ca="1">IF(U25=TRUE,"",IF(NOT(E25=0),"",INDEX(#REF!,MATCH(D25,#REF!,0),MATCH(IF(MONTH(C25)&lt;4,YEAR(C25)-1,YEAR(C25)),#REF!,0))))</f>
        <v/>
      </c>
      <c r="P25" s="94" t="str">
        <f ca="1">IF(U25=TRUE,"",IFERROR(IF(H25="Universal",SUM(((J25/100)*365),((K25/100)*F25)),IF(H25="Economy 7",SUM(((J25/100)*365),(((L25/100)*F25)*Calcs!$C$6),(((M25/100)*F25)*Calcs!$D$6)),IF(H25="Evening and Weekend",SUM(((J25/100)*365),(((L25/100)*F25)*Calcs!$C$12),(((N25/100)*F25)*Calcs!$D$12)),IF(H25="3 Rate",SUM(((J25/100)*365),(((L25/100)*F25)*Calcs!$C$9),(((M25/100)*F25)*Calcs!$D$9),(((N25/100)*F25)*Calcs!$E$9)),IF(H25="2 Rate Half Hourly",SUM(((J25/100)*365),(((L25/100)*F25)*Calcs!$C$18),(((M25/100)*F25)*Calcs!$D$18)))))))+IFERROR(((((O25/100)*I25)*12)),0),""))</f>
        <v/>
      </c>
      <c r="Q25" s="95" t="str">
        <f ca="1">IF(U25=TRUE,"",IFERROR(IF(F25&lt;12000,((P25*1.05)/12),(((F25*Calcs!#REF!)+P25)*1.2)/12),""))</f>
        <v/>
      </c>
      <c r="S25" s="69" t="str">
        <f>IF(NOT($M$2="Acquisition"),"Level 1",IF(C25&lt;=Calcs!$I$2,"Level 1",IF(AND($M$4="36 Months APR",C25&lt;=Calcs!$I$4),"Level 2","")))</f>
        <v>Level 1</v>
      </c>
      <c r="T25" s="69" t="str">
        <f t="shared" si="0"/>
        <v>--FALSE- Fixed</v>
      </c>
      <c r="U25" s="69" t="b">
        <f ca="1">IFERROR(IF(AND(C25="",$M$2=""),TRUE,IF(AND($M$2="Acquisition",C25=""),TRUE,IF(AND(NOT($M$2="Acquisition"),C25=""),TRUE,IF($M$2="",TRUE,IF($M$4="",TRUE,IF(D25="",TRUE,IF(E25="",TRUE,IF(F25="",TRUE,IF(G25="",TRUE,IF(H25="",TRUE,IF(AND(E25=0,I25=""),TRUE,IF(G25&lt;0,TRUE,IF(F25&gt;1000000,TRUE,IF(F25&lt;5000,TRUE,IF(AND($M$2="Reward Plus",G25&gt;3),TRUE,IF(AND($M$2="Reward",G25&gt;1),TRUE,IF(AND($M$2="Acquisition",G25&gt;2),TRUE,IF(G25&lt;&gt;ROUND(G25,1),TRUE,IF(C25&lt;TODAY(),TRUE,IF(AND($M$2="Acquisition",C25-TODAY()&lt;10),TRUE,IF(AND($M$2="Acquisition",C25&gt;Calcs!$I$2),TRUE,IF(AND($M$2="Acquisition",C25&lt;TODAY()),TRUE,IF(AND(NOT($M$2="Acquisition"),C25&lt;TODAY()),TRUE,IF(AND(NOT($M$2="Acquisition"),C25&gt;(TODAY()+180)),TRUE,IF(ISERROR((C25+1)),TRUE,IF(ISERROR(F25+1),TRUE,IF(ISERROR(G25+1),TRUE,IF(AND($M$2="Acquisition",C25&gt;Calcs!$I$2),TRUE,IF(AND($M$2="Acquisition",E25=0,C25&gt;Calcs!$I$2),TRUE,IF(AND(H25="2 Rate Half Hourly",NOT(E25=0)),TRUE,IF(AND(E25=0,NOT(H25="2 Rate Half Hourly")),TRUE,IF(AND(ISNA(INDEX('New HHTOU Flat Rates'!$A$2:$A$4000,MATCH(T25,'New HHTOU Flat Rates'!$A$2:$A$4000,0))),ISNA(INDEX('Flat Rates'!$A$2:$A$3422,MATCH(T25,'Flat Rates'!$A$2:$A$3422,0)))),TRUE,IF(AND(E25=0,I25&lt;0),TRUE,IF(E25=0,IF(ISERROR(I25+1),TRUE,FALSE))))))))))))))))))))))))))))))))))),TRUE)</f>
        <v>1</v>
      </c>
    </row>
    <row r="26" spans="2:21" x14ac:dyDescent="0.3">
      <c r="B26" s="79"/>
      <c r="C26" s="80"/>
      <c r="D26" s="82"/>
      <c r="E26" s="83"/>
      <c r="H26" s="81"/>
      <c r="I26" s="84"/>
      <c r="J26" s="93" t="str">
        <f ca="1">IF(U26=TRUE,"",IFERROR((((INDEX('Flat Rates'!$A$1:$M$3422,MATCH(T26,'Flat Rates'!$A$1:$A$3422,0),MATCH("Standing Charge",'Flat Rates'!$A$1:$M$1,0))*100))),""))</f>
        <v/>
      </c>
      <c r="K26" s="93" t="str">
        <f ca="1">IF(U26=TRUE,"",IFERROR((IF(NOT(H26="Universal"),"",INDEX('Flat Rates'!$A$1:$M$3422,MATCH(T26,'Flat Rates'!$A$1:$A$3422,0),MATCH("Uni/Day Rate",'Flat Rates'!$A$1:$M$1,0))+(G26/100))*100),""))</f>
        <v/>
      </c>
      <c r="L26" s="93" t="str">
        <f ca="1">IF(U26=TRUE,"",IFERROR((IF(H26="Universal","",INDEX('Flat Rates'!$A$1:$M$3422,MATCH(T26,'Flat Rates'!$A$1:$A$3422,0),MATCH("Uni/Day Rate",'Flat Rates'!$A$1:$M$1,0))+(G26/100))*100),""))</f>
        <v/>
      </c>
      <c r="M26" s="93" t="str">
        <f ca="1">IF(U26=TRUE,"",IFERROR(((INDEX('Flat Rates'!$A$1:$M$3422,MATCH(T26,'Flat Rates'!$A$1:$A$3422,0),MATCH("Night Unit Rate",'Flat Rates'!$A$1:$M$1,0))+(G26/100))*100),""))</f>
        <v/>
      </c>
      <c r="N26" s="93" t="str">
        <f ca="1">IF(U26=TRUE,"",IFERROR(((INDEX('Flat Rates'!$A$1:$M$3422,MATCH(T26,'Flat Rates'!$A$1:$A$3422,0),MATCH("Evening and Weekend Rate",'Flat Rates'!$A$1:$M$1,0))+(G26/100))*100),""))</f>
        <v/>
      </c>
      <c r="O26" s="93" t="str">
        <f ca="1">IF(U26=TRUE,"",IF(NOT(E26=0),"",INDEX(#REF!,MATCH(D26,#REF!,0),MATCH(IF(MONTH(C26)&lt;4,YEAR(C26)-1,YEAR(C26)),#REF!,0))))</f>
        <v/>
      </c>
      <c r="P26" s="94" t="str">
        <f ca="1">IF(U26=TRUE,"",IFERROR(IF(H26="Universal",SUM(((J26/100)*365),((K26/100)*F26)),IF(H26="Economy 7",SUM(((J26/100)*365),(((L26/100)*F26)*Calcs!$C$6),(((M26/100)*F26)*Calcs!$D$6)),IF(H26="Evening and Weekend",SUM(((J26/100)*365),(((L26/100)*F26)*Calcs!$C$12),(((N26/100)*F26)*Calcs!$D$12)),IF(H26="3 Rate",SUM(((J26/100)*365),(((L26/100)*F26)*Calcs!$C$9),(((M26/100)*F26)*Calcs!$D$9),(((N26/100)*F26)*Calcs!$E$9)),IF(H26="2 Rate Half Hourly",SUM(((J26/100)*365),(((L26/100)*F26)*Calcs!$C$18),(((M26/100)*F26)*Calcs!$D$18)))))))+IFERROR(((((O26/100)*I26)*12)),0),""))</f>
        <v/>
      </c>
      <c r="Q26" s="95" t="str">
        <f ca="1">IF(U26=TRUE,"",IFERROR(IF(F26&lt;12000,((P26*1.05)/12),(((F26*Calcs!#REF!)+P26)*1.2)/12),""))</f>
        <v/>
      </c>
      <c r="S26" s="69" t="str">
        <f>IF(NOT($M$2="Acquisition"),"Level 1",IF(C26&lt;=Calcs!$I$2,"Level 1",IF(AND($M$4="36 Months APR",C26&lt;=Calcs!$I$4),"Level 2","")))</f>
        <v>Level 1</v>
      </c>
      <c r="T26" s="69" t="str">
        <f t="shared" si="0"/>
        <v>--FALSE- Fixed</v>
      </c>
      <c r="U26" s="69" t="b">
        <f ca="1">IFERROR(IF(AND(C26="",$M$2=""),TRUE,IF(AND($M$2="Acquisition",C26=""),TRUE,IF(AND(NOT($M$2="Acquisition"),C26=""),TRUE,IF($M$2="",TRUE,IF($M$4="",TRUE,IF(D26="",TRUE,IF(E26="",TRUE,IF(F26="",TRUE,IF(G26="",TRUE,IF(H26="",TRUE,IF(AND(E26=0,I26=""),TRUE,IF(G26&lt;0,TRUE,IF(F26&gt;1000000,TRUE,IF(F26&lt;5000,TRUE,IF(AND($M$2="Reward Plus",G26&gt;3),TRUE,IF(AND($M$2="Reward",G26&gt;1),TRUE,IF(AND($M$2="Acquisition",G26&gt;2),TRUE,IF(G26&lt;&gt;ROUND(G26,1),TRUE,IF(C26&lt;TODAY(),TRUE,IF(AND($M$2="Acquisition",C26-TODAY()&lt;10),TRUE,IF(AND($M$2="Acquisition",C26&gt;Calcs!$I$2),TRUE,IF(AND($M$2="Acquisition",C26&lt;TODAY()),TRUE,IF(AND(NOT($M$2="Acquisition"),C26&lt;TODAY()),TRUE,IF(AND(NOT($M$2="Acquisition"),C26&gt;(TODAY()+180)),TRUE,IF(ISERROR((C26+1)),TRUE,IF(ISERROR(F26+1),TRUE,IF(ISERROR(G26+1),TRUE,IF(AND($M$2="Acquisition",C26&gt;Calcs!$I$2),TRUE,IF(AND($M$2="Acquisition",E26=0,C26&gt;Calcs!$I$2),TRUE,IF(AND(H26="2 Rate Half Hourly",NOT(E26=0)),TRUE,IF(AND(E26=0,NOT(H26="2 Rate Half Hourly")),TRUE,IF(AND(ISNA(INDEX('New HHTOU Flat Rates'!$A$2:$A$4000,MATCH(T26,'New HHTOU Flat Rates'!$A$2:$A$4000,0))),ISNA(INDEX('Flat Rates'!$A$2:$A$3422,MATCH(T26,'Flat Rates'!$A$2:$A$3422,0)))),TRUE,IF(AND(E26=0,I26&lt;0),TRUE,IF(E26=0,IF(ISERROR(I26+1),TRUE,FALSE))))))))))))))))))))))))))))))))))),TRUE)</f>
        <v>1</v>
      </c>
    </row>
    <row r="27" spans="2:21" x14ac:dyDescent="0.3">
      <c r="B27" s="79"/>
      <c r="C27" s="80"/>
      <c r="D27" s="82"/>
      <c r="E27" s="83"/>
      <c r="H27" s="81"/>
      <c r="I27" s="84"/>
      <c r="J27" s="93" t="str">
        <f ca="1">IF(U27=TRUE,"",IFERROR((((INDEX('Flat Rates'!$A$1:$M$3422,MATCH(T27,'Flat Rates'!$A$1:$A$3422,0),MATCH("Standing Charge",'Flat Rates'!$A$1:$M$1,0))*100))),""))</f>
        <v/>
      </c>
      <c r="K27" s="93" t="str">
        <f ca="1">IF(U27=TRUE,"",IFERROR((IF(NOT(H27="Universal"),"",INDEX('Flat Rates'!$A$1:$M$3422,MATCH(T27,'Flat Rates'!$A$1:$A$3422,0),MATCH("Uni/Day Rate",'Flat Rates'!$A$1:$M$1,0))+(G27/100))*100),""))</f>
        <v/>
      </c>
      <c r="L27" s="93" t="str">
        <f ca="1">IF(U27=TRUE,"",IFERROR((IF(H27="Universal","",INDEX('Flat Rates'!$A$1:$M$3422,MATCH(T27,'Flat Rates'!$A$1:$A$3422,0),MATCH("Uni/Day Rate",'Flat Rates'!$A$1:$M$1,0))+(G27/100))*100),""))</f>
        <v/>
      </c>
      <c r="M27" s="93" t="str">
        <f ca="1">IF(U27=TRUE,"",IFERROR(((INDEX('Flat Rates'!$A$1:$M$3422,MATCH(T27,'Flat Rates'!$A$1:$A$3422,0),MATCH("Night Unit Rate",'Flat Rates'!$A$1:$M$1,0))+(G27/100))*100),""))</f>
        <v/>
      </c>
      <c r="N27" s="93" t="str">
        <f ca="1">IF(U27=TRUE,"",IFERROR(((INDEX('Flat Rates'!$A$1:$M$3422,MATCH(T27,'Flat Rates'!$A$1:$A$3422,0),MATCH("Evening and Weekend Rate",'Flat Rates'!$A$1:$M$1,0))+(G27/100))*100),""))</f>
        <v/>
      </c>
      <c r="O27" s="93" t="str">
        <f ca="1">IF(U27=TRUE,"",IF(NOT(E27=0),"",INDEX(#REF!,MATCH(D27,#REF!,0),MATCH(IF(MONTH(C27)&lt;4,YEAR(C27)-1,YEAR(C27)),#REF!,0))))</f>
        <v/>
      </c>
      <c r="P27" s="94" t="str">
        <f ca="1">IF(U27=TRUE,"",IFERROR(IF(H27="Universal",SUM(((J27/100)*365),((K27/100)*F27)),IF(H27="Economy 7",SUM(((J27/100)*365),(((L27/100)*F27)*Calcs!$C$6),(((M27/100)*F27)*Calcs!$D$6)),IF(H27="Evening and Weekend",SUM(((J27/100)*365),(((L27/100)*F27)*Calcs!$C$12),(((N27/100)*F27)*Calcs!$D$12)),IF(H27="3 Rate",SUM(((J27/100)*365),(((L27/100)*F27)*Calcs!$C$9),(((M27/100)*F27)*Calcs!$D$9),(((N27/100)*F27)*Calcs!$E$9)),IF(H27="2 Rate Half Hourly",SUM(((J27/100)*365),(((L27/100)*F27)*Calcs!$C$18),(((M27/100)*F27)*Calcs!$D$18)))))))+IFERROR(((((O27/100)*I27)*12)),0),""))</f>
        <v/>
      </c>
      <c r="Q27" s="95" t="str">
        <f ca="1">IF(U27=TRUE,"",IFERROR(IF(F27&lt;12000,((P27*1.05)/12),(((F27*Calcs!#REF!)+P27)*1.2)/12),""))</f>
        <v/>
      </c>
      <c r="S27" s="69" t="str">
        <f>IF(NOT($M$2="Acquisition"),"Level 1",IF(C27&lt;=Calcs!$I$2,"Level 1",IF(AND($M$4="36 Months APR",C27&lt;=Calcs!$I$4),"Level 2","")))</f>
        <v>Level 1</v>
      </c>
      <c r="T27" s="69" t="str">
        <f t="shared" si="0"/>
        <v>--FALSE- Fixed</v>
      </c>
      <c r="U27" s="69" t="b">
        <f ca="1">IFERROR(IF(AND(C27="",$M$2=""),TRUE,IF(AND($M$2="Acquisition",C27=""),TRUE,IF(AND(NOT($M$2="Acquisition"),C27=""),TRUE,IF($M$2="",TRUE,IF($M$4="",TRUE,IF(D27="",TRUE,IF(E27="",TRUE,IF(F27="",TRUE,IF(G27="",TRUE,IF(H27="",TRUE,IF(AND(E27=0,I27=""),TRUE,IF(G27&lt;0,TRUE,IF(F27&gt;1000000,TRUE,IF(F27&lt;5000,TRUE,IF(AND($M$2="Reward Plus",G27&gt;3),TRUE,IF(AND($M$2="Reward",G27&gt;1),TRUE,IF(AND($M$2="Acquisition",G27&gt;2),TRUE,IF(G27&lt;&gt;ROUND(G27,1),TRUE,IF(C27&lt;TODAY(),TRUE,IF(AND($M$2="Acquisition",C27-TODAY()&lt;10),TRUE,IF(AND($M$2="Acquisition",C27&gt;Calcs!$I$2),TRUE,IF(AND($M$2="Acquisition",C27&lt;TODAY()),TRUE,IF(AND(NOT($M$2="Acquisition"),C27&lt;TODAY()),TRUE,IF(AND(NOT($M$2="Acquisition"),C27&gt;(TODAY()+180)),TRUE,IF(ISERROR((C27+1)),TRUE,IF(ISERROR(F27+1),TRUE,IF(ISERROR(G27+1),TRUE,IF(AND($M$2="Acquisition",C27&gt;Calcs!$I$2),TRUE,IF(AND($M$2="Acquisition",E27=0,C27&gt;Calcs!$I$2),TRUE,IF(AND(H27="2 Rate Half Hourly",NOT(E27=0)),TRUE,IF(AND(E27=0,NOT(H27="2 Rate Half Hourly")),TRUE,IF(AND(ISNA(INDEX('New HHTOU Flat Rates'!$A$2:$A$4000,MATCH(T27,'New HHTOU Flat Rates'!$A$2:$A$4000,0))),ISNA(INDEX('Flat Rates'!$A$2:$A$3422,MATCH(T27,'Flat Rates'!$A$2:$A$3422,0)))),TRUE,IF(AND(E27=0,I27&lt;0),TRUE,IF(E27=0,IF(ISERROR(I27+1),TRUE,FALSE))))))))))))))))))))))))))))))))))),TRUE)</f>
        <v>1</v>
      </c>
    </row>
    <row r="28" spans="2:21" x14ac:dyDescent="0.3">
      <c r="B28" s="79"/>
      <c r="C28" s="80"/>
      <c r="D28" s="82"/>
      <c r="E28" s="83"/>
      <c r="H28" s="81"/>
      <c r="I28" s="84"/>
      <c r="J28" s="93" t="str">
        <f ca="1">IF(U28=TRUE,"",IFERROR((((INDEX('Flat Rates'!$A$1:$M$3422,MATCH(T28,'Flat Rates'!$A$1:$A$3422,0),MATCH("Standing Charge",'Flat Rates'!$A$1:$M$1,0))*100))),""))</f>
        <v/>
      </c>
      <c r="K28" s="93" t="str">
        <f ca="1">IF(U28=TRUE,"",IFERROR((IF(NOT(H28="Universal"),"",INDEX('Flat Rates'!$A$1:$M$3422,MATCH(T28,'Flat Rates'!$A$1:$A$3422,0),MATCH("Uni/Day Rate",'Flat Rates'!$A$1:$M$1,0))+(G28/100))*100),""))</f>
        <v/>
      </c>
      <c r="L28" s="93" t="str">
        <f ca="1">IF(U28=TRUE,"",IFERROR((IF(H28="Universal","",INDEX('Flat Rates'!$A$1:$M$3422,MATCH(T28,'Flat Rates'!$A$1:$A$3422,0),MATCH("Uni/Day Rate",'Flat Rates'!$A$1:$M$1,0))+(G28/100))*100),""))</f>
        <v/>
      </c>
      <c r="M28" s="93" t="str">
        <f ca="1">IF(U28=TRUE,"",IFERROR(((INDEX('Flat Rates'!$A$1:$M$3422,MATCH(T28,'Flat Rates'!$A$1:$A$3422,0),MATCH("Night Unit Rate",'Flat Rates'!$A$1:$M$1,0))+(G28/100))*100),""))</f>
        <v/>
      </c>
      <c r="N28" s="93" t="str">
        <f ca="1">IF(U28=TRUE,"",IFERROR(((INDEX('Flat Rates'!$A$1:$M$3422,MATCH(T28,'Flat Rates'!$A$1:$A$3422,0),MATCH("Evening and Weekend Rate",'Flat Rates'!$A$1:$M$1,0))+(G28/100))*100),""))</f>
        <v/>
      </c>
      <c r="O28" s="93" t="str">
        <f ca="1">IF(U28=TRUE,"",IF(NOT(E28=0),"",INDEX(#REF!,MATCH(D28,#REF!,0),MATCH(IF(MONTH(C28)&lt;4,YEAR(C28)-1,YEAR(C28)),#REF!,0))))</f>
        <v/>
      </c>
      <c r="P28" s="94" t="str">
        <f ca="1">IF(U28=TRUE,"",IFERROR(IF(H28="Universal",SUM(((J28/100)*365),((K28/100)*F28)),IF(H28="Economy 7",SUM(((J28/100)*365),(((L28/100)*F28)*Calcs!$C$6),(((M28/100)*F28)*Calcs!$D$6)),IF(H28="Evening and Weekend",SUM(((J28/100)*365),(((L28/100)*F28)*Calcs!$C$12),(((N28/100)*F28)*Calcs!$D$12)),IF(H28="3 Rate",SUM(((J28/100)*365),(((L28/100)*F28)*Calcs!$C$9),(((M28/100)*F28)*Calcs!$D$9),(((N28/100)*F28)*Calcs!$E$9)),IF(H28="2 Rate Half Hourly",SUM(((J28/100)*365),(((L28/100)*F28)*Calcs!$C$18),(((M28/100)*F28)*Calcs!$D$18)))))))+IFERROR(((((O28/100)*I28)*12)),0),""))</f>
        <v/>
      </c>
      <c r="Q28" s="95" t="str">
        <f ca="1">IF(U28=TRUE,"",IFERROR(IF(F28&lt;12000,((P28*1.05)/12),(((F28*Calcs!#REF!)+P28)*1.2)/12),""))</f>
        <v/>
      </c>
      <c r="S28" s="69" t="str">
        <f>IF(NOT($M$2="Acquisition"),"Level 1",IF(C28&lt;=Calcs!$I$2,"Level 1",IF(AND($M$4="36 Months APR",C28&lt;=Calcs!$I$4),"Level 2","")))</f>
        <v>Level 1</v>
      </c>
      <c r="T28" s="69" t="str">
        <f t="shared" si="0"/>
        <v>--FALSE- Fixed</v>
      </c>
      <c r="U28" s="69" t="b">
        <f ca="1">IFERROR(IF(AND(C28="",$M$2=""),TRUE,IF(AND($M$2="Acquisition",C28=""),TRUE,IF(AND(NOT($M$2="Acquisition"),C28=""),TRUE,IF($M$2="",TRUE,IF($M$4="",TRUE,IF(D28="",TRUE,IF(E28="",TRUE,IF(F28="",TRUE,IF(G28="",TRUE,IF(H28="",TRUE,IF(AND(E28=0,I28=""),TRUE,IF(G28&lt;0,TRUE,IF(F28&gt;1000000,TRUE,IF(F28&lt;5000,TRUE,IF(AND($M$2="Reward Plus",G28&gt;3),TRUE,IF(AND($M$2="Reward",G28&gt;1),TRUE,IF(AND($M$2="Acquisition",G28&gt;2),TRUE,IF(G28&lt;&gt;ROUND(G28,1),TRUE,IF(C28&lt;TODAY(),TRUE,IF(AND($M$2="Acquisition",C28-TODAY()&lt;10),TRUE,IF(AND($M$2="Acquisition",C28&gt;Calcs!$I$2),TRUE,IF(AND($M$2="Acquisition",C28&lt;TODAY()),TRUE,IF(AND(NOT($M$2="Acquisition"),C28&lt;TODAY()),TRUE,IF(AND(NOT($M$2="Acquisition"),C28&gt;(TODAY()+180)),TRUE,IF(ISERROR((C28+1)),TRUE,IF(ISERROR(F28+1),TRUE,IF(ISERROR(G28+1),TRUE,IF(AND($M$2="Acquisition",C28&gt;Calcs!$I$2),TRUE,IF(AND($M$2="Acquisition",E28=0,C28&gt;Calcs!$I$2),TRUE,IF(AND(H28="2 Rate Half Hourly",NOT(E28=0)),TRUE,IF(AND(E28=0,NOT(H28="2 Rate Half Hourly")),TRUE,IF(AND(ISNA(INDEX('New HHTOU Flat Rates'!$A$2:$A$4000,MATCH(T28,'New HHTOU Flat Rates'!$A$2:$A$4000,0))),ISNA(INDEX('Flat Rates'!$A$2:$A$3422,MATCH(T28,'Flat Rates'!$A$2:$A$3422,0)))),TRUE,IF(AND(E28=0,I28&lt;0),TRUE,IF(E28=0,IF(ISERROR(I28+1),TRUE,FALSE))))))))))))))))))))))))))))))))))),TRUE)</f>
        <v>1</v>
      </c>
    </row>
    <row r="29" spans="2:21" x14ac:dyDescent="0.3">
      <c r="B29" s="79"/>
      <c r="C29" s="80"/>
      <c r="D29" s="82"/>
      <c r="E29" s="83"/>
      <c r="H29" s="81"/>
      <c r="I29" s="84"/>
      <c r="J29" s="93" t="str">
        <f ca="1">IF(U29=TRUE,"",IFERROR((((INDEX('Flat Rates'!$A$1:$M$3422,MATCH(T29,'Flat Rates'!$A$1:$A$3422,0),MATCH("Standing Charge",'Flat Rates'!$A$1:$M$1,0))*100))),""))</f>
        <v/>
      </c>
      <c r="K29" s="93" t="str">
        <f ca="1">IF(U29=TRUE,"",IFERROR((IF(NOT(H29="Universal"),"",INDEX('Flat Rates'!$A$1:$M$3422,MATCH(T29,'Flat Rates'!$A$1:$A$3422,0),MATCH("Uni/Day Rate",'Flat Rates'!$A$1:$M$1,0))+(G29/100))*100),""))</f>
        <v/>
      </c>
      <c r="L29" s="93" t="str">
        <f ca="1">IF(U29=TRUE,"",IFERROR((IF(H29="Universal","",INDEX('Flat Rates'!$A$1:$M$3422,MATCH(T29,'Flat Rates'!$A$1:$A$3422,0),MATCH("Uni/Day Rate",'Flat Rates'!$A$1:$M$1,0))+(G29/100))*100),""))</f>
        <v/>
      </c>
      <c r="M29" s="93" t="str">
        <f ca="1">IF(U29=TRUE,"",IFERROR(((INDEX('Flat Rates'!$A$1:$M$3422,MATCH(T29,'Flat Rates'!$A$1:$A$3422,0),MATCH("Night Unit Rate",'Flat Rates'!$A$1:$M$1,0))+(G29/100))*100),""))</f>
        <v/>
      </c>
      <c r="N29" s="93" t="str">
        <f ca="1">IF(U29=TRUE,"",IFERROR(((INDEX('Flat Rates'!$A$1:$M$3422,MATCH(T29,'Flat Rates'!$A$1:$A$3422,0),MATCH("Evening and Weekend Rate",'Flat Rates'!$A$1:$M$1,0))+(G29/100))*100),""))</f>
        <v/>
      </c>
      <c r="O29" s="93" t="str">
        <f ca="1">IF(U29=TRUE,"",IF(NOT(E29=0),"",INDEX(#REF!,MATCH(D29,#REF!,0),MATCH(IF(MONTH(C29)&lt;4,YEAR(C29)-1,YEAR(C29)),#REF!,0))))</f>
        <v/>
      </c>
      <c r="P29" s="94" t="str">
        <f ca="1">IF(U29=TRUE,"",IFERROR(IF(H29="Universal",SUM(((J29/100)*365),((K29/100)*F29)),IF(H29="Economy 7",SUM(((J29/100)*365),(((L29/100)*F29)*Calcs!$C$6),(((M29/100)*F29)*Calcs!$D$6)),IF(H29="Evening and Weekend",SUM(((J29/100)*365),(((L29/100)*F29)*Calcs!$C$12),(((N29/100)*F29)*Calcs!$D$12)),IF(H29="3 Rate",SUM(((J29/100)*365),(((L29/100)*F29)*Calcs!$C$9),(((M29/100)*F29)*Calcs!$D$9),(((N29/100)*F29)*Calcs!$E$9)),IF(H29="2 Rate Half Hourly",SUM(((J29/100)*365),(((L29/100)*F29)*Calcs!$C$18),(((M29/100)*F29)*Calcs!$D$18)))))))+IFERROR(((((O29/100)*I29)*12)),0),""))</f>
        <v/>
      </c>
      <c r="Q29" s="95" t="str">
        <f ca="1">IF(U29=TRUE,"",IFERROR(IF(F29&lt;12000,((P29*1.05)/12),(((F29*Calcs!#REF!)+P29)*1.2)/12),""))</f>
        <v/>
      </c>
      <c r="S29" s="69" t="str">
        <f>IF(NOT($M$2="Acquisition"),"Level 1",IF(C29&lt;=Calcs!$I$2,"Level 1",IF(AND($M$4="36 Months APR",C29&lt;=Calcs!$I$4),"Level 2","")))</f>
        <v>Level 1</v>
      </c>
      <c r="T29" s="69" t="str">
        <f t="shared" si="0"/>
        <v>--FALSE- Fixed</v>
      </c>
      <c r="U29" s="69" t="b">
        <f ca="1">IFERROR(IF(AND(C29="",$M$2=""),TRUE,IF(AND($M$2="Acquisition",C29=""),TRUE,IF(AND(NOT($M$2="Acquisition"),C29=""),TRUE,IF($M$2="",TRUE,IF($M$4="",TRUE,IF(D29="",TRUE,IF(E29="",TRUE,IF(F29="",TRUE,IF(G29="",TRUE,IF(H29="",TRUE,IF(AND(E29=0,I29=""),TRUE,IF(G29&lt;0,TRUE,IF(F29&gt;1000000,TRUE,IF(F29&lt;5000,TRUE,IF(AND($M$2="Reward Plus",G29&gt;3),TRUE,IF(AND($M$2="Reward",G29&gt;1),TRUE,IF(AND($M$2="Acquisition",G29&gt;2),TRUE,IF(G29&lt;&gt;ROUND(G29,1),TRUE,IF(C29&lt;TODAY(),TRUE,IF(AND($M$2="Acquisition",C29-TODAY()&lt;10),TRUE,IF(AND($M$2="Acquisition",C29&gt;Calcs!$I$2),TRUE,IF(AND($M$2="Acquisition",C29&lt;TODAY()),TRUE,IF(AND(NOT($M$2="Acquisition"),C29&lt;TODAY()),TRUE,IF(AND(NOT($M$2="Acquisition"),C29&gt;(TODAY()+180)),TRUE,IF(ISERROR((C29+1)),TRUE,IF(ISERROR(F29+1),TRUE,IF(ISERROR(G29+1),TRUE,IF(AND($M$2="Acquisition",C29&gt;Calcs!$I$2),TRUE,IF(AND($M$2="Acquisition",E29=0,C29&gt;Calcs!$I$2),TRUE,IF(AND(H29="2 Rate Half Hourly",NOT(E29=0)),TRUE,IF(AND(E29=0,NOT(H29="2 Rate Half Hourly")),TRUE,IF(AND(ISNA(INDEX('New HHTOU Flat Rates'!$A$2:$A$4000,MATCH(T29,'New HHTOU Flat Rates'!$A$2:$A$4000,0))),ISNA(INDEX('Flat Rates'!$A$2:$A$3422,MATCH(T29,'Flat Rates'!$A$2:$A$3422,0)))),TRUE,IF(AND(E29=0,I29&lt;0),TRUE,IF(E29=0,IF(ISERROR(I29+1),TRUE,FALSE))))))))))))))))))))))))))))))))))),TRUE)</f>
        <v>1</v>
      </c>
    </row>
    <row r="30" spans="2:21" x14ac:dyDescent="0.3">
      <c r="B30" s="79"/>
      <c r="C30" s="80"/>
      <c r="D30" s="82"/>
      <c r="E30" s="83"/>
      <c r="H30" s="81"/>
      <c r="I30" s="84"/>
      <c r="J30" s="93" t="str">
        <f ca="1">IF(U30=TRUE,"",IFERROR((((INDEX('Flat Rates'!$A$1:$M$3422,MATCH(T30,'Flat Rates'!$A$1:$A$3422,0),MATCH("Standing Charge",'Flat Rates'!$A$1:$M$1,0))*100))),""))</f>
        <v/>
      </c>
      <c r="K30" s="93" t="str">
        <f ca="1">IF(U30=TRUE,"",IFERROR((IF(NOT(H30="Universal"),"",INDEX('Flat Rates'!$A$1:$M$3422,MATCH(T30,'Flat Rates'!$A$1:$A$3422,0),MATCH("Uni/Day Rate",'Flat Rates'!$A$1:$M$1,0))+(G30/100))*100),""))</f>
        <v/>
      </c>
      <c r="L30" s="93" t="str">
        <f ca="1">IF(U30=TRUE,"",IFERROR((IF(H30="Universal","",INDEX('Flat Rates'!$A$1:$M$3422,MATCH(T30,'Flat Rates'!$A$1:$A$3422,0),MATCH("Uni/Day Rate",'Flat Rates'!$A$1:$M$1,0))+(G30/100))*100),""))</f>
        <v/>
      </c>
      <c r="M30" s="93" t="str">
        <f ca="1">IF(U30=TRUE,"",IFERROR(((INDEX('Flat Rates'!$A$1:$M$3422,MATCH(T30,'Flat Rates'!$A$1:$A$3422,0),MATCH("Night Unit Rate",'Flat Rates'!$A$1:$M$1,0))+(G30/100))*100),""))</f>
        <v/>
      </c>
      <c r="N30" s="93" t="str">
        <f ca="1">IF(U30=TRUE,"",IFERROR(((INDEX('Flat Rates'!$A$1:$M$3422,MATCH(T30,'Flat Rates'!$A$1:$A$3422,0),MATCH("Evening and Weekend Rate",'Flat Rates'!$A$1:$M$1,0))+(G30/100))*100),""))</f>
        <v/>
      </c>
      <c r="O30" s="93" t="str">
        <f ca="1">IF(U30=TRUE,"",IF(NOT(E30=0),"",INDEX(#REF!,MATCH(D30,#REF!,0),MATCH(IF(MONTH(C30)&lt;4,YEAR(C30)-1,YEAR(C30)),#REF!,0))))</f>
        <v/>
      </c>
      <c r="P30" s="94" t="str">
        <f ca="1">IF(U30=TRUE,"",IFERROR(IF(H30="Universal",SUM(((J30/100)*365),((K30/100)*F30)),IF(H30="Economy 7",SUM(((J30/100)*365),(((L30/100)*F30)*Calcs!$C$6),(((M30/100)*F30)*Calcs!$D$6)),IF(H30="Evening and Weekend",SUM(((J30/100)*365),(((L30/100)*F30)*Calcs!$C$12),(((N30/100)*F30)*Calcs!$D$12)),IF(H30="3 Rate",SUM(((J30/100)*365),(((L30/100)*F30)*Calcs!$C$9),(((M30/100)*F30)*Calcs!$D$9),(((N30/100)*F30)*Calcs!$E$9)),IF(H30="2 Rate Half Hourly",SUM(((J30/100)*365),(((L30/100)*F30)*Calcs!$C$18),(((M30/100)*F30)*Calcs!$D$18)))))))+IFERROR(((((O30/100)*I30)*12)),0),""))</f>
        <v/>
      </c>
      <c r="Q30" s="95" t="str">
        <f ca="1">IF(U30=TRUE,"",IFERROR(IF(F30&lt;12000,((P30*1.05)/12),(((F30*Calcs!#REF!)+P30)*1.2)/12),""))</f>
        <v/>
      </c>
      <c r="S30" s="69" t="str">
        <f>IF(NOT($M$2="Acquisition"),"Level 1",IF(C30&lt;=Calcs!$I$2,"Level 1",IF(AND($M$4="36 Months APR",C30&lt;=Calcs!$I$4),"Level 2","")))</f>
        <v>Level 1</v>
      </c>
      <c r="T30" s="69" t="str">
        <f t="shared" si="0"/>
        <v>--FALSE- Fixed</v>
      </c>
      <c r="U30" s="69" t="b">
        <f ca="1">IFERROR(IF(AND(C30="",$M$2=""),TRUE,IF(AND($M$2="Acquisition",C30=""),TRUE,IF(AND(NOT($M$2="Acquisition"),C30=""),TRUE,IF($M$2="",TRUE,IF($M$4="",TRUE,IF(D30="",TRUE,IF(E30="",TRUE,IF(F30="",TRUE,IF(G30="",TRUE,IF(H30="",TRUE,IF(AND(E30=0,I30=""),TRUE,IF(G30&lt;0,TRUE,IF(F30&gt;1000000,TRUE,IF(F30&lt;5000,TRUE,IF(AND($M$2="Reward Plus",G30&gt;3),TRUE,IF(AND($M$2="Reward",G30&gt;1),TRUE,IF(AND($M$2="Acquisition",G30&gt;2),TRUE,IF(G30&lt;&gt;ROUND(G30,1),TRUE,IF(C30&lt;TODAY(),TRUE,IF(AND($M$2="Acquisition",C30-TODAY()&lt;10),TRUE,IF(AND($M$2="Acquisition",C30&gt;Calcs!$I$2),TRUE,IF(AND($M$2="Acquisition",C30&lt;TODAY()),TRUE,IF(AND(NOT($M$2="Acquisition"),C30&lt;TODAY()),TRUE,IF(AND(NOT($M$2="Acquisition"),C30&gt;(TODAY()+180)),TRUE,IF(ISERROR((C30+1)),TRUE,IF(ISERROR(F30+1),TRUE,IF(ISERROR(G30+1),TRUE,IF(AND($M$2="Acquisition",C30&gt;Calcs!$I$2),TRUE,IF(AND($M$2="Acquisition",E30=0,C30&gt;Calcs!$I$2),TRUE,IF(AND(H30="2 Rate Half Hourly",NOT(E30=0)),TRUE,IF(AND(E30=0,NOT(H30="2 Rate Half Hourly")),TRUE,IF(AND(ISNA(INDEX('New HHTOU Flat Rates'!$A$2:$A$4000,MATCH(T30,'New HHTOU Flat Rates'!$A$2:$A$4000,0))),ISNA(INDEX('Flat Rates'!$A$2:$A$3422,MATCH(T30,'Flat Rates'!$A$2:$A$3422,0)))),TRUE,IF(AND(E30=0,I30&lt;0),TRUE,IF(E30=0,IF(ISERROR(I30+1),TRUE,FALSE))))))))))))))))))))))))))))))))))),TRUE)</f>
        <v>1</v>
      </c>
    </row>
    <row r="31" spans="2:21" x14ac:dyDescent="0.3">
      <c r="B31" s="79"/>
      <c r="C31" s="80"/>
      <c r="D31" s="82"/>
      <c r="E31" s="83"/>
      <c r="H31" s="81"/>
      <c r="I31" s="84"/>
      <c r="J31" s="93" t="str">
        <f ca="1">IF(U31=TRUE,"",IFERROR((((INDEX('Flat Rates'!$A$1:$M$3422,MATCH(T31,'Flat Rates'!$A$1:$A$3422,0),MATCH("Standing Charge",'Flat Rates'!$A$1:$M$1,0))*100))),""))</f>
        <v/>
      </c>
      <c r="K31" s="93" t="str">
        <f ca="1">IF(U31=TRUE,"",IFERROR((IF(NOT(H31="Universal"),"",INDEX('Flat Rates'!$A$1:$M$3422,MATCH(T31,'Flat Rates'!$A$1:$A$3422,0),MATCH("Uni/Day Rate",'Flat Rates'!$A$1:$M$1,0))+(G31/100))*100),""))</f>
        <v/>
      </c>
      <c r="L31" s="93" t="str">
        <f ca="1">IF(U31=TRUE,"",IFERROR((IF(H31="Universal","",INDEX('Flat Rates'!$A$1:$M$3422,MATCH(T31,'Flat Rates'!$A$1:$A$3422,0),MATCH("Uni/Day Rate",'Flat Rates'!$A$1:$M$1,0))+(G31/100))*100),""))</f>
        <v/>
      </c>
      <c r="M31" s="93" t="str">
        <f ca="1">IF(U31=TRUE,"",IFERROR(((INDEX('Flat Rates'!$A$1:$M$3422,MATCH(T31,'Flat Rates'!$A$1:$A$3422,0),MATCH("Night Unit Rate",'Flat Rates'!$A$1:$M$1,0))+(G31/100))*100),""))</f>
        <v/>
      </c>
      <c r="N31" s="93" t="str">
        <f ca="1">IF(U31=TRUE,"",IFERROR(((INDEX('Flat Rates'!$A$1:$M$3422,MATCH(T31,'Flat Rates'!$A$1:$A$3422,0),MATCH("Evening and Weekend Rate",'Flat Rates'!$A$1:$M$1,0))+(G31/100))*100),""))</f>
        <v/>
      </c>
      <c r="O31" s="93" t="str">
        <f ca="1">IF(U31=TRUE,"",IF(NOT(E31=0),"",INDEX(#REF!,MATCH(D31,#REF!,0),MATCH(IF(MONTH(C31)&lt;4,YEAR(C31)-1,YEAR(C31)),#REF!,0))))</f>
        <v/>
      </c>
      <c r="P31" s="94" t="str">
        <f ca="1">IF(U31=TRUE,"",IFERROR(IF(H31="Universal",SUM(((J31/100)*365),((K31/100)*F31)),IF(H31="Economy 7",SUM(((J31/100)*365),(((L31/100)*F31)*Calcs!$C$6),(((M31/100)*F31)*Calcs!$D$6)),IF(H31="Evening and Weekend",SUM(((J31/100)*365),(((L31/100)*F31)*Calcs!$C$12),(((N31/100)*F31)*Calcs!$D$12)),IF(H31="3 Rate",SUM(((J31/100)*365),(((L31/100)*F31)*Calcs!$C$9),(((M31/100)*F31)*Calcs!$D$9),(((N31/100)*F31)*Calcs!$E$9)),IF(H31="2 Rate Half Hourly",SUM(((J31/100)*365),(((L31/100)*F31)*Calcs!$C$18),(((M31/100)*F31)*Calcs!$D$18)))))))+IFERROR(((((O31/100)*I31)*12)),0),""))</f>
        <v/>
      </c>
      <c r="Q31" s="95" t="str">
        <f ca="1">IF(U31=TRUE,"",IFERROR(IF(F31&lt;12000,((P31*1.05)/12),(((F31*Calcs!#REF!)+P31)*1.2)/12),""))</f>
        <v/>
      </c>
      <c r="S31" s="69" t="str">
        <f>IF(NOT($M$2="Acquisition"),"Level 1",IF(C31&lt;=Calcs!$I$2,"Level 1",IF(AND($M$4="36 Months APR",C31&lt;=Calcs!$I$4),"Level 2","")))</f>
        <v>Level 1</v>
      </c>
      <c r="T31" s="69" t="str">
        <f t="shared" si="0"/>
        <v>--FALSE- Fixed</v>
      </c>
      <c r="U31" s="69" t="b">
        <f ca="1">IFERROR(IF(AND(C31="",$M$2=""),TRUE,IF(AND($M$2="Acquisition",C31=""),TRUE,IF(AND(NOT($M$2="Acquisition"),C31=""),TRUE,IF($M$2="",TRUE,IF($M$4="",TRUE,IF(D31="",TRUE,IF(E31="",TRUE,IF(F31="",TRUE,IF(G31="",TRUE,IF(H31="",TRUE,IF(AND(E31=0,I31=""),TRUE,IF(G31&lt;0,TRUE,IF(F31&gt;1000000,TRUE,IF(F31&lt;5000,TRUE,IF(AND($M$2="Reward Plus",G31&gt;3),TRUE,IF(AND($M$2="Reward",G31&gt;1),TRUE,IF(AND($M$2="Acquisition",G31&gt;2),TRUE,IF(G31&lt;&gt;ROUND(G31,1),TRUE,IF(C31&lt;TODAY(),TRUE,IF(AND($M$2="Acquisition",C31-TODAY()&lt;10),TRUE,IF(AND($M$2="Acquisition",C31&gt;Calcs!$I$2),TRUE,IF(AND($M$2="Acquisition",C31&lt;TODAY()),TRUE,IF(AND(NOT($M$2="Acquisition"),C31&lt;TODAY()),TRUE,IF(AND(NOT($M$2="Acquisition"),C31&gt;(TODAY()+180)),TRUE,IF(ISERROR((C31+1)),TRUE,IF(ISERROR(F31+1),TRUE,IF(ISERROR(G31+1),TRUE,IF(AND($M$2="Acquisition",C31&gt;Calcs!$I$2),TRUE,IF(AND($M$2="Acquisition",E31=0,C31&gt;Calcs!$I$2),TRUE,IF(AND(H31="2 Rate Half Hourly",NOT(E31=0)),TRUE,IF(AND(E31=0,NOT(H31="2 Rate Half Hourly")),TRUE,IF(AND(ISNA(INDEX('New HHTOU Flat Rates'!$A$2:$A$4000,MATCH(T31,'New HHTOU Flat Rates'!$A$2:$A$4000,0))),ISNA(INDEX('Flat Rates'!$A$2:$A$3422,MATCH(T31,'Flat Rates'!$A$2:$A$3422,0)))),TRUE,IF(AND(E31=0,I31&lt;0),TRUE,IF(E31=0,IF(ISERROR(I31+1),TRUE,FALSE))))))))))))))))))))))))))))))))))),TRUE)</f>
        <v>1</v>
      </c>
    </row>
    <row r="32" spans="2:21" x14ac:dyDescent="0.3">
      <c r="B32" s="79"/>
      <c r="C32" s="80"/>
      <c r="D32" s="82"/>
      <c r="E32" s="83"/>
      <c r="H32" s="81"/>
      <c r="I32" s="84"/>
      <c r="J32" s="93" t="str">
        <f ca="1">IF(U32=TRUE,"",IFERROR((((INDEX('Flat Rates'!$A$1:$M$3422,MATCH(T32,'Flat Rates'!$A$1:$A$3422,0),MATCH("Standing Charge",'Flat Rates'!$A$1:$M$1,0))*100))),""))</f>
        <v/>
      </c>
      <c r="K32" s="93" t="str">
        <f ca="1">IF(U32=TRUE,"",IFERROR((IF(NOT(H32="Universal"),"",INDEX('Flat Rates'!$A$1:$M$3422,MATCH(T32,'Flat Rates'!$A$1:$A$3422,0),MATCH("Uni/Day Rate",'Flat Rates'!$A$1:$M$1,0))+(G32/100))*100),""))</f>
        <v/>
      </c>
      <c r="L32" s="93" t="str">
        <f ca="1">IF(U32=TRUE,"",IFERROR((IF(H32="Universal","",INDEX('Flat Rates'!$A$1:$M$3422,MATCH(T32,'Flat Rates'!$A$1:$A$3422,0),MATCH("Uni/Day Rate",'Flat Rates'!$A$1:$M$1,0))+(G32/100))*100),""))</f>
        <v/>
      </c>
      <c r="M32" s="93" t="str">
        <f ca="1">IF(U32=TRUE,"",IFERROR(((INDEX('Flat Rates'!$A$1:$M$3422,MATCH(T32,'Flat Rates'!$A$1:$A$3422,0),MATCH("Night Unit Rate",'Flat Rates'!$A$1:$M$1,0))+(G32/100))*100),""))</f>
        <v/>
      </c>
      <c r="N32" s="93" t="str">
        <f ca="1">IF(U32=TRUE,"",IFERROR(((INDEX('Flat Rates'!$A$1:$M$3422,MATCH(T32,'Flat Rates'!$A$1:$A$3422,0),MATCH("Evening and Weekend Rate",'Flat Rates'!$A$1:$M$1,0))+(G32/100))*100),""))</f>
        <v/>
      </c>
      <c r="O32" s="93" t="str">
        <f ca="1">IF(U32=TRUE,"",IF(NOT(E32=0),"",INDEX(#REF!,MATCH(D32,#REF!,0),MATCH(IF(MONTH(C32)&lt;4,YEAR(C32)-1,YEAR(C32)),#REF!,0))))</f>
        <v/>
      </c>
      <c r="P32" s="94" t="str">
        <f ca="1">IF(U32=TRUE,"",IFERROR(IF(H32="Universal",SUM(((J32/100)*365),((K32/100)*F32)),IF(H32="Economy 7",SUM(((J32/100)*365),(((L32/100)*F32)*Calcs!$C$6),(((M32/100)*F32)*Calcs!$D$6)),IF(H32="Evening and Weekend",SUM(((J32/100)*365),(((L32/100)*F32)*Calcs!$C$12),(((N32/100)*F32)*Calcs!$D$12)),IF(H32="3 Rate",SUM(((J32/100)*365),(((L32/100)*F32)*Calcs!$C$9),(((M32/100)*F32)*Calcs!$D$9),(((N32/100)*F32)*Calcs!$E$9)),IF(H32="2 Rate Half Hourly",SUM(((J32/100)*365),(((L32/100)*F32)*Calcs!$C$18),(((M32/100)*F32)*Calcs!$D$18)))))))+IFERROR(((((O32/100)*I32)*12)),0),""))</f>
        <v/>
      </c>
      <c r="Q32" s="95" t="str">
        <f ca="1">IF(U32=TRUE,"",IFERROR(IF(F32&lt;12000,((P32*1.05)/12),(((F32*Calcs!#REF!)+P32)*1.2)/12),""))</f>
        <v/>
      </c>
      <c r="S32" s="69" t="str">
        <f>IF(NOT($M$2="Acquisition"),"Level 1",IF(C32&lt;=Calcs!$I$2,"Level 1",IF(AND($M$4="36 Months APR",C32&lt;=Calcs!$I$4),"Level 2","")))</f>
        <v>Level 1</v>
      </c>
      <c r="T32" s="69" t="str">
        <f t="shared" si="0"/>
        <v>--FALSE- Fixed</v>
      </c>
      <c r="U32" s="69" t="b">
        <f ca="1">IFERROR(IF(AND(C32="",$M$2=""),TRUE,IF(AND($M$2="Acquisition",C32=""),TRUE,IF(AND(NOT($M$2="Acquisition"),C32=""),TRUE,IF($M$2="",TRUE,IF($M$4="",TRUE,IF(D32="",TRUE,IF(E32="",TRUE,IF(F32="",TRUE,IF(G32="",TRUE,IF(H32="",TRUE,IF(AND(E32=0,I32=""),TRUE,IF(G32&lt;0,TRUE,IF(F32&gt;1000000,TRUE,IF(F32&lt;5000,TRUE,IF(AND($M$2="Reward Plus",G32&gt;3),TRUE,IF(AND($M$2="Reward",G32&gt;1),TRUE,IF(AND($M$2="Acquisition",G32&gt;2),TRUE,IF(G32&lt;&gt;ROUND(G32,1),TRUE,IF(C32&lt;TODAY(),TRUE,IF(AND($M$2="Acquisition",C32-TODAY()&lt;10),TRUE,IF(AND($M$2="Acquisition",C32&gt;Calcs!$I$2),TRUE,IF(AND($M$2="Acquisition",C32&lt;TODAY()),TRUE,IF(AND(NOT($M$2="Acquisition"),C32&lt;TODAY()),TRUE,IF(AND(NOT($M$2="Acquisition"),C32&gt;(TODAY()+180)),TRUE,IF(ISERROR((C32+1)),TRUE,IF(ISERROR(F32+1),TRUE,IF(ISERROR(G32+1),TRUE,IF(AND($M$2="Acquisition",C32&gt;Calcs!$I$2),TRUE,IF(AND($M$2="Acquisition",E32=0,C32&gt;Calcs!$I$2),TRUE,IF(AND(H32="2 Rate Half Hourly",NOT(E32=0)),TRUE,IF(AND(E32=0,NOT(H32="2 Rate Half Hourly")),TRUE,IF(AND(ISNA(INDEX('New HHTOU Flat Rates'!$A$2:$A$4000,MATCH(T32,'New HHTOU Flat Rates'!$A$2:$A$4000,0))),ISNA(INDEX('Flat Rates'!$A$2:$A$3422,MATCH(T32,'Flat Rates'!$A$2:$A$3422,0)))),TRUE,IF(AND(E32=0,I32&lt;0),TRUE,IF(E32=0,IF(ISERROR(I32+1),TRUE,FALSE))))))))))))))))))))))))))))))))))),TRUE)</f>
        <v>1</v>
      </c>
    </row>
    <row r="33" spans="2:21" x14ac:dyDescent="0.3">
      <c r="B33" s="79"/>
      <c r="C33" s="80"/>
      <c r="D33" s="82"/>
      <c r="E33" s="83"/>
      <c r="H33" s="81"/>
      <c r="I33" s="84"/>
      <c r="J33" s="93" t="str">
        <f ca="1">IF(U33=TRUE,"",IFERROR((((INDEX('Flat Rates'!$A$1:$M$3422,MATCH(T33,'Flat Rates'!$A$1:$A$3422,0),MATCH("Standing Charge",'Flat Rates'!$A$1:$M$1,0))*100))),""))</f>
        <v/>
      </c>
      <c r="K33" s="93" t="str">
        <f ca="1">IF(U33=TRUE,"",IFERROR((IF(NOT(H33="Universal"),"",INDEX('Flat Rates'!$A$1:$M$3422,MATCH(T33,'Flat Rates'!$A$1:$A$3422,0),MATCH("Uni/Day Rate",'Flat Rates'!$A$1:$M$1,0))+(G33/100))*100),""))</f>
        <v/>
      </c>
      <c r="L33" s="93" t="str">
        <f ca="1">IF(U33=TRUE,"",IFERROR((IF(H33="Universal","",INDEX('Flat Rates'!$A$1:$M$3422,MATCH(T33,'Flat Rates'!$A$1:$A$3422,0),MATCH("Uni/Day Rate",'Flat Rates'!$A$1:$M$1,0))+(G33/100))*100),""))</f>
        <v/>
      </c>
      <c r="M33" s="93" t="str">
        <f ca="1">IF(U33=TRUE,"",IFERROR(((INDEX('Flat Rates'!$A$1:$M$3422,MATCH(T33,'Flat Rates'!$A$1:$A$3422,0),MATCH("Night Unit Rate",'Flat Rates'!$A$1:$M$1,0))+(G33/100))*100),""))</f>
        <v/>
      </c>
      <c r="N33" s="93" t="str">
        <f ca="1">IF(U33=TRUE,"",IFERROR(((INDEX('Flat Rates'!$A$1:$M$3422,MATCH(T33,'Flat Rates'!$A$1:$A$3422,0),MATCH("Evening and Weekend Rate",'Flat Rates'!$A$1:$M$1,0))+(G33/100))*100),""))</f>
        <v/>
      </c>
      <c r="O33" s="93" t="str">
        <f ca="1">IF(U33=TRUE,"",IF(NOT(E33=0),"",INDEX(#REF!,MATCH(D33,#REF!,0),MATCH(IF(MONTH(C33)&lt;4,YEAR(C33)-1,YEAR(C33)),#REF!,0))))</f>
        <v/>
      </c>
      <c r="P33" s="94" t="str">
        <f ca="1">IF(U33=TRUE,"",IFERROR(IF(H33="Universal",SUM(((J33/100)*365),((K33/100)*F33)),IF(H33="Economy 7",SUM(((J33/100)*365),(((L33/100)*F33)*Calcs!$C$6),(((M33/100)*F33)*Calcs!$D$6)),IF(H33="Evening and Weekend",SUM(((J33/100)*365),(((L33/100)*F33)*Calcs!$C$12),(((N33/100)*F33)*Calcs!$D$12)),IF(H33="3 Rate",SUM(((J33/100)*365),(((L33/100)*F33)*Calcs!$C$9),(((M33/100)*F33)*Calcs!$D$9),(((N33/100)*F33)*Calcs!$E$9)),IF(H33="2 Rate Half Hourly",SUM(((J33/100)*365),(((L33/100)*F33)*Calcs!$C$18),(((M33/100)*F33)*Calcs!$D$18)))))))+IFERROR(((((O33/100)*I33)*12)),0),""))</f>
        <v/>
      </c>
      <c r="Q33" s="95" t="str">
        <f ca="1">IF(U33=TRUE,"",IFERROR(IF(F33&lt;12000,((P33*1.05)/12),(((F33*Calcs!#REF!)+P33)*1.2)/12),""))</f>
        <v/>
      </c>
      <c r="S33" s="69" t="str">
        <f>IF(NOT($M$2="Acquisition"),"Level 1",IF(C33&lt;=Calcs!$I$2,"Level 1",IF(AND($M$4="36 Months APR",C33&lt;=Calcs!$I$4),"Level 2","")))</f>
        <v>Level 1</v>
      </c>
      <c r="T33" s="69" t="str">
        <f t="shared" si="0"/>
        <v>--FALSE- Fixed</v>
      </c>
      <c r="U33" s="69" t="b">
        <f ca="1">IFERROR(IF(AND(C33="",$M$2=""),TRUE,IF(AND($M$2="Acquisition",C33=""),TRUE,IF(AND(NOT($M$2="Acquisition"),C33=""),TRUE,IF($M$2="",TRUE,IF($M$4="",TRUE,IF(D33="",TRUE,IF(E33="",TRUE,IF(F33="",TRUE,IF(G33="",TRUE,IF(H33="",TRUE,IF(AND(E33=0,I33=""),TRUE,IF(G33&lt;0,TRUE,IF(F33&gt;1000000,TRUE,IF(F33&lt;5000,TRUE,IF(AND($M$2="Reward Plus",G33&gt;3),TRUE,IF(AND($M$2="Reward",G33&gt;1),TRUE,IF(AND($M$2="Acquisition",G33&gt;2),TRUE,IF(G33&lt;&gt;ROUND(G33,1),TRUE,IF(C33&lt;TODAY(),TRUE,IF(AND($M$2="Acquisition",C33-TODAY()&lt;10),TRUE,IF(AND($M$2="Acquisition",C33&gt;Calcs!$I$2),TRUE,IF(AND($M$2="Acquisition",C33&lt;TODAY()),TRUE,IF(AND(NOT($M$2="Acquisition"),C33&lt;TODAY()),TRUE,IF(AND(NOT($M$2="Acquisition"),C33&gt;(TODAY()+180)),TRUE,IF(ISERROR((C33+1)),TRUE,IF(ISERROR(F33+1),TRUE,IF(ISERROR(G33+1),TRUE,IF(AND($M$2="Acquisition",C33&gt;Calcs!$I$2),TRUE,IF(AND($M$2="Acquisition",E33=0,C33&gt;Calcs!$I$2),TRUE,IF(AND(H33="2 Rate Half Hourly",NOT(E33=0)),TRUE,IF(AND(E33=0,NOT(H33="2 Rate Half Hourly")),TRUE,IF(AND(ISNA(INDEX('New HHTOU Flat Rates'!$A$2:$A$4000,MATCH(T33,'New HHTOU Flat Rates'!$A$2:$A$4000,0))),ISNA(INDEX('Flat Rates'!$A$2:$A$3422,MATCH(T33,'Flat Rates'!$A$2:$A$3422,0)))),TRUE,IF(AND(E33=0,I33&lt;0),TRUE,IF(E33=0,IF(ISERROR(I33+1),TRUE,FALSE))))))))))))))))))))))))))))))))))),TRUE)</f>
        <v>1</v>
      </c>
    </row>
    <row r="34" spans="2:21" x14ac:dyDescent="0.3">
      <c r="B34" s="79"/>
      <c r="C34" s="80"/>
      <c r="D34" s="82"/>
      <c r="E34" s="83"/>
      <c r="H34" s="81"/>
      <c r="I34" s="84"/>
      <c r="J34" s="93" t="str">
        <f ca="1">IF(U34=TRUE,"",IFERROR((((INDEX('Flat Rates'!$A$1:$M$3422,MATCH(T34,'Flat Rates'!$A$1:$A$3422,0),MATCH("Standing Charge",'Flat Rates'!$A$1:$M$1,0))*100))),""))</f>
        <v/>
      </c>
      <c r="K34" s="93" t="str">
        <f ca="1">IF(U34=TRUE,"",IFERROR((IF(NOT(H34="Universal"),"",INDEX('Flat Rates'!$A$1:$M$3422,MATCH(T34,'Flat Rates'!$A$1:$A$3422,0),MATCH("Uni/Day Rate",'Flat Rates'!$A$1:$M$1,0))+(G34/100))*100),""))</f>
        <v/>
      </c>
      <c r="L34" s="93" t="str">
        <f ca="1">IF(U34=TRUE,"",IFERROR((IF(H34="Universal","",INDEX('Flat Rates'!$A$1:$M$3422,MATCH(T34,'Flat Rates'!$A$1:$A$3422,0),MATCH("Uni/Day Rate",'Flat Rates'!$A$1:$M$1,0))+(G34/100))*100),""))</f>
        <v/>
      </c>
      <c r="M34" s="93" t="str">
        <f ca="1">IF(U34=TRUE,"",IFERROR(((INDEX('Flat Rates'!$A$1:$M$3422,MATCH(T34,'Flat Rates'!$A$1:$A$3422,0),MATCH("Night Unit Rate",'Flat Rates'!$A$1:$M$1,0))+(G34/100))*100),""))</f>
        <v/>
      </c>
      <c r="N34" s="93" t="str">
        <f ca="1">IF(U34=TRUE,"",IFERROR(((INDEX('Flat Rates'!$A$1:$M$3422,MATCH(T34,'Flat Rates'!$A$1:$A$3422,0),MATCH("Evening and Weekend Rate",'Flat Rates'!$A$1:$M$1,0))+(G34/100))*100),""))</f>
        <v/>
      </c>
      <c r="O34" s="93" t="str">
        <f ca="1">IF(U34=TRUE,"",IF(NOT(E34=0),"",INDEX(#REF!,MATCH(D34,#REF!,0),MATCH(IF(MONTH(C34)&lt;4,YEAR(C34)-1,YEAR(C34)),#REF!,0))))</f>
        <v/>
      </c>
      <c r="P34" s="94" t="str">
        <f ca="1">IF(U34=TRUE,"",IFERROR(IF(H34="Universal",SUM(((J34/100)*365),((K34/100)*F34)),IF(H34="Economy 7",SUM(((J34/100)*365),(((L34/100)*F34)*Calcs!$C$6),(((M34/100)*F34)*Calcs!$D$6)),IF(H34="Evening and Weekend",SUM(((J34/100)*365),(((L34/100)*F34)*Calcs!$C$12),(((N34/100)*F34)*Calcs!$D$12)),IF(H34="3 Rate",SUM(((J34/100)*365),(((L34/100)*F34)*Calcs!$C$9),(((M34/100)*F34)*Calcs!$D$9),(((N34/100)*F34)*Calcs!$E$9)),IF(H34="2 Rate Half Hourly",SUM(((J34/100)*365),(((L34/100)*F34)*Calcs!$C$18),(((M34/100)*F34)*Calcs!$D$18)))))))+IFERROR(((((O34/100)*I34)*12)),0),""))</f>
        <v/>
      </c>
      <c r="Q34" s="95" t="str">
        <f ca="1">IF(U34=TRUE,"",IFERROR(IF(F34&lt;12000,((P34*1.05)/12),(((F34*Calcs!#REF!)+P34)*1.2)/12),""))</f>
        <v/>
      </c>
      <c r="S34" s="69" t="str">
        <f>IF(NOT($M$2="Acquisition"),"Level 1",IF(C34&lt;=Calcs!$I$2,"Level 1",IF(AND($M$4="36 Months APR",C34&lt;=Calcs!$I$4),"Level 2","")))</f>
        <v>Level 1</v>
      </c>
      <c r="T34" s="69" t="str">
        <f t="shared" si="0"/>
        <v>--FALSE- Fixed</v>
      </c>
      <c r="U34" s="69" t="b">
        <f ca="1">IFERROR(IF(AND(C34="",$M$2=""),TRUE,IF(AND($M$2="Acquisition",C34=""),TRUE,IF(AND(NOT($M$2="Acquisition"),C34=""),TRUE,IF($M$2="",TRUE,IF($M$4="",TRUE,IF(D34="",TRUE,IF(E34="",TRUE,IF(F34="",TRUE,IF(G34="",TRUE,IF(H34="",TRUE,IF(AND(E34=0,I34=""),TRUE,IF(G34&lt;0,TRUE,IF(F34&gt;1000000,TRUE,IF(F34&lt;5000,TRUE,IF(AND($M$2="Reward Plus",G34&gt;3),TRUE,IF(AND($M$2="Reward",G34&gt;1),TRUE,IF(AND($M$2="Acquisition",G34&gt;2),TRUE,IF(G34&lt;&gt;ROUND(G34,1),TRUE,IF(C34&lt;TODAY(),TRUE,IF(AND($M$2="Acquisition",C34-TODAY()&lt;10),TRUE,IF(AND($M$2="Acquisition",C34&gt;Calcs!$I$2),TRUE,IF(AND($M$2="Acquisition",C34&lt;TODAY()),TRUE,IF(AND(NOT($M$2="Acquisition"),C34&lt;TODAY()),TRUE,IF(AND(NOT($M$2="Acquisition"),C34&gt;(TODAY()+180)),TRUE,IF(ISERROR((C34+1)),TRUE,IF(ISERROR(F34+1),TRUE,IF(ISERROR(G34+1),TRUE,IF(AND($M$2="Acquisition",C34&gt;Calcs!$I$2),TRUE,IF(AND($M$2="Acquisition",E34=0,C34&gt;Calcs!$I$2),TRUE,IF(AND(H34="2 Rate Half Hourly",NOT(E34=0)),TRUE,IF(AND(E34=0,NOT(H34="2 Rate Half Hourly")),TRUE,IF(AND(ISNA(INDEX('New HHTOU Flat Rates'!$A$2:$A$4000,MATCH(T34,'New HHTOU Flat Rates'!$A$2:$A$4000,0))),ISNA(INDEX('Flat Rates'!$A$2:$A$3422,MATCH(T34,'Flat Rates'!$A$2:$A$3422,0)))),TRUE,IF(AND(E34=0,I34&lt;0),TRUE,IF(E34=0,IF(ISERROR(I34+1),TRUE,FALSE))))))))))))))))))))))))))))))))))),TRUE)</f>
        <v>1</v>
      </c>
    </row>
    <row r="35" spans="2:21" x14ac:dyDescent="0.3">
      <c r="B35" s="79"/>
      <c r="C35" s="80"/>
      <c r="D35" s="82"/>
      <c r="E35" s="83"/>
      <c r="H35" s="81"/>
      <c r="I35" s="84"/>
      <c r="J35" s="93" t="str">
        <f ca="1">IF(U35=TRUE,"",IFERROR((((INDEX('Flat Rates'!$A$1:$M$3422,MATCH(T35,'Flat Rates'!$A$1:$A$3422,0),MATCH("Standing Charge",'Flat Rates'!$A$1:$M$1,0))*100))),""))</f>
        <v/>
      </c>
      <c r="K35" s="93" t="str">
        <f ca="1">IF(U35=TRUE,"",IFERROR((IF(NOT(H35="Universal"),"",INDEX('Flat Rates'!$A$1:$M$3422,MATCH(T35,'Flat Rates'!$A$1:$A$3422,0),MATCH("Uni/Day Rate",'Flat Rates'!$A$1:$M$1,0))+(G35/100))*100),""))</f>
        <v/>
      </c>
      <c r="L35" s="93" t="str">
        <f ca="1">IF(U35=TRUE,"",IFERROR((IF(H35="Universal","",INDEX('Flat Rates'!$A$1:$M$3422,MATCH(T35,'Flat Rates'!$A$1:$A$3422,0),MATCH("Uni/Day Rate",'Flat Rates'!$A$1:$M$1,0))+(G35/100))*100),""))</f>
        <v/>
      </c>
      <c r="M35" s="93" t="str">
        <f ca="1">IF(U35=TRUE,"",IFERROR(((INDEX('Flat Rates'!$A$1:$M$3422,MATCH(T35,'Flat Rates'!$A$1:$A$3422,0),MATCH("Night Unit Rate",'Flat Rates'!$A$1:$M$1,0))+(G35/100))*100),""))</f>
        <v/>
      </c>
      <c r="N35" s="93" t="str">
        <f ca="1">IF(U35=TRUE,"",IFERROR(((INDEX('Flat Rates'!$A$1:$M$3422,MATCH(T35,'Flat Rates'!$A$1:$A$3422,0),MATCH("Evening and Weekend Rate",'Flat Rates'!$A$1:$M$1,0))+(G35/100))*100),""))</f>
        <v/>
      </c>
      <c r="O35" s="93" t="str">
        <f ca="1">IF(U35=TRUE,"",IF(NOT(E35=0),"",INDEX(#REF!,MATCH(D35,#REF!,0),MATCH(IF(MONTH(C35)&lt;4,YEAR(C35)-1,YEAR(C35)),#REF!,0))))</f>
        <v/>
      </c>
      <c r="P35" s="94" t="str">
        <f ca="1">IF(U35=TRUE,"",IFERROR(IF(H35="Universal",SUM(((J35/100)*365),((K35/100)*F35)),IF(H35="Economy 7",SUM(((J35/100)*365),(((L35/100)*F35)*Calcs!$C$6),(((M35/100)*F35)*Calcs!$D$6)),IF(H35="Evening and Weekend",SUM(((J35/100)*365),(((L35/100)*F35)*Calcs!$C$12),(((N35/100)*F35)*Calcs!$D$12)),IF(H35="3 Rate",SUM(((J35/100)*365),(((L35/100)*F35)*Calcs!$C$9),(((M35/100)*F35)*Calcs!$D$9),(((N35/100)*F35)*Calcs!$E$9)),IF(H35="2 Rate Half Hourly",SUM(((J35/100)*365),(((L35/100)*F35)*Calcs!$C$18),(((M35/100)*F35)*Calcs!$D$18)))))))+IFERROR(((((O35/100)*I35)*12)),0),""))</f>
        <v/>
      </c>
      <c r="Q35" s="95" t="str">
        <f ca="1">IF(U35=TRUE,"",IFERROR(IF(F35&lt;12000,((P35*1.05)/12),(((F35*Calcs!#REF!)+P35)*1.2)/12),""))</f>
        <v/>
      </c>
      <c r="S35" s="69" t="str">
        <f>IF(NOT($M$2="Acquisition"),"Level 1",IF(C35&lt;=Calcs!$I$2,"Level 1",IF(AND($M$4="36 Months APR",C35&lt;=Calcs!$I$4),"Level 2","")))</f>
        <v>Level 1</v>
      </c>
      <c r="T35" s="69" t="str">
        <f t="shared" si="0"/>
        <v>--FALSE- Fixed</v>
      </c>
      <c r="U35" s="69" t="b">
        <f ca="1">IFERROR(IF(AND(C35="",$M$2=""),TRUE,IF(AND($M$2="Acquisition",C35=""),TRUE,IF(AND(NOT($M$2="Acquisition"),C35=""),TRUE,IF($M$2="",TRUE,IF($M$4="",TRUE,IF(D35="",TRUE,IF(E35="",TRUE,IF(F35="",TRUE,IF(G35="",TRUE,IF(H35="",TRUE,IF(AND(E35=0,I35=""),TRUE,IF(G35&lt;0,TRUE,IF(F35&gt;1000000,TRUE,IF(F35&lt;5000,TRUE,IF(AND($M$2="Reward Plus",G35&gt;3),TRUE,IF(AND($M$2="Reward",G35&gt;1),TRUE,IF(AND($M$2="Acquisition",G35&gt;2),TRUE,IF(G35&lt;&gt;ROUND(G35,1),TRUE,IF(C35&lt;TODAY(),TRUE,IF(AND($M$2="Acquisition",C35-TODAY()&lt;10),TRUE,IF(AND($M$2="Acquisition",C35&gt;Calcs!$I$2),TRUE,IF(AND($M$2="Acquisition",C35&lt;TODAY()),TRUE,IF(AND(NOT($M$2="Acquisition"),C35&lt;TODAY()),TRUE,IF(AND(NOT($M$2="Acquisition"),C35&gt;(TODAY()+180)),TRUE,IF(ISERROR((C35+1)),TRUE,IF(ISERROR(F35+1),TRUE,IF(ISERROR(G35+1),TRUE,IF(AND($M$2="Acquisition",C35&gt;Calcs!$I$2),TRUE,IF(AND($M$2="Acquisition",E35=0,C35&gt;Calcs!$I$2),TRUE,IF(AND(H35="2 Rate Half Hourly",NOT(E35=0)),TRUE,IF(AND(E35=0,NOT(H35="2 Rate Half Hourly")),TRUE,IF(AND(ISNA(INDEX('New HHTOU Flat Rates'!$A$2:$A$4000,MATCH(T35,'New HHTOU Flat Rates'!$A$2:$A$4000,0))),ISNA(INDEX('Flat Rates'!$A$2:$A$3422,MATCH(T35,'Flat Rates'!$A$2:$A$3422,0)))),TRUE,IF(AND(E35=0,I35&lt;0),TRUE,IF(E35=0,IF(ISERROR(I35+1),TRUE,FALSE))))))))))))))))))))))))))))))))))),TRUE)</f>
        <v>1</v>
      </c>
    </row>
    <row r="36" spans="2:21" x14ac:dyDescent="0.3">
      <c r="B36" s="79"/>
      <c r="C36" s="80"/>
      <c r="D36" s="82"/>
      <c r="E36" s="83"/>
      <c r="H36" s="81"/>
      <c r="I36" s="84"/>
      <c r="J36" s="93" t="str">
        <f ca="1">IF(U36=TRUE,"",IFERROR((((INDEX('Flat Rates'!$A$1:$M$3422,MATCH(T36,'Flat Rates'!$A$1:$A$3422,0),MATCH("Standing Charge",'Flat Rates'!$A$1:$M$1,0))*100))),""))</f>
        <v/>
      </c>
      <c r="K36" s="93" t="str">
        <f ca="1">IF(U36=TRUE,"",IFERROR((IF(NOT(H36="Universal"),"",INDEX('Flat Rates'!$A$1:$M$3422,MATCH(T36,'Flat Rates'!$A$1:$A$3422,0),MATCH("Uni/Day Rate",'Flat Rates'!$A$1:$M$1,0))+(G36/100))*100),""))</f>
        <v/>
      </c>
      <c r="L36" s="93" t="str">
        <f ca="1">IF(U36=TRUE,"",IFERROR((IF(H36="Universal","",INDEX('Flat Rates'!$A$1:$M$3422,MATCH(T36,'Flat Rates'!$A$1:$A$3422,0),MATCH("Uni/Day Rate",'Flat Rates'!$A$1:$M$1,0))+(G36/100))*100),""))</f>
        <v/>
      </c>
      <c r="M36" s="93" t="str">
        <f ca="1">IF(U36=TRUE,"",IFERROR(((INDEX('Flat Rates'!$A$1:$M$3422,MATCH(T36,'Flat Rates'!$A$1:$A$3422,0),MATCH("Night Unit Rate",'Flat Rates'!$A$1:$M$1,0))+(G36/100))*100),""))</f>
        <v/>
      </c>
      <c r="N36" s="93" t="str">
        <f ca="1">IF(U36=TRUE,"",IFERROR(((INDEX('Flat Rates'!$A$1:$M$3422,MATCH(T36,'Flat Rates'!$A$1:$A$3422,0),MATCH("Evening and Weekend Rate",'Flat Rates'!$A$1:$M$1,0))+(G36/100))*100),""))</f>
        <v/>
      </c>
      <c r="O36" s="93" t="str">
        <f ca="1">IF(U36=TRUE,"",IF(NOT(E36=0),"",INDEX(#REF!,MATCH(D36,#REF!,0),MATCH(IF(MONTH(C36)&lt;4,YEAR(C36)-1,YEAR(C36)),#REF!,0))))</f>
        <v/>
      </c>
      <c r="P36" s="94" t="str">
        <f ca="1">IF(U36=TRUE,"",IFERROR(IF(H36="Universal",SUM(((J36/100)*365),((K36/100)*F36)),IF(H36="Economy 7",SUM(((J36/100)*365),(((L36/100)*F36)*Calcs!$C$6),(((M36/100)*F36)*Calcs!$D$6)),IF(H36="Evening and Weekend",SUM(((J36/100)*365),(((L36/100)*F36)*Calcs!$C$12),(((N36/100)*F36)*Calcs!$D$12)),IF(H36="3 Rate",SUM(((J36/100)*365),(((L36/100)*F36)*Calcs!$C$9),(((M36/100)*F36)*Calcs!$D$9),(((N36/100)*F36)*Calcs!$E$9)),IF(H36="2 Rate Half Hourly",SUM(((J36/100)*365),(((L36/100)*F36)*Calcs!$C$18),(((M36/100)*F36)*Calcs!$D$18)))))))+IFERROR(((((O36/100)*I36)*12)),0),""))</f>
        <v/>
      </c>
      <c r="Q36" s="95" t="str">
        <f ca="1">IF(U36=TRUE,"",IFERROR(IF(F36&lt;12000,((P36*1.05)/12),(((F36*Calcs!#REF!)+P36)*1.2)/12),""))</f>
        <v/>
      </c>
      <c r="S36" s="69" t="str">
        <f>IF(NOT($M$2="Acquisition"),"Level 1",IF(C36&lt;=Calcs!$I$2,"Level 1",IF(AND($M$4="36 Months APR",C36&lt;=Calcs!$I$4),"Level 2","")))</f>
        <v>Level 1</v>
      </c>
      <c r="T36" s="69" t="str">
        <f t="shared" si="0"/>
        <v>--FALSE- Fixed</v>
      </c>
      <c r="U36" s="69" t="b">
        <f ca="1">IFERROR(IF(AND(C36="",$M$2=""),TRUE,IF(AND($M$2="Acquisition",C36=""),TRUE,IF(AND(NOT($M$2="Acquisition"),C36=""),TRUE,IF($M$2="",TRUE,IF($M$4="",TRUE,IF(D36="",TRUE,IF(E36="",TRUE,IF(F36="",TRUE,IF(G36="",TRUE,IF(H36="",TRUE,IF(AND(E36=0,I36=""),TRUE,IF(G36&lt;0,TRUE,IF(F36&gt;1000000,TRUE,IF(F36&lt;5000,TRUE,IF(AND($M$2="Reward Plus",G36&gt;3),TRUE,IF(AND($M$2="Reward",G36&gt;1),TRUE,IF(AND($M$2="Acquisition",G36&gt;2),TRUE,IF(G36&lt;&gt;ROUND(G36,1),TRUE,IF(C36&lt;TODAY(),TRUE,IF(AND($M$2="Acquisition",C36-TODAY()&lt;10),TRUE,IF(AND($M$2="Acquisition",C36&gt;Calcs!$I$2),TRUE,IF(AND($M$2="Acquisition",C36&lt;TODAY()),TRUE,IF(AND(NOT($M$2="Acquisition"),C36&lt;TODAY()),TRUE,IF(AND(NOT($M$2="Acquisition"),C36&gt;(TODAY()+180)),TRUE,IF(ISERROR((C36+1)),TRUE,IF(ISERROR(F36+1),TRUE,IF(ISERROR(G36+1),TRUE,IF(AND($M$2="Acquisition",C36&gt;Calcs!$I$2),TRUE,IF(AND($M$2="Acquisition",E36=0,C36&gt;Calcs!$I$2),TRUE,IF(AND(H36="2 Rate Half Hourly",NOT(E36=0)),TRUE,IF(AND(E36=0,NOT(H36="2 Rate Half Hourly")),TRUE,IF(AND(ISNA(INDEX('New HHTOU Flat Rates'!$A$2:$A$4000,MATCH(T36,'New HHTOU Flat Rates'!$A$2:$A$4000,0))),ISNA(INDEX('Flat Rates'!$A$2:$A$3422,MATCH(T36,'Flat Rates'!$A$2:$A$3422,0)))),TRUE,IF(AND(E36=0,I36&lt;0),TRUE,IF(E36=0,IF(ISERROR(I36+1),TRUE,FALSE))))))))))))))))))))))))))))))))))),TRUE)</f>
        <v>1</v>
      </c>
    </row>
    <row r="37" spans="2:21" x14ac:dyDescent="0.3">
      <c r="B37" s="79"/>
      <c r="C37" s="80"/>
      <c r="D37" s="82"/>
      <c r="E37" s="83"/>
      <c r="H37" s="81"/>
      <c r="I37" s="84"/>
      <c r="J37" s="93" t="str">
        <f ca="1">IF(U37=TRUE,"",IFERROR((((INDEX('Flat Rates'!$A$1:$M$3422,MATCH(T37,'Flat Rates'!$A$1:$A$3422,0),MATCH("Standing Charge",'Flat Rates'!$A$1:$M$1,0))*100))),""))</f>
        <v/>
      </c>
      <c r="K37" s="93" t="str">
        <f ca="1">IF(U37=TRUE,"",IFERROR((IF(NOT(H37="Universal"),"",INDEX('Flat Rates'!$A$1:$M$3422,MATCH(T37,'Flat Rates'!$A$1:$A$3422,0),MATCH("Uni/Day Rate",'Flat Rates'!$A$1:$M$1,0))+(G37/100))*100),""))</f>
        <v/>
      </c>
      <c r="L37" s="93" t="str">
        <f ca="1">IF(U37=TRUE,"",IFERROR((IF(H37="Universal","",INDEX('Flat Rates'!$A$1:$M$3422,MATCH(T37,'Flat Rates'!$A$1:$A$3422,0),MATCH("Uni/Day Rate",'Flat Rates'!$A$1:$M$1,0))+(G37/100))*100),""))</f>
        <v/>
      </c>
      <c r="M37" s="93" t="str">
        <f ca="1">IF(U37=TRUE,"",IFERROR(((INDEX('Flat Rates'!$A$1:$M$3422,MATCH(T37,'Flat Rates'!$A$1:$A$3422,0),MATCH("Night Unit Rate",'Flat Rates'!$A$1:$M$1,0))+(G37/100))*100),""))</f>
        <v/>
      </c>
      <c r="N37" s="93" t="str">
        <f ca="1">IF(U37=TRUE,"",IFERROR(((INDEX('Flat Rates'!$A$1:$M$3422,MATCH(T37,'Flat Rates'!$A$1:$A$3422,0),MATCH("Evening and Weekend Rate",'Flat Rates'!$A$1:$M$1,0))+(G37/100))*100),""))</f>
        <v/>
      </c>
      <c r="O37" s="93" t="str">
        <f ca="1">IF(U37=TRUE,"",IF(NOT(E37=0),"",INDEX(#REF!,MATCH(D37,#REF!,0),MATCH(IF(MONTH(C37)&lt;4,YEAR(C37)-1,YEAR(C37)),#REF!,0))))</f>
        <v/>
      </c>
      <c r="P37" s="94" t="str">
        <f ca="1">IF(U37=TRUE,"",IFERROR(IF(H37="Universal",SUM(((J37/100)*365),((K37/100)*F37)),IF(H37="Economy 7",SUM(((J37/100)*365),(((L37/100)*F37)*Calcs!$C$6),(((M37/100)*F37)*Calcs!$D$6)),IF(H37="Evening and Weekend",SUM(((J37/100)*365),(((L37/100)*F37)*Calcs!$C$12),(((N37/100)*F37)*Calcs!$D$12)),IF(H37="3 Rate",SUM(((J37/100)*365),(((L37/100)*F37)*Calcs!$C$9),(((M37/100)*F37)*Calcs!$D$9),(((N37/100)*F37)*Calcs!$E$9)),IF(H37="2 Rate Half Hourly",SUM(((J37/100)*365),(((L37/100)*F37)*Calcs!$C$18),(((M37/100)*F37)*Calcs!$D$18)))))))+IFERROR(((((O37/100)*I37)*12)),0),""))</f>
        <v/>
      </c>
      <c r="Q37" s="95" t="str">
        <f ca="1">IF(U37=TRUE,"",IFERROR(IF(F37&lt;12000,((P37*1.05)/12),(((F37*Calcs!#REF!)+P37)*1.2)/12),""))</f>
        <v/>
      </c>
      <c r="S37" s="69" t="str">
        <f>IF(NOT($M$2="Acquisition"),"Level 1",IF(C37&lt;=Calcs!$I$2,"Level 1",IF(AND($M$4="36 Months APR",C37&lt;=Calcs!$I$4),"Level 2","")))</f>
        <v>Level 1</v>
      </c>
      <c r="T37" s="69" t="str">
        <f t="shared" si="0"/>
        <v>--FALSE- Fixed</v>
      </c>
      <c r="U37" s="69" t="b">
        <f ca="1">IFERROR(IF(AND(C37="",$M$2=""),TRUE,IF(AND($M$2="Acquisition",C37=""),TRUE,IF(AND(NOT($M$2="Acquisition"),C37=""),TRUE,IF($M$2="",TRUE,IF($M$4="",TRUE,IF(D37="",TRUE,IF(E37="",TRUE,IF(F37="",TRUE,IF(G37="",TRUE,IF(H37="",TRUE,IF(AND(E37=0,I37=""),TRUE,IF(G37&lt;0,TRUE,IF(F37&gt;1000000,TRUE,IF(F37&lt;5000,TRUE,IF(AND($M$2="Reward Plus",G37&gt;3),TRUE,IF(AND($M$2="Reward",G37&gt;1),TRUE,IF(AND($M$2="Acquisition",G37&gt;2),TRUE,IF(G37&lt;&gt;ROUND(G37,1),TRUE,IF(C37&lt;TODAY(),TRUE,IF(AND($M$2="Acquisition",C37-TODAY()&lt;10),TRUE,IF(AND($M$2="Acquisition",C37&gt;Calcs!$I$2),TRUE,IF(AND($M$2="Acquisition",C37&lt;TODAY()),TRUE,IF(AND(NOT($M$2="Acquisition"),C37&lt;TODAY()),TRUE,IF(AND(NOT($M$2="Acquisition"),C37&gt;(TODAY()+180)),TRUE,IF(ISERROR((C37+1)),TRUE,IF(ISERROR(F37+1),TRUE,IF(ISERROR(G37+1),TRUE,IF(AND($M$2="Acquisition",C37&gt;Calcs!$I$2),TRUE,IF(AND($M$2="Acquisition",E37=0,C37&gt;Calcs!$I$2),TRUE,IF(AND(H37="2 Rate Half Hourly",NOT(E37=0)),TRUE,IF(AND(E37=0,NOT(H37="2 Rate Half Hourly")),TRUE,IF(AND(ISNA(INDEX('New HHTOU Flat Rates'!$A$2:$A$4000,MATCH(T37,'New HHTOU Flat Rates'!$A$2:$A$4000,0))),ISNA(INDEX('Flat Rates'!$A$2:$A$3422,MATCH(T37,'Flat Rates'!$A$2:$A$3422,0)))),TRUE,IF(AND(E37=0,I37&lt;0),TRUE,IF(E37=0,IF(ISERROR(I37+1),TRUE,FALSE))))))))))))))))))))))))))))))))))),TRUE)</f>
        <v>1</v>
      </c>
    </row>
    <row r="38" spans="2:21" x14ac:dyDescent="0.3">
      <c r="B38" s="79"/>
      <c r="C38" s="80"/>
      <c r="D38" s="82"/>
      <c r="E38" s="83"/>
      <c r="H38" s="81"/>
      <c r="I38" s="84"/>
      <c r="J38" s="93" t="str">
        <f ca="1">IF(U38=TRUE,"",IFERROR((((INDEX('Flat Rates'!$A$1:$M$3422,MATCH(T38,'Flat Rates'!$A$1:$A$3422,0),MATCH("Standing Charge",'Flat Rates'!$A$1:$M$1,0))*100))),""))</f>
        <v/>
      </c>
      <c r="K38" s="93" t="str">
        <f ca="1">IF(U38=TRUE,"",IFERROR((IF(NOT(H38="Universal"),"",INDEX('Flat Rates'!$A$1:$M$3422,MATCH(T38,'Flat Rates'!$A$1:$A$3422,0),MATCH("Uni/Day Rate",'Flat Rates'!$A$1:$M$1,0))+(G38/100))*100),""))</f>
        <v/>
      </c>
      <c r="L38" s="93" t="str">
        <f ca="1">IF(U38=TRUE,"",IFERROR((IF(H38="Universal","",INDEX('Flat Rates'!$A$1:$M$3422,MATCH(T38,'Flat Rates'!$A$1:$A$3422,0),MATCH("Uni/Day Rate",'Flat Rates'!$A$1:$M$1,0))+(G38/100))*100),""))</f>
        <v/>
      </c>
      <c r="M38" s="93" t="str">
        <f ca="1">IF(U38=TRUE,"",IFERROR(((INDEX('Flat Rates'!$A$1:$M$3422,MATCH(T38,'Flat Rates'!$A$1:$A$3422,0),MATCH("Night Unit Rate",'Flat Rates'!$A$1:$M$1,0))+(G38/100))*100),""))</f>
        <v/>
      </c>
      <c r="N38" s="93" t="str">
        <f ca="1">IF(U38=TRUE,"",IFERROR(((INDEX('Flat Rates'!$A$1:$M$3422,MATCH(T38,'Flat Rates'!$A$1:$A$3422,0),MATCH("Evening and Weekend Rate",'Flat Rates'!$A$1:$M$1,0))+(G38/100))*100),""))</f>
        <v/>
      </c>
      <c r="O38" s="93" t="str">
        <f ca="1">IF(U38=TRUE,"",IF(NOT(E38=0),"",INDEX(#REF!,MATCH(D38,#REF!,0),MATCH(IF(MONTH(C38)&lt;4,YEAR(C38)-1,YEAR(C38)),#REF!,0))))</f>
        <v/>
      </c>
      <c r="P38" s="94" t="str">
        <f ca="1">IF(U38=TRUE,"",IFERROR(IF(H38="Universal",SUM(((J38/100)*365),((K38/100)*F38)),IF(H38="Economy 7",SUM(((J38/100)*365),(((L38/100)*F38)*Calcs!$C$6),(((M38/100)*F38)*Calcs!$D$6)),IF(H38="Evening and Weekend",SUM(((J38/100)*365),(((L38/100)*F38)*Calcs!$C$12),(((N38/100)*F38)*Calcs!$D$12)),IF(H38="3 Rate",SUM(((J38/100)*365),(((L38/100)*F38)*Calcs!$C$9),(((M38/100)*F38)*Calcs!$D$9),(((N38/100)*F38)*Calcs!$E$9)),IF(H38="2 Rate Half Hourly",SUM(((J38/100)*365),(((L38/100)*F38)*Calcs!$C$18),(((M38/100)*F38)*Calcs!$D$18)))))))+IFERROR(((((O38/100)*I38)*12)),0),""))</f>
        <v/>
      </c>
      <c r="Q38" s="95" t="str">
        <f ca="1">IF(U38=TRUE,"",IFERROR(IF(F38&lt;12000,((P38*1.05)/12),(((F38*Calcs!#REF!)+P38)*1.2)/12),""))</f>
        <v/>
      </c>
      <c r="S38" s="69" t="str">
        <f>IF(NOT($M$2="Acquisition"),"Level 1",IF(C38&lt;=Calcs!$I$2,"Level 1",IF(AND($M$4="36 Months APR",C38&lt;=Calcs!$I$4),"Level 2","")))</f>
        <v>Level 1</v>
      </c>
      <c r="T38" s="69" t="str">
        <f t="shared" si="0"/>
        <v>--FALSE- Fixed</v>
      </c>
      <c r="U38" s="69" t="b">
        <f ca="1">IFERROR(IF(AND(C38="",$M$2=""),TRUE,IF(AND($M$2="Acquisition",C38=""),TRUE,IF(AND(NOT($M$2="Acquisition"),C38=""),TRUE,IF($M$2="",TRUE,IF($M$4="",TRUE,IF(D38="",TRUE,IF(E38="",TRUE,IF(F38="",TRUE,IF(G38="",TRUE,IF(H38="",TRUE,IF(AND(E38=0,I38=""),TRUE,IF(G38&lt;0,TRUE,IF(F38&gt;1000000,TRUE,IF(F38&lt;5000,TRUE,IF(AND($M$2="Reward Plus",G38&gt;3),TRUE,IF(AND($M$2="Reward",G38&gt;1),TRUE,IF(AND($M$2="Acquisition",G38&gt;2),TRUE,IF(G38&lt;&gt;ROUND(G38,1),TRUE,IF(C38&lt;TODAY(),TRUE,IF(AND($M$2="Acquisition",C38-TODAY()&lt;10),TRUE,IF(AND($M$2="Acquisition",C38&gt;Calcs!$I$2),TRUE,IF(AND($M$2="Acquisition",C38&lt;TODAY()),TRUE,IF(AND(NOT($M$2="Acquisition"),C38&lt;TODAY()),TRUE,IF(AND(NOT($M$2="Acquisition"),C38&gt;(TODAY()+180)),TRUE,IF(ISERROR((C38+1)),TRUE,IF(ISERROR(F38+1),TRUE,IF(ISERROR(G38+1),TRUE,IF(AND($M$2="Acquisition",C38&gt;Calcs!$I$2),TRUE,IF(AND($M$2="Acquisition",E38=0,C38&gt;Calcs!$I$2),TRUE,IF(AND(H38="2 Rate Half Hourly",NOT(E38=0)),TRUE,IF(AND(E38=0,NOT(H38="2 Rate Half Hourly")),TRUE,IF(AND(ISNA(INDEX('New HHTOU Flat Rates'!$A$2:$A$4000,MATCH(T38,'New HHTOU Flat Rates'!$A$2:$A$4000,0))),ISNA(INDEX('Flat Rates'!$A$2:$A$3422,MATCH(T38,'Flat Rates'!$A$2:$A$3422,0)))),TRUE,IF(AND(E38=0,I38&lt;0),TRUE,IF(E38=0,IF(ISERROR(I38+1),TRUE,FALSE))))))))))))))))))))))))))))))))))),TRUE)</f>
        <v>1</v>
      </c>
    </row>
    <row r="39" spans="2:21" x14ac:dyDescent="0.3">
      <c r="B39" s="79"/>
      <c r="C39" s="80"/>
      <c r="D39" s="82"/>
      <c r="E39" s="83"/>
      <c r="H39" s="81"/>
      <c r="I39" s="84"/>
      <c r="J39" s="93" t="str">
        <f ca="1">IF(U39=TRUE,"",IFERROR((((INDEX('Flat Rates'!$A$1:$M$3422,MATCH(T39,'Flat Rates'!$A$1:$A$3422,0),MATCH("Standing Charge",'Flat Rates'!$A$1:$M$1,0))*100))),""))</f>
        <v/>
      </c>
      <c r="K39" s="93" t="str">
        <f ca="1">IF(U39=TRUE,"",IFERROR((IF(NOT(H39="Universal"),"",INDEX('Flat Rates'!$A$1:$M$3422,MATCH(T39,'Flat Rates'!$A$1:$A$3422,0),MATCH("Uni/Day Rate",'Flat Rates'!$A$1:$M$1,0))+(G39/100))*100),""))</f>
        <v/>
      </c>
      <c r="L39" s="93" t="str">
        <f ca="1">IF(U39=TRUE,"",IFERROR((IF(H39="Universal","",INDEX('Flat Rates'!$A$1:$M$3422,MATCH(T39,'Flat Rates'!$A$1:$A$3422,0),MATCH("Uni/Day Rate",'Flat Rates'!$A$1:$M$1,0))+(G39/100))*100),""))</f>
        <v/>
      </c>
      <c r="M39" s="93" t="str">
        <f ca="1">IF(U39=TRUE,"",IFERROR(((INDEX('Flat Rates'!$A$1:$M$3422,MATCH(T39,'Flat Rates'!$A$1:$A$3422,0),MATCH("Night Unit Rate",'Flat Rates'!$A$1:$M$1,0))+(G39/100))*100),""))</f>
        <v/>
      </c>
      <c r="N39" s="93" t="str">
        <f ca="1">IF(U39=TRUE,"",IFERROR(((INDEX('Flat Rates'!$A$1:$M$3422,MATCH(T39,'Flat Rates'!$A$1:$A$3422,0),MATCH("Evening and Weekend Rate",'Flat Rates'!$A$1:$M$1,0))+(G39/100))*100),""))</f>
        <v/>
      </c>
      <c r="O39" s="93" t="str">
        <f ca="1">IF(U39=TRUE,"",IF(NOT(E39=0),"",INDEX(#REF!,MATCH(D39,#REF!,0),MATCH(IF(MONTH(C39)&lt;4,YEAR(C39)-1,YEAR(C39)),#REF!,0))))</f>
        <v/>
      </c>
      <c r="P39" s="94" t="str">
        <f ca="1">IF(U39=TRUE,"",IFERROR(IF(H39="Universal",SUM(((J39/100)*365),((K39/100)*F39)),IF(H39="Economy 7",SUM(((J39/100)*365),(((L39/100)*F39)*Calcs!$C$6),(((M39/100)*F39)*Calcs!$D$6)),IF(H39="Evening and Weekend",SUM(((J39/100)*365),(((L39/100)*F39)*Calcs!$C$12),(((N39/100)*F39)*Calcs!$D$12)),IF(H39="3 Rate",SUM(((J39/100)*365),(((L39/100)*F39)*Calcs!$C$9),(((M39/100)*F39)*Calcs!$D$9),(((N39/100)*F39)*Calcs!$E$9)),IF(H39="2 Rate Half Hourly",SUM(((J39/100)*365),(((L39/100)*F39)*Calcs!$C$18),(((M39/100)*F39)*Calcs!$D$18)))))))+IFERROR(((((O39/100)*I39)*12)),0),""))</f>
        <v/>
      </c>
      <c r="Q39" s="95" t="str">
        <f ca="1">IF(U39=TRUE,"",IFERROR(IF(F39&lt;12000,((P39*1.05)/12),(((F39*Calcs!#REF!)+P39)*1.2)/12),""))</f>
        <v/>
      </c>
      <c r="S39" s="69" t="str">
        <f>IF(NOT($M$2="Acquisition"),"Level 1",IF(C39&lt;=Calcs!$I$2,"Level 1",IF(AND($M$4="36 Months APR",C39&lt;=Calcs!$I$4),"Level 2","")))</f>
        <v>Level 1</v>
      </c>
      <c r="T39" s="69" t="str">
        <f t="shared" si="0"/>
        <v>--FALSE- Fixed</v>
      </c>
      <c r="U39" s="69" t="b">
        <f ca="1">IFERROR(IF(AND(C39="",$M$2=""),TRUE,IF(AND($M$2="Acquisition",C39=""),TRUE,IF(AND(NOT($M$2="Acquisition"),C39=""),TRUE,IF($M$2="",TRUE,IF($M$4="",TRUE,IF(D39="",TRUE,IF(E39="",TRUE,IF(F39="",TRUE,IF(G39="",TRUE,IF(H39="",TRUE,IF(AND(E39=0,I39=""),TRUE,IF(G39&lt;0,TRUE,IF(F39&gt;1000000,TRUE,IF(F39&lt;5000,TRUE,IF(AND($M$2="Reward Plus",G39&gt;3),TRUE,IF(AND($M$2="Reward",G39&gt;1),TRUE,IF(AND($M$2="Acquisition",G39&gt;2),TRUE,IF(G39&lt;&gt;ROUND(G39,1),TRUE,IF(C39&lt;TODAY(),TRUE,IF(AND($M$2="Acquisition",C39-TODAY()&lt;10),TRUE,IF(AND($M$2="Acquisition",C39&gt;Calcs!$I$2),TRUE,IF(AND($M$2="Acquisition",C39&lt;TODAY()),TRUE,IF(AND(NOT($M$2="Acquisition"),C39&lt;TODAY()),TRUE,IF(AND(NOT($M$2="Acquisition"),C39&gt;(TODAY()+180)),TRUE,IF(ISERROR((C39+1)),TRUE,IF(ISERROR(F39+1),TRUE,IF(ISERROR(G39+1),TRUE,IF(AND($M$2="Acquisition",C39&gt;Calcs!$I$2),TRUE,IF(AND($M$2="Acquisition",E39=0,C39&gt;Calcs!$I$2),TRUE,IF(AND(H39="2 Rate Half Hourly",NOT(E39=0)),TRUE,IF(AND(E39=0,NOT(H39="2 Rate Half Hourly")),TRUE,IF(AND(ISNA(INDEX('New HHTOU Flat Rates'!$A$2:$A$4000,MATCH(T39,'New HHTOU Flat Rates'!$A$2:$A$4000,0))),ISNA(INDEX('Flat Rates'!$A$2:$A$3422,MATCH(T39,'Flat Rates'!$A$2:$A$3422,0)))),TRUE,IF(AND(E39=0,I39&lt;0),TRUE,IF(E39=0,IF(ISERROR(I39+1),TRUE,FALSE))))))))))))))))))))))))))))))))))),TRUE)</f>
        <v>1</v>
      </c>
    </row>
    <row r="40" spans="2:21" x14ac:dyDescent="0.3">
      <c r="B40" s="79"/>
      <c r="C40" s="80"/>
      <c r="D40" s="82"/>
      <c r="E40" s="83"/>
      <c r="H40" s="81"/>
      <c r="I40" s="84"/>
      <c r="J40" s="93" t="str">
        <f ca="1">IF(U40=TRUE,"",IFERROR((((INDEX('Flat Rates'!$A$1:$M$3422,MATCH(T40,'Flat Rates'!$A$1:$A$3422,0),MATCH("Standing Charge",'Flat Rates'!$A$1:$M$1,0))*100))),""))</f>
        <v/>
      </c>
      <c r="K40" s="93" t="str">
        <f ca="1">IF(U40=TRUE,"",IFERROR((IF(NOT(H40="Universal"),"",INDEX('Flat Rates'!$A$1:$M$3422,MATCH(T40,'Flat Rates'!$A$1:$A$3422,0),MATCH("Uni/Day Rate",'Flat Rates'!$A$1:$M$1,0))+(G40/100))*100),""))</f>
        <v/>
      </c>
      <c r="L40" s="93" t="str">
        <f ca="1">IF(U40=TRUE,"",IFERROR((IF(H40="Universal","",INDEX('Flat Rates'!$A$1:$M$3422,MATCH(T40,'Flat Rates'!$A$1:$A$3422,0),MATCH("Uni/Day Rate",'Flat Rates'!$A$1:$M$1,0))+(G40/100))*100),""))</f>
        <v/>
      </c>
      <c r="M40" s="93" t="str">
        <f ca="1">IF(U40=TRUE,"",IFERROR(((INDEX('Flat Rates'!$A$1:$M$3422,MATCH(T40,'Flat Rates'!$A$1:$A$3422,0),MATCH("Night Unit Rate",'Flat Rates'!$A$1:$M$1,0))+(G40/100))*100),""))</f>
        <v/>
      </c>
      <c r="N40" s="93" t="str">
        <f ca="1">IF(U40=TRUE,"",IFERROR(((INDEX('Flat Rates'!$A$1:$M$3422,MATCH(T40,'Flat Rates'!$A$1:$A$3422,0),MATCH("Evening and Weekend Rate",'Flat Rates'!$A$1:$M$1,0))+(G40/100))*100),""))</f>
        <v/>
      </c>
      <c r="O40" s="93" t="str">
        <f ca="1">IF(U40=TRUE,"",IF(NOT(E40=0),"",INDEX(#REF!,MATCH(D40,#REF!,0),MATCH(IF(MONTH(C40)&lt;4,YEAR(C40)-1,YEAR(C40)),#REF!,0))))</f>
        <v/>
      </c>
      <c r="P40" s="94" t="str">
        <f ca="1">IF(U40=TRUE,"",IFERROR(IF(H40="Universal",SUM(((J40/100)*365),((K40/100)*F40)),IF(H40="Economy 7",SUM(((J40/100)*365),(((L40/100)*F40)*Calcs!$C$6),(((M40/100)*F40)*Calcs!$D$6)),IF(H40="Evening and Weekend",SUM(((J40/100)*365),(((L40/100)*F40)*Calcs!$C$12),(((N40/100)*F40)*Calcs!$D$12)),IF(H40="3 Rate",SUM(((J40/100)*365),(((L40/100)*F40)*Calcs!$C$9),(((M40/100)*F40)*Calcs!$D$9),(((N40/100)*F40)*Calcs!$E$9)),IF(H40="2 Rate Half Hourly",SUM(((J40/100)*365),(((L40/100)*F40)*Calcs!$C$18),(((M40/100)*F40)*Calcs!$D$18)))))))+IFERROR(((((O40/100)*I40)*12)),0),""))</f>
        <v/>
      </c>
      <c r="Q40" s="95" t="str">
        <f ca="1">IF(U40=TRUE,"",IFERROR(IF(F40&lt;12000,((P40*1.05)/12),(((F40*Calcs!#REF!)+P40)*1.2)/12),""))</f>
        <v/>
      </c>
      <c r="S40" s="69" t="str">
        <f>IF(NOT($M$2="Acquisition"),"Level 1",IF(C40&lt;=Calcs!$I$2,"Level 1",IF(AND($M$4="36 Months APR",C40&lt;=Calcs!$I$4),"Level 2","")))</f>
        <v>Level 1</v>
      </c>
      <c r="T40" s="69" t="str">
        <f t="shared" si="0"/>
        <v>--FALSE- Fixed</v>
      </c>
      <c r="U40" s="69" t="b">
        <f ca="1">IFERROR(IF(AND(C40="",$M$2=""),TRUE,IF(AND($M$2="Acquisition",C40=""),TRUE,IF(AND(NOT($M$2="Acquisition"),C40=""),TRUE,IF($M$2="",TRUE,IF($M$4="",TRUE,IF(D40="",TRUE,IF(E40="",TRUE,IF(F40="",TRUE,IF(G40="",TRUE,IF(H40="",TRUE,IF(AND(E40=0,I40=""),TRUE,IF(G40&lt;0,TRUE,IF(F40&gt;1000000,TRUE,IF(F40&lt;5000,TRUE,IF(AND($M$2="Reward Plus",G40&gt;3),TRUE,IF(AND($M$2="Reward",G40&gt;1),TRUE,IF(AND($M$2="Acquisition",G40&gt;2),TRUE,IF(G40&lt;&gt;ROUND(G40,1),TRUE,IF(C40&lt;TODAY(),TRUE,IF(AND($M$2="Acquisition",C40-TODAY()&lt;10),TRUE,IF(AND($M$2="Acquisition",C40&gt;Calcs!$I$2),TRUE,IF(AND($M$2="Acquisition",C40&lt;TODAY()),TRUE,IF(AND(NOT($M$2="Acquisition"),C40&lt;TODAY()),TRUE,IF(AND(NOT($M$2="Acquisition"),C40&gt;(TODAY()+180)),TRUE,IF(ISERROR((C40+1)),TRUE,IF(ISERROR(F40+1),TRUE,IF(ISERROR(G40+1),TRUE,IF(AND($M$2="Acquisition",C40&gt;Calcs!$I$2),TRUE,IF(AND($M$2="Acquisition",E40=0,C40&gt;Calcs!$I$2),TRUE,IF(AND(H40="2 Rate Half Hourly",NOT(E40=0)),TRUE,IF(AND(E40=0,NOT(H40="2 Rate Half Hourly")),TRUE,IF(AND(ISNA(INDEX('New HHTOU Flat Rates'!$A$2:$A$4000,MATCH(T40,'New HHTOU Flat Rates'!$A$2:$A$4000,0))),ISNA(INDEX('Flat Rates'!$A$2:$A$3422,MATCH(T40,'Flat Rates'!$A$2:$A$3422,0)))),TRUE,IF(AND(E40=0,I40&lt;0),TRUE,IF(E40=0,IF(ISERROR(I40+1),TRUE,FALSE))))))))))))))))))))))))))))))))))),TRUE)</f>
        <v>1</v>
      </c>
    </row>
    <row r="41" spans="2:21" x14ac:dyDescent="0.3">
      <c r="B41" s="79"/>
      <c r="C41" s="80"/>
      <c r="D41" s="82"/>
      <c r="E41" s="83"/>
      <c r="H41" s="81"/>
      <c r="I41" s="84"/>
      <c r="J41" s="93" t="str">
        <f ca="1">IF(U41=TRUE,"",IFERROR((((INDEX('Flat Rates'!$A$1:$M$3422,MATCH(T41,'Flat Rates'!$A$1:$A$3422,0),MATCH("Standing Charge",'Flat Rates'!$A$1:$M$1,0))*100))),""))</f>
        <v/>
      </c>
      <c r="K41" s="93" t="str">
        <f ca="1">IF(U41=TRUE,"",IFERROR((IF(NOT(H41="Universal"),"",INDEX('Flat Rates'!$A$1:$M$3422,MATCH(T41,'Flat Rates'!$A$1:$A$3422,0),MATCH("Uni/Day Rate",'Flat Rates'!$A$1:$M$1,0))+(G41/100))*100),""))</f>
        <v/>
      </c>
      <c r="L41" s="93" t="str">
        <f ca="1">IF(U41=TRUE,"",IFERROR((IF(H41="Universal","",INDEX('Flat Rates'!$A$1:$M$3422,MATCH(T41,'Flat Rates'!$A$1:$A$3422,0),MATCH("Uni/Day Rate",'Flat Rates'!$A$1:$M$1,0))+(G41/100))*100),""))</f>
        <v/>
      </c>
      <c r="M41" s="93" t="str">
        <f ca="1">IF(U41=TRUE,"",IFERROR(((INDEX('Flat Rates'!$A$1:$M$3422,MATCH(T41,'Flat Rates'!$A$1:$A$3422,0),MATCH("Night Unit Rate",'Flat Rates'!$A$1:$M$1,0))+(G41/100))*100),""))</f>
        <v/>
      </c>
      <c r="N41" s="93" t="str">
        <f ca="1">IF(U41=TRUE,"",IFERROR(((INDEX('Flat Rates'!$A$1:$M$3422,MATCH(T41,'Flat Rates'!$A$1:$A$3422,0),MATCH("Evening and Weekend Rate",'Flat Rates'!$A$1:$M$1,0))+(G41/100))*100),""))</f>
        <v/>
      </c>
      <c r="O41" s="93" t="str">
        <f ca="1">IF(U41=TRUE,"",IF(NOT(E41=0),"",INDEX(#REF!,MATCH(D41,#REF!,0),MATCH(IF(MONTH(C41)&lt;4,YEAR(C41)-1,YEAR(C41)),#REF!,0))))</f>
        <v/>
      </c>
      <c r="P41" s="94" t="str">
        <f ca="1">IF(U41=TRUE,"",IFERROR(IF(H41="Universal",SUM(((J41/100)*365),((K41/100)*F41)),IF(H41="Economy 7",SUM(((J41/100)*365),(((L41/100)*F41)*Calcs!$C$6),(((M41/100)*F41)*Calcs!$D$6)),IF(H41="Evening and Weekend",SUM(((J41/100)*365),(((L41/100)*F41)*Calcs!$C$12),(((N41/100)*F41)*Calcs!$D$12)),IF(H41="3 Rate",SUM(((J41/100)*365),(((L41/100)*F41)*Calcs!$C$9),(((M41/100)*F41)*Calcs!$D$9),(((N41/100)*F41)*Calcs!$E$9)),IF(H41="2 Rate Half Hourly",SUM(((J41/100)*365),(((L41/100)*F41)*Calcs!$C$18),(((M41/100)*F41)*Calcs!$D$18)))))))+IFERROR(((((O41/100)*I41)*12)),0),""))</f>
        <v/>
      </c>
      <c r="Q41" s="95" t="str">
        <f ca="1">IF(U41=TRUE,"",IFERROR(IF(F41&lt;12000,((P41*1.05)/12),(((F41*Calcs!#REF!)+P41)*1.2)/12),""))</f>
        <v/>
      </c>
      <c r="S41" s="69" t="str">
        <f>IF(NOT($M$2="Acquisition"),"Level 1",IF(C41&lt;=Calcs!$I$2,"Level 1",IF(AND($M$4="36 Months APR",C41&lt;=Calcs!$I$4),"Level 2","")))</f>
        <v>Level 1</v>
      </c>
      <c r="T41" s="69" t="str">
        <f t="shared" si="0"/>
        <v>--FALSE- Fixed</v>
      </c>
      <c r="U41" s="69" t="b">
        <f ca="1">IFERROR(IF(AND(C41="",$M$2=""),TRUE,IF(AND($M$2="Acquisition",C41=""),TRUE,IF(AND(NOT($M$2="Acquisition"),C41=""),TRUE,IF($M$2="",TRUE,IF($M$4="",TRUE,IF(D41="",TRUE,IF(E41="",TRUE,IF(F41="",TRUE,IF(G41="",TRUE,IF(H41="",TRUE,IF(AND(E41=0,I41=""),TRUE,IF(G41&lt;0,TRUE,IF(F41&gt;1000000,TRUE,IF(F41&lt;5000,TRUE,IF(AND($M$2="Reward Plus",G41&gt;3),TRUE,IF(AND($M$2="Reward",G41&gt;1),TRUE,IF(AND($M$2="Acquisition",G41&gt;2),TRUE,IF(G41&lt;&gt;ROUND(G41,1),TRUE,IF(C41&lt;TODAY(),TRUE,IF(AND($M$2="Acquisition",C41-TODAY()&lt;10),TRUE,IF(AND($M$2="Acquisition",C41&gt;Calcs!$I$2),TRUE,IF(AND($M$2="Acquisition",C41&lt;TODAY()),TRUE,IF(AND(NOT($M$2="Acquisition"),C41&lt;TODAY()),TRUE,IF(AND(NOT($M$2="Acquisition"),C41&gt;(TODAY()+180)),TRUE,IF(ISERROR((C41+1)),TRUE,IF(ISERROR(F41+1),TRUE,IF(ISERROR(G41+1),TRUE,IF(AND($M$2="Acquisition",C41&gt;Calcs!$I$2),TRUE,IF(AND($M$2="Acquisition",E41=0,C41&gt;Calcs!$I$2),TRUE,IF(AND(H41="2 Rate Half Hourly",NOT(E41=0)),TRUE,IF(AND(E41=0,NOT(H41="2 Rate Half Hourly")),TRUE,IF(AND(ISNA(INDEX('New HHTOU Flat Rates'!$A$2:$A$4000,MATCH(T41,'New HHTOU Flat Rates'!$A$2:$A$4000,0))),ISNA(INDEX('Flat Rates'!$A$2:$A$3422,MATCH(T41,'Flat Rates'!$A$2:$A$3422,0)))),TRUE,IF(AND(E41=0,I41&lt;0),TRUE,IF(E41=0,IF(ISERROR(I41+1),TRUE,FALSE))))))))))))))))))))))))))))))))))),TRUE)</f>
        <v>1</v>
      </c>
    </row>
    <row r="42" spans="2:21" x14ac:dyDescent="0.3">
      <c r="B42" s="79"/>
      <c r="C42" s="80"/>
      <c r="D42" s="82"/>
      <c r="E42" s="83"/>
      <c r="H42" s="81"/>
      <c r="I42" s="84"/>
      <c r="J42" s="93" t="str">
        <f ca="1">IF(U42=TRUE,"",IFERROR((((INDEX('Flat Rates'!$A$1:$M$3422,MATCH(T42,'Flat Rates'!$A$1:$A$3422,0),MATCH("Standing Charge",'Flat Rates'!$A$1:$M$1,0))*100))),""))</f>
        <v/>
      </c>
      <c r="K42" s="93" t="str">
        <f ca="1">IF(U42=TRUE,"",IFERROR((IF(NOT(H42="Universal"),"",INDEX('Flat Rates'!$A$1:$M$3422,MATCH(T42,'Flat Rates'!$A$1:$A$3422,0),MATCH("Uni/Day Rate",'Flat Rates'!$A$1:$M$1,0))+(G42/100))*100),""))</f>
        <v/>
      </c>
      <c r="L42" s="93" t="str">
        <f ca="1">IF(U42=TRUE,"",IFERROR((IF(H42="Universal","",INDEX('Flat Rates'!$A$1:$M$3422,MATCH(T42,'Flat Rates'!$A$1:$A$3422,0),MATCH("Uni/Day Rate",'Flat Rates'!$A$1:$M$1,0))+(G42/100))*100),""))</f>
        <v/>
      </c>
      <c r="M42" s="93" t="str">
        <f ca="1">IF(U42=TRUE,"",IFERROR(((INDEX('Flat Rates'!$A$1:$M$3422,MATCH(T42,'Flat Rates'!$A$1:$A$3422,0),MATCH("Night Unit Rate",'Flat Rates'!$A$1:$M$1,0))+(G42/100))*100),""))</f>
        <v/>
      </c>
      <c r="N42" s="93" t="str">
        <f ca="1">IF(U42=TRUE,"",IFERROR(((INDEX('Flat Rates'!$A$1:$M$3422,MATCH(T42,'Flat Rates'!$A$1:$A$3422,0),MATCH("Evening and Weekend Rate",'Flat Rates'!$A$1:$M$1,0))+(G42/100))*100),""))</f>
        <v/>
      </c>
      <c r="O42" s="93" t="str">
        <f ca="1">IF(U42=TRUE,"",IF(NOT(E42=0),"",INDEX(#REF!,MATCH(D42,#REF!,0),MATCH(IF(MONTH(C42)&lt;4,YEAR(C42)-1,YEAR(C42)),#REF!,0))))</f>
        <v/>
      </c>
      <c r="P42" s="94" t="str">
        <f ca="1">IF(U42=TRUE,"",IFERROR(IF(H42="Universal",SUM(((J42/100)*365),((K42/100)*F42)),IF(H42="Economy 7",SUM(((J42/100)*365),(((L42/100)*F42)*Calcs!$C$6),(((M42/100)*F42)*Calcs!$D$6)),IF(H42="Evening and Weekend",SUM(((J42/100)*365),(((L42/100)*F42)*Calcs!$C$12),(((N42/100)*F42)*Calcs!$D$12)),IF(H42="3 Rate",SUM(((J42/100)*365),(((L42/100)*F42)*Calcs!$C$9),(((M42/100)*F42)*Calcs!$D$9),(((N42/100)*F42)*Calcs!$E$9)),IF(H42="2 Rate Half Hourly",SUM(((J42/100)*365),(((L42/100)*F42)*Calcs!$C$18),(((M42/100)*F42)*Calcs!$D$18)))))))+IFERROR(((((O42/100)*I42)*12)),0),""))</f>
        <v/>
      </c>
      <c r="Q42" s="95" t="str">
        <f ca="1">IF(U42=TRUE,"",IFERROR(IF(F42&lt;12000,((P42*1.05)/12),(((F42*Calcs!#REF!)+P42)*1.2)/12),""))</f>
        <v/>
      </c>
      <c r="S42" s="69" t="str">
        <f>IF(NOT($M$2="Acquisition"),"Level 1",IF(C42&lt;=Calcs!$I$2,"Level 1",IF(AND($M$4="36 Months APR",C42&lt;=Calcs!$I$4),"Level 2","")))</f>
        <v>Level 1</v>
      </c>
      <c r="T42" s="69" t="str">
        <f t="shared" si="0"/>
        <v>--FALSE- Fixed</v>
      </c>
      <c r="U42" s="69" t="b">
        <f ca="1">IFERROR(IF(AND(C42="",$M$2=""),TRUE,IF(AND($M$2="Acquisition",C42=""),TRUE,IF(AND(NOT($M$2="Acquisition"),C42=""),TRUE,IF($M$2="",TRUE,IF($M$4="",TRUE,IF(D42="",TRUE,IF(E42="",TRUE,IF(F42="",TRUE,IF(G42="",TRUE,IF(H42="",TRUE,IF(AND(E42=0,I42=""),TRUE,IF(G42&lt;0,TRUE,IF(F42&gt;1000000,TRUE,IF(F42&lt;5000,TRUE,IF(AND($M$2="Reward Plus",G42&gt;3),TRUE,IF(AND($M$2="Reward",G42&gt;1),TRUE,IF(AND($M$2="Acquisition",G42&gt;2),TRUE,IF(G42&lt;&gt;ROUND(G42,1),TRUE,IF(C42&lt;TODAY(),TRUE,IF(AND($M$2="Acquisition",C42-TODAY()&lt;10),TRUE,IF(AND($M$2="Acquisition",C42&gt;Calcs!$I$2),TRUE,IF(AND($M$2="Acquisition",C42&lt;TODAY()),TRUE,IF(AND(NOT($M$2="Acquisition"),C42&lt;TODAY()),TRUE,IF(AND(NOT($M$2="Acquisition"),C42&gt;(TODAY()+180)),TRUE,IF(ISERROR((C42+1)),TRUE,IF(ISERROR(F42+1),TRUE,IF(ISERROR(G42+1),TRUE,IF(AND($M$2="Acquisition",C42&gt;Calcs!$I$2),TRUE,IF(AND($M$2="Acquisition",E42=0,C42&gt;Calcs!$I$2),TRUE,IF(AND(H42="2 Rate Half Hourly",NOT(E42=0)),TRUE,IF(AND(E42=0,NOT(H42="2 Rate Half Hourly")),TRUE,IF(AND(ISNA(INDEX('New HHTOU Flat Rates'!$A$2:$A$4000,MATCH(T42,'New HHTOU Flat Rates'!$A$2:$A$4000,0))),ISNA(INDEX('Flat Rates'!$A$2:$A$3422,MATCH(T42,'Flat Rates'!$A$2:$A$3422,0)))),TRUE,IF(AND(E42=0,I42&lt;0),TRUE,IF(E42=0,IF(ISERROR(I42+1),TRUE,FALSE))))))))))))))))))))))))))))))))))),TRUE)</f>
        <v>1</v>
      </c>
    </row>
    <row r="43" spans="2:21" x14ac:dyDescent="0.3">
      <c r="B43" s="79"/>
      <c r="C43" s="80"/>
      <c r="D43" s="82"/>
      <c r="E43" s="83"/>
      <c r="H43" s="81"/>
      <c r="I43" s="84"/>
      <c r="J43" s="93" t="str">
        <f ca="1">IF(U43=TRUE,"",IFERROR((((INDEX('Flat Rates'!$A$1:$M$3422,MATCH(T43,'Flat Rates'!$A$1:$A$3422,0),MATCH("Standing Charge",'Flat Rates'!$A$1:$M$1,0))*100))),""))</f>
        <v/>
      </c>
      <c r="K43" s="93" t="str">
        <f ca="1">IF(U43=TRUE,"",IFERROR((IF(NOT(H43="Universal"),"",INDEX('Flat Rates'!$A$1:$M$3422,MATCH(T43,'Flat Rates'!$A$1:$A$3422,0),MATCH("Uni/Day Rate",'Flat Rates'!$A$1:$M$1,0))+(G43/100))*100),""))</f>
        <v/>
      </c>
      <c r="L43" s="93" t="str">
        <f ca="1">IF(U43=TRUE,"",IFERROR((IF(H43="Universal","",INDEX('Flat Rates'!$A$1:$M$3422,MATCH(T43,'Flat Rates'!$A$1:$A$3422,0),MATCH("Uni/Day Rate",'Flat Rates'!$A$1:$M$1,0))+(G43/100))*100),""))</f>
        <v/>
      </c>
      <c r="M43" s="93" t="str">
        <f ca="1">IF(U43=TRUE,"",IFERROR(((INDEX('Flat Rates'!$A$1:$M$3422,MATCH(T43,'Flat Rates'!$A$1:$A$3422,0),MATCH("Night Unit Rate",'Flat Rates'!$A$1:$M$1,0))+(G43/100))*100),""))</f>
        <v/>
      </c>
      <c r="N43" s="93" t="str">
        <f ca="1">IF(U43=TRUE,"",IFERROR(((INDEX('Flat Rates'!$A$1:$M$3422,MATCH(T43,'Flat Rates'!$A$1:$A$3422,0),MATCH("Evening and Weekend Rate",'Flat Rates'!$A$1:$M$1,0))+(G43/100))*100),""))</f>
        <v/>
      </c>
      <c r="O43" s="93" t="str">
        <f ca="1">IF(U43=TRUE,"",IF(NOT(E43=0),"",INDEX(#REF!,MATCH(D43,#REF!,0),MATCH(IF(MONTH(C43)&lt;4,YEAR(C43)-1,YEAR(C43)),#REF!,0))))</f>
        <v/>
      </c>
      <c r="P43" s="94" t="str">
        <f ca="1">IF(U43=TRUE,"",IFERROR(IF(H43="Universal",SUM(((J43/100)*365),((K43/100)*F43)),IF(H43="Economy 7",SUM(((J43/100)*365),(((L43/100)*F43)*Calcs!$C$6),(((M43/100)*F43)*Calcs!$D$6)),IF(H43="Evening and Weekend",SUM(((J43/100)*365),(((L43/100)*F43)*Calcs!$C$12),(((N43/100)*F43)*Calcs!$D$12)),IF(H43="3 Rate",SUM(((J43/100)*365),(((L43/100)*F43)*Calcs!$C$9),(((M43/100)*F43)*Calcs!$D$9),(((N43/100)*F43)*Calcs!$E$9)),IF(H43="2 Rate Half Hourly",SUM(((J43/100)*365),(((L43/100)*F43)*Calcs!$C$18),(((M43/100)*F43)*Calcs!$D$18)))))))+IFERROR(((((O43/100)*I43)*12)),0),""))</f>
        <v/>
      </c>
      <c r="Q43" s="95" t="str">
        <f ca="1">IF(U43=TRUE,"",IFERROR(IF(F43&lt;12000,((P43*1.05)/12),(((F43*Calcs!#REF!)+P43)*1.2)/12),""))</f>
        <v/>
      </c>
      <c r="S43" s="69" t="str">
        <f>IF(NOT($M$2="Acquisition"),"Level 1",IF(C43&lt;=Calcs!$I$2,"Level 1",IF(AND($M$4="36 Months APR",C43&lt;=Calcs!$I$4),"Level 2","")))</f>
        <v>Level 1</v>
      </c>
      <c r="T43" s="69" t="str">
        <f t="shared" si="0"/>
        <v>--FALSE- Fixed</v>
      </c>
      <c r="U43" s="69" t="b">
        <f ca="1">IFERROR(IF(AND(C43="",$M$2=""),TRUE,IF(AND($M$2="Acquisition",C43=""),TRUE,IF(AND(NOT($M$2="Acquisition"),C43=""),TRUE,IF($M$2="",TRUE,IF($M$4="",TRUE,IF(D43="",TRUE,IF(E43="",TRUE,IF(F43="",TRUE,IF(G43="",TRUE,IF(H43="",TRUE,IF(AND(E43=0,I43=""),TRUE,IF(G43&lt;0,TRUE,IF(F43&gt;1000000,TRUE,IF(F43&lt;5000,TRUE,IF(AND($M$2="Reward Plus",G43&gt;3),TRUE,IF(AND($M$2="Reward",G43&gt;1),TRUE,IF(AND($M$2="Acquisition",G43&gt;2),TRUE,IF(G43&lt;&gt;ROUND(G43,1),TRUE,IF(C43&lt;TODAY(),TRUE,IF(AND($M$2="Acquisition",C43-TODAY()&lt;10),TRUE,IF(AND($M$2="Acquisition",C43&gt;Calcs!$I$2),TRUE,IF(AND($M$2="Acquisition",C43&lt;TODAY()),TRUE,IF(AND(NOT($M$2="Acquisition"),C43&lt;TODAY()),TRUE,IF(AND(NOT($M$2="Acquisition"),C43&gt;(TODAY()+180)),TRUE,IF(ISERROR((C43+1)),TRUE,IF(ISERROR(F43+1),TRUE,IF(ISERROR(G43+1),TRUE,IF(AND($M$2="Acquisition",C43&gt;Calcs!$I$2),TRUE,IF(AND($M$2="Acquisition",E43=0,C43&gt;Calcs!$I$2),TRUE,IF(AND(H43="2 Rate Half Hourly",NOT(E43=0)),TRUE,IF(AND(E43=0,NOT(H43="2 Rate Half Hourly")),TRUE,IF(AND(ISNA(INDEX('New HHTOU Flat Rates'!$A$2:$A$4000,MATCH(T43,'New HHTOU Flat Rates'!$A$2:$A$4000,0))),ISNA(INDEX('Flat Rates'!$A$2:$A$3422,MATCH(T43,'Flat Rates'!$A$2:$A$3422,0)))),TRUE,IF(AND(E43=0,I43&lt;0),TRUE,IF(E43=0,IF(ISERROR(I43+1),TRUE,FALSE))))))))))))))))))))))))))))))))))),TRUE)</f>
        <v>1</v>
      </c>
    </row>
    <row r="44" spans="2:21" x14ac:dyDescent="0.3">
      <c r="B44" s="79"/>
      <c r="C44" s="80"/>
      <c r="D44" s="82"/>
      <c r="E44" s="83"/>
      <c r="H44" s="81"/>
      <c r="I44" s="84"/>
      <c r="J44" s="93" t="str">
        <f ca="1">IF(U44=TRUE,"",IFERROR((((INDEX('Flat Rates'!$A$1:$M$3422,MATCH(T44,'Flat Rates'!$A$1:$A$3422,0),MATCH("Standing Charge",'Flat Rates'!$A$1:$M$1,0))*100))),""))</f>
        <v/>
      </c>
      <c r="K44" s="93" t="str">
        <f ca="1">IF(U44=TRUE,"",IFERROR((IF(NOT(H44="Universal"),"",INDEX('Flat Rates'!$A$1:$M$3422,MATCH(T44,'Flat Rates'!$A$1:$A$3422,0),MATCH("Uni/Day Rate",'Flat Rates'!$A$1:$M$1,0))+(G44/100))*100),""))</f>
        <v/>
      </c>
      <c r="L44" s="93" t="str">
        <f ca="1">IF(U44=TRUE,"",IFERROR((IF(H44="Universal","",INDEX('Flat Rates'!$A$1:$M$3422,MATCH(T44,'Flat Rates'!$A$1:$A$3422,0),MATCH("Uni/Day Rate",'Flat Rates'!$A$1:$M$1,0))+(G44/100))*100),""))</f>
        <v/>
      </c>
      <c r="M44" s="93" t="str">
        <f ca="1">IF(U44=TRUE,"",IFERROR(((INDEX('Flat Rates'!$A$1:$M$3422,MATCH(T44,'Flat Rates'!$A$1:$A$3422,0),MATCH("Night Unit Rate",'Flat Rates'!$A$1:$M$1,0))+(G44/100))*100),""))</f>
        <v/>
      </c>
      <c r="N44" s="93" t="str">
        <f ca="1">IF(U44=TRUE,"",IFERROR(((INDEX('Flat Rates'!$A$1:$M$3422,MATCH(T44,'Flat Rates'!$A$1:$A$3422,0),MATCH("Evening and Weekend Rate",'Flat Rates'!$A$1:$M$1,0))+(G44/100))*100),""))</f>
        <v/>
      </c>
      <c r="O44" s="93" t="str">
        <f ca="1">IF(U44=TRUE,"",IF(NOT(E44=0),"",INDEX(#REF!,MATCH(D44,#REF!,0),MATCH(IF(MONTH(C44)&lt;4,YEAR(C44)-1,YEAR(C44)),#REF!,0))))</f>
        <v/>
      </c>
      <c r="P44" s="94" t="str">
        <f ca="1">IF(U44=TRUE,"",IFERROR(IF(H44="Universal",SUM(((J44/100)*365),((K44/100)*F44)),IF(H44="Economy 7",SUM(((J44/100)*365),(((L44/100)*F44)*Calcs!$C$6),(((M44/100)*F44)*Calcs!$D$6)),IF(H44="Evening and Weekend",SUM(((J44/100)*365),(((L44/100)*F44)*Calcs!$C$12),(((N44/100)*F44)*Calcs!$D$12)),IF(H44="3 Rate",SUM(((J44/100)*365),(((L44/100)*F44)*Calcs!$C$9),(((M44/100)*F44)*Calcs!$D$9),(((N44/100)*F44)*Calcs!$E$9)),IF(H44="2 Rate Half Hourly",SUM(((J44/100)*365),(((L44/100)*F44)*Calcs!$C$18),(((M44/100)*F44)*Calcs!$D$18)))))))+IFERROR(((((O44/100)*I44)*12)),0),""))</f>
        <v/>
      </c>
      <c r="Q44" s="95" t="str">
        <f ca="1">IF(U44=TRUE,"",IFERROR(IF(F44&lt;12000,((P44*1.05)/12),(((F44*Calcs!#REF!)+P44)*1.2)/12),""))</f>
        <v/>
      </c>
      <c r="S44" s="69" t="str">
        <f>IF(NOT($M$2="Acquisition"),"Level 1",IF(C44&lt;=Calcs!$I$2,"Level 1",IF(AND($M$4="36 Months APR",C44&lt;=Calcs!$I$4),"Level 2","")))</f>
        <v>Level 1</v>
      </c>
      <c r="T44" s="69" t="str">
        <f t="shared" si="0"/>
        <v>--FALSE- Fixed</v>
      </c>
      <c r="U44" s="69" t="b">
        <f ca="1">IFERROR(IF(AND(C44="",$M$2=""),TRUE,IF(AND($M$2="Acquisition",C44=""),TRUE,IF(AND(NOT($M$2="Acquisition"),C44=""),TRUE,IF($M$2="",TRUE,IF($M$4="",TRUE,IF(D44="",TRUE,IF(E44="",TRUE,IF(F44="",TRUE,IF(G44="",TRUE,IF(H44="",TRUE,IF(AND(E44=0,I44=""),TRUE,IF(G44&lt;0,TRUE,IF(F44&gt;1000000,TRUE,IF(F44&lt;5000,TRUE,IF(AND($M$2="Reward Plus",G44&gt;3),TRUE,IF(AND($M$2="Reward",G44&gt;1),TRUE,IF(AND($M$2="Acquisition",G44&gt;2),TRUE,IF(G44&lt;&gt;ROUND(G44,1),TRUE,IF(C44&lt;TODAY(),TRUE,IF(AND($M$2="Acquisition",C44-TODAY()&lt;10),TRUE,IF(AND($M$2="Acquisition",C44&gt;Calcs!$I$2),TRUE,IF(AND($M$2="Acquisition",C44&lt;TODAY()),TRUE,IF(AND(NOT($M$2="Acquisition"),C44&lt;TODAY()),TRUE,IF(AND(NOT($M$2="Acquisition"),C44&gt;(TODAY()+180)),TRUE,IF(ISERROR((C44+1)),TRUE,IF(ISERROR(F44+1),TRUE,IF(ISERROR(G44+1),TRUE,IF(AND($M$2="Acquisition",C44&gt;Calcs!$I$2),TRUE,IF(AND($M$2="Acquisition",E44=0,C44&gt;Calcs!$I$2),TRUE,IF(AND(H44="2 Rate Half Hourly",NOT(E44=0)),TRUE,IF(AND(E44=0,NOT(H44="2 Rate Half Hourly")),TRUE,IF(AND(ISNA(INDEX('New HHTOU Flat Rates'!$A$2:$A$4000,MATCH(T44,'New HHTOU Flat Rates'!$A$2:$A$4000,0))),ISNA(INDEX('Flat Rates'!$A$2:$A$3422,MATCH(T44,'Flat Rates'!$A$2:$A$3422,0)))),TRUE,IF(AND(E44=0,I44&lt;0),TRUE,IF(E44=0,IF(ISERROR(I44+1),TRUE,FALSE))))))))))))))))))))))))))))))))))),TRUE)</f>
        <v>1</v>
      </c>
    </row>
    <row r="45" spans="2:21" x14ac:dyDescent="0.3">
      <c r="B45" s="79"/>
      <c r="C45" s="80"/>
      <c r="D45" s="82"/>
      <c r="E45" s="83"/>
      <c r="H45" s="81"/>
      <c r="I45" s="84"/>
      <c r="J45" s="93" t="str">
        <f ca="1">IF(U45=TRUE,"",IFERROR((((INDEX('Flat Rates'!$A$1:$M$3422,MATCH(T45,'Flat Rates'!$A$1:$A$3422,0),MATCH("Standing Charge",'Flat Rates'!$A$1:$M$1,0))*100))),""))</f>
        <v/>
      </c>
      <c r="K45" s="93" t="str">
        <f ca="1">IF(U45=TRUE,"",IFERROR((IF(NOT(H45="Universal"),"",INDEX('Flat Rates'!$A$1:$M$3422,MATCH(T45,'Flat Rates'!$A$1:$A$3422,0),MATCH("Uni/Day Rate",'Flat Rates'!$A$1:$M$1,0))+(G45/100))*100),""))</f>
        <v/>
      </c>
      <c r="L45" s="93" t="str">
        <f ca="1">IF(U45=TRUE,"",IFERROR((IF(H45="Universal","",INDEX('Flat Rates'!$A$1:$M$3422,MATCH(T45,'Flat Rates'!$A$1:$A$3422,0),MATCH("Uni/Day Rate",'Flat Rates'!$A$1:$M$1,0))+(G45/100))*100),""))</f>
        <v/>
      </c>
      <c r="M45" s="93" t="str">
        <f ca="1">IF(U45=TRUE,"",IFERROR(((INDEX('Flat Rates'!$A$1:$M$3422,MATCH(T45,'Flat Rates'!$A$1:$A$3422,0),MATCH("Night Unit Rate",'Flat Rates'!$A$1:$M$1,0))+(G45/100))*100),""))</f>
        <v/>
      </c>
      <c r="N45" s="93" t="str">
        <f ca="1">IF(U45=TRUE,"",IFERROR(((INDEX('Flat Rates'!$A$1:$M$3422,MATCH(T45,'Flat Rates'!$A$1:$A$3422,0),MATCH("Evening and Weekend Rate",'Flat Rates'!$A$1:$M$1,0))+(G45/100))*100),""))</f>
        <v/>
      </c>
      <c r="O45" s="93" t="str">
        <f ca="1">IF(U45=TRUE,"",IF(NOT(E45=0),"",INDEX(#REF!,MATCH(D45,#REF!,0),MATCH(IF(MONTH(C45)&lt;4,YEAR(C45)-1,YEAR(C45)),#REF!,0))))</f>
        <v/>
      </c>
      <c r="P45" s="94" t="str">
        <f ca="1">IF(U45=TRUE,"",IFERROR(IF(H45="Universal",SUM(((J45/100)*365),((K45/100)*F45)),IF(H45="Economy 7",SUM(((J45/100)*365),(((L45/100)*F45)*Calcs!$C$6),(((M45/100)*F45)*Calcs!$D$6)),IF(H45="Evening and Weekend",SUM(((J45/100)*365),(((L45/100)*F45)*Calcs!$C$12),(((N45/100)*F45)*Calcs!$D$12)),IF(H45="3 Rate",SUM(((J45/100)*365),(((L45/100)*F45)*Calcs!$C$9),(((M45/100)*F45)*Calcs!$D$9),(((N45/100)*F45)*Calcs!$E$9)),IF(H45="2 Rate Half Hourly",SUM(((J45/100)*365),(((L45/100)*F45)*Calcs!$C$18),(((M45/100)*F45)*Calcs!$D$18)))))))+IFERROR(((((O45/100)*I45)*12)),0),""))</f>
        <v/>
      </c>
      <c r="Q45" s="95" t="str">
        <f ca="1">IF(U45=TRUE,"",IFERROR(IF(F45&lt;12000,((P45*1.05)/12),(((F45*Calcs!#REF!)+P45)*1.2)/12),""))</f>
        <v/>
      </c>
      <c r="S45" s="69" t="str">
        <f>IF(NOT($M$2="Acquisition"),"Level 1",IF(C45&lt;=Calcs!$I$2,"Level 1",IF(AND($M$4="36 Months APR",C45&lt;=Calcs!$I$4),"Level 2","")))</f>
        <v>Level 1</v>
      </c>
      <c r="T45" s="69" t="str">
        <f t="shared" si="0"/>
        <v>--FALSE- Fixed</v>
      </c>
      <c r="U45" s="69" t="b">
        <f ca="1">IFERROR(IF(AND(C45="",$M$2=""),TRUE,IF(AND($M$2="Acquisition",C45=""),TRUE,IF(AND(NOT($M$2="Acquisition"),C45=""),TRUE,IF($M$2="",TRUE,IF($M$4="",TRUE,IF(D45="",TRUE,IF(E45="",TRUE,IF(F45="",TRUE,IF(G45="",TRUE,IF(H45="",TRUE,IF(AND(E45=0,I45=""),TRUE,IF(G45&lt;0,TRUE,IF(F45&gt;1000000,TRUE,IF(F45&lt;5000,TRUE,IF(AND($M$2="Reward Plus",G45&gt;3),TRUE,IF(AND($M$2="Reward",G45&gt;1),TRUE,IF(AND($M$2="Acquisition",G45&gt;2),TRUE,IF(G45&lt;&gt;ROUND(G45,1),TRUE,IF(C45&lt;TODAY(),TRUE,IF(AND($M$2="Acquisition",C45-TODAY()&lt;10),TRUE,IF(AND($M$2="Acquisition",C45&gt;Calcs!$I$2),TRUE,IF(AND($M$2="Acquisition",C45&lt;TODAY()),TRUE,IF(AND(NOT($M$2="Acquisition"),C45&lt;TODAY()),TRUE,IF(AND(NOT($M$2="Acquisition"),C45&gt;(TODAY()+180)),TRUE,IF(ISERROR((C45+1)),TRUE,IF(ISERROR(F45+1),TRUE,IF(ISERROR(G45+1),TRUE,IF(AND($M$2="Acquisition",C45&gt;Calcs!$I$2),TRUE,IF(AND($M$2="Acquisition",E45=0,C45&gt;Calcs!$I$2),TRUE,IF(AND(H45="2 Rate Half Hourly",NOT(E45=0)),TRUE,IF(AND(E45=0,NOT(H45="2 Rate Half Hourly")),TRUE,IF(AND(ISNA(INDEX('New HHTOU Flat Rates'!$A$2:$A$4000,MATCH(T45,'New HHTOU Flat Rates'!$A$2:$A$4000,0))),ISNA(INDEX('Flat Rates'!$A$2:$A$3422,MATCH(T45,'Flat Rates'!$A$2:$A$3422,0)))),TRUE,IF(AND(E45=0,I45&lt;0),TRUE,IF(E45=0,IF(ISERROR(I45+1),TRUE,FALSE))))))))))))))))))))))))))))))))))),TRUE)</f>
        <v>1</v>
      </c>
    </row>
    <row r="46" spans="2:21" x14ac:dyDescent="0.3">
      <c r="B46" s="79"/>
      <c r="C46" s="80"/>
      <c r="D46" s="82"/>
      <c r="E46" s="83"/>
      <c r="H46" s="81"/>
      <c r="I46" s="84"/>
      <c r="J46" s="93" t="str">
        <f ca="1">IF(U46=TRUE,"",IFERROR((((INDEX('Flat Rates'!$A$1:$M$3422,MATCH(T46,'Flat Rates'!$A$1:$A$3422,0),MATCH("Standing Charge",'Flat Rates'!$A$1:$M$1,0))*100))),""))</f>
        <v/>
      </c>
      <c r="K46" s="93" t="str">
        <f ca="1">IF(U46=TRUE,"",IFERROR((IF(NOT(H46="Universal"),"",INDEX('Flat Rates'!$A$1:$M$3422,MATCH(T46,'Flat Rates'!$A$1:$A$3422,0),MATCH("Uni/Day Rate",'Flat Rates'!$A$1:$M$1,0))+(G46/100))*100),""))</f>
        <v/>
      </c>
      <c r="L46" s="93" t="str">
        <f ca="1">IF(U46=TRUE,"",IFERROR((IF(H46="Universal","",INDEX('Flat Rates'!$A$1:$M$3422,MATCH(T46,'Flat Rates'!$A$1:$A$3422,0),MATCH("Uni/Day Rate",'Flat Rates'!$A$1:$M$1,0))+(G46/100))*100),""))</f>
        <v/>
      </c>
      <c r="M46" s="93" t="str">
        <f ca="1">IF(U46=TRUE,"",IFERROR(((INDEX('Flat Rates'!$A$1:$M$3422,MATCH(T46,'Flat Rates'!$A$1:$A$3422,0),MATCH("Night Unit Rate",'Flat Rates'!$A$1:$M$1,0))+(G46/100))*100),""))</f>
        <v/>
      </c>
      <c r="N46" s="93" t="str">
        <f ca="1">IF(U46=TRUE,"",IFERROR(((INDEX('Flat Rates'!$A$1:$M$3422,MATCH(T46,'Flat Rates'!$A$1:$A$3422,0),MATCH("Evening and Weekend Rate",'Flat Rates'!$A$1:$M$1,0))+(G46/100))*100),""))</f>
        <v/>
      </c>
      <c r="O46" s="93" t="str">
        <f ca="1">IF(U46=TRUE,"",IF(NOT(E46=0),"",INDEX(#REF!,MATCH(D46,#REF!,0),MATCH(IF(MONTH(C46)&lt;4,YEAR(C46)-1,YEAR(C46)),#REF!,0))))</f>
        <v/>
      </c>
      <c r="P46" s="94" t="str">
        <f ca="1">IF(U46=TRUE,"",IFERROR(IF(H46="Universal",SUM(((J46/100)*365),((K46/100)*F46)),IF(H46="Economy 7",SUM(((J46/100)*365),(((L46/100)*F46)*Calcs!$C$6),(((M46/100)*F46)*Calcs!$D$6)),IF(H46="Evening and Weekend",SUM(((J46/100)*365),(((L46/100)*F46)*Calcs!$C$12),(((N46/100)*F46)*Calcs!$D$12)),IF(H46="3 Rate",SUM(((J46/100)*365),(((L46/100)*F46)*Calcs!$C$9),(((M46/100)*F46)*Calcs!$D$9),(((N46/100)*F46)*Calcs!$E$9)),IF(H46="2 Rate Half Hourly",SUM(((J46/100)*365),(((L46/100)*F46)*Calcs!$C$18),(((M46/100)*F46)*Calcs!$D$18)))))))+IFERROR(((((O46/100)*I46)*12)),0),""))</f>
        <v/>
      </c>
      <c r="Q46" s="95" t="str">
        <f ca="1">IF(U46=TRUE,"",IFERROR(IF(F46&lt;12000,((P46*1.05)/12),(((F46*Calcs!#REF!)+P46)*1.2)/12),""))</f>
        <v/>
      </c>
      <c r="S46" s="69" t="str">
        <f>IF(NOT($M$2="Acquisition"),"Level 1",IF(C46&lt;=Calcs!$I$2,"Level 1",IF(AND($M$4="36 Months APR",C46&lt;=Calcs!$I$4),"Level 2","")))</f>
        <v>Level 1</v>
      </c>
      <c r="T46" s="69" t="str">
        <f t="shared" si="0"/>
        <v>--FALSE- Fixed</v>
      </c>
      <c r="U46" s="69" t="b">
        <f ca="1">IFERROR(IF(AND(C46="",$M$2=""),TRUE,IF(AND($M$2="Acquisition",C46=""),TRUE,IF(AND(NOT($M$2="Acquisition"),C46=""),TRUE,IF($M$2="",TRUE,IF($M$4="",TRUE,IF(D46="",TRUE,IF(E46="",TRUE,IF(F46="",TRUE,IF(G46="",TRUE,IF(H46="",TRUE,IF(AND(E46=0,I46=""),TRUE,IF(G46&lt;0,TRUE,IF(F46&gt;1000000,TRUE,IF(F46&lt;5000,TRUE,IF(AND($M$2="Reward Plus",G46&gt;3),TRUE,IF(AND($M$2="Reward",G46&gt;1),TRUE,IF(AND($M$2="Acquisition",G46&gt;2),TRUE,IF(G46&lt;&gt;ROUND(G46,1),TRUE,IF(C46&lt;TODAY(),TRUE,IF(AND($M$2="Acquisition",C46-TODAY()&lt;10),TRUE,IF(AND($M$2="Acquisition",C46&gt;Calcs!$I$2),TRUE,IF(AND($M$2="Acquisition",C46&lt;TODAY()),TRUE,IF(AND(NOT($M$2="Acquisition"),C46&lt;TODAY()),TRUE,IF(AND(NOT($M$2="Acquisition"),C46&gt;(TODAY()+180)),TRUE,IF(ISERROR((C46+1)),TRUE,IF(ISERROR(F46+1),TRUE,IF(ISERROR(G46+1),TRUE,IF(AND($M$2="Acquisition",C46&gt;Calcs!$I$2),TRUE,IF(AND($M$2="Acquisition",E46=0,C46&gt;Calcs!$I$2),TRUE,IF(AND(H46="2 Rate Half Hourly",NOT(E46=0)),TRUE,IF(AND(E46=0,NOT(H46="2 Rate Half Hourly")),TRUE,IF(AND(ISNA(INDEX('New HHTOU Flat Rates'!$A$2:$A$4000,MATCH(T46,'New HHTOU Flat Rates'!$A$2:$A$4000,0))),ISNA(INDEX('Flat Rates'!$A$2:$A$3422,MATCH(T46,'Flat Rates'!$A$2:$A$3422,0)))),TRUE,IF(AND(E46=0,I46&lt;0),TRUE,IF(E46=0,IF(ISERROR(I46+1),TRUE,FALSE))))))))))))))))))))))))))))))))))),TRUE)</f>
        <v>1</v>
      </c>
    </row>
    <row r="47" spans="2:21" x14ac:dyDescent="0.3">
      <c r="B47" s="79"/>
      <c r="C47" s="80"/>
      <c r="D47" s="82"/>
      <c r="E47" s="83"/>
      <c r="H47" s="81"/>
      <c r="I47" s="84"/>
      <c r="J47" s="93" t="str">
        <f ca="1">IF(U47=TRUE,"",IFERROR((((INDEX('Flat Rates'!$A$1:$M$3422,MATCH(T47,'Flat Rates'!$A$1:$A$3422,0),MATCH("Standing Charge",'Flat Rates'!$A$1:$M$1,0))*100))),""))</f>
        <v/>
      </c>
      <c r="K47" s="93" t="str">
        <f ca="1">IF(U47=TRUE,"",IFERROR((IF(NOT(H47="Universal"),"",INDEX('Flat Rates'!$A$1:$M$3422,MATCH(T47,'Flat Rates'!$A$1:$A$3422,0),MATCH("Uni/Day Rate",'Flat Rates'!$A$1:$M$1,0))+(G47/100))*100),""))</f>
        <v/>
      </c>
      <c r="L47" s="93" t="str">
        <f ca="1">IF(U47=TRUE,"",IFERROR((IF(H47="Universal","",INDEX('Flat Rates'!$A$1:$M$3422,MATCH(T47,'Flat Rates'!$A$1:$A$3422,0),MATCH("Uni/Day Rate",'Flat Rates'!$A$1:$M$1,0))+(G47/100))*100),""))</f>
        <v/>
      </c>
      <c r="M47" s="93" t="str">
        <f ca="1">IF(U47=TRUE,"",IFERROR(((INDEX('Flat Rates'!$A$1:$M$3422,MATCH(T47,'Flat Rates'!$A$1:$A$3422,0),MATCH("Night Unit Rate",'Flat Rates'!$A$1:$M$1,0))+(G47/100))*100),""))</f>
        <v/>
      </c>
      <c r="N47" s="93" t="str">
        <f ca="1">IF(U47=TRUE,"",IFERROR(((INDEX('Flat Rates'!$A$1:$M$3422,MATCH(T47,'Flat Rates'!$A$1:$A$3422,0),MATCH("Evening and Weekend Rate",'Flat Rates'!$A$1:$M$1,0))+(G47/100))*100),""))</f>
        <v/>
      </c>
      <c r="O47" s="93" t="str">
        <f ca="1">IF(U47=TRUE,"",IF(NOT(E47=0),"",INDEX(#REF!,MATCH(D47,#REF!,0),MATCH(IF(MONTH(C47)&lt;4,YEAR(C47)-1,YEAR(C47)),#REF!,0))))</f>
        <v/>
      </c>
      <c r="P47" s="94" t="str">
        <f ca="1">IF(U47=TRUE,"",IFERROR(IF(H47="Universal",SUM(((J47/100)*365),((K47/100)*F47)),IF(H47="Economy 7",SUM(((J47/100)*365),(((L47/100)*F47)*Calcs!$C$6),(((M47/100)*F47)*Calcs!$D$6)),IF(H47="Evening and Weekend",SUM(((J47/100)*365),(((L47/100)*F47)*Calcs!$C$12),(((N47/100)*F47)*Calcs!$D$12)),IF(H47="3 Rate",SUM(((J47/100)*365),(((L47/100)*F47)*Calcs!$C$9),(((M47/100)*F47)*Calcs!$D$9),(((N47/100)*F47)*Calcs!$E$9)),IF(H47="2 Rate Half Hourly",SUM(((J47/100)*365),(((L47/100)*F47)*Calcs!$C$18),(((M47/100)*F47)*Calcs!$D$18)))))))+IFERROR(((((O47/100)*I47)*12)),0),""))</f>
        <v/>
      </c>
      <c r="Q47" s="95" t="str">
        <f ca="1">IF(U47=TRUE,"",IFERROR(IF(F47&lt;12000,((P47*1.05)/12),(((F47*Calcs!#REF!)+P47)*1.2)/12),""))</f>
        <v/>
      </c>
      <c r="S47" s="69" t="str">
        <f>IF(NOT($M$2="Acquisition"),"Level 1",IF(C47&lt;=Calcs!$I$2,"Level 1",IF(AND($M$4="36 Months APR",C47&lt;=Calcs!$I$4),"Level 2","")))</f>
        <v>Level 1</v>
      </c>
      <c r="T47" s="69" t="str">
        <f t="shared" si="0"/>
        <v>--FALSE- Fixed</v>
      </c>
      <c r="U47" s="69" t="b">
        <f ca="1">IFERROR(IF(AND(C47="",$M$2=""),TRUE,IF(AND($M$2="Acquisition",C47=""),TRUE,IF(AND(NOT($M$2="Acquisition"),C47=""),TRUE,IF($M$2="",TRUE,IF($M$4="",TRUE,IF(D47="",TRUE,IF(E47="",TRUE,IF(F47="",TRUE,IF(G47="",TRUE,IF(H47="",TRUE,IF(AND(E47=0,I47=""),TRUE,IF(G47&lt;0,TRUE,IF(F47&gt;1000000,TRUE,IF(F47&lt;5000,TRUE,IF(AND($M$2="Reward Plus",G47&gt;3),TRUE,IF(AND($M$2="Reward",G47&gt;1),TRUE,IF(AND($M$2="Acquisition",G47&gt;2),TRUE,IF(G47&lt;&gt;ROUND(G47,1),TRUE,IF(C47&lt;TODAY(),TRUE,IF(AND($M$2="Acquisition",C47-TODAY()&lt;10),TRUE,IF(AND($M$2="Acquisition",C47&gt;Calcs!$I$2),TRUE,IF(AND($M$2="Acquisition",C47&lt;TODAY()),TRUE,IF(AND(NOT($M$2="Acquisition"),C47&lt;TODAY()),TRUE,IF(AND(NOT($M$2="Acquisition"),C47&gt;(TODAY()+180)),TRUE,IF(ISERROR((C47+1)),TRUE,IF(ISERROR(F47+1),TRUE,IF(ISERROR(G47+1),TRUE,IF(AND($M$2="Acquisition",C47&gt;Calcs!$I$2),TRUE,IF(AND($M$2="Acquisition",E47=0,C47&gt;Calcs!$I$2),TRUE,IF(AND(H47="2 Rate Half Hourly",NOT(E47=0)),TRUE,IF(AND(E47=0,NOT(H47="2 Rate Half Hourly")),TRUE,IF(AND(ISNA(INDEX('New HHTOU Flat Rates'!$A$2:$A$4000,MATCH(T47,'New HHTOU Flat Rates'!$A$2:$A$4000,0))),ISNA(INDEX('Flat Rates'!$A$2:$A$3422,MATCH(T47,'Flat Rates'!$A$2:$A$3422,0)))),TRUE,IF(AND(E47=0,I47&lt;0),TRUE,IF(E47=0,IF(ISERROR(I47+1),TRUE,FALSE))))))))))))))))))))))))))))))))))),TRUE)</f>
        <v>1</v>
      </c>
    </row>
    <row r="48" spans="2:21" x14ac:dyDescent="0.3">
      <c r="B48" s="79"/>
      <c r="C48" s="80"/>
      <c r="D48" s="82"/>
      <c r="E48" s="83"/>
      <c r="H48" s="81"/>
      <c r="I48" s="84"/>
      <c r="J48" s="93" t="str">
        <f ca="1">IF(U48=TRUE,"",IFERROR((((INDEX('Flat Rates'!$A$1:$M$3422,MATCH(T48,'Flat Rates'!$A$1:$A$3422,0),MATCH("Standing Charge",'Flat Rates'!$A$1:$M$1,0))*100))),""))</f>
        <v/>
      </c>
      <c r="K48" s="93" t="str">
        <f ca="1">IF(U48=TRUE,"",IFERROR((IF(NOT(H48="Universal"),"",INDEX('Flat Rates'!$A$1:$M$3422,MATCH(T48,'Flat Rates'!$A$1:$A$3422,0),MATCH("Uni/Day Rate",'Flat Rates'!$A$1:$M$1,0))+(G48/100))*100),""))</f>
        <v/>
      </c>
      <c r="L48" s="93" t="str">
        <f ca="1">IF(U48=TRUE,"",IFERROR((IF(H48="Universal","",INDEX('Flat Rates'!$A$1:$M$3422,MATCH(T48,'Flat Rates'!$A$1:$A$3422,0),MATCH("Uni/Day Rate",'Flat Rates'!$A$1:$M$1,0))+(G48/100))*100),""))</f>
        <v/>
      </c>
      <c r="M48" s="93" t="str">
        <f ca="1">IF(U48=TRUE,"",IFERROR(((INDEX('Flat Rates'!$A$1:$M$3422,MATCH(T48,'Flat Rates'!$A$1:$A$3422,0),MATCH("Night Unit Rate",'Flat Rates'!$A$1:$M$1,0))+(G48/100))*100),""))</f>
        <v/>
      </c>
      <c r="N48" s="93" t="str">
        <f ca="1">IF(U48=TRUE,"",IFERROR(((INDEX('Flat Rates'!$A$1:$M$3422,MATCH(T48,'Flat Rates'!$A$1:$A$3422,0),MATCH("Evening and Weekend Rate",'Flat Rates'!$A$1:$M$1,0))+(G48/100))*100),""))</f>
        <v/>
      </c>
      <c r="O48" s="93" t="str">
        <f ca="1">IF(U48=TRUE,"",IF(NOT(E48=0),"",INDEX(#REF!,MATCH(D48,#REF!,0),MATCH(IF(MONTH(C48)&lt;4,YEAR(C48)-1,YEAR(C48)),#REF!,0))))</f>
        <v/>
      </c>
      <c r="P48" s="94" t="str">
        <f ca="1">IF(U48=TRUE,"",IFERROR(IF(H48="Universal",SUM(((J48/100)*365),((K48/100)*F48)),IF(H48="Economy 7",SUM(((J48/100)*365),(((L48/100)*F48)*Calcs!$C$6),(((M48/100)*F48)*Calcs!$D$6)),IF(H48="Evening and Weekend",SUM(((J48/100)*365),(((L48/100)*F48)*Calcs!$C$12),(((N48/100)*F48)*Calcs!$D$12)),IF(H48="3 Rate",SUM(((J48/100)*365),(((L48/100)*F48)*Calcs!$C$9),(((M48/100)*F48)*Calcs!$D$9),(((N48/100)*F48)*Calcs!$E$9)),IF(H48="2 Rate Half Hourly",SUM(((J48/100)*365),(((L48/100)*F48)*Calcs!$C$18),(((M48/100)*F48)*Calcs!$D$18)))))))+IFERROR(((((O48/100)*I48)*12)),0),""))</f>
        <v/>
      </c>
      <c r="Q48" s="95" t="str">
        <f ca="1">IF(U48=TRUE,"",IFERROR(IF(F48&lt;12000,((P48*1.05)/12),(((F48*Calcs!#REF!)+P48)*1.2)/12),""))</f>
        <v/>
      </c>
      <c r="S48" s="69" t="str">
        <f>IF(NOT($M$2="Acquisition"),"Level 1",IF(C48&lt;=Calcs!$I$2,"Level 1",IF(AND($M$4="36 Months APR",C48&lt;=Calcs!$I$4),"Level 2","")))</f>
        <v>Level 1</v>
      </c>
      <c r="T48" s="69" t="str">
        <f t="shared" si="0"/>
        <v>--FALSE- Fixed</v>
      </c>
      <c r="U48" s="69" t="b">
        <f ca="1">IFERROR(IF(AND(C48="",$M$2=""),TRUE,IF(AND($M$2="Acquisition",C48=""),TRUE,IF(AND(NOT($M$2="Acquisition"),C48=""),TRUE,IF($M$2="",TRUE,IF($M$4="",TRUE,IF(D48="",TRUE,IF(E48="",TRUE,IF(F48="",TRUE,IF(G48="",TRUE,IF(H48="",TRUE,IF(AND(E48=0,I48=""),TRUE,IF(G48&lt;0,TRUE,IF(F48&gt;1000000,TRUE,IF(F48&lt;5000,TRUE,IF(AND($M$2="Reward Plus",G48&gt;3),TRUE,IF(AND($M$2="Reward",G48&gt;1),TRUE,IF(AND($M$2="Acquisition",G48&gt;2),TRUE,IF(G48&lt;&gt;ROUND(G48,1),TRUE,IF(C48&lt;TODAY(),TRUE,IF(AND($M$2="Acquisition",C48-TODAY()&lt;10),TRUE,IF(AND($M$2="Acquisition",C48&gt;Calcs!$I$2),TRUE,IF(AND($M$2="Acquisition",C48&lt;TODAY()),TRUE,IF(AND(NOT($M$2="Acquisition"),C48&lt;TODAY()),TRUE,IF(AND(NOT($M$2="Acquisition"),C48&gt;(TODAY()+180)),TRUE,IF(ISERROR((C48+1)),TRUE,IF(ISERROR(F48+1),TRUE,IF(ISERROR(G48+1),TRUE,IF(AND($M$2="Acquisition",C48&gt;Calcs!$I$2),TRUE,IF(AND($M$2="Acquisition",E48=0,C48&gt;Calcs!$I$2),TRUE,IF(AND(H48="2 Rate Half Hourly",NOT(E48=0)),TRUE,IF(AND(E48=0,NOT(H48="2 Rate Half Hourly")),TRUE,IF(AND(ISNA(INDEX('New HHTOU Flat Rates'!$A$2:$A$4000,MATCH(T48,'New HHTOU Flat Rates'!$A$2:$A$4000,0))),ISNA(INDEX('Flat Rates'!$A$2:$A$3422,MATCH(T48,'Flat Rates'!$A$2:$A$3422,0)))),TRUE,IF(AND(E48=0,I48&lt;0),TRUE,IF(E48=0,IF(ISERROR(I48+1),TRUE,FALSE))))))))))))))))))))))))))))))))))),TRUE)</f>
        <v>1</v>
      </c>
    </row>
    <row r="49" spans="2:21" x14ac:dyDescent="0.3">
      <c r="B49" s="79"/>
      <c r="C49" s="80"/>
      <c r="D49" s="82"/>
      <c r="E49" s="83"/>
      <c r="H49" s="81"/>
      <c r="I49" s="84"/>
      <c r="J49" s="93" t="str">
        <f ca="1">IF(U49=TRUE,"",IFERROR((((INDEX('Flat Rates'!$A$1:$M$3422,MATCH(T49,'Flat Rates'!$A$1:$A$3422,0),MATCH("Standing Charge",'Flat Rates'!$A$1:$M$1,0))*100))),""))</f>
        <v/>
      </c>
      <c r="K49" s="93" t="str">
        <f ca="1">IF(U49=TRUE,"",IFERROR((IF(NOT(H49="Universal"),"",INDEX('Flat Rates'!$A$1:$M$3422,MATCH(T49,'Flat Rates'!$A$1:$A$3422,0),MATCH("Uni/Day Rate",'Flat Rates'!$A$1:$M$1,0))+(G49/100))*100),""))</f>
        <v/>
      </c>
      <c r="L49" s="93" t="str">
        <f ca="1">IF(U49=TRUE,"",IFERROR((IF(H49="Universal","",INDEX('Flat Rates'!$A$1:$M$3422,MATCH(T49,'Flat Rates'!$A$1:$A$3422,0),MATCH("Uni/Day Rate",'Flat Rates'!$A$1:$M$1,0))+(G49/100))*100),""))</f>
        <v/>
      </c>
      <c r="M49" s="93" t="str">
        <f ca="1">IF(U49=TRUE,"",IFERROR(((INDEX('Flat Rates'!$A$1:$M$3422,MATCH(T49,'Flat Rates'!$A$1:$A$3422,0),MATCH("Night Unit Rate",'Flat Rates'!$A$1:$M$1,0))+(G49/100))*100),""))</f>
        <v/>
      </c>
      <c r="N49" s="93" t="str">
        <f ca="1">IF(U49=TRUE,"",IFERROR(((INDEX('Flat Rates'!$A$1:$M$3422,MATCH(T49,'Flat Rates'!$A$1:$A$3422,0),MATCH("Evening and Weekend Rate",'Flat Rates'!$A$1:$M$1,0))+(G49/100))*100),""))</f>
        <v/>
      </c>
      <c r="O49" s="93" t="str">
        <f ca="1">IF(U49=TRUE,"",IF(NOT(E49=0),"",INDEX(#REF!,MATCH(D49,#REF!,0),MATCH(IF(MONTH(C49)&lt;4,YEAR(C49)-1,YEAR(C49)),#REF!,0))))</f>
        <v/>
      </c>
      <c r="P49" s="94" t="str">
        <f ca="1">IF(U49=TRUE,"",IFERROR(IF(H49="Universal",SUM(((J49/100)*365),((K49/100)*F49)),IF(H49="Economy 7",SUM(((J49/100)*365),(((L49/100)*F49)*Calcs!$C$6),(((M49/100)*F49)*Calcs!$D$6)),IF(H49="Evening and Weekend",SUM(((J49/100)*365),(((L49/100)*F49)*Calcs!$C$12),(((N49/100)*F49)*Calcs!$D$12)),IF(H49="3 Rate",SUM(((J49/100)*365),(((L49/100)*F49)*Calcs!$C$9),(((M49/100)*F49)*Calcs!$D$9),(((N49/100)*F49)*Calcs!$E$9)),IF(H49="2 Rate Half Hourly",SUM(((J49/100)*365),(((L49/100)*F49)*Calcs!$C$18),(((M49/100)*F49)*Calcs!$D$18)))))))+IFERROR(((((O49/100)*I49)*12)),0),""))</f>
        <v/>
      </c>
      <c r="Q49" s="95" t="str">
        <f ca="1">IF(U49=TRUE,"",IFERROR(IF(F49&lt;12000,((P49*1.05)/12),(((F49*Calcs!#REF!)+P49)*1.2)/12),""))</f>
        <v/>
      </c>
      <c r="S49" s="69" t="str">
        <f>IF(NOT($M$2="Acquisition"),"Level 1",IF(C49&lt;=Calcs!$I$2,"Level 1",IF(AND($M$4="36 Months APR",C49&lt;=Calcs!$I$4),"Level 2","")))</f>
        <v>Level 1</v>
      </c>
      <c r="T49" s="69" t="str">
        <f t="shared" si="0"/>
        <v>--FALSE- Fixed</v>
      </c>
      <c r="U49" s="69" t="b">
        <f ca="1">IFERROR(IF(AND(C49="",$M$2=""),TRUE,IF(AND($M$2="Acquisition",C49=""),TRUE,IF(AND(NOT($M$2="Acquisition"),C49=""),TRUE,IF($M$2="",TRUE,IF($M$4="",TRUE,IF(D49="",TRUE,IF(E49="",TRUE,IF(F49="",TRUE,IF(G49="",TRUE,IF(H49="",TRUE,IF(AND(E49=0,I49=""),TRUE,IF(G49&lt;0,TRUE,IF(F49&gt;1000000,TRUE,IF(F49&lt;5000,TRUE,IF(AND($M$2="Reward Plus",G49&gt;3),TRUE,IF(AND($M$2="Reward",G49&gt;1),TRUE,IF(AND($M$2="Acquisition",G49&gt;2),TRUE,IF(G49&lt;&gt;ROUND(G49,1),TRUE,IF(C49&lt;TODAY(),TRUE,IF(AND($M$2="Acquisition",C49-TODAY()&lt;10),TRUE,IF(AND($M$2="Acquisition",C49&gt;Calcs!$I$2),TRUE,IF(AND($M$2="Acquisition",C49&lt;TODAY()),TRUE,IF(AND(NOT($M$2="Acquisition"),C49&lt;TODAY()),TRUE,IF(AND(NOT($M$2="Acquisition"),C49&gt;(TODAY()+180)),TRUE,IF(ISERROR((C49+1)),TRUE,IF(ISERROR(F49+1),TRUE,IF(ISERROR(G49+1),TRUE,IF(AND($M$2="Acquisition",C49&gt;Calcs!$I$2),TRUE,IF(AND($M$2="Acquisition",E49=0,C49&gt;Calcs!$I$2),TRUE,IF(AND(H49="2 Rate Half Hourly",NOT(E49=0)),TRUE,IF(AND(E49=0,NOT(H49="2 Rate Half Hourly")),TRUE,IF(AND(ISNA(INDEX('New HHTOU Flat Rates'!$A$2:$A$4000,MATCH(T49,'New HHTOU Flat Rates'!$A$2:$A$4000,0))),ISNA(INDEX('Flat Rates'!$A$2:$A$3422,MATCH(T49,'Flat Rates'!$A$2:$A$3422,0)))),TRUE,IF(AND(E49=0,I49&lt;0),TRUE,IF(E49=0,IF(ISERROR(I49+1),TRUE,FALSE))))))))))))))))))))))))))))))))))),TRUE)</f>
        <v>1</v>
      </c>
    </row>
    <row r="50" spans="2:21" x14ac:dyDescent="0.3">
      <c r="B50" s="79"/>
      <c r="C50" s="80"/>
      <c r="D50" s="82"/>
      <c r="E50" s="83"/>
      <c r="H50" s="81"/>
      <c r="I50" s="84"/>
      <c r="J50" s="93" t="str">
        <f ca="1">IF(U50=TRUE,"",IFERROR((((INDEX('Flat Rates'!$A$1:$M$3422,MATCH(T50,'Flat Rates'!$A$1:$A$3422,0),MATCH("Standing Charge",'Flat Rates'!$A$1:$M$1,0))*100))),""))</f>
        <v/>
      </c>
      <c r="K50" s="93" t="str">
        <f ca="1">IF(U50=TRUE,"",IFERROR((IF(NOT(H50="Universal"),"",INDEX('Flat Rates'!$A$1:$M$3422,MATCH(T50,'Flat Rates'!$A$1:$A$3422,0),MATCH("Uni/Day Rate",'Flat Rates'!$A$1:$M$1,0))+(G50/100))*100),""))</f>
        <v/>
      </c>
      <c r="L50" s="93" t="str">
        <f ca="1">IF(U50=TRUE,"",IFERROR((IF(H50="Universal","",INDEX('Flat Rates'!$A$1:$M$3422,MATCH(T50,'Flat Rates'!$A$1:$A$3422,0),MATCH("Uni/Day Rate",'Flat Rates'!$A$1:$M$1,0))+(G50/100))*100),""))</f>
        <v/>
      </c>
      <c r="M50" s="93" t="str">
        <f ca="1">IF(U50=TRUE,"",IFERROR(((INDEX('Flat Rates'!$A$1:$M$3422,MATCH(T50,'Flat Rates'!$A$1:$A$3422,0),MATCH("Night Unit Rate",'Flat Rates'!$A$1:$M$1,0))+(G50/100))*100),""))</f>
        <v/>
      </c>
      <c r="N50" s="93" t="str">
        <f ca="1">IF(U50=TRUE,"",IFERROR(((INDEX('Flat Rates'!$A$1:$M$3422,MATCH(T50,'Flat Rates'!$A$1:$A$3422,0),MATCH("Evening and Weekend Rate",'Flat Rates'!$A$1:$M$1,0))+(G50/100))*100),""))</f>
        <v/>
      </c>
      <c r="O50" s="93" t="str">
        <f ca="1">IF(U50=TRUE,"",IF(NOT(E50=0),"",INDEX(#REF!,MATCH(D50,#REF!,0),MATCH(IF(MONTH(C50)&lt;4,YEAR(C50)-1,YEAR(C50)),#REF!,0))))</f>
        <v/>
      </c>
      <c r="P50" s="94" t="str">
        <f ca="1">IF(U50=TRUE,"",IFERROR(IF(H50="Universal",SUM(((J50/100)*365),((K50/100)*F50)),IF(H50="Economy 7",SUM(((J50/100)*365),(((L50/100)*F50)*Calcs!$C$6),(((M50/100)*F50)*Calcs!$D$6)),IF(H50="Evening and Weekend",SUM(((J50/100)*365),(((L50/100)*F50)*Calcs!$C$12),(((N50/100)*F50)*Calcs!$D$12)),IF(H50="3 Rate",SUM(((J50/100)*365),(((L50/100)*F50)*Calcs!$C$9),(((M50/100)*F50)*Calcs!$D$9),(((N50/100)*F50)*Calcs!$E$9)),IF(H50="2 Rate Half Hourly",SUM(((J50/100)*365),(((L50/100)*F50)*Calcs!$C$18),(((M50/100)*F50)*Calcs!$D$18)))))))+IFERROR(((((O50/100)*I50)*12)),0),""))</f>
        <v/>
      </c>
      <c r="Q50" s="95" t="str">
        <f ca="1">IF(U50=TRUE,"",IFERROR(IF(F50&lt;12000,((P50*1.05)/12),(((F50*Calcs!#REF!)+P50)*1.2)/12),""))</f>
        <v/>
      </c>
      <c r="S50" s="69" t="str">
        <f>IF(NOT($M$2="Acquisition"),"Level 1",IF(C50&lt;=Calcs!$I$2,"Level 1",IF(AND($M$4="36 Months APR",C50&lt;=Calcs!$I$4),"Level 2","")))</f>
        <v>Level 1</v>
      </c>
      <c r="T50" s="69" t="str">
        <f t="shared" si="0"/>
        <v>--FALSE- Fixed</v>
      </c>
      <c r="U50" s="69" t="b">
        <f ca="1">IFERROR(IF(AND(C50="",$M$2=""),TRUE,IF(AND($M$2="Acquisition",C50=""),TRUE,IF(AND(NOT($M$2="Acquisition"),C50=""),TRUE,IF($M$2="",TRUE,IF($M$4="",TRUE,IF(D50="",TRUE,IF(E50="",TRUE,IF(F50="",TRUE,IF(G50="",TRUE,IF(H50="",TRUE,IF(AND(E50=0,I50=""),TRUE,IF(G50&lt;0,TRUE,IF(F50&gt;1000000,TRUE,IF(F50&lt;5000,TRUE,IF(AND($M$2="Reward Plus",G50&gt;3),TRUE,IF(AND($M$2="Reward",G50&gt;1),TRUE,IF(AND($M$2="Acquisition",G50&gt;2),TRUE,IF(G50&lt;&gt;ROUND(G50,1),TRUE,IF(C50&lt;TODAY(),TRUE,IF(AND($M$2="Acquisition",C50-TODAY()&lt;10),TRUE,IF(AND($M$2="Acquisition",C50&gt;Calcs!$I$2),TRUE,IF(AND($M$2="Acquisition",C50&lt;TODAY()),TRUE,IF(AND(NOT($M$2="Acquisition"),C50&lt;TODAY()),TRUE,IF(AND(NOT($M$2="Acquisition"),C50&gt;(TODAY()+180)),TRUE,IF(ISERROR((C50+1)),TRUE,IF(ISERROR(F50+1),TRUE,IF(ISERROR(G50+1),TRUE,IF(AND($M$2="Acquisition",C50&gt;Calcs!$I$2),TRUE,IF(AND($M$2="Acquisition",E50=0,C50&gt;Calcs!$I$2),TRUE,IF(AND(H50="2 Rate Half Hourly",NOT(E50=0)),TRUE,IF(AND(E50=0,NOT(H50="2 Rate Half Hourly")),TRUE,IF(AND(ISNA(INDEX('New HHTOU Flat Rates'!$A$2:$A$4000,MATCH(T50,'New HHTOU Flat Rates'!$A$2:$A$4000,0))),ISNA(INDEX('Flat Rates'!$A$2:$A$3422,MATCH(T50,'Flat Rates'!$A$2:$A$3422,0)))),TRUE,IF(AND(E50=0,I50&lt;0),TRUE,IF(E50=0,IF(ISERROR(I50+1),TRUE,FALSE))))))))))))))))))))))))))))))))))),TRUE)</f>
        <v>1</v>
      </c>
    </row>
    <row r="51" spans="2:21" x14ac:dyDescent="0.3">
      <c r="B51" s="79"/>
      <c r="C51" s="80"/>
      <c r="D51" s="82"/>
      <c r="E51" s="83"/>
      <c r="H51" s="81"/>
      <c r="I51" s="84"/>
      <c r="J51" s="93" t="str">
        <f ca="1">IF(U51=TRUE,"",IFERROR((((INDEX('Flat Rates'!$A$1:$M$3422,MATCH(T51,'Flat Rates'!$A$1:$A$3422,0),MATCH("Standing Charge",'Flat Rates'!$A$1:$M$1,0))*100))),""))</f>
        <v/>
      </c>
      <c r="K51" s="93" t="str">
        <f ca="1">IF(U51=TRUE,"",IFERROR((IF(NOT(H51="Universal"),"",INDEX('Flat Rates'!$A$1:$M$3422,MATCH(T51,'Flat Rates'!$A$1:$A$3422,0),MATCH("Uni/Day Rate",'Flat Rates'!$A$1:$M$1,0))+(G51/100))*100),""))</f>
        <v/>
      </c>
      <c r="L51" s="93" t="str">
        <f ca="1">IF(U51=TRUE,"",IFERROR((IF(H51="Universal","",INDEX('Flat Rates'!$A$1:$M$3422,MATCH(T51,'Flat Rates'!$A$1:$A$3422,0),MATCH("Uni/Day Rate",'Flat Rates'!$A$1:$M$1,0))+(G51/100))*100),""))</f>
        <v/>
      </c>
      <c r="M51" s="93" t="str">
        <f ca="1">IF(U51=TRUE,"",IFERROR(((INDEX('Flat Rates'!$A$1:$M$3422,MATCH(T51,'Flat Rates'!$A$1:$A$3422,0),MATCH("Night Unit Rate",'Flat Rates'!$A$1:$M$1,0))+(G51/100))*100),""))</f>
        <v/>
      </c>
      <c r="N51" s="93" t="str">
        <f ca="1">IF(U51=TRUE,"",IFERROR(((INDEX('Flat Rates'!$A$1:$M$3422,MATCH(T51,'Flat Rates'!$A$1:$A$3422,0),MATCH("Evening and Weekend Rate",'Flat Rates'!$A$1:$M$1,0))+(G51/100))*100),""))</f>
        <v/>
      </c>
      <c r="O51" s="93" t="str">
        <f ca="1">IF(U51=TRUE,"",IF(NOT(E51=0),"",INDEX(#REF!,MATCH(D51,#REF!,0),MATCH(IF(MONTH(C51)&lt;4,YEAR(C51)-1,YEAR(C51)),#REF!,0))))</f>
        <v/>
      </c>
      <c r="P51" s="94" t="str">
        <f ca="1">IF(U51=TRUE,"",IFERROR(IF(H51="Universal",SUM(((J51/100)*365),((K51/100)*F51)),IF(H51="Economy 7",SUM(((J51/100)*365),(((L51/100)*F51)*Calcs!$C$6),(((M51/100)*F51)*Calcs!$D$6)),IF(H51="Evening and Weekend",SUM(((J51/100)*365),(((L51/100)*F51)*Calcs!$C$12),(((N51/100)*F51)*Calcs!$D$12)),IF(H51="3 Rate",SUM(((J51/100)*365),(((L51/100)*F51)*Calcs!$C$9),(((M51/100)*F51)*Calcs!$D$9),(((N51/100)*F51)*Calcs!$E$9)),IF(H51="2 Rate Half Hourly",SUM(((J51/100)*365),(((L51/100)*F51)*Calcs!$C$18),(((M51/100)*F51)*Calcs!$D$18)))))))+IFERROR(((((O51/100)*I51)*12)),0),""))</f>
        <v/>
      </c>
      <c r="Q51" s="95" t="str">
        <f ca="1">IF(U51=TRUE,"",IFERROR(IF(F51&lt;12000,((P51*1.05)/12),(((F51*Calcs!#REF!)+P51)*1.2)/12),""))</f>
        <v/>
      </c>
      <c r="S51" s="69" t="str">
        <f>IF(NOT($M$2="Acquisition"),"Level 1",IF(C51&lt;=Calcs!$I$2,"Level 1",IF(AND($M$4="36 Months APR",C51&lt;=Calcs!$I$4),"Level 2","")))</f>
        <v>Level 1</v>
      </c>
      <c r="T51" s="69" t="str">
        <f t="shared" si="0"/>
        <v>--FALSE- Fixed</v>
      </c>
      <c r="U51" s="69" t="b">
        <f ca="1">IFERROR(IF(AND(C51="",$M$2=""),TRUE,IF(AND($M$2="Acquisition",C51=""),TRUE,IF(AND(NOT($M$2="Acquisition"),C51=""),TRUE,IF($M$2="",TRUE,IF($M$4="",TRUE,IF(D51="",TRUE,IF(E51="",TRUE,IF(F51="",TRUE,IF(G51="",TRUE,IF(H51="",TRUE,IF(AND(E51=0,I51=""),TRUE,IF(G51&lt;0,TRUE,IF(F51&gt;1000000,TRUE,IF(F51&lt;5000,TRUE,IF(AND($M$2="Reward Plus",G51&gt;3),TRUE,IF(AND($M$2="Reward",G51&gt;1),TRUE,IF(AND($M$2="Acquisition",G51&gt;2),TRUE,IF(G51&lt;&gt;ROUND(G51,1),TRUE,IF(C51&lt;TODAY(),TRUE,IF(AND($M$2="Acquisition",C51-TODAY()&lt;10),TRUE,IF(AND($M$2="Acquisition",C51&gt;Calcs!$I$2),TRUE,IF(AND($M$2="Acquisition",C51&lt;TODAY()),TRUE,IF(AND(NOT($M$2="Acquisition"),C51&lt;TODAY()),TRUE,IF(AND(NOT($M$2="Acquisition"),C51&gt;(TODAY()+180)),TRUE,IF(ISERROR((C51+1)),TRUE,IF(ISERROR(F51+1),TRUE,IF(ISERROR(G51+1),TRUE,IF(AND($M$2="Acquisition",C51&gt;Calcs!$I$2),TRUE,IF(AND($M$2="Acquisition",E51=0,C51&gt;Calcs!$I$2),TRUE,IF(AND(H51="2 Rate Half Hourly",NOT(E51=0)),TRUE,IF(AND(E51=0,NOT(H51="2 Rate Half Hourly")),TRUE,IF(AND(ISNA(INDEX('New HHTOU Flat Rates'!$A$2:$A$4000,MATCH(T51,'New HHTOU Flat Rates'!$A$2:$A$4000,0))),ISNA(INDEX('Flat Rates'!$A$2:$A$3422,MATCH(T51,'Flat Rates'!$A$2:$A$3422,0)))),TRUE,IF(AND(E51=0,I51&lt;0),TRUE,IF(E51=0,IF(ISERROR(I51+1),TRUE,FALSE))))))))))))))))))))))))))))))))))),TRUE)</f>
        <v>1</v>
      </c>
    </row>
    <row r="52" spans="2:21" x14ac:dyDescent="0.3">
      <c r="B52" s="79"/>
      <c r="C52" s="80"/>
      <c r="D52" s="82"/>
      <c r="E52" s="83"/>
      <c r="H52" s="81"/>
      <c r="I52" s="84"/>
      <c r="J52" s="93" t="str">
        <f ca="1">IF(U52=TRUE,"",IFERROR((((INDEX('Flat Rates'!$A$1:$M$3422,MATCH(T52,'Flat Rates'!$A$1:$A$3422,0),MATCH("Standing Charge",'Flat Rates'!$A$1:$M$1,0))*100))),""))</f>
        <v/>
      </c>
      <c r="K52" s="93" t="str">
        <f ca="1">IF(U52=TRUE,"",IFERROR((IF(NOT(H52="Universal"),"",INDEX('Flat Rates'!$A$1:$M$3422,MATCH(T52,'Flat Rates'!$A$1:$A$3422,0),MATCH("Uni/Day Rate",'Flat Rates'!$A$1:$M$1,0))+(G52/100))*100),""))</f>
        <v/>
      </c>
      <c r="L52" s="93" t="str">
        <f ca="1">IF(U52=TRUE,"",IFERROR((IF(H52="Universal","",INDEX('Flat Rates'!$A$1:$M$3422,MATCH(T52,'Flat Rates'!$A$1:$A$3422,0),MATCH("Uni/Day Rate",'Flat Rates'!$A$1:$M$1,0))+(G52/100))*100),""))</f>
        <v/>
      </c>
      <c r="M52" s="93" t="str">
        <f ca="1">IF(U52=TRUE,"",IFERROR(((INDEX('Flat Rates'!$A$1:$M$3422,MATCH(T52,'Flat Rates'!$A$1:$A$3422,0),MATCH("Night Unit Rate",'Flat Rates'!$A$1:$M$1,0))+(G52/100))*100),""))</f>
        <v/>
      </c>
      <c r="N52" s="93" t="str">
        <f ca="1">IF(U52=TRUE,"",IFERROR(((INDEX('Flat Rates'!$A$1:$M$3422,MATCH(T52,'Flat Rates'!$A$1:$A$3422,0),MATCH("Evening and Weekend Rate",'Flat Rates'!$A$1:$M$1,0))+(G52/100))*100),""))</f>
        <v/>
      </c>
      <c r="O52" s="93" t="str">
        <f ca="1">IF(U52=TRUE,"",IF(NOT(E52=0),"",INDEX(#REF!,MATCH(D52,#REF!,0),MATCH(IF(MONTH(C52)&lt;4,YEAR(C52)-1,YEAR(C52)),#REF!,0))))</f>
        <v/>
      </c>
      <c r="P52" s="94" t="str">
        <f ca="1">IF(U52=TRUE,"",IFERROR(IF(H52="Universal",SUM(((J52/100)*365),((K52/100)*F52)),IF(H52="Economy 7",SUM(((J52/100)*365),(((L52/100)*F52)*Calcs!$C$6),(((M52/100)*F52)*Calcs!$D$6)),IF(H52="Evening and Weekend",SUM(((J52/100)*365),(((L52/100)*F52)*Calcs!$C$12),(((N52/100)*F52)*Calcs!$D$12)),IF(H52="3 Rate",SUM(((J52/100)*365),(((L52/100)*F52)*Calcs!$C$9),(((M52/100)*F52)*Calcs!$D$9),(((N52/100)*F52)*Calcs!$E$9)),IF(H52="2 Rate Half Hourly",SUM(((J52/100)*365),(((L52/100)*F52)*Calcs!$C$18),(((M52/100)*F52)*Calcs!$D$18)))))))+IFERROR(((((O52/100)*I52)*12)),0),""))</f>
        <v/>
      </c>
      <c r="Q52" s="95" t="str">
        <f ca="1">IF(U52=TRUE,"",IFERROR(IF(F52&lt;12000,((P52*1.05)/12),(((F52*Calcs!#REF!)+P52)*1.2)/12),""))</f>
        <v/>
      </c>
      <c r="S52" s="69" t="str">
        <f>IF(NOT($M$2="Acquisition"),"Level 1",IF(C52&lt;=Calcs!$I$2,"Level 1",IF(AND($M$4="36 Months APR",C52&lt;=Calcs!$I$4),"Level 2","")))</f>
        <v>Level 1</v>
      </c>
      <c r="T52" s="69" t="str">
        <f t="shared" si="0"/>
        <v>--FALSE- Fixed</v>
      </c>
      <c r="U52" s="69" t="b">
        <f ca="1">IFERROR(IF(AND(C52="",$M$2=""),TRUE,IF(AND($M$2="Acquisition",C52=""),TRUE,IF(AND(NOT($M$2="Acquisition"),C52=""),TRUE,IF($M$2="",TRUE,IF($M$4="",TRUE,IF(D52="",TRUE,IF(E52="",TRUE,IF(F52="",TRUE,IF(G52="",TRUE,IF(H52="",TRUE,IF(AND(E52=0,I52=""),TRUE,IF(G52&lt;0,TRUE,IF(F52&gt;1000000,TRUE,IF(F52&lt;5000,TRUE,IF(AND($M$2="Reward Plus",G52&gt;3),TRUE,IF(AND($M$2="Reward",G52&gt;1),TRUE,IF(AND($M$2="Acquisition",G52&gt;2),TRUE,IF(G52&lt;&gt;ROUND(G52,1),TRUE,IF(C52&lt;TODAY(),TRUE,IF(AND($M$2="Acquisition",C52-TODAY()&lt;10),TRUE,IF(AND($M$2="Acquisition",C52&gt;Calcs!$I$2),TRUE,IF(AND($M$2="Acquisition",C52&lt;TODAY()),TRUE,IF(AND(NOT($M$2="Acquisition"),C52&lt;TODAY()),TRUE,IF(AND(NOT($M$2="Acquisition"),C52&gt;(TODAY()+180)),TRUE,IF(ISERROR((C52+1)),TRUE,IF(ISERROR(F52+1),TRUE,IF(ISERROR(G52+1),TRUE,IF(AND($M$2="Acquisition",C52&gt;Calcs!$I$2),TRUE,IF(AND($M$2="Acquisition",E52=0,C52&gt;Calcs!$I$2),TRUE,IF(AND(H52="2 Rate Half Hourly",NOT(E52=0)),TRUE,IF(AND(E52=0,NOT(H52="2 Rate Half Hourly")),TRUE,IF(AND(ISNA(INDEX('New HHTOU Flat Rates'!$A$2:$A$4000,MATCH(T52,'New HHTOU Flat Rates'!$A$2:$A$4000,0))),ISNA(INDEX('Flat Rates'!$A$2:$A$3422,MATCH(T52,'Flat Rates'!$A$2:$A$3422,0)))),TRUE,IF(AND(E52=0,I52&lt;0),TRUE,IF(E52=0,IF(ISERROR(I52+1),TRUE,FALSE))))))))))))))))))))))))))))))))))),TRUE)</f>
        <v>1</v>
      </c>
    </row>
    <row r="53" spans="2:21" x14ac:dyDescent="0.3">
      <c r="B53" s="79"/>
      <c r="C53" s="80"/>
      <c r="D53" s="82"/>
      <c r="E53" s="83"/>
      <c r="H53" s="81"/>
      <c r="I53" s="84"/>
      <c r="J53" s="93" t="str">
        <f ca="1">IF(U53=TRUE,"",IFERROR((((INDEX('Flat Rates'!$A$1:$M$3422,MATCH(T53,'Flat Rates'!$A$1:$A$3422,0),MATCH("Standing Charge",'Flat Rates'!$A$1:$M$1,0))*100))),""))</f>
        <v/>
      </c>
      <c r="K53" s="93" t="str">
        <f ca="1">IF(U53=TRUE,"",IFERROR((IF(NOT(H53="Universal"),"",INDEX('Flat Rates'!$A$1:$M$3422,MATCH(T53,'Flat Rates'!$A$1:$A$3422,0),MATCH("Uni/Day Rate",'Flat Rates'!$A$1:$M$1,0))+(G53/100))*100),""))</f>
        <v/>
      </c>
      <c r="L53" s="93" t="str">
        <f ca="1">IF(U53=TRUE,"",IFERROR((IF(H53="Universal","",INDEX('Flat Rates'!$A$1:$M$3422,MATCH(T53,'Flat Rates'!$A$1:$A$3422,0),MATCH("Uni/Day Rate",'Flat Rates'!$A$1:$M$1,0))+(G53/100))*100),""))</f>
        <v/>
      </c>
      <c r="M53" s="93" t="str">
        <f ca="1">IF(U53=TRUE,"",IFERROR(((INDEX('Flat Rates'!$A$1:$M$3422,MATCH(T53,'Flat Rates'!$A$1:$A$3422,0),MATCH("Night Unit Rate",'Flat Rates'!$A$1:$M$1,0))+(G53/100))*100),""))</f>
        <v/>
      </c>
      <c r="N53" s="93" t="str">
        <f ca="1">IF(U53=TRUE,"",IFERROR(((INDEX('Flat Rates'!$A$1:$M$3422,MATCH(T53,'Flat Rates'!$A$1:$A$3422,0),MATCH("Evening and Weekend Rate",'Flat Rates'!$A$1:$M$1,0))+(G53/100))*100),""))</f>
        <v/>
      </c>
      <c r="O53" s="93" t="str">
        <f ca="1">IF(U53=TRUE,"",IF(NOT(E53=0),"",INDEX(#REF!,MATCH(D53,#REF!,0),MATCH(IF(MONTH(C53)&lt;4,YEAR(C53)-1,YEAR(C53)),#REF!,0))))</f>
        <v/>
      </c>
      <c r="P53" s="94" t="str">
        <f ca="1">IF(U53=TRUE,"",IFERROR(IF(H53="Universal",SUM(((J53/100)*365),((K53/100)*F53)),IF(H53="Economy 7",SUM(((J53/100)*365),(((L53/100)*F53)*Calcs!$C$6),(((M53/100)*F53)*Calcs!$D$6)),IF(H53="Evening and Weekend",SUM(((J53/100)*365),(((L53/100)*F53)*Calcs!$C$12),(((N53/100)*F53)*Calcs!$D$12)),IF(H53="3 Rate",SUM(((J53/100)*365),(((L53/100)*F53)*Calcs!$C$9),(((M53/100)*F53)*Calcs!$D$9),(((N53/100)*F53)*Calcs!$E$9)),IF(H53="2 Rate Half Hourly",SUM(((J53/100)*365),(((L53/100)*F53)*Calcs!$C$18),(((M53/100)*F53)*Calcs!$D$18)))))))+IFERROR(((((O53/100)*I53)*12)),0),""))</f>
        <v/>
      </c>
      <c r="Q53" s="95" t="str">
        <f ca="1">IF(U53=TRUE,"",IFERROR(IF(F53&lt;12000,((P53*1.05)/12),(((F53*Calcs!#REF!)+P53)*1.2)/12),""))</f>
        <v/>
      </c>
      <c r="S53" s="69" t="str">
        <f>IF(NOT($M$2="Acquisition"),"Level 1",IF(C53&lt;=Calcs!$I$2,"Level 1",IF(AND($M$4="36 Months APR",C53&lt;=Calcs!$I$4),"Level 2","")))</f>
        <v>Level 1</v>
      </c>
      <c r="T53" s="69" t="str">
        <f t="shared" si="0"/>
        <v>--FALSE- Fixed</v>
      </c>
      <c r="U53" s="69" t="b">
        <f ca="1">IFERROR(IF(AND(C53="",$M$2=""),TRUE,IF(AND($M$2="Acquisition",C53=""),TRUE,IF(AND(NOT($M$2="Acquisition"),C53=""),TRUE,IF($M$2="",TRUE,IF($M$4="",TRUE,IF(D53="",TRUE,IF(E53="",TRUE,IF(F53="",TRUE,IF(G53="",TRUE,IF(H53="",TRUE,IF(AND(E53=0,I53=""),TRUE,IF(G53&lt;0,TRUE,IF(F53&gt;1000000,TRUE,IF(F53&lt;5000,TRUE,IF(AND($M$2="Reward Plus",G53&gt;3),TRUE,IF(AND($M$2="Reward",G53&gt;1),TRUE,IF(AND($M$2="Acquisition",G53&gt;2),TRUE,IF(G53&lt;&gt;ROUND(G53,1),TRUE,IF(C53&lt;TODAY(),TRUE,IF(AND($M$2="Acquisition",C53-TODAY()&lt;10),TRUE,IF(AND($M$2="Acquisition",C53&gt;Calcs!$I$2),TRUE,IF(AND($M$2="Acquisition",C53&lt;TODAY()),TRUE,IF(AND(NOT($M$2="Acquisition"),C53&lt;TODAY()),TRUE,IF(AND(NOT($M$2="Acquisition"),C53&gt;(TODAY()+180)),TRUE,IF(ISERROR((C53+1)),TRUE,IF(ISERROR(F53+1),TRUE,IF(ISERROR(G53+1),TRUE,IF(AND($M$2="Acquisition",C53&gt;Calcs!$I$2),TRUE,IF(AND($M$2="Acquisition",E53=0,C53&gt;Calcs!$I$2),TRUE,IF(AND(H53="2 Rate Half Hourly",NOT(E53=0)),TRUE,IF(AND(E53=0,NOT(H53="2 Rate Half Hourly")),TRUE,IF(AND(ISNA(INDEX('New HHTOU Flat Rates'!$A$2:$A$4000,MATCH(T53,'New HHTOU Flat Rates'!$A$2:$A$4000,0))),ISNA(INDEX('Flat Rates'!$A$2:$A$3422,MATCH(T53,'Flat Rates'!$A$2:$A$3422,0)))),TRUE,IF(AND(E53=0,I53&lt;0),TRUE,IF(E53=0,IF(ISERROR(I53+1),TRUE,FALSE))))))))))))))))))))))))))))))))))),TRUE)</f>
        <v>1</v>
      </c>
    </row>
    <row r="54" spans="2:21" x14ac:dyDescent="0.3">
      <c r="B54" s="79"/>
      <c r="C54" s="80"/>
      <c r="D54" s="82"/>
      <c r="E54" s="83"/>
      <c r="H54" s="81"/>
      <c r="I54" s="84"/>
      <c r="J54" s="93" t="str">
        <f ca="1">IF(U54=TRUE,"",IFERROR((((INDEX('Flat Rates'!$A$1:$M$3422,MATCH(T54,'Flat Rates'!$A$1:$A$3422,0),MATCH("Standing Charge",'Flat Rates'!$A$1:$M$1,0))*100))),""))</f>
        <v/>
      </c>
      <c r="K54" s="93" t="str">
        <f ca="1">IF(U54=TRUE,"",IFERROR((IF(NOT(H54="Universal"),"",INDEX('Flat Rates'!$A$1:$M$3422,MATCH(T54,'Flat Rates'!$A$1:$A$3422,0),MATCH("Uni/Day Rate",'Flat Rates'!$A$1:$M$1,0))+(G54/100))*100),""))</f>
        <v/>
      </c>
      <c r="L54" s="93" t="str">
        <f ca="1">IF(U54=TRUE,"",IFERROR((IF(H54="Universal","",INDEX('Flat Rates'!$A$1:$M$3422,MATCH(T54,'Flat Rates'!$A$1:$A$3422,0),MATCH("Uni/Day Rate",'Flat Rates'!$A$1:$M$1,0))+(G54/100))*100),""))</f>
        <v/>
      </c>
      <c r="M54" s="93" t="str">
        <f ca="1">IF(U54=TRUE,"",IFERROR(((INDEX('Flat Rates'!$A$1:$M$3422,MATCH(T54,'Flat Rates'!$A$1:$A$3422,0),MATCH("Night Unit Rate",'Flat Rates'!$A$1:$M$1,0))+(G54/100))*100),""))</f>
        <v/>
      </c>
      <c r="N54" s="93" t="str">
        <f ca="1">IF(U54=TRUE,"",IFERROR(((INDEX('Flat Rates'!$A$1:$M$3422,MATCH(T54,'Flat Rates'!$A$1:$A$3422,0),MATCH("Evening and Weekend Rate",'Flat Rates'!$A$1:$M$1,0))+(G54/100))*100),""))</f>
        <v/>
      </c>
      <c r="O54" s="93" t="str">
        <f ca="1">IF(U54=TRUE,"",IF(NOT(E54=0),"",INDEX(#REF!,MATCH(D54,#REF!,0),MATCH(IF(MONTH(C54)&lt;4,YEAR(C54)-1,YEAR(C54)),#REF!,0))))</f>
        <v/>
      </c>
      <c r="P54" s="94" t="str">
        <f ca="1">IF(U54=TRUE,"",IFERROR(IF(H54="Universal",SUM(((J54/100)*365),((K54/100)*F54)),IF(H54="Economy 7",SUM(((J54/100)*365),(((L54/100)*F54)*Calcs!$C$6),(((M54/100)*F54)*Calcs!$D$6)),IF(H54="Evening and Weekend",SUM(((J54/100)*365),(((L54/100)*F54)*Calcs!$C$12),(((N54/100)*F54)*Calcs!$D$12)),IF(H54="3 Rate",SUM(((J54/100)*365),(((L54/100)*F54)*Calcs!$C$9),(((M54/100)*F54)*Calcs!$D$9),(((N54/100)*F54)*Calcs!$E$9)),IF(H54="2 Rate Half Hourly",SUM(((J54/100)*365),(((L54/100)*F54)*Calcs!$C$18),(((M54/100)*F54)*Calcs!$D$18)))))))+IFERROR(((((O54/100)*I54)*12)),0),""))</f>
        <v/>
      </c>
      <c r="Q54" s="95" t="str">
        <f ca="1">IF(U54=TRUE,"",IFERROR(IF(F54&lt;12000,((P54*1.05)/12),(((F54*Calcs!#REF!)+P54)*1.2)/12),""))</f>
        <v/>
      </c>
      <c r="S54" s="69" t="str">
        <f>IF(NOT($M$2="Acquisition"),"Level 1",IF(C54&lt;=Calcs!$I$2,"Level 1",IF(AND($M$4="36 Months APR",C54&lt;=Calcs!$I$4),"Level 2","")))</f>
        <v>Level 1</v>
      </c>
      <c r="T54" s="69" t="str">
        <f t="shared" si="0"/>
        <v>--FALSE- Fixed</v>
      </c>
      <c r="U54" s="69" t="b">
        <f ca="1">IFERROR(IF(AND(C54="",$M$2=""),TRUE,IF(AND($M$2="Acquisition",C54=""),TRUE,IF(AND(NOT($M$2="Acquisition"),C54=""),TRUE,IF($M$2="",TRUE,IF($M$4="",TRUE,IF(D54="",TRUE,IF(E54="",TRUE,IF(F54="",TRUE,IF(G54="",TRUE,IF(H54="",TRUE,IF(AND(E54=0,I54=""),TRUE,IF(G54&lt;0,TRUE,IF(F54&gt;1000000,TRUE,IF(F54&lt;5000,TRUE,IF(AND($M$2="Reward Plus",G54&gt;3),TRUE,IF(AND($M$2="Reward",G54&gt;1),TRUE,IF(AND($M$2="Acquisition",G54&gt;2),TRUE,IF(G54&lt;&gt;ROUND(G54,1),TRUE,IF(C54&lt;TODAY(),TRUE,IF(AND($M$2="Acquisition",C54-TODAY()&lt;10),TRUE,IF(AND($M$2="Acquisition",C54&gt;Calcs!$I$2),TRUE,IF(AND($M$2="Acquisition",C54&lt;TODAY()),TRUE,IF(AND(NOT($M$2="Acquisition"),C54&lt;TODAY()),TRUE,IF(AND(NOT($M$2="Acquisition"),C54&gt;(TODAY()+180)),TRUE,IF(ISERROR((C54+1)),TRUE,IF(ISERROR(F54+1),TRUE,IF(ISERROR(G54+1),TRUE,IF(AND($M$2="Acquisition",C54&gt;Calcs!$I$2),TRUE,IF(AND($M$2="Acquisition",E54=0,C54&gt;Calcs!$I$2),TRUE,IF(AND(H54="2 Rate Half Hourly",NOT(E54=0)),TRUE,IF(AND(E54=0,NOT(H54="2 Rate Half Hourly")),TRUE,IF(AND(ISNA(INDEX('New HHTOU Flat Rates'!$A$2:$A$4000,MATCH(T54,'New HHTOU Flat Rates'!$A$2:$A$4000,0))),ISNA(INDEX('Flat Rates'!$A$2:$A$3422,MATCH(T54,'Flat Rates'!$A$2:$A$3422,0)))),TRUE,IF(AND(E54=0,I54&lt;0),TRUE,IF(E54=0,IF(ISERROR(I54+1),TRUE,FALSE))))))))))))))))))))))))))))))))))),TRUE)</f>
        <v>1</v>
      </c>
    </row>
    <row r="55" spans="2:21" x14ac:dyDescent="0.3">
      <c r="B55" s="79"/>
      <c r="C55" s="80"/>
      <c r="D55" s="82"/>
      <c r="E55" s="83"/>
      <c r="H55" s="81"/>
      <c r="I55" s="84"/>
      <c r="J55" s="93" t="str">
        <f ca="1">IF(U55=TRUE,"",IFERROR((((INDEX('Flat Rates'!$A$1:$M$3422,MATCH(T55,'Flat Rates'!$A$1:$A$3422,0),MATCH("Standing Charge",'Flat Rates'!$A$1:$M$1,0))*100))),""))</f>
        <v/>
      </c>
      <c r="K55" s="93" t="str">
        <f ca="1">IF(U55=TRUE,"",IFERROR((IF(NOT(H55="Universal"),"",INDEX('Flat Rates'!$A$1:$M$3422,MATCH(T55,'Flat Rates'!$A$1:$A$3422,0),MATCH("Uni/Day Rate",'Flat Rates'!$A$1:$M$1,0))+(G55/100))*100),""))</f>
        <v/>
      </c>
      <c r="L55" s="93" t="str">
        <f ca="1">IF(U55=TRUE,"",IFERROR((IF(H55="Universal","",INDEX('Flat Rates'!$A$1:$M$3422,MATCH(T55,'Flat Rates'!$A$1:$A$3422,0),MATCH("Uni/Day Rate",'Flat Rates'!$A$1:$M$1,0))+(G55/100))*100),""))</f>
        <v/>
      </c>
      <c r="M55" s="93" t="str">
        <f ca="1">IF(U55=TRUE,"",IFERROR(((INDEX('Flat Rates'!$A$1:$M$3422,MATCH(T55,'Flat Rates'!$A$1:$A$3422,0),MATCH("Night Unit Rate",'Flat Rates'!$A$1:$M$1,0))+(G55/100))*100),""))</f>
        <v/>
      </c>
      <c r="N55" s="93" t="str">
        <f ca="1">IF(U55=TRUE,"",IFERROR(((INDEX('Flat Rates'!$A$1:$M$3422,MATCH(T55,'Flat Rates'!$A$1:$A$3422,0),MATCH("Evening and Weekend Rate",'Flat Rates'!$A$1:$M$1,0))+(G55/100))*100),""))</f>
        <v/>
      </c>
      <c r="O55" s="93" t="str">
        <f ca="1">IF(U55=TRUE,"",IF(NOT(E55=0),"",INDEX(#REF!,MATCH(D55,#REF!,0),MATCH(IF(MONTH(C55)&lt;4,YEAR(C55)-1,YEAR(C55)),#REF!,0))))</f>
        <v/>
      </c>
      <c r="P55" s="94" t="str">
        <f ca="1">IF(U55=TRUE,"",IFERROR(IF(H55="Universal",SUM(((J55/100)*365),((K55/100)*F55)),IF(H55="Economy 7",SUM(((J55/100)*365),(((L55/100)*F55)*Calcs!$C$6),(((M55/100)*F55)*Calcs!$D$6)),IF(H55="Evening and Weekend",SUM(((J55/100)*365),(((L55/100)*F55)*Calcs!$C$12),(((N55/100)*F55)*Calcs!$D$12)),IF(H55="3 Rate",SUM(((J55/100)*365),(((L55/100)*F55)*Calcs!$C$9),(((M55/100)*F55)*Calcs!$D$9),(((N55/100)*F55)*Calcs!$E$9)),IF(H55="2 Rate Half Hourly",SUM(((J55/100)*365),(((L55/100)*F55)*Calcs!$C$18),(((M55/100)*F55)*Calcs!$D$18)))))))+IFERROR(((((O55/100)*I55)*12)),0),""))</f>
        <v/>
      </c>
      <c r="Q55" s="95" t="str">
        <f ca="1">IF(U55=TRUE,"",IFERROR(IF(F55&lt;12000,((P55*1.05)/12),(((F55*Calcs!#REF!)+P55)*1.2)/12),""))</f>
        <v/>
      </c>
      <c r="S55" s="69" t="str">
        <f>IF(NOT($M$2="Acquisition"),"Level 1",IF(C55&lt;=Calcs!$I$2,"Level 1",IF(AND($M$4="36 Months APR",C55&lt;=Calcs!$I$4),"Level 2","")))</f>
        <v>Level 1</v>
      </c>
      <c r="T55" s="69" t="str">
        <f t="shared" si="0"/>
        <v>--FALSE- Fixed</v>
      </c>
      <c r="U55" s="69" t="b">
        <f ca="1">IFERROR(IF(AND(C55="",$M$2=""),TRUE,IF(AND($M$2="Acquisition",C55=""),TRUE,IF(AND(NOT($M$2="Acquisition"),C55=""),TRUE,IF($M$2="",TRUE,IF($M$4="",TRUE,IF(D55="",TRUE,IF(E55="",TRUE,IF(F55="",TRUE,IF(G55="",TRUE,IF(H55="",TRUE,IF(AND(E55=0,I55=""),TRUE,IF(G55&lt;0,TRUE,IF(F55&gt;1000000,TRUE,IF(F55&lt;5000,TRUE,IF(AND($M$2="Reward Plus",G55&gt;3),TRUE,IF(AND($M$2="Reward",G55&gt;1),TRUE,IF(AND($M$2="Acquisition",G55&gt;2),TRUE,IF(G55&lt;&gt;ROUND(G55,1),TRUE,IF(C55&lt;TODAY(),TRUE,IF(AND($M$2="Acquisition",C55-TODAY()&lt;10),TRUE,IF(AND($M$2="Acquisition",C55&gt;Calcs!$I$2),TRUE,IF(AND($M$2="Acquisition",C55&lt;TODAY()),TRUE,IF(AND(NOT($M$2="Acquisition"),C55&lt;TODAY()),TRUE,IF(AND(NOT($M$2="Acquisition"),C55&gt;(TODAY()+180)),TRUE,IF(ISERROR((C55+1)),TRUE,IF(ISERROR(F55+1),TRUE,IF(ISERROR(G55+1),TRUE,IF(AND($M$2="Acquisition",C55&gt;Calcs!$I$2),TRUE,IF(AND($M$2="Acquisition",E55=0,C55&gt;Calcs!$I$2),TRUE,IF(AND(H55="2 Rate Half Hourly",NOT(E55=0)),TRUE,IF(AND(E55=0,NOT(H55="2 Rate Half Hourly")),TRUE,IF(AND(ISNA(INDEX('New HHTOU Flat Rates'!$A$2:$A$4000,MATCH(T55,'New HHTOU Flat Rates'!$A$2:$A$4000,0))),ISNA(INDEX('Flat Rates'!$A$2:$A$3422,MATCH(T55,'Flat Rates'!$A$2:$A$3422,0)))),TRUE,IF(AND(E55=0,I55&lt;0),TRUE,IF(E55=0,IF(ISERROR(I55+1),TRUE,FALSE))))))))))))))))))))))))))))))))))),TRUE)</f>
        <v>1</v>
      </c>
    </row>
    <row r="56" spans="2:21" x14ac:dyDescent="0.3">
      <c r="B56" s="79"/>
      <c r="C56" s="80"/>
      <c r="D56" s="82"/>
      <c r="E56" s="83"/>
      <c r="H56" s="81"/>
      <c r="I56" s="84"/>
      <c r="J56" s="93" t="str">
        <f ca="1">IF(U56=TRUE,"",IFERROR((((INDEX('Flat Rates'!$A$1:$M$3422,MATCH(T56,'Flat Rates'!$A$1:$A$3422,0),MATCH("Standing Charge",'Flat Rates'!$A$1:$M$1,0))*100))),""))</f>
        <v/>
      </c>
      <c r="K56" s="93" t="str">
        <f ca="1">IF(U56=TRUE,"",IFERROR((IF(NOT(H56="Universal"),"",INDEX('Flat Rates'!$A$1:$M$3422,MATCH(T56,'Flat Rates'!$A$1:$A$3422,0),MATCH("Uni/Day Rate",'Flat Rates'!$A$1:$M$1,0))+(G56/100))*100),""))</f>
        <v/>
      </c>
      <c r="L56" s="93" t="str">
        <f ca="1">IF(U56=TRUE,"",IFERROR((IF(H56="Universal","",INDEX('Flat Rates'!$A$1:$M$3422,MATCH(T56,'Flat Rates'!$A$1:$A$3422,0),MATCH("Uni/Day Rate",'Flat Rates'!$A$1:$M$1,0))+(G56/100))*100),""))</f>
        <v/>
      </c>
      <c r="M56" s="93" t="str">
        <f ca="1">IF(U56=TRUE,"",IFERROR(((INDEX('Flat Rates'!$A$1:$M$3422,MATCH(T56,'Flat Rates'!$A$1:$A$3422,0),MATCH("Night Unit Rate",'Flat Rates'!$A$1:$M$1,0))+(G56/100))*100),""))</f>
        <v/>
      </c>
      <c r="N56" s="93" t="str">
        <f ca="1">IF(U56=TRUE,"",IFERROR(((INDEX('Flat Rates'!$A$1:$M$3422,MATCH(T56,'Flat Rates'!$A$1:$A$3422,0),MATCH("Evening and Weekend Rate",'Flat Rates'!$A$1:$M$1,0))+(G56/100))*100),""))</f>
        <v/>
      </c>
      <c r="O56" s="93" t="str">
        <f ca="1">IF(U56=TRUE,"",IF(NOT(E56=0),"",INDEX(#REF!,MATCH(D56,#REF!,0),MATCH(IF(MONTH(C56)&lt;4,YEAR(C56)-1,YEAR(C56)),#REF!,0))))</f>
        <v/>
      </c>
      <c r="P56" s="94" t="str">
        <f ca="1">IF(U56=TRUE,"",IFERROR(IF(H56="Universal",SUM(((J56/100)*365),((K56/100)*F56)),IF(H56="Economy 7",SUM(((J56/100)*365),(((L56/100)*F56)*Calcs!$C$6),(((M56/100)*F56)*Calcs!$D$6)),IF(H56="Evening and Weekend",SUM(((J56/100)*365),(((L56/100)*F56)*Calcs!$C$12),(((N56/100)*F56)*Calcs!$D$12)),IF(H56="3 Rate",SUM(((J56/100)*365),(((L56/100)*F56)*Calcs!$C$9),(((M56/100)*F56)*Calcs!$D$9),(((N56/100)*F56)*Calcs!$E$9)),IF(H56="2 Rate Half Hourly",SUM(((J56/100)*365),(((L56/100)*F56)*Calcs!$C$18),(((M56/100)*F56)*Calcs!$D$18)))))))+IFERROR(((((O56/100)*I56)*12)),0),""))</f>
        <v/>
      </c>
      <c r="Q56" s="95" t="str">
        <f ca="1">IF(U56=TRUE,"",IFERROR(IF(F56&lt;12000,((P56*1.05)/12),(((F56*Calcs!#REF!)+P56)*1.2)/12),""))</f>
        <v/>
      </c>
      <c r="S56" s="69" t="str">
        <f>IF(NOT($M$2="Acquisition"),"Level 1",IF(C56&lt;=Calcs!$I$2,"Level 1",IF(AND($M$4="36 Months APR",C56&lt;=Calcs!$I$4),"Level 2","")))</f>
        <v>Level 1</v>
      </c>
      <c r="T56" s="69" t="str">
        <f t="shared" si="0"/>
        <v>--FALSE- Fixed</v>
      </c>
      <c r="U56" s="69" t="b">
        <f ca="1">IFERROR(IF(AND(C56="",$M$2=""),TRUE,IF(AND($M$2="Acquisition",C56=""),TRUE,IF(AND(NOT($M$2="Acquisition"),C56=""),TRUE,IF($M$2="",TRUE,IF($M$4="",TRUE,IF(D56="",TRUE,IF(E56="",TRUE,IF(F56="",TRUE,IF(G56="",TRUE,IF(H56="",TRUE,IF(AND(E56=0,I56=""),TRUE,IF(G56&lt;0,TRUE,IF(F56&gt;1000000,TRUE,IF(F56&lt;5000,TRUE,IF(AND($M$2="Reward Plus",G56&gt;3),TRUE,IF(AND($M$2="Reward",G56&gt;1),TRUE,IF(AND($M$2="Acquisition",G56&gt;2),TRUE,IF(G56&lt;&gt;ROUND(G56,1),TRUE,IF(C56&lt;TODAY(),TRUE,IF(AND($M$2="Acquisition",C56-TODAY()&lt;10),TRUE,IF(AND($M$2="Acquisition",C56&gt;Calcs!$I$2),TRUE,IF(AND($M$2="Acquisition",C56&lt;TODAY()),TRUE,IF(AND(NOT($M$2="Acquisition"),C56&lt;TODAY()),TRUE,IF(AND(NOT($M$2="Acquisition"),C56&gt;(TODAY()+180)),TRUE,IF(ISERROR((C56+1)),TRUE,IF(ISERROR(F56+1),TRUE,IF(ISERROR(G56+1),TRUE,IF(AND($M$2="Acquisition",C56&gt;Calcs!$I$2),TRUE,IF(AND($M$2="Acquisition",E56=0,C56&gt;Calcs!$I$2),TRUE,IF(AND(H56="2 Rate Half Hourly",NOT(E56=0)),TRUE,IF(AND(E56=0,NOT(H56="2 Rate Half Hourly")),TRUE,IF(AND(ISNA(INDEX('New HHTOU Flat Rates'!$A$2:$A$4000,MATCH(T56,'New HHTOU Flat Rates'!$A$2:$A$4000,0))),ISNA(INDEX('Flat Rates'!$A$2:$A$3422,MATCH(T56,'Flat Rates'!$A$2:$A$3422,0)))),TRUE,IF(AND(E56=0,I56&lt;0),TRUE,IF(E56=0,IF(ISERROR(I56+1),TRUE,FALSE))))))))))))))))))))))))))))))))))),TRUE)</f>
        <v>1</v>
      </c>
    </row>
    <row r="57" spans="2:21" x14ac:dyDescent="0.3">
      <c r="B57" s="79"/>
      <c r="C57" s="80"/>
      <c r="D57" s="82"/>
      <c r="E57" s="83"/>
      <c r="H57" s="81"/>
      <c r="I57" s="84"/>
      <c r="J57" s="93" t="str">
        <f ca="1">IF(U57=TRUE,"",IFERROR((((INDEX('Flat Rates'!$A$1:$M$3422,MATCH(T57,'Flat Rates'!$A$1:$A$3422,0),MATCH("Standing Charge",'Flat Rates'!$A$1:$M$1,0))*100))),""))</f>
        <v/>
      </c>
      <c r="K57" s="93" t="str">
        <f ca="1">IF(U57=TRUE,"",IFERROR((IF(NOT(H57="Universal"),"",INDEX('Flat Rates'!$A$1:$M$3422,MATCH(T57,'Flat Rates'!$A$1:$A$3422,0),MATCH("Uni/Day Rate",'Flat Rates'!$A$1:$M$1,0))+(G57/100))*100),""))</f>
        <v/>
      </c>
      <c r="L57" s="93" t="str">
        <f ca="1">IF(U57=TRUE,"",IFERROR((IF(H57="Universal","",INDEX('Flat Rates'!$A$1:$M$3422,MATCH(T57,'Flat Rates'!$A$1:$A$3422,0),MATCH("Uni/Day Rate",'Flat Rates'!$A$1:$M$1,0))+(G57/100))*100),""))</f>
        <v/>
      </c>
      <c r="M57" s="93" t="str">
        <f ca="1">IF(U57=TRUE,"",IFERROR(((INDEX('Flat Rates'!$A$1:$M$3422,MATCH(T57,'Flat Rates'!$A$1:$A$3422,0),MATCH("Night Unit Rate",'Flat Rates'!$A$1:$M$1,0))+(G57/100))*100),""))</f>
        <v/>
      </c>
      <c r="N57" s="93" t="str">
        <f ca="1">IF(U57=TRUE,"",IFERROR(((INDEX('Flat Rates'!$A$1:$M$3422,MATCH(T57,'Flat Rates'!$A$1:$A$3422,0),MATCH("Evening and Weekend Rate",'Flat Rates'!$A$1:$M$1,0))+(G57/100))*100),""))</f>
        <v/>
      </c>
      <c r="O57" s="93" t="str">
        <f ca="1">IF(U57=TRUE,"",IF(NOT(E57=0),"",INDEX(#REF!,MATCH(D57,#REF!,0),MATCH(IF(MONTH(C57)&lt;4,YEAR(C57)-1,YEAR(C57)),#REF!,0))))</f>
        <v/>
      </c>
      <c r="P57" s="94" t="str">
        <f ca="1">IF(U57=TRUE,"",IFERROR(IF(H57="Universal",SUM(((J57/100)*365),((K57/100)*F57)),IF(H57="Economy 7",SUM(((J57/100)*365),(((L57/100)*F57)*Calcs!$C$6),(((M57/100)*F57)*Calcs!$D$6)),IF(H57="Evening and Weekend",SUM(((J57/100)*365),(((L57/100)*F57)*Calcs!$C$12),(((N57/100)*F57)*Calcs!$D$12)),IF(H57="3 Rate",SUM(((J57/100)*365),(((L57/100)*F57)*Calcs!$C$9),(((M57/100)*F57)*Calcs!$D$9),(((N57/100)*F57)*Calcs!$E$9)),IF(H57="2 Rate Half Hourly",SUM(((J57/100)*365),(((L57/100)*F57)*Calcs!$C$18),(((M57/100)*F57)*Calcs!$D$18)))))))+IFERROR(((((O57/100)*I57)*12)),0),""))</f>
        <v/>
      </c>
      <c r="Q57" s="95" t="str">
        <f ca="1">IF(U57=TRUE,"",IFERROR(IF(F57&lt;12000,((P57*1.05)/12),(((F57*Calcs!#REF!)+P57)*1.2)/12),""))</f>
        <v/>
      </c>
      <c r="S57" s="69" t="str">
        <f>IF(NOT($M$2="Acquisition"),"Level 1",IF(C57&lt;=Calcs!$I$2,"Level 1",IF(AND($M$4="36 Months APR",C57&lt;=Calcs!$I$4),"Level 2","")))</f>
        <v>Level 1</v>
      </c>
      <c r="T57" s="69" t="str">
        <f t="shared" si="0"/>
        <v>--FALSE- Fixed</v>
      </c>
      <c r="U57" s="69" t="b">
        <f ca="1">IFERROR(IF(AND(C57="",$M$2=""),TRUE,IF(AND($M$2="Acquisition",C57=""),TRUE,IF(AND(NOT($M$2="Acquisition"),C57=""),TRUE,IF($M$2="",TRUE,IF($M$4="",TRUE,IF(D57="",TRUE,IF(E57="",TRUE,IF(F57="",TRUE,IF(G57="",TRUE,IF(H57="",TRUE,IF(AND(E57=0,I57=""),TRUE,IF(G57&lt;0,TRUE,IF(F57&gt;1000000,TRUE,IF(F57&lt;5000,TRUE,IF(AND($M$2="Reward Plus",G57&gt;3),TRUE,IF(AND($M$2="Reward",G57&gt;1),TRUE,IF(AND($M$2="Acquisition",G57&gt;2),TRUE,IF(G57&lt;&gt;ROUND(G57,1),TRUE,IF(C57&lt;TODAY(),TRUE,IF(AND($M$2="Acquisition",C57-TODAY()&lt;10),TRUE,IF(AND($M$2="Acquisition",C57&gt;Calcs!$I$2),TRUE,IF(AND($M$2="Acquisition",C57&lt;TODAY()),TRUE,IF(AND(NOT($M$2="Acquisition"),C57&lt;TODAY()),TRUE,IF(AND(NOT($M$2="Acquisition"),C57&gt;(TODAY()+180)),TRUE,IF(ISERROR((C57+1)),TRUE,IF(ISERROR(F57+1),TRUE,IF(ISERROR(G57+1),TRUE,IF(AND($M$2="Acquisition",C57&gt;Calcs!$I$2),TRUE,IF(AND($M$2="Acquisition",E57=0,C57&gt;Calcs!$I$2),TRUE,IF(AND(H57="2 Rate Half Hourly",NOT(E57=0)),TRUE,IF(AND(E57=0,NOT(H57="2 Rate Half Hourly")),TRUE,IF(AND(ISNA(INDEX('New HHTOU Flat Rates'!$A$2:$A$4000,MATCH(T57,'New HHTOU Flat Rates'!$A$2:$A$4000,0))),ISNA(INDEX('Flat Rates'!$A$2:$A$3422,MATCH(T57,'Flat Rates'!$A$2:$A$3422,0)))),TRUE,IF(AND(E57=0,I57&lt;0),TRUE,IF(E57=0,IF(ISERROR(I57+1),TRUE,FALSE))))))))))))))))))))))))))))))))))),TRUE)</f>
        <v>1</v>
      </c>
    </row>
    <row r="58" spans="2:21" ht="15" thickBot="1" x14ac:dyDescent="0.35">
      <c r="B58" s="85"/>
      <c r="C58" s="86"/>
      <c r="D58" s="88"/>
      <c r="E58" s="89"/>
      <c r="F58" s="90"/>
      <c r="G58" s="90"/>
      <c r="H58" s="87"/>
      <c r="I58" s="91"/>
      <c r="J58" s="96" t="str">
        <f ca="1">IF(U58=TRUE,"",IFERROR((((INDEX('Flat Rates'!$A$1:$M$3422,MATCH(T58,'Flat Rates'!$A$1:$A$3422,0),MATCH("Standing Charge",'Flat Rates'!$A$1:$M$1,0))*100))),""))</f>
        <v/>
      </c>
      <c r="K58" s="96" t="str">
        <f ca="1">IF(U58=TRUE,"",IFERROR((IF(NOT(H58="Universal"),"",INDEX('Flat Rates'!$A$1:$M$3422,MATCH(T58,'Flat Rates'!$A$1:$A$3422,0),MATCH("Uni/Day Rate",'Flat Rates'!$A$1:$M$1,0))+(G58/100))*100),""))</f>
        <v/>
      </c>
      <c r="L58" s="96" t="str">
        <f ca="1">IF(U58=TRUE,"",IFERROR((IF(H58="Universal","",INDEX('Flat Rates'!$A$1:$M$3422,MATCH(T58,'Flat Rates'!$A$1:$A$3422,0),MATCH("Uni/Day Rate",'Flat Rates'!$A$1:$M$1,0))+(G58/100))*100),""))</f>
        <v/>
      </c>
      <c r="M58" s="96" t="str">
        <f ca="1">IF(U58=TRUE,"",IFERROR(((INDEX('Flat Rates'!$A$1:$M$3422,MATCH(T58,'Flat Rates'!$A$1:$A$3422,0),MATCH("Night Unit Rate",'Flat Rates'!$A$1:$M$1,0))+(G58/100))*100),""))</f>
        <v/>
      </c>
      <c r="N58" s="96" t="str">
        <f ca="1">IF(U58=TRUE,"",IFERROR(((INDEX('Flat Rates'!$A$1:$M$3422,MATCH(T58,'Flat Rates'!$A$1:$A$3422,0),MATCH("Evening and Weekend Rate",'Flat Rates'!$A$1:$M$1,0))+(G58/100))*100),""))</f>
        <v/>
      </c>
      <c r="O58" s="96" t="str">
        <f ca="1">IF(U58=TRUE,"",IF(NOT(E58=0),"",INDEX(#REF!,MATCH(D58,#REF!,0),MATCH(IF(MONTH(C58)&lt;4,YEAR(C58)-1,YEAR(C58)),#REF!,0))))</f>
        <v/>
      </c>
      <c r="P58" s="97" t="str">
        <f ca="1">IF(U58=TRUE,"",IFERROR(IF(H58="Universal",SUM(((J58/100)*365),((K58/100)*F58)),IF(H58="Economy 7",SUM(((J58/100)*365),(((L58/100)*F58)*Calcs!$C$6),(((M58/100)*F58)*Calcs!$D$6)),IF(H58="Evening and Weekend",SUM(((J58/100)*365),(((L58/100)*F58)*Calcs!$C$12),(((N58/100)*F58)*Calcs!$D$12)),IF(H58="3 Rate",SUM(((J58/100)*365),(((L58/100)*F58)*Calcs!$C$9),(((M58/100)*F58)*Calcs!$D$9),(((N58/100)*F58)*Calcs!$E$9)),IF(H58="2 Rate Half Hourly",SUM(((J58/100)*365),(((L58/100)*F58)*Calcs!$C$18),(((M58/100)*F58)*Calcs!$D$18)))))))+IFERROR(((((O58/100)*I58)*12)),0),""))</f>
        <v/>
      </c>
      <c r="Q58" s="98" t="str">
        <f ca="1">IF(U58=TRUE,"",IFERROR(IF(F58&lt;12000,((P58*1.05)/12),(((F58*Calcs!#REF!)+P58)*1.2)/12),""))</f>
        <v/>
      </c>
      <c r="S58" s="69" t="str">
        <f>IF(NOT($M$2="Acquisition"),"Level 1",IF(C58&lt;=Calcs!$I$2,"Level 1",IF(AND($M$4="36 Months APR",C58&lt;=Calcs!$I$4),"Level 2","")))</f>
        <v>Level 1</v>
      </c>
      <c r="T58" s="69" t="str">
        <f t="shared" si="0"/>
        <v>--FALSE- Fixed</v>
      </c>
      <c r="U58" s="69" t="b">
        <f ca="1">IFERROR(IF(AND(C58="",$M$2=""),TRUE,IF(AND($M$2="Acquisition",C58=""),TRUE,IF(AND(NOT($M$2="Acquisition"),C58=""),TRUE,IF($M$2="",TRUE,IF($M$4="",TRUE,IF(D58="",TRUE,IF(E58="",TRUE,IF(F58="",TRUE,IF(G58="",TRUE,IF(H58="",TRUE,IF(AND(E58=0,I58=""),TRUE,IF(G58&lt;0,TRUE,IF(F58&gt;1000000,TRUE,IF(F58&lt;5000,TRUE,IF(AND($M$2="Reward Plus",G58&gt;3),TRUE,IF(AND($M$2="Reward",G58&gt;1),TRUE,IF(AND($M$2="Acquisition",G58&gt;2),TRUE,IF(G58&lt;&gt;ROUND(G58,1),TRUE,IF(C58&lt;TODAY(),TRUE,IF(AND($M$2="Acquisition",C58-TODAY()&lt;10),TRUE,IF(AND($M$2="Acquisition",C58&gt;Calcs!$I$2),TRUE,IF(AND($M$2="Acquisition",C58&lt;TODAY()),TRUE,IF(AND(NOT($M$2="Acquisition"),C58&lt;TODAY()),TRUE,IF(AND(NOT($M$2="Acquisition"),C58&gt;(TODAY()+180)),TRUE,IF(ISERROR((C58+1)),TRUE,IF(ISERROR(F58+1),TRUE,IF(ISERROR(G58+1),TRUE,IF(AND($M$2="Acquisition",C58&gt;Calcs!$I$2),TRUE,IF(AND($M$2="Acquisition",E58=0,C58&gt;Calcs!$I$2),TRUE,IF(AND(H58="2 Rate Half Hourly",NOT(E58=0)),TRUE,IF(AND(E58=0,NOT(H58="2 Rate Half Hourly")),TRUE,IF(AND(ISNA(INDEX('New HHTOU Flat Rates'!$A$2:$A$4000,MATCH(T58,'New HHTOU Flat Rates'!$A$2:$A$4000,0))),ISNA(INDEX('Flat Rates'!$A$2:$A$3422,MATCH(T58,'Flat Rates'!$A$2:$A$3422,0)))),TRUE,IF(AND(E58=0,I58&lt;0),TRUE,IF(E58=0,IF(ISERROR(I58+1),TRUE,FALSE))))))))))))))))))))))))))))))))))),TRUE)</f>
        <v>1</v>
      </c>
    </row>
    <row r="59" spans="2:21" ht="7.5" customHeight="1" x14ac:dyDescent="0.3"/>
  </sheetData>
  <protectedRanges>
    <protectedRange sqref="M2" name="Range1_1_5"/>
    <protectedRange sqref="M4" name="Range1_1_5_1"/>
    <protectedRange sqref="D9:D58" name="Range1_1_5_2"/>
    <protectedRange sqref="E9:E58" name="Range1_1_5_3"/>
    <protectedRange sqref="H9:H58" name="Range1_1_5_4"/>
  </protectedRanges>
  <mergeCells count="20">
    <mergeCell ref="J6:Q6"/>
    <mergeCell ref="T7:T8"/>
    <mergeCell ref="S7:S8"/>
    <mergeCell ref="N7:N8"/>
    <mergeCell ref="M7:M8"/>
    <mergeCell ref="L7:L8"/>
    <mergeCell ref="K7:K8"/>
    <mergeCell ref="J7:J8"/>
    <mergeCell ref="P7:P8"/>
    <mergeCell ref="Q7:Q8"/>
    <mergeCell ref="O7:O8"/>
    <mergeCell ref="G7:G8"/>
    <mergeCell ref="F7:F8"/>
    <mergeCell ref="E7:E8"/>
    <mergeCell ref="B7:B8"/>
    <mergeCell ref="B6:I6"/>
    <mergeCell ref="I7:I8"/>
    <mergeCell ref="C7:C8"/>
    <mergeCell ref="D7:D8"/>
    <mergeCell ref="H7:H8"/>
  </mergeCells>
  <dataValidations count="5">
    <dataValidation type="list" allowBlank="1" showInputMessage="1" showErrorMessage="1" sqref="M2" xr:uid="{00000000-0002-0000-0000-000000000000}">
      <formula1>"Acquisition,Reward"</formula1>
    </dataValidation>
    <dataValidation type="list" allowBlank="1" showInputMessage="1" showErrorMessage="1" sqref="M4" xr:uid="{00000000-0002-0000-0000-000001000000}">
      <formula1>"SmartTRACKER,SmartFIX – 1 Year,SmartFIX – 2 Year"</formula1>
    </dataValidation>
    <dataValidation type="list" allowBlank="1" showInputMessage="1" showErrorMessage="1" sqref="D9:D58" xr:uid="{00000000-0002-0000-0000-000002000000}">
      <formula1>"10,11,12,13,14,15,16,17,18,19,20,21,22,23"</formula1>
    </dataValidation>
    <dataValidation type="list" allowBlank="1" showInputMessage="1" showErrorMessage="1" sqref="H9:H58" xr:uid="{00000000-0002-0000-0000-000003000000}">
      <formula1>"Universal,Economy 7,Evening and Weekend,3 Rate,2 Rate Half Hourly"</formula1>
    </dataValidation>
    <dataValidation type="list" allowBlank="1" showInputMessage="1" showErrorMessage="1" sqref="E9:E58" xr:uid="{00000000-0002-0000-0000-000004000000}">
      <formula1>"0,3,4"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A1:J21"/>
  <sheetViews>
    <sheetView workbookViewId="0">
      <selection activeCell="C5" sqref="C5"/>
    </sheetView>
  </sheetViews>
  <sheetFormatPr defaultRowHeight="14.4" x14ac:dyDescent="0.3"/>
  <cols>
    <col min="1" max="2" width="16.109375" bestFit="1" customWidth="1"/>
    <col min="3" max="3" width="13.109375" customWidth="1"/>
    <col min="4" max="4" width="17.6640625" bestFit="1" customWidth="1"/>
  </cols>
  <sheetData>
    <row r="1" spans="1:10" x14ac:dyDescent="0.3">
      <c r="A1" t="s">
        <v>126</v>
      </c>
      <c r="B1" t="s">
        <v>700</v>
      </c>
      <c r="C1" t="s">
        <v>711</v>
      </c>
      <c r="D1" t="s">
        <v>701</v>
      </c>
      <c r="F1" s="149">
        <v>0</v>
      </c>
      <c r="J1" t="s">
        <v>701</v>
      </c>
    </row>
    <row r="2" spans="1:10" x14ac:dyDescent="0.3">
      <c r="A2" t="s">
        <v>127</v>
      </c>
      <c r="B2" t="s">
        <v>127</v>
      </c>
      <c r="C2" t="s">
        <v>697</v>
      </c>
      <c r="D2" t="s">
        <v>697</v>
      </c>
      <c r="F2">
        <v>0.1</v>
      </c>
      <c r="J2" t="s">
        <v>697</v>
      </c>
    </row>
    <row r="3" spans="1:10" x14ac:dyDescent="0.3">
      <c r="A3" t="s">
        <v>686</v>
      </c>
      <c r="B3" t="s">
        <v>686</v>
      </c>
      <c r="C3" t="s">
        <v>698</v>
      </c>
      <c r="D3" t="s">
        <v>698</v>
      </c>
      <c r="F3" s="149">
        <v>0.2</v>
      </c>
      <c r="J3" t="s">
        <v>698</v>
      </c>
    </row>
    <row r="4" spans="1:10" x14ac:dyDescent="0.3">
      <c r="A4" t="s">
        <v>687</v>
      </c>
      <c r="B4" t="s">
        <v>687</v>
      </c>
      <c r="C4" t="s">
        <v>699</v>
      </c>
      <c r="D4" t="s">
        <v>699</v>
      </c>
      <c r="F4">
        <v>0.3</v>
      </c>
      <c r="J4" t="s">
        <v>699</v>
      </c>
    </row>
    <row r="5" spans="1:10" x14ac:dyDescent="0.3">
      <c r="A5" t="s">
        <v>691</v>
      </c>
      <c r="B5" t="s">
        <v>691</v>
      </c>
      <c r="F5" s="149">
        <v>0.4</v>
      </c>
    </row>
    <row r="6" spans="1:10" x14ac:dyDescent="0.3">
      <c r="A6" t="s">
        <v>737</v>
      </c>
      <c r="B6" t="s">
        <v>737</v>
      </c>
      <c r="F6">
        <v>0.5</v>
      </c>
    </row>
    <row r="7" spans="1:10" x14ac:dyDescent="0.3">
      <c r="F7" s="149">
        <v>0.6</v>
      </c>
    </row>
    <row r="8" spans="1:10" x14ac:dyDescent="0.3">
      <c r="F8">
        <v>0.7</v>
      </c>
    </row>
    <row r="9" spans="1:10" x14ac:dyDescent="0.3">
      <c r="F9" s="149">
        <v>0.8</v>
      </c>
    </row>
    <row r="10" spans="1:10" x14ac:dyDescent="0.3">
      <c r="F10">
        <v>0.9</v>
      </c>
    </row>
    <row r="11" spans="1:10" x14ac:dyDescent="0.3">
      <c r="F11" s="149">
        <v>1</v>
      </c>
    </row>
    <row r="12" spans="1:10" x14ac:dyDescent="0.3">
      <c r="F12">
        <v>1.1000000000000001</v>
      </c>
    </row>
    <row r="13" spans="1:10" x14ac:dyDescent="0.3">
      <c r="F13" s="149">
        <v>1.2</v>
      </c>
    </row>
    <row r="14" spans="1:10" x14ac:dyDescent="0.3">
      <c r="F14">
        <v>1.3</v>
      </c>
    </row>
    <row r="15" spans="1:10" x14ac:dyDescent="0.3">
      <c r="F15" s="149">
        <v>1.4</v>
      </c>
    </row>
    <row r="16" spans="1:10" x14ac:dyDescent="0.3">
      <c r="F16">
        <v>1.5</v>
      </c>
    </row>
    <row r="17" spans="6:6" x14ac:dyDescent="0.3">
      <c r="F17" s="149">
        <v>1.6</v>
      </c>
    </row>
    <row r="18" spans="6:6" x14ac:dyDescent="0.3">
      <c r="F18">
        <v>1.7</v>
      </c>
    </row>
    <row r="19" spans="6:6" x14ac:dyDescent="0.3">
      <c r="F19" s="149">
        <v>1.8</v>
      </c>
    </row>
    <row r="20" spans="6:6" x14ac:dyDescent="0.3">
      <c r="F20">
        <v>1.9</v>
      </c>
    </row>
    <row r="21" spans="6:6" x14ac:dyDescent="0.3">
      <c r="F21" s="149">
        <v>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/>
  <dimension ref="A1:N1765"/>
  <sheetViews>
    <sheetView workbookViewId="0">
      <pane ySplit="1" topLeftCell="A1742" activePane="bottomLeft" state="frozen"/>
      <selection pane="bottomLeft" activeCell="A3" sqref="A3"/>
    </sheetView>
  </sheetViews>
  <sheetFormatPr defaultColWidth="9.109375" defaultRowHeight="13.2" x14ac:dyDescent="0.25"/>
  <cols>
    <col min="1" max="1" width="31.88671875" style="64" bestFit="1" customWidth="1"/>
    <col min="2" max="2" width="12.44140625" style="48" customWidth="1"/>
    <col min="3" max="3" width="7.44140625" style="48" customWidth="1"/>
    <col min="4" max="4" width="21.6640625" style="48" customWidth="1"/>
    <col min="5" max="5" width="15" style="48" customWidth="1"/>
    <col min="6" max="6" width="7.6640625" style="48" customWidth="1"/>
    <col min="7" max="7" width="10.44140625" style="48" customWidth="1"/>
    <col min="8" max="8" width="23.88671875" style="48" customWidth="1"/>
    <col min="9" max="11" width="7.33203125" style="48" customWidth="1"/>
    <col min="12" max="12" width="7.88671875" style="48" customWidth="1"/>
    <col min="13" max="13" width="9" style="48" customWidth="1"/>
    <col min="14" max="16384" width="9.109375" style="48"/>
  </cols>
  <sheetData>
    <row r="1" spans="1:14" ht="132" customHeight="1" x14ac:dyDescent="0.25">
      <c r="B1" s="36" t="s">
        <v>6</v>
      </c>
      <c r="C1" s="43" t="s">
        <v>7</v>
      </c>
      <c r="D1" s="44" t="s">
        <v>0</v>
      </c>
      <c r="E1" s="45" t="s">
        <v>8</v>
      </c>
      <c r="F1" s="44" t="s">
        <v>9</v>
      </c>
      <c r="G1" s="44" t="s">
        <v>94</v>
      </c>
      <c r="H1" s="44" t="s">
        <v>10</v>
      </c>
      <c r="I1" s="46" t="s">
        <v>34</v>
      </c>
      <c r="J1" s="46" t="s">
        <v>84</v>
      </c>
      <c r="K1" s="46" t="s">
        <v>86</v>
      </c>
      <c r="L1" s="46" t="s">
        <v>85</v>
      </c>
      <c r="M1" s="47" t="s">
        <v>11</v>
      </c>
      <c r="N1" s="47" t="s">
        <v>12</v>
      </c>
    </row>
    <row r="2" spans="1:14" ht="15" customHeight="1" x14ac:dyDescent="0.25">
      <c r="A2" s="64" t="str">
        <f>IF(E2="OP","",CONCATENATE(G2,"-",C2,"-",RIGHT(F2,1),"-",E2,"-",H2))</f>
        <v>0-10-0-TOU-3 year - with APR</v>
      </c>
      <c r="B2" s="37" t="s">
        <v>13</v>
      </c>
      <c r="C2" s="49">
        <v>10</v>
      </c>
      <c r="D2" s="2" t="s">
        <v>14</v>
      </c>
      <c r="E2" s="50" t="s">
        <v>87</v>
      </c>
      <c r="F2" s="38" t="s">
        <v>88</v>
      </c>
      <c r="G2" s="51">
        <v>0</v>
      </c>
      <c r="H2" s="2" t="s">
        <v>15</v>
      </c>
      <c r="I2" s="39">
        <v>0.79700000000000004</v>
      </c>
      <c r="J2" s="39">
        <v>0.1336</v>
      </c>
      <c r="K2" s="39">
        <v>0.1076</v>
      </c>
      <c r="L2" s="39">
        <v>8.4900000000000003E-2</v>
      </c>
      <c r="M2" s="40">
        <v>5000</v>
      </c>
      <c r="N2" s="52">
        <v>1000000</v>
      </c>
    </row>
    <row r="3" spans="1:14" ht="15" customHeight="1" x14ac:dyDescent="0.25">
      <c r="A3" s="64" t="str">
        <f t="shared" ref="A3:A66" si="0">IF(E3="OP","",CONCATENATE(G3,"-",C3,"-",RIGHT(F3,1),"-",E3,"-",H3))</f>
        <v>0-11-0-TOU-3 year - with APR</v>
      </c>
      <c r="B3" s="37" t="s">
        <v>13</v>
      </c>
      <c r="C3" s="49">
        <v>11</v>
      </c>
      <c r="D3" s="2" t="s">
        <v>20</v>
      </c>
      <c r="E3" s="50" t="s">
        <v>87</v>
      </c>
      <c r="F3" s="38" t="s">
        <v>88</v>
      </c>
      <c r="G3" s="51">
        <v>0</v>
      </c>
      <c r="H3" s="2" t="s">
        <v>15</v>
      </c>
      <c r="I3" s="39">
        <v>0.77900000000000003</v>
      </c>
      <c r="J3" s="39">
        <v>0.13589999999999999</v>
      </c>
      <c r="K3" s="39">
        <v>0.1094</v>
      </c>
      <c r="L3" s="39">
        <v>8.6400000000000005E-2</v>
      </c>
      <c r="M3" s="40">
        <v>5000</v>
      </c>
      <c r="N3" s="52">
        <v>1000000</v>
      </c>
    </row>
    <row r="4" spans="1:14" ht="15" customHeight="1" x14ac:dyDescent="0.25">
      <c r="A4" s="64" t="str">
        <f t="shared" si="0"/>
        <v>0-12-0-TOU-3 year - with APR</v>
      </c>
      <c r="B4" s="37" t="s">
        <v>13</v>
      </c>
      <c r="C4" s="49">
        <v>12</v>
      </c>
      <c r="D4" s="2" t="s">
        <v>21</v>
      </c>
      <c r="E4" s="50" t="s">
        <v>87</v>
      </c>
      <c r="F4" s="38" t="s">
        <v>88</v>
      </c>
      <c r="G4" s="51">
        <v>0</v>
      </c>
      <c r="H4" s="2" t="s">
        <v>15</v>
      </c>
      <c r="I4" s="39">
        <v>0.81699999999999995</v>
      </c>
      <c r="J4" s="39">
        <v>0.13319999999999999</v>
      </c>
      <c r="K4" s="39">
        <v>0.1072</v>
      </c>
      <c r="L4" s="39">
        <v>8.4599999999999995E-2</v>
      </c>
      <c r="M4" s="40">
        <v>5000</v>
      </c>
      <c r="N4" s="52">
        <v>1000000</v>
      </c>
    </row>
    <row r="5" spans="1:14" ht="15" customHeight="1" x14ac:dyDescent="0.25">
      <c r="A5" s="64" t="str">
        <f t="shared" si="0"/>
        <v>0-13-0-TOU-3 year - with APR</v>
      </c>
      <c r="B5" s="37" t="s">
        <v>13</v>
      </c>
      <c r="C5" s="49">
        <v>13</v>
      </c>
      <c r="D5" s="2" t="s">
        <v>22</v>
      </c>
      <c r="E5" s="50" t="s">
        <v>87</v>
      </c>
      <c r="F5" s="38" t="s">
        <v>88</v>
      </c>
      <c r="G5" s="51">
        <v>0</v>
      </c>
      <c r="H5" s="2" t="s">
        <v>15</v>
      </c>
      <c r="I5" s="39">
        <v>0.79700000000000004</v>
      </c>
      <c r="J5" s="39">
        <v>0.14529999999999998</v>
      </c>
      <c r="K5" s="39">
        <v>0.11700000000000001</v>
      </c>
      <c r="L5" s="39">
        <v>9.2399999999999996E-2</v>
      </c>
      <c r="M5" s="40">
        <v>5000</v>
      </c>
      <c r="N5" s="52">
        <v>1000000</v>
      </c>
    </row>
    <row r="6" spans="1:14" ht="15" customHeight="1" x14ac:dyDescent="0.25">
      <c r="A6" s="64" t="str">
        <f t="shared" si="0"/>
        <v>0-14-0-TOU-3 year - with APR</v>
      </c>
      <c r="B6" s="37" t="s">
        <v>13</v>
      </c>
      <c r="C6" s="49">
        <v>14</v>
      </c>
      <c r="D6" s="2" t="s">
        <v>23</v>
      </c>
      <c r="E6" s="50" t="s">
        <v>87</v>
      </c>
      <c r="F6" s="38" t="s">
        <v>88</v>
      </c>
      <c r="G6" s="51">
        <v>0</v>
      </c>
      <c r="H6" s="2" t="s">
        <v>15</v>
      </c>
      <c r="I6" s="39">
        <v>0.80500000000000005</v>
      </c>
      <c r="J6" s="39">
        <v>0.13679999999999998</v>
      </c>
      <c r="K6" s="39">
        <v>0.11020000000000001</v>
      </c>
      <c r="L6" s="39">
        <v>8.7000000000000008E-2</v>
      </c>
      <c r="M6" s="40">
        <v>5000</v>
      </c>
      <c r="N6" s="52">
        <v>1000000</v>
      </c>
    </row>
    <row r="7" spans="1:14" ht="15" customHeight="1" x14ac:dyDescent="0.25">
      <c r="A7" s="64" t="str">
        <f t="shared" si="0"/>
        <v>0-15-0-TOU-3 year - with APR</v>
      </c>
      <c r="B7" s="37" t="s">
        <v>13</v>
      </c>
      <c r="C7" s="49">
        <v>15</v>
      </c>
      <c r="D7" s="2" t="s">
        <v>24</v>
      </c>
      <c r="E7" s="50" t="s">
        <v>87</v>
      </c>
      <c r="F7" s="38" t="s">
        <v>88</v>
      </c>
      <c r="G7" s="51">
        <v>0</v>
      </c>
      <c r="H7" s="2" t="s">
        <v>15</v>
      </c>
      <c r="I7" s="39">
        <v>0.86899999999999999</v>
      </c>
      <c r="J7" s="39">
        <v>0.1376</v>
      </c>
      <c r="K7" s="39">
        <v>0.11080000000000001</v>
      </c>
      <c r="L7" s="39">
        <v>8.7500000000000008E-2</v>
      </c>
      <c r="M7" s="40">
        <v>5000</v>
      </c>
      <c r="N7" s="52">
        <v>1000000</v>
      </c>
    </row>
    <row r="8" spans="1:14" ht="15" customHeight="1" x14ac:dyDescent="0.25">
      <c r="A8" s="64" t="str">
        <f t="shared" si="0"/>
        <v>0-16-0-TOU-3 year - with APR</v>
      </c>
      <c r="B8" s="37" t="s">
        <v>13</v>
      </c>
      <c r="C8" s="49">
        <v>16</v>
      </c>
      <c r="D8" s="2" t="s">
        <v>25</v>
      </c>
      <c r="E8" s="50" t="s">
        <v>87</v>
      </c>
      <c r="F8" s="38" t="s">
        <v>88</v>
      </c>
      <c r="G8" s="51">
        <v>0</v>
      </c>
      <c r="H8" s="2" t="s">
        <v>15</v>
      </c>
      <c r="I8" s="39">
        <v>0.65800000000000003</v>
      </c>
      <c r="J8" s="39">
        <v>0.13649999999999998</v>
      </c>
      <c r="K8" s="39">
        <v>0.1099</v>
      </c>
      <c r="L8" s="39">
        <v>8.6699999999999999E-2</v>
      </c>
      <c r="M8" s="40">
        <v>5000</v>
      </c>
      <c r="N8" s="52">
        <v>1000000</v>
      </c>
    </row>
    <row r="9" spans="1:14" ht="15" customHeight="1" x14ac:dyDescent="0.25">
      <c r="A9" s="64" t="str">
        <f t="shared" si="0"/>
        <v>0-17-0-TOU-3 year - with APR</v>
      </c>
      <c r="B9" s="37" t="s">
        <v>13</v>
      </c>
      <c r="C9" s="49">
        <v>17</v>
      </c>
      <c r="D9" s="2" t="s">
        <v>26</v>
      </c>
      <c r="E9" s="50" t="s">
        <v>87</v>
      </c>
      <c r="F9" s="38" t="s">
        <v>88</v>
      </c>
      <c r="G9" s="51">
        <v>0</v>
      </c>
      <c r="H9" s="2" t="s">
        <v>15</v>
      </c>
      <c r="I9" s="39">
        <v>1.343</v>
      </c>
      <c r="J9" s="39">
        <v>0.15489999999999998</v>
      </c>
      <c r="K9" s="39">
        <v>0.12470000000000001</v>
      </c>
      <c r="L9" s="39">
        <v>9.8400000000000001E-2</v>
      </c>
      <c r="M9" s="40">
        <v>5000</v>
      </c>
      <c r="N9" s="52">
        <v>1000000</v>
      </c>
    </row>
    <row r="10" spans="1:14" ht="15" customHeight="1" x14ac:dyDescent="0.25">
      <c r="A10" s="64" t="str">
        <f t="shared" si="0"/>
        <v>0-18-0-TOU-3 year - with APR</v>
      </c>
      <c r="B10" s="37" t="s">
        <v>13</v>
      </c>
      <c r="C10" s="49">
        <v>18</v>
      </c>
      <c r="D10" s="2" t="s">
        <v>27</v>
      </c>
      <c r="E10" s="50" t="s">
        <v>87</v>
      </c>
      <c r="F10" s="38" t="s">
        <v>88</v>
      </c>
      <c r="G10" s="51">
        <v>0</v>
      </c>
      <c r="H10" s="2" t="s">
        <v>15</v>
      </c>
      <c r="I10" s="39">
        <v>0.81399999999999995</v>
      </c>
      <c r="J10" s="39">
        <v>0.1356</v>
      </c>
      <c r="K10" s="39">
        <v>0.10920000000000001</v>
      </c>
      <c r="L10" s="39">
        <v>8.6199999999999999E-2</v>
      </c>
      <c r="M10" s="40">
        <v>5000</v>
      </c>
      <c r="N10" s="52">
        <v>1000000</v>
      </c>
    </row>
    <row r="11" spans="1:14" ht="15" customHeight="1" x14ac:dyDescent="0.25">
      <c r="A11" s="64" t="str">
        <f t="shared" si="0"/>
        <v>0-19-0-TOU-3 year - with APR</v>
      </c>
      <c r="B11" s="37" t="s">
        <v>13</v>
      </c>
      <c r="C11" s="49">
        <v>19</v>
      </c>
      <c r="D11" s="2" t="s">
        <v>28</v>
      </c>
      <c r="E11" s="50" t="s">
        <v>87</v>
      </c>
      <c r="F11" s="38" t="s">
        <v>88</v>
      </c>
      <c r="G11" s="51">
        <v>0</v>
      </c>
      <c r="H11" s="2" t="s">
        <v>15</v>
      </c>
      <c r="I11" s="39">
        <v>0.70399999999999996</v>
      </c>
      <c r="J11" s="39">
        <v>0.13479999999999998</v>
      </c>
      <c r="K11" s="39">
        <v>0.1085</v>
      </c>
      <c r="L11" s="39">
        <v>8.5699999999999998E-2</v>
      </c>
      <c r="M11" s="40">
        <v>5000</v>
      </c>
      <c r="N11" s="52">
        <v>1000000</v>
      </c>
    </row>
    <row r="12" spans="1:14" ht="15" customHeight="1" x14ac:dyDescent="0.25">
      <c r="A12" s="64" t="str">
        <f t="shared" si="0"/>
        <v>0-20-0-TOU-3 year - with APR</v>
      </c>
      <c r="B12" s="37" t="s">
        <v>13</v>
      </c>
      <c r="C12" s="49">
        <v>20</v>
      </c>
      <c r="D12" s="2" t="s">
        <v>29</v>
      </c>
      <c r="E12" s="50" t="s">
        <v>87</v>
      </c>
      <c r="F12" s="38" t="s">
        <v>88</v>
      </c>
      <c r="G12" s="51">
        <v>0</v>
      </c>
      <c r="H12" s="2" t="s">
        <v>15</v>
      </c>
      <c r="I12" s="39">
        <v>0.748</v>
      </c>
      <c r="J12" s="39">
        <v>0.13449999999999998</v>
      </c>
      <c r="K12" s="39">
        <v>0.10830000000000001</v>
      </c>
      <c r="L12" s="39">
        <v>8.5500000000000007E-2</v>
      </c>
      <c r="M12" s="40">
        <v>5000</v>
      </c>
      <c r="N12" s="52">
        <v>1000000</v>
      </c>
    </row>
    <row r="13" spans="1:14" ht="15" customHeight="1" x14ac:dyDescent="0.25">
      <c r="A13" s="64" t="str">
        <f t="shared" si="0"/>
        <v>0-21-0-TOU-3 year - with APR</v>
      </c>
      <c r="B13" s="37" t="s">
        <v>13</v>
      </c>
      <c r="C13" s="49">
        <v>21</v>
      </c>
      <c r="D13" s="2" t="s">
        <v>30</v>
      </c>
      <c r="E13" s="50" t="s">
        <v>87</v>
      </c>
      <c r="F13" s="38" t="s">
        <v>88</v>
      </c>
      <c r="G13" s="51">
        <v>0</v>
      </c>
      <c r="H13" s="2" t="s">
        <v>15</v>
      </c>
      <c r="I13" s="39">
        <v>0.83499999999999996</v>
      </c>
      <c r="J13" s="39">
        <v>0.1444</v>
      </c>
      <c r="K13" s="39">
        <v>0.1162</v>
      </c>
      <c r="L13" s="39">
        <v>9.1800000000000007E-2</v>
      </c>
      <c r="M13" s="40">
        <v>5000</v>
      </c>
      <c r="N13" s="52">
        <v>1000000</v>
      </c>
    </row>
    <row r="14" spans="1:14" ht="15" customHeight="1" x14ac:dyDescent="0.25">
      <c r="A14" s="64" t="str">
        <f t="shared" si="0"/>
        <v>0-22-0-TOU-3 year - with APR</v>
      </c>
      <c r="B14" s="37" t="s">
        <v>13</v>
      </c>
      <c r="C14" s="49">
        <v>22</v>
      </c>
      <c r="D14" s="2" t="s">
        <v>31</v>
      </c>
      <c r="E14" s="50" t="s">
        <v>87</v>
      </c>
      <c r="F14" s="38" t="s">
        <v>88</v>
      </c>
      <c r="G14" s="51">
        <v>0</v>
      </c>
      <c r="H14" s="2" t="s">
        <v>15</v>
      </c>
      <c r="I14" s="39">
        <v>0.81799999999999995</v>
      </c>
      <c r="J14" s="39">
        <v>0.14499999999999999</v>
      </c>
      <c r="K14" s="39">
        <v>0.1167</v>
      </c>
      <c r="L14" s="39">
        <v>9.2100000000000001E-2</v>
      </c>
      <c r="M14" s="40">
        <v>5000</v>
      </c>
      <c r="N14" s="52">
        <v>1000000</v>
      </c>
    </row>
    <row r="15" spans="1:14" ht="15" customHeight="1" x14ac:dyDescent="0.25">
      <c r="A15" s="64" t="str">
        <f t="shared" si="0"/>
        <v>0-23-0-TOU-3 year - with APR</v>
      </c>
      <c r="B15" s="37" t="s">
        <v>13</v>
      </c>
      <c r="C15" s="49">
        <v>23</v>
      </c>
      <c r="D15" s="2" t="s">
        <v>32</v>
      </c>
      <c r="E15" s="50" t="s">
        <v>87</v>
      </c>
      <c r="F15" s="38" t="s">
        <v>88</v>
      </c>
      <c r="G15" s="51">
        <v>0</v>
      </c>
      <c r="H15" s="2" t="s">
        <v>15</v>
      </c>
      <c r="I15" s="39">
        <v>0.82</v>
      </c>
      <c r="J15" s="39">
        <v>0.13749999999999998</v>
      </c>
      <c r="K15" s="39">
        <v>0.11070000000000001</v>
      </c>
      <c r="L15" s="39">
        <v>8.7400000000000005E-2</v>
      </c>
      <c r="M15" s="40">
        <v>5000</v>
      </c>
      <c r="N15" s="52">
        <v>1000000</v>
      </c>
    </row>
    <row r="16" spans="1:14" ht="15" customHeight="1" x14ac:dyDescent="0.25">
      <c r="A16" s="64" t="str">
        <f t="shared" si="0"/>
        <v>0-10-0-TOU-2 year Fixed</v>
      </c>
      <c r="B16" s="37" t="s">
        <v>13</v>
      </c>
      <c r="C16" s="49">
        <v>10</v>
      </c>
      <c r="D16" s="2" t="s">
        <v>14</v>
      </c>
      <c r="E16" s="50" t="s">
        <v>87</v>
      </c>
      <c r="F16" s="38" t="s">
        <v>88</v>
      </c>
      <c r="G16" s="51">
        <v>0</v>
      </c>
      <c r="H16" s="2" t="s">
        <v>33</v>
      </c>
      <c r="I16" s="39">
        <v>0.79700000000000004</v>
      </c>
      <c r="J16" s="39">
        <v>0.1429</v>
      </c>
      <c r="K16" s="39">
        <v>0.11510000000000001</v>
      </c>
      <c r="L16" s="39">
        <v>9.0900000000000009E-2</v>
      </c>
      <c r="M16" s="40">
        <v>5000</v>
      </c>
      <c r="N16" s="52">
        <v>1000000</v>
      </c>
    </row>
    <row r="17" spans="1:14" ht="15" customHeight="1" x14ac:dyDescent="0.25">
      <c r="A17" s="64" t="str">
        <f t="shared" si="0"/>
        <v>0-11-0-TOU-2 year Fixed</v>
      </c>
      <c r="B17" s="37" t="s">
        <v>13</v>
      </c>
      <c r="C17" s="49">
        <v>11</v>
      </c>
      <c r="D17" s="2" t="s">
        <v>20</v>
      </c>
      <c r="E17" s="50" t="s">
        <v>87</v>
      </c>
      <c r="F17" s="38" t="s">
        <v>88</v>
      </c>
      <c r="G17" s="51">
        <v>0</v>
      </c>
      <c r="H17" s="2" t="s">
        <v>33</v>
      </c>
      <c r="I17" s="39">
        <v>0.77900000000000003</v>
      </c>
      <c r="J17" s="39">
        <v>0.14599999999999999</v>
      </c>
      <c r="K17" s="39">
        <v>0.1176</v>
      </c>
      <c r="L17" s="39">
        <v>9.2800000000000007E-2</v>
      </c>
      <c r="M17" s="40">
        <v>5000</v>
      </c>
      <c r="N17" s="52">
        <v>1000000</v>
      </c>
    </row>
    <row r="18" spans="1:14" ht="15" customHeight="1" x14ac:dyDescent="0.25">
      <c r="A18" s="64" t="str">
        <f t="shared" si="0"/>
        <v>0-12-0-TOU-2 year Fixed</v>
      </c>
      <c r="B18" s="37" t="s">
        <v>13</v>
      </c>
      <c r="C18" s="49">
        <v>12</v>
      </c>
      <c r="D18" s="2" t="s">
        <v>21</v>
      </c>
      <c r="E18" s="50" t="s">
        <v>87</v>
      </c>
      <c r="F18" s="38" t="s">
        <v>88</v>
      </c>
      <c r="G18" s="51">
        <v>0</v>
      </c>
      <c r="H18" s="2" t="s">
        <v>33</v>
      </c>
      <c r="I18" s="39">
        <v>0.81699999999999995</v>
      </c>
      <c r="J18" s="39">
        <v>0.14259999999999998</v>
      </c>
      <c r="K18" s="39">
        <v>0.1148</v>
      </c>
      <c r="L18" s="39">
        <v>9.06E-2</v>
      </c>
      <c r="M18" s="40">
        <v>5000</v>
      </c>
      <c r="N18" s="52">
        <v>1000000</v>
      </c>
    </row>
    <row r="19" spans="1:14" ht="15" customHeight="1" x14ac:dyDescent="0.25">
      <c r="A19" s="64" t="str">
        <f t="shared" si="0"/>
        <v>0-13-0-TOU-2 year Fixed</v>
      </c>
      <c r="B19" s="37" t="s">
        <v>13</v>
      </c>
      <c r="C19" s="49">
        <v>13</v>
      </c>
      <c r="D19" s="2" t="s">
        <v>22</v>
      </c>
      <c r="E19" s="50" t="s">
        <v>87</v>
      </c>
      <c r="F19" s="38" t="s">
        <v>88</v>
      </c>
      <c r="G19" s="51">
        <v>0</v>
      </c>
      <c r="H19" s="2" t="s">
        <v>33</v>
      </c>
      <c r="I19" s="39">
        <v>0.79700000000000004</v>
      </c>
      <c r="J19" s="39">
        <v>0.15569999999999998</v>
      </c>
      <c r="K19" s="39">
        <v>0.12539999999999998</v>
      </c>
      <c r="L19" s="39">
        <v>9.9000000000000005E-2</v>
      </c>
      <c r="M19" s="40">
        <v>5000</v>
      </c>
      <c r="N19" s="52">
        <v>1000000</v>
      </c>
    </row>
    <row r="20" spans="1:14" ht="15" customHeight="1" x14ac:dyDescent="0.25">
      <c r="A20" s="64" t="str">
        <f t="shared" si="0"/>
        <v>0-14-0-TOU-2 year Fixed</v>
      </c>
      <c r="B20" s="37" t="s">
        <v>13</v>
      </c>
      <c r="C20" s="49">
        <v>14</v>
      </c>
      <c r="D20" s="2" t="s">
        <v>23</v>
      </c>
      <c r="E20" s="50" t="s">
        <v>87</v>
      </c>
      <c r="F20" s="38" t="s">
        <v>88</v>
      </c>
      <c r="G20" s="51">
        <v>0</v>
      </c>
      <c r="H20" s="2" t="s">
        <v>33</v>
      </c>
      <c r="I20" s="39">
        <v>0.80500000000000005</v>
      </c>
      <c r="J20" s="39">
        <v>0.14709999999999998</v>
      </c>
      <c r="K20" s="39">
        <v>0.11840000000000001</v>
      </c>
      <c r="L20" s="39">
        <v>9.35E-2</v>
      </c>
      <c r="M20" s="40">
        <v>5000</v>
      </c>
      <c r="N20" s="52">
        <v>1000000</v>
      </c>
    </row>
    <row r="21" spans="1:14" ht="15" customHeight="1" x14ac:dyDescent="0.25">
      <c r="A21" s="64" t="str">
        <f t="shared" si="0"/>
        <v>0-15-0-TOU-2 year Fixed</v>
      </c>
      <c r="B21" s="37" t="s">
        <v>13</v>
      </c>
      <c r="C21" s="49">
        <v>15</v>
      </c>
      <c r="D21" s="2" t="s">
        <v>24</v>
      </c>
      <c r="E21" s="50" t="s">
        <v>87</v>
      </c>
      <c r="F21" s="38" t="s">
        <v>88</v>
      </c>
      <c r="G21" s="51">
        <v>0</v>
      </c>
      <c r="H21" s="2" t="s">
        <v>33</v>
      </c>
      <c r="I21" s="39">
        <v>0.86899999999999999</v>
      </c>
      <c r="J21" s="39">
        <v>0.14679999999999999</v>
      </c>
      <c r="K21" s="39">
        <v>0.1182</v>
      </c>
      <c r="L21" s="39">
        <v>9.3299999999999994E-2</v>
      </c>
      <c r="M21" s="40">
        <v>5000</v>
      </c>
      <c r="N21" s="52">
        <v>1000000</v>
      </c>
    </row>
    <row r="22" spans="1:14" ht="15" customHeight="1" x14ac:dyDescent="0.25">
      <c r="A22" s="64" t="str">
        <f t="shared" si="0"/>
        <v>0-16-0-TOU-2 year Fixed</v>
      </c>
      <c r="B22" s="37" t="s">
        <v>13</v>
      </c>
      <c r="C22" s="49">
        <v>16</v>
      </c>
      <c r="D22" s="2" t="s">
        <v>25</v>
      </c>
      <c r="E22" s="50" t="s">
        <v>87</v>
      </c>
      <c r="F22" s="38" t="s">
        <v>88</v>
      </c>
      <c r="G22" s="51">
        <v>0</v>
      </c>
      <c r="H22" s="2" t="s">
        <v>33</v>
      </c>
      <c r="I22" s="39">
        <v>0.65800000000000003</v>
      </c>
      <c r="J22" s="39">
        <v>0.14609999999999998</v>
      </c>
      <c r="K22" s="39">
        <v>0.1177</v>
      </c>
      <c r="L22" s="39">
        <v>9.2899999999999996E-2</v>
      </c>
      <c r="M22" s="40">
        <v>5000</v>
      </c>
      <c r="N22" s="52">
        <v>1000000</v>
      </c>
    </row>
    <row r="23" spans="1:14" ht="15" customHeight="1" x14ac:dyDescent="0.25">
      <c r="A23" s="64" t="str">
        <f t="shared" si="0"/>
        <v>0-17-0-TOU-2 year Fixed</v>
      </c>
      <c r="B23" s="37" t="s">
        <v>13</v>
      </c>
      <c r="C23" s="49">
        <v>17</v>
      </c>
      <c r="D23" s="2" t="s">
        <v>26</v>
      </c>
      <c r="E23" s="50" t="s">
        <v>87</v>
      </c>
      <c r="F23" s="38" t="s">
        <v>88</v>
      </c>
      <c r="G23" s="51">
        <v>0</v>
      </c>
      <c r="H23" s="2" t="s">
        <v>33</v>
      </c>
      <c r="I23" s="39">
        <v>1.5109999999999999</v>
      </c>
      <c r="J23" s="39">
        <v>0.1651</v>
      </c>
      <c r="K23" s="39">
        <v>0.13299999999999998</v>
      </c>
      <c r="L23" s="39">
        <v>0.105</v>
      </c>
      <c r="M23" s="40">
        <v>5000</v>
      </c>
      <c r="N23" s="52">
        <v>1000000</v>
      </c>
    </row>
    <row r="24" spans="1:14" ht="15" customHeight="1" x14ac:dyDescent="0.25">
      <c r="A24" s="64" t="str">
        <f t="shared" si="0"/>
        <v>0-18-0-TOU-2 year Fixed</v>
      </c>
      <c r="B24" s="37" t="s">
        <v>13</v>
      </c>
      <c r="C24" s="49">
        <v>18</v>
      </c>
      <c r="D24" s="2" t="s">
        <v>27</v>
      </c>
      <c r="E24" s="50" t="s">
        <v>87</v>
      </c>
      <c r="F24" s="38" t="s">
        <v>88</v>
      </c>
      <c r="G24" s="51">
        <v>0</v>
      </c>
      <c r="H24" s="2" t="s">
        <v>33</v>
      </c>
      <c r="I24" s="39">
        <v>0.81399999999999995</v>
      </c>
      <c r="J24" s="39">
        <v>0.1457</v>
      </c>
      <c r="K24" s="39">
        <v>0.1173</v>
      </c>
      <c r="L24" s="39">
        <v>9.2600000000000002E-2</v>
      </c>
      <c r="M24" s="40">
        <v>5000</v>
      </c>
      <c r="N24" s="52">
        <v>1000000</v>
      </c>
    </row>
    <row r="25" spans="1:14" ht="15" customHeight="1" x14ac:dyDescent="0.25">
      <c r="A25" s="64" t="str">
        <f t="shared" si="0"/>
        <v>0-19-0-TOU-2 year Fixed</v>
      </c>
      <c r="B25" s="37" t="s">
        <v>13</v>
      </c>
      <c r="C25" s="49">
        <v>19</v>
      </c>
      <c r="D25" s="2" t="s">
        <v>28</v>
      </c>
      <c r="E25" s="50" t="s">
        <v>87</v>
      </c>
      <c r="F25" s="38" t="s">
        <v>88</v>
      </c>
      <c r="G25" s="51">
        <v>0</v>
      </c>
      <c r="H25" s="2" t="s">
        <v>33</v>
      </c>
      <c r="I25" s="39">
        <v>0.70399999999999996</v>
      </c>
      <c r="J25" s="39">
        <v>0.14449999999999999</v>
      </c>
      <c r="K25" s="39">
        <v>0.1163</v>
      </c>
      <c r="L25" s="39">
        <v>9.1800000000000007E-2</v>
      </c>
      <c r="M25" s="40">
        <v>5000</v>
      </c>
      <c r="N25" s="52">
        <v>1000000</v>
      </c>
    </row>
    <row r="26" spans="1:14" ht="15" customHeight="1" x14ac:dyDescent="0.25">
      <c r="A26" s="64" t="str">
        <f t="shared" si="0"/>
        <v>0-20-0-TOU-2 year Fixed</v>
      </c>
      <c r="B26" s="37" t="s">
        <v>13</v>
      </c>
      <c r="C26" s="49">
        <v>20</v>
      </c>
      <c r="D26" s="2" t="s">
        <v>29</v>
      </c>
      <c r="E26" s="50" t="s">
        <v>87</v>
      </c>
      <c r="F26" s="38" t="s">
        <v>88</v>
      </c>
      <c r="G26" s="51">
        <v>0</v>
      </c>
      <c r="H26" s="2" t="s">
        <v>33</v>
      </c>
      <c r="I26" s="39">
        <v>0.748</v>
      </c>
      <c r="J26" s="39">
        <v>0.14459999999999998</v>
      </c>
      <c r="K26" s="39">
        <v>0.1164</v>
      </c>
      <c r="L26" s="39">
        <v>9.1900000000000009E-2</v>
      </c>
      <c r="M26" s="40">
        <v>5000</v>
      </c>
      <c r="N26" s="52">
        <v>1000000</v>
      </c>
    </row>
    <row r="27" spans="1:14" ht="15" customHeight="1" x14ac:dyDescent="0.25">
      <c r="A27" s="64" t="str">
        <f t="shared" si="0"/>
        <v>0-21-0-TOU-2 year Fixed</v>
      </c>
      <c r="B27" s="37" t="s">
        <v>13</v>
      </c>
      <c r="C27" s="49">
        <v>21</v>
      </c>
      <c r="D27" s="2" t="s">
        <v>30</v>
      </c>
      <c r="E27" s="50" t="s">
        <v>87</v>
      </c>
      <c r="F27" s="38" t="s">
        <v>88</v>
      </c>
      <c r="G27" s="51">
        <v>0</v>
      </c>
      <c r="H27" s="2" t="s">
        <v>33</v>
      </c>
      <c r="I27" s="39">
        <v>0.83499999999999996</v>
      </c>
      <c r="J27" s="39">
        <v>0.15469999999999998</v>
      </c>
      <c r="K27" s="39">
        <v>0.1246</v>
      </c>
      <c r="L27" s="39">
        <v>9.8400000000000001E-2</v>
      </c>
      <c r="M27" s="40">
        <v>5000</v>
      </c>
      <c r="N27" s="52">
        <v>1000000</v>
      </c>
    </row>
    <row r="28" spans="1:14" ht="15" customHeight="1" x14ac:dyDescent="0.25">
      <c r="A28" s="64" t="str">
        <f t="shared" si="0"/>
        <v>0-22-0-TOU-2 year Fixed</v>
      </c>
      <c r="B28" s="37" t="s">
        <v>13</v>
      </c>
      <c r="C28" s="49">
        <v>22</v>
      </c>
      <c r="D28" s="2" t="s">
        <v>31</v>
      </c>
      <c r="E28" s="50" t="s">
        <v>87</v>
      </c>
      <c r="F28" s="38" t="s">
        <v>88</v>
      </c>
      <c r="G28" s="51">
        <v>0</v>
      </c>
      <c r="H28" s="2" t="s">
        <v>33</v>
      </c>
      <c r="I28" s="39">
        <v>0.81799999999999995</v>
      </c>
      <c r="J28" s="39">
        <v>0.15529999999999999</v>
      </c>
      <c r="K28" s="39">
        <v>0.12509999999999999</v>
      </c>
      <c r="L28" s="39">
        <v>9.8699999999999996E-2</v>
      </c>
      <c r="M28" s="40">
        <v>5000</v>
      </c>
      <c r="N28" s="52">
        <v>1000000</v>
      </c>
    </row>
    <row r="29" spans="1:14" ht="15" customHeight="1" x14ac:dyDescent="0.25">
      <c r="A29" s="64" t="str">
        <f t="shared" si="0"/>
        <v>0-23-0-TOU-2 year Fixed</v>
      </c>
      <c r="B29" s="37" t="s">
        <v>13</v>
      </c>
      <c r="C29" s="49">
        <v>23</v>
      </c>
      <c r="D29" s="2" t="s">
        <v>32</v>
      </c>
      <c r="E29" s="50" t="s">
        <v>87</v>
      </c>
      <c r="F29" s="38" t="s">
        <v>88</v>
      </c>
      <c r="G29" s="51">
        <v>0</v>
      </c>
      <c r="H29" s="2" t="s">
        <v>33</v>
      </c>
      <c r="I29" s="39">
        <v>0.82</v>
      </c>
      <c r="J29" s="39">
        <v>0.14709999999999998</v>
      </c>
      <c r="K29" s="39">
        <v>0.11840000000000001</v>
      </c>
      <c r="L29" s="39">
        <v>9.35E-2</v>
      </c>
      <c r="M29" s="40">
        <v>5000</v>
      </c>
      <c r="N29" s="52">
        <v>1000000</v>
      </c>
    </row>
    <row r="30" spans="1:14" ht="15" customHeight="1" x14ac:dyDescent="0.25">
      <c r="A30" s="64" t="str">
        <f t="shared" si="0"/>
        <v>0-10-0-TOU-2 year Reward</v>
      </c>
      <c r="B30" s="37" t="s">
        <v>13</v>
      </c>
      <c r="C30" s="49">
        <v>10</v>
      </c>
      <c r="D30" s="2" t="s">
        <v>14</v>
      </c>
      <c r="E30" s="50" t="s">
        <v>87</v>
      </c>
      <c r="F30" s="38" t="s">
        <v>88</v>
      </c>
      <c r="G30" s="51">
        <v>0</v>
      </c>
      <c r="H30" s="2" t="s">
        <v>68</v>
      </c>
      <c r="I30" s="39">
        <v>0.877</v>
      </c>
      <c r="J30" s="39">
        <v>0.15</v>
      </c>
      <c r="K30" s="39">
        <v>0.1208</v>
      </c>
      <c r="L30" s="39">
        <v>9.5399999999999999E-2</v>
      </c>
      <c r="M30" s="40">
        <v>5000</v>
      </c>
      <c r="N30" s="52">
        <v>1000000</v>
      </c>
    </row>
    <row r="31" spans="1:14" ht="15" customHeight="1" x14ac:dyDescent="0.25">
      <c r="A31" s="64" t="str">
        <f t="shared" si="0"/>
        <v>0-11-0-TOU-2 year Reward</v>
      </c>
      <c r="B31" s="37" t="s">
        <v>13</v>
      </c>
      <c r="C31" s="49">
        <v>11</v>
      </c>
      <c r="D31" s="2" t="s">
        <v>20</v>
      </c>
      <c r="E31" s="50" t="s">
        <v>87</v>
      </c>
      <c r="F31" s="38" t="s">
        <v>88</v>
      </c>
      <c r="G31" s="51">
        <v>0</v>
      </c>
      <c r="H31" s="2" t="s">
        <v>68</v>
      </c>
      <c r="I31" s="39">
        <v>0.85699999999999998</v>
      </c>
      <c r="J31" s="39">
        <v>0.15309999999999999</v>
      </c>
      <c r="K31" s="39">
        <v>0.12330000000000001</v>
      </c>
      <c r="L31" s="39">
        <v>9.7299999999999998E-2</v>
      </c>
      <c r="M31" s="40">
        <v>5000</v>
      </c>
      <c r="N31" s="52">
        <v>1000000</v>
      </c>
    </row>
    <row r="32" spans="1:14" ht="15" customHeight="1" x14ac:dyDescent="0.25">
      <c r="A32" s="64" t="str">
        <f t="shared" si="0"/>
        <v>0-12-0-TOU-2 year Reward</v>
      </c>
      <c r="B32" s="37" t="s">
        <v>13</v>
      </c>
      <c r="C32" s="49">
        <v>12</v>
      </c>
      <c r="D32" s="2" t="s">
        <v>21</v>
      </c>
      <c r="E32" s="50" t="s">
        <v>87</v>
      </c>
      <c r="F32" s="38" t="s">
        <v>88</v>
      </c>
      <c r="G32" s="51">
        <v>0</v>
      </c>
      <c r="H32" s="2" t="s">
        <v>68</v>
      </c>
      <c r="I32" s="39">
        <v>0.89900000000000002</v>
      </c>
      <c r="J32" s="39">
        <v>0.1497</v>
      </c>
      <c r="K32" s="39">
        <v>0.1205</v>
      </c>
      <c r="L32" s="39">
        <v>9.5100000000000004E-2</v>
      </c>
      <c r="M32" s="40">
        <v>5000</v>
      </c>
      <c r="N32" s="52">
        <v>1000000</v>
      </c>
    </row>
    <row r="33" spans="1:14" ht="15" customHeight="1" x14ac:dyDescent="0.25">
      <c r="A33" s="64" t="str">
        <f t="shared" si="0"/>
        <v>0-13-0-TOU-2 year Reward</v>
      </c>
      <c r="B33" s="37" t="s">
        <v>13</v>
      </c>
      <c r="C33" s="49">
        <v>13</v>
      </c>
      <c r="D33" s="2" t="s">
        <v>22</v>
      </c>
      <c r="E33" s="50" t="s">
        <v>87</v>
      </c>
      <c r="F33" s="38" t="s">
        <v>88</v>
      </c>
      <c r="G33" s="51">
        <v>0</v>
      </c>
      <c r="H33" s="2" t="s">
        <v>68</v>
      </c>
      <c r="I33" s="39">
        <v>0.877</v>
      </c>
      <c r="J33" s="39">
        <v>0.1628</v>
      </c>
      <c r="K33" s="39">
        <v>0.13109999999999999</v>
      </c>
      <c r="L33" s="39">
        <v>0.10350000000000001</v>
      </c>
      <c r="M33" s="40">
        <v>5000</v>
      </c>
      <c r="N33" s="52">
        <v>1000000</v>
      </c>
    </row>
    <row r="34" spans="1:14" ht="15" customHeight="1" x14ac:dyDescent="0.25">
      <c r="A34" s="64" t="str">
        <f t="shared" si="0"/>
        <v>0-14-0-TOU-2 year Reward</v>
      </c>
      <c r="B34" s="37" t="s">
        <v>13</v>
      </c>
      <c r="C34" s="49">
        <v>14</v>
      </c>
      <c r="D34" s="2" t="s">
        <v>23</v>
      </c>
      <c r="E34" s="50" t="s">
        <v>87</v>
      </c>
      <c r="F34" s="38" t="s">
        <v>88</v>
      </c>
      <c r="G34" s="51">
        <v>0</v>
      </c>
      <c r="H34" s="2" t="s">
        <v>68</v>
      </c>
      <c r="I34" s="39">
        <v>0.88600000000000001</v>
      </c>
      <c r="J34" s="39">
        <v>0.15419999999999998</v>
      </c>
      <c r="K34" s="39">
        <v>0.1241</v>
      </c>
      <c r="L34" s="39">
        <v>9.8000000000000004E-2</v>
      </c>
      <c r="M34" s="40">
        <v>5000</v>
      </c>
      <c r="N34" s="52">
        <v>1000000</v>
      </c>
    </row>
    <row r="35" spans="1:14" ht="15" customHeight="1" x14ac:dyDescent="0.25">
      <c r="A35" s="64" t="str">
        <f t="shared" si="0"/>
        <v>0-15-0-TOU-2 year Reward</v>
      </c>
      <c r="B35" s="37" t="s">
        <v>13</v>
      </c>
      <c r="C35" s="49">
        <v>15</v>
      </c>
      <c r="D35" s="2" t="s">
        <v>24</v>
      </c>
      <c r="E35" s="50" t="s">
        <v>87</v>
      </c>
      <c r="F35" s="38" t="s">
        <v>88</v>
      </c>
      <c r="G35" s="51">
        <v>0</v>
      </c>
      <c r="H35" s="2" t="s">
        <v>68</v>
      </c>
      <c r="I35" s="39">
        <v>0.95599999999999996</v>
      </c>
      <c r="J35" s="39">
        <v>0.15389999999999998</v>
      </c>
      <c r="K35" s="39">
        <v>0.1239</v>
      </c>
      <c r="L35" s="39">
        <v>9.7799999999999998E-2</v>
      </c>
      <c r="M35" s="40">
        <v>5000</v>
      </c>
      <c r="N35" s="52">
        <v>1000000</v>
      </c>
    </row>
    <row r="36" spans="1:14" ht="15" customHeight="1" x14ac:dyDescent="0.25">
      <c r="A36" s="64" t="str">
        <f t="shared" si="0"/>
        <v>0-16-0-TOU-2 year Reward</v>
      </c>
      <c r="B36" s="37" t="s">
        <v>13</v>
      </c>
      <c r="C36" s="49">
        <v>16</v>
      </c>
      <c r="D36" s="2" t="s">
        <v>25</v>
      </c>
      <c r="E36" s="50" t="s">
        <v>87</v>
      </c>
      <c r="F36" s="38" t="s">
        <v>88</v>
      </c>
      <c r="G36" s="51">
        <v>0</v>
      </c>
      <c r="H36" s="2" t="s">
        <v>68</v>
      </c>
      <c r="I36" s="39">
        <v>0.72399999999999998</v>
      </c>
      <c r="J36" s="39">
        <v>0.1532</v>
      </c>
      <c r="K36" s="39">
        <v>0.12340000000000001</v>
      </c>
      <c r="L36" s="39">
        <v>9.74E-2</v>
      </c>
      <c r="M36" s="40">
        <v>5000</v>
      </c>
      <c r="N36" s="52">
        <v>1000000</v>
      </c>
    </row>
    <row r="37" spans="1:14" ht="15" customHeight="1" x14ac:dyDescent="0.25">
      <c r="A37" s="64" t="str">
        <f t="shared" si="0"/>
        <v>0-17-0-TOU-2 year Reward</v>
      </c>
      <c r="B37" s="37" t="s">
        <v>13</v>
      </c>
      <c r="C37" s="49">
        <v>17</v>
      </c>
      <c r="D37" s="2" t="s">
        <v>26</v>
      </c>
      <c r="E37" s="50" t="s">
        <v>87</v>
      </c>
      <c r="F37" s="38" t="s">
        <v>88</v>
      </c>
      <c r="G37" s="51">
        <v>0</v>
      </c>
      <c r="H37" s="2" t="s">
        <v>68</v>
      </c>
      <c r="I37" s="39">
        <v>1.6619999999999999</v>
      </c>
      <c r="J37" s="39">
        <v>0.17219999999999999</v>
      </c>
      <c r="K37" s="39">
        <v>0.13869999999999999</v>
      </c>
      <c r="L37" s="39">
        <v>0.1095</v>
      </c>
      <c r="M37" s="40">
        <v>5000</v>
      </c>
      <c r="N37" s="52">
        <v>1000000</v>
      </c>
    </row>
    <row r="38" spans="1:14" ht="15" customHeight="1" x14ac:dyDescent="0.25">
      <c r="A38" s="64" t="str">
        <f t="shared" si="0"/>
        <v>0-18-0-TOU-2 year Reward</v>
      </c>
      <c r="B38" s="37" t="s">
        <v>13</v>
      </c>
      <c r="C38" s="49">
        <v>18</v>
      </c>
      <c r="D38" s="2" t="s">
        <v>27</v>
      </c>
      <c r="E38" s="50" t="s">
        <v>87</v>
      </c>
      <c r="F38" s="38" t="s">
        <v>88</v>
      </c>
      <c r="G38" s="51">
        <v>0</v>
      </c>
      <c r="H38" s="2" t="s">
        <v>68</v>
      </c>
      <c r="I38" s="39">
        <v>0.89500000000000002</v>
      </c>
      <c r="J38" s="39">
        <v>0.1527</v>
      </c>
      <c r="K38" s="39">
        <v>0.123</v>
      </c>
      <c r="L38" s="39">
        <v>9.7100000000000006E-2</v>
      </c>
      <c r="M38" s="40">
        <v>5000</v>
      </c>
      <c r="N38" s="52">
        <v>1000000</v>
      </c>
    </row>
    <row r="39" spans="1:14" ht="15" customHeight="1" x14ac:dyDescent="0.25">
      <c r="A39" s="64" t="str">
        <f t="shared" si="0"/>
        <v>0-19-0-TOU-2 year Reward</v>
      </c>
      <c r="B39" s="37" t="s">
        <v>13</v>
      </c>
      <c r="C39" s="49">
        <v>19</v>
      </c>
      <c r="D39" s="2" t="s">
        <v>28</v>
      </c>
      <c r="E39" s="50" t="s">
        <v>87</v>
      </c>
      <c r="F39" s="38" t="s">
        <v>88</v>
      </c>
      <c r="G39" s="51">
        <v>0</v>
      </c>
      <c r="H39" s="2" t="s">
        <v>68</v>
      </c>
      <c r="I39" s="39">
        <v>0.77400000000000002</v>
      </c>
      <c r="J39" s="39">
        <v>0.15159999999999998</v>
      </c>
      <c r="K39" s="39">
        <v>0.122</v>
      </c>
      <c r="L39" s="39">
        <v>9.6299999999999997E-2</v>
      </c>
      <c r="M39" s="40">
        <v>5000</v>
      </c>
      <c r="N39" s="52">
        <v>1000000</v>
      </c>
    </row>
    <row r="40" spans="1:14" ht="15" customHeight="1" x14ac:dyDescent="0.25">
      <c r="A40" s="64" t="str">
        <f t="shared" si="0"/>
        <v>0-20-0-TOU-2 year Reward</v>
      </c>
      <c r="B40" s="37" t="s">
        <v>13</v>
      </c>
      <c r="C40" s="49">
        <v>20</v>
      </c>
      <c r="D40" s="2" t="s">
        <v>29</v>
      </c>
      <c r="E40" s="50" t="s">
        <v>87</v>
      </c>
      <c r="F40" s="38" t="s">
        <v>88</v>
      </c>
      <c r="G40" s="51">
        <v>0</v>
      </c>
      <c r="H40" s="2" t="s">
        <v>68</v>
      </c>
      <c r="I40" s="39">
        <v>0.82299999999999995</v>
      </c>
      <c r="J40" s="39">
        <v>0.1517</v>
      </c>
      <c r="K40" s="39">
        <v>0.1221</v>
      </c>
      <c r="L40" s="39">
        <v>9.64E-2</v>
      </c>
      <c r="M40" s="40">
        <v>5000</v>
      </c>
      <c r="N40" s="52">
        <v>1000000</v>
      </c>
    </row>
    <row r="41" spans="1:14" ht="15" customHeight="1" x14ac:dyDescent="0.25">
      <c r="A41" s="64" t="str">
        <f t="shared" si="0"/>
        <v>0-21-0-TOU-2 year Reward</v>
      </c>
      <c r="B41" s="37" t="s">
        <v>13</v>
      </c>
      <c r="C41" s="49">
        <v>21</v>
      </c>
      <c r="D41" s="2" t="s">
        <v>30</v>
      </c>
      <c r="E41" s="50" t="s">
        <v>87</v>
      </c>
      <c r="F41" s="38" t="s">
        <v>88</v>
      </c>
      <c r="G41" s="51">
        <v>0</v>
      </c>
      <c r="H41" s="2" t="s">
        <v>68</v>
      </c>
      <c r="I41" s="39">
        <v>0.91900000000000004</v>
      </c>
      <c r="J41" s="39">
        <v>0.1618</v>
      </c>
      <c r="K41" s="39">
        <v>0.1303</v>
      </c>
      <c r="L41" s="39">
        <v>0.10290000000000001</v>
      </c>
      <c r="M41" s="40">
        <v>5000</v>
      </c>
      <c r="N41" s="52">
        <v>1000000</v>
      </c>
    </row>
    <row r="42" spans="1:14" ht="15" customHeight="1" x14ac:dyDescent="0.25">
      <c r="A42" s="64" t="str">
        <f t="shared" si="0"/>
        <v>0-22-0-TOU-2 year Reward</v>
      </c>
      <c r="B42" s="37" t="s">
        <v>13</v>
      </c>
      <c r="C42" s="49">
        <v>22</v>
      </c>
      <c r="D42" s="2" t="s">
        <v>31</v>
      </c>
      <c r="E42" s="50" t="s">
        <v>87</v>
      </c>
      <c r="F42" s="38" t="s">
        <v>88</v>
      </c>
      <c r="G42" s="51">
        <v>0</v>
      </c>
      <c r="H42" s="2" t="s">
        <v>68</v>
      </c>
      <c r="I42" s="39">
        <v>0.9</v>
      </c>
      <c r="J42" s="39">
        <v>0.16239999999999999</v>
      </c>
      <c r="K42" s="39">
        <v>0.1308</v>
      </c>
      <c r="L42" s="39">
        <v>0.1032</v>
      </c>
      <c r="M42" s="40">
        <v>5000</v>
      </c>
      <c r="N42" s="52">
        <v>1000000</v>
      </c>
    </row>
    <row r="43" spans="1:14" ht="15" customHeight="1" x14ac:dyDescent="0.25">
      <c r="A43" s="64" t="str">
        <f t="shared" si="0"/>
        <v>0-23-0-TOU-2 year Reward</v>
      </c>
      <c r="B43" s="37" t="s">
        <v>13</v>
      </c>
      <c r="C43" s="49">
        <v>23</v>
      </c>
      <c r="D43" s="2" t="s">
        <v>32</v>
      </c>
      <c r="E43" s="50" t="s">
        <v>87</v>
      </c>
      <c r="F43" s="38" t="s">
        <v>88</v>
      </c>
      <c r="G43" s="51">
        <v>0</v>
      </c>
      <c r="H43" s="2" t="s">
        <v>68</v>
      </c>
      <c r="I43" s="39">
        <v>0.90200000000000002</v>
      </c>
      <c r="J43" s="39">
        <v>0.15419999999999998</v>
      </c>
      <c r="K43" s="39">
        <v>0.1241</v>
      </c>
      <c r="L43" s="39">
        <v>9.8000000000000004E-2</v>
      </c>
      <c r="M43" s="40">
        <v>5000</v>
      </c>
      <c r="N43" s="52">
        <v>1000000</v>
      </c>
    </row>
    <row r="44" spans="1:14" ht="15" customHeight="1" x14ac:dyDescent="0.25">
      <c r="A44" s="64" t="str">
        <f t="shared" si="0"/>
        <v>0-10-0-TOU-2 year Reward Plus</v>
      </c>
      <c r="B44" s="37" t="s">
        <v>13</v>
      </c>
      <c r="C44" s="49">
        <v>10</v>
      </c>
      <c r="D44" s="2" t="s">
        <v>14</v>
      </c>
      <c r="E44" s="50" t="s">
        <v>87</v>
      </c>
      <c r="F44" s="38" t="s">
        <v>88</v>
      </c>
      <c r="G44" s="51">
        <v>0</v>
      </c>
      <c r="H44" s="2" t="s">
        <v>69</v>
      </c>
      <c r="I44" s="39">
        <v>0.88100000000000001</v>
      </c>
      <c r="J44" s="39">
        <v>0.15469999999999998</v>
      </c>
      <c r="K44" s="39">
        <v>0.1246</v>
      </c>
      <c r="L44" s="39">
        <v>9.8400000000000001E-2</v>
      </c>
      <c r="M44" s="40">
        <v>5000</v>
      </c>
      <c r="N44" s="52">
        <v>1000000</v>
      </c>
    </row>
    <row r="45" spans="1:14" ht="15" customHeight="1" x14ac:dyDescent="0.25">
      <c r="A45" s="64" t="str">
        <f t="shared" si="0"/>
        <v>0-11-0-TOU-2 year Reward Plus</v>
      </c>
      <c r="B45" s="37" t="s">
        <v>13</v>
      </c>
      <c r="C45" s="49">
        <v>11</v>
      </c>
      <c r="D45" s="2" t="s">
        <v>20</v>
      </c>
      <c r="E45" s="50" t="s">
        <v>87</v>
      </c>
      <c r="F45" s="38" t="s">
        <v>88</v>
      </c>
      <c r="G45" s="51">
        <v>0</v>
      </c>
      <c r="H45" s="2" t="s">
        <v>69</v>
      </c>
      <c r="I45" s="39">
        <v>0.86099999999999999</v>
      </c>
      <c r="J45" s="39">
        <v>0.1578</v>
      </c>
      <c r="K45" s="39">
        <v>0.12709999999999999</v>
      </c>
      <c r="L45" s="39">
        <v>0.1003</v>
      </c>
      <c r="M45" s="40">
        <v>5000</v>
      </c>
      <c r="N45" s="52">
        <v>1000000</v>
      </c>
    </row>
    <row r="46" spans="1:14" ht="15" customHeight="1" x14ac:dyDescent="0.25">
      <c r="A46" s="64" t="str">
        <f t="shared" si="0"/>
        <v>0-12-0-TOU-2 year Reward Plus</v>
      </c>
      <c r="B46" s="37" t="s">
        <v>13</v>
      </c>
      <c r="C46" s="49">
        <v>12</v>
      </c>
      <c r="D46" s="2" t="s">
        <v>21</v>
      </c>
      <c r="E46" s="50" t="s">
        <v>87</v>
      </c>
      <c r="F46" s="38" t="s">
        <v>88</v>
      </c>
      <c r="G46" s="51">
        <v>0</v>
      </c>
      <c r="H46" s="2" t="s">
        <v>69</v>
      </c>
      <c r="I46" s="39">
        <v>0.90300000000000002</v>
      </c>
      <c r="J46" s="39">
        <v>0.15439999999999998</v>
      </c>
      <c r="K46" s="39">
        <v>0.12430000000000001</v>
      </c>
      <c r="L46" s="39">
        <v>9.8100000000000007E-2</v>
      </c>
      <c r="M46" s="40">
        <v>5000</v>
      </c>
      <c r="N46" s="52">
        <v>1000000</v>
      </c>
    </row>
    <row r="47" spans="1:14" ht="15" customHeight="1" x14ac:dyDescent="0.25">
      <c r="A47" s="64" t="str">
        <f t="shared" si="0"/>
        <v>0-13-0-TOU-2 year Reward Plus</v>
      </c>
      <c r="B47" s="37" t="s">
        <v>13</v>
      </c>
      <c r="C47" s="49">
        <v>13</v>
      </c>
      <c r="D47" s="2" t="s">
        <v>22</v>
      </c>
      <c r="E47" s="50" t="s">
        <v>87</v>
      </c>
      <c r="F47" s="38" t="s">
        <v>88</v>
      </c>
      <c r="G47" s="51">
        <v>0</v>
      </c>
      <c r="H47" s="2" t="s">
        <v>69</v>
      </c>
      <c r="I47" s="39">
        <v>0.88100000000000001</v>
      </c>
      <c r="J47" s="39">
        <v>0.16749999999999998</v>
      </c>
      <c r="K47" s="39">
        <v>0.13489999999999999</v>
      </c>
      <c r="L47" s="39">
        <v>0.1065</v>
      </c>
      <c r="M47" s="40">
        <v>5000</v>
      </c>
      <c r="N47" s="52">
        <v>1000000</v>
      </c>
    </row>
    <row r="48" spans="1:14" ht="15" customHeight="1" x14ac:dyDescent="0.25">
      <c r="A48" s="64" t="str">
        <f t="shared" si="0"/>
        <v>0-14-0-TOU-2 year Reward Plus</v>
      </c>
      <c r="B48" s="37" t="s">
        <v>13</v>
      </c>
      <c r="C48" s="49">
        <v>14</v>
      </c>
      <c r="D48" s="2" t="s">
        <v>23</v>
      </c>
      <c r="E48" s="50" t="s">
        <v>87</v>
      </c>
      <c r="F48" s="38" t="s">
        <v>88</v>
      </c>
      <c r="G48" s="51">
        <v>0</v>
      </c>
      <c r="H48" s="2" t="s">
        <v>69</v>
      </c>
      <c r="I48" s="39">
        <v>0.89</v>
      </c>
      <c r="J48" s="39">
        <v>0.15889999999999999</v>
      </c>
      <c r="K48" s="39">
        <v>0.12789999999999999</v>
      </c>
      <c r="L48" s="39">
        <v>0.10100000000000001</v>
      </c>
      <c r="M48" s="40">
        <v>5000</v>
      </c>
      <c r="N48" s="52">
        <v>1000000</v>
      </c>
    </row>
    <row r="49" spans="1:14" ht="15" customHeight="1" x14ac:dyDescent="0.25">
      <c r="A49" s="64" t="str">
        <f t="shared" si="0"/>
        <v>0-15-0-TOU-2 year Reward Plus</v>
      </c>
      <c r="B49" s="37" t="s">
        <v>13</v>
      </c>
      <c r="C49" s="49">
        <v>15</v>
      </c>
      <c r="D49" s="2" t="s">
        <v>24</v>
      </c>
      <c r="E49" s="50" t="s">
        <v>87</v>
      </c>
      <c r="F49" s="38" t="s">
        <v>88</v>
      </c>
      <c r="G49" s="51">
        <v>0</v>
      </c>
      <c r="H49" s="2" t="s">
        <v>69</v>
      </c>
      <c r="I49" s="39">
        <v>0.96</v>
      </c>
      <c r="J49" s="39">
        <v>0.15859999999999999</v>
      </c>
      <c r="K49" s="39">
        <v>0.12769999999999998</v>
      </c>
      <c r="L49" s="39">
        <v>0.1008</v>
      </c>
      <c r="M49" s="40">
        <v>5000</v>
      </c>
      <c r="N49" s="52">
        <v>1000000</v>
      </c>
    </row>
    <row r="50" spans="1:14" ht="15" customHeight="1" x14ac:dyDescent="0.25">
      <c r="A50" s="64" t="str">
        <f t="shared" si="0"/>
        <v>0-16-0-TOU-2 year Reward Plus</v>
      </c>
      <c r="B50" s="37" t="s">
        <v>13</v>
      </c>
      <c r="C50" s="49">
        <v>16</v>
      </c>
      <c r="D50" s="2" t="s">
        <v>25</v>
      </c>
      <c r="E50" s="50" t="s">
        <v>87</v>
      </c>
      <c r="F50" s="38" t="s">
        <v>88</v>
      </c>
      <c r="G50" s="51">
        <v>0</v>
      </c>
      <c r="H50" s="2" t="s">
        <v>69</v>
      </c>
      <c r="I50" s="39">
        <v>0.72699999999999998</v>
      </c>
      <c r="J50" s="39">
        <v>0.15789999999999998</v>
      </c>
      <c r="K50" s="39">
        <v>0.12719999999999998</v>
      </c>
      <c r="L50" s="39">
        <v>0.1004</v>
      </c>
      <c r="M50" s="40">
        <v>5000</v>
      </c>
      <c r="N50" s="52">
        <v>1000000</v>
      </c>
    </row>
    <row r="51" spans="1:14" ht="15" customHeight="1" x14ac:dyDescent="0.25">
      <c r="A51" s="64" t="str">
        <f t="shared" si="0"/>
        <v>0-17-0-TOU-2 year Reward Plus</v>
      </c>
      <c r="B51" s="37" t="s">
        <v>13</v>
      </c>
      <c r="C51" s="49">
        <v>17</v>
      </c>
      <c r="D51" s="2" t="s">
        <v>26</v>
      </c>
      <c r="E51" s="50" t="s">
        <v>87</v>
      </c>
      <c r="F51" s="38" t="s">
        <v>88</v>
      </c>
      <c r="G51" s="51">
        <v>0</v>
      </c>
      <c r="H51" s="2" t="s">
        <v>69</v>
      </c>
      <c r="I51" s="39">
        <v>1.67</v>
      </c>
      <c r="J51" s="39">
        <v>0.1769</v>
      </c>
      <c r="K51" s="39">
        <v>0.14249999999999999</v>
      </c>
      <c r="L51" s="39">
        <v>0.1125</v>
      </c>
      <c r="M51" s="40">
        <v>5000</v>
      </c>
      <c r="N51" s="52">
        <v>1000000</v>
      </c>
    </row>
    <row r="52" spans="1:14" ht="15" customHeight="1" x14ac:dyDescent="0.25">
      <c r="A52" s="64" t="str">
        <f t="shared" si="0"/>
        <v>0-18-0-TOU-2 year Reward Plus</v>
      </c>
      <c r="B52" s="37" t="s">
        <v>13</v>
      </c>
      <c r="C52" s="49">
        <v>18</v>
      </c>
      <c r="D52" s="2" t="s">
        <v>27</v>
      </c>
      <c r="E52" s="50" t="s">
        <v>87</v>
      </c>
      <c r="F52" s="38" t="s">
        <v>88</v>
      </c>
      <c r="G52" s="51">
        <v>0</v>
      </c>
      <c r="H52" s="2" t="s">
        <v>69</v>
      </c>
      <c r="I52" s="39">
        <v>0.89900000000000002</v>
      </c>
      <c r="J52" s="39">
        <v>0.1575</v>
      </c>
      <c r="K52" s="39">
        <v>0.1268</v>
      </c>
      <c r="L52" s="39">
        <v>0.10010000000000001</v>
      </c>
      <c r="M52" s="40">
        <v>5000</v>
      </c>
      <c r="N52" s="52">
        <v>1000000</v>
      </c>
    </row>
    <row r="53" spans="1:14" ht="15" customHeight="1" x14ac:dyDescent="0.25">
      <c r="A53" s="64" t="str">
        <f t="shared" si="0"/>
        <v>0-19-0-TOU-2 year Reward Plus</v>
      </c>
      <c r="B53" s="37" t="s">
        <v>13</v>
      </c>
      <c r="C53" s="49">
        <v>19</v>
      </c>
      <c r="D53" s="2" t="s">
        <v>28</v>
      </c>
      <c r="E53" s="50" t="s">
        <v>87</v>
      </c>
      <c r="F53" s="38" t="s">
        <v>88</v>
      </c>
      <c r="G53" s="51">
        <v>0</v>
      </c>
      <c r="H53" s="2" t="s">
        <v>69</v>
      </c>
      <c r="I53" s="39">
        <v>0.77800000000000002</v>
      </c>
      <c r="J53" s="39">
        <v>0.15629999999999999</v>
      </c>
      <c r="K53" s="39">
        <v>0.1258</v>
      </c>
      <c r="L53" s="39">
        <v>9.9299999999999999E-2</v>
      </c>
      <c r="M53" s="40">
        <v>5000</v>
      </c>
      <c r="N53" s="52">
        <v>1000000</v>
      </c>
    </row>
    <row r="54" spans="1:14" ht="15" customHeight="1" x14ac:dyDescent="0.25">
      <c r="A54" s="64" t="str">
        <f t="shared" si="0"/>
        <v>0-20-0-TOU-2 year Reward Plus</v>
      </c>
      <c r="B54" s="37" t="s">
        <v>13</v>
      </c>
      <c r="C54" s="49">
        <v>20</v>
      </c>
      <c r="D54" s="2" t="s">
        <v>29</v>
      </c>
      <c r="E54" s="50" t="s">
        <v>87</v>
      </c>
      <c r="F54" s="38" t="s">
        <v>88</v>
      </c>
      <c r="G54" s="51">
        <v>0</v>
      </c>
      <c r="H54" s="2" t="s">
        <v>69</v>
      </c>
      <c r="I54" s="39">
        <v>0.82699999999999996</v>
      </c>
      <c r="J54" s="39">
        <v>0.15639999999999998</v>
      </c>
      <c r="K54" s="39">
        <v>0.12589999999999998</v>
      </c>
      <c r="L54" s="39">
        <v>9.9400000000000002E-2</v>
      </c>
      <c r="M54" s="40">
        <v>5000</v>
      </c>
      <c r="N54" s="52">
        <v>1000000</v>
      </c>
    </row>
    <row r="55" spans="1:14" ht="15" customHeight="1" x14ac:dyDescent="0.25">
      <c r="A55" s="64" t="str">
        <f t="shared" si="0"/>
        <v>0-21-0-TOU-2 year Reward Plus</v>
      </c>
      <c r="B55" s="37" t="s">
        <v>13</v>
      </c>
      <c r="C55" s="49">
        <v>21</v>
      </c>
      <c r="D55" s="2" t="s">
        <v>30</v>
      </c>
      <c r="E55" s="50" t="s">
        <v>87</v>
      </c>
      <c r="F55" s="38" t="s">
        <v>88</v>
      </c>
      <c r="G55" s="51">
        <v>0</v>
      </c>
      <c r="H55" s="2" t="s">
        <v>69</v>
      </c>
      <c r="I55" s="39">
        <v>0.92300000000000004</v>
      </c>
      <c r="J55" s="39">
        <v>0.16649999999999998</v>
      </c>
      <c r="K55" s="39">
        <v>0.1341</v>
      </c>
      <c r="L55" s="39">
        <v>0.10590000000000001</v>
      </c>
      <c r="M55" s="40">
        <v>5000</v>
      </c>
      <c r="N55" s="52">
        <v>1000000</v>
      </c>
    </row>
    <row r="56" spans="1:14" ht="15" customHeight="1" x14ac:dyDescent="0.25">
      <c r="A56" s="64" t="str">
        <f t="shared" si="0"/>
        <v>0-22-0-TOU-2 year Reward Plus</v>
      </c>
      <c r="B56" s="37" t="s">
        <v>13</v>
      </c>
      <c r="C56" s="49">
        <v>22</v>
      </c>
      <c r="D56" s="2" t="s">
        <v>31</v>
      </c>
      <c r="E56" s="50" t="s">
        <v>87</v>
      </c>
      <c r="F56" s="38" t="s">
        <v>88</v>
      </c>
      <c r="G56" s="51">
        <v>0</v>
      </c>
      <c r="H56" s="2" t="s">
        <v>69</v>
      </c>
      <c r="I56" s="39">
        <v>0.90400000000000003</v>
      </c>
      <c r="J56" s="39">
        <v>0.1671</v>
      </c>
      <c r="K56" s="39">
        <v>0.1346</v>
      </c>
      <c r="L56" s="39">
        <v>0.1062</v>
      </c>
      <c r="M56" s="40">
        <v>5000</v>
      </c>
      <c r="N56" s="52">
        <v>1000000</v>
      </c>
    </row>
    <row r="57" spans="1:14" ht="15" customHeight="1" x14ac:dyDescent="0.25">
      <c r="A57" s="64" t="str">
        <f t="shared" si="0"/>
        <v>0-23-0-TOU-2 year Reward Plus</v>
      </c>
      <c r="B57" s="37" t="s">
        <v>13</v>
      </c>
      <c r="C57" s="49">
        <v>23</v>
      </c>
      <c r="D57" s="2" t="s">
        <v>32</v>
      </c>
      <c r="E57" s="50" t="s">
        <v>87</v>
      </c>
      <c r="F57" s="38" t="s">
        <v>88</v>
      </c>
      <c r="G57" s="51">
        <v>0</v>
      </c>
      <c r="H57" s="2" t="s">
        <v>69</v>
      </c>
      <c r="I57" s="39">
        <v>0.90600000000000003</v>
      </c>
      <c r="J57" s="39">
        <v>0.15889999999999999</v>
      </c>
      <c r="K57" s="39">
        <v>0.12789999999999999</v>
      </c>
      <c r="L57" s="39">
        <v>0.10100000000000001</v>
      </c>
      <c r="M57" s="40">
        <v>5000</v>
      </c>
      <c r="N57" s="52">
        <v>1000000</v>
      </c>
    </row>
    <row r="58" spans="1:14" ht="15" customHeight="1" x14ac:dyDescent="0.25">
      <c r="A58" s="64" t="str">
        <f t="shared" si="0"/>
        <v>0-10-0-TOU-3 year APR - Reward</v>
      </c>
      <c r="B58" s="37" t="s">
        <v>13</v>
      </c>
      <c r="C58" s="49">
        <v>10</v>
      </c>
      <c r="D58" s="2" t="s">
        <v>14</v>
      </c>
      <c r="E58" s="50" t="s">
        <v>87</v>
      </c>
      <c r="F58" s="38" t="s">
        <v>88</v>
      </c>
      <c r="G58" s="51">
        <v>0</v>
      </c>
      <c r="H58" s="2" t="s">
        <v>70</v>
      </c>
      <c r="I58" s="39">
        <v>0.877</v>
      </c>
      <c r="J58" s="39">
        <v>0.14069999999999999</v>
      </c>
      <c r="K58" s="39">
        <v>0.1133</v>
      </c>
      <c r="L58" s="39">
        <v>8.9399999999999993E-2</v>
      </c>
      <c r="M58" s="40">
        <v>5000</v>
      </c>
      <c r="N58" s="52">
        <v>1000000</v>
      </c>
    </row>
    <row r="59" spans="1:14" ht="15" customHeight="1" x14ac:dyDescent="0.25">
      <c r="A59" s="64" t="str">
        <f t="shared" si="0"/>
        <v>0-11-0-TOU-3 year APR - Reward</v>
      </c>
      <c r="B59" s="37" t="s">
        <v>13</v>
      </c>
      <c r="C59" s="49">
        <v>11</v>
      </c>
      <c r="D59" s="2" t="s">
        <v>20</v>
      </c>
      <c r="E59" s="50" t="s">
        <v>87</v>
      </c>
      <c r="F59" s="38" t="s">
        <v>88</v>
      </c>
      <c r="G59" s="51">
        <v>0</v>
      </c>
      <c r="H59" s="2" t="s">
        <v>70</v>
      </c>
      <c r="I59" s="39">
        <v>0.85699999999999998</v>
      </c>
      <c r="J59" s="39">
        <v>0.1429</v>
      </c>
      <c r="K59" s="39">
        <v>0.11510000000000001</v>
      </c>
      <c r="L59" s="39">
        <v>9.0900000000000009E-2</v>
      </c>
      <c r="M59" s="40">
        <v>5000</v>
      </c>
      <c r="N59" s="52">
        <v>1000000</v>
      </c>
    </row>
    <row r="60" spans="1:14" ht="15" customHeight="1" x14ac:dyDescent="0.25">
      <c r="A60" s="64" t="str">
        <f t="shared" si="0"/>
        <v>0-12-0-TOU-3 year APR - Reward</v>
      </c>
      <c r="B60" s="37" t="s">
        <v>13</v>
      </c>
      <c r="C60" s="49">
        <v>12</v>
      </c>
      <c r="D60" s="2" t="s">
        <v>21</v>
      </c>
      <c r="E60" s="50" t="s">
        <v>87</v>
      </c>
      <c r="F60" s="38" t="s">
        <v>88</v>
      </c>
      <c r="G60" s="51">
        <v>0</v>
      </c>
      <c r="H60" s="2" t="s">
        <v>70</v>
      </c>
      <c r="I60" s="39">
        <v>0.89900000000000002</v>
      </c>
      <c r="J60" s="39">
        <v>0.14019999999999999</v>
      </c>
      <c r="K60" s="39">
        <v>0.1129</v>
      </c>
      <c r="L60" s="39">
        <v>8.9099999999999999E-2</v>
      </c>
      <c r="M60" s="40">
        <v>5000</v>
      </c>
      <c r="N60" s="52">
        <v>1000000</v>
      </c>
    </row>
    <row r="61" spans="1:14" ht="15" customHeight="1" x14ac:dyDescent="0.25">
      <c r="A61" s="64" t="str">
        <f t="shared" si="0"/>
        <v>0-13-0-TOU-3 year APR - Reward</v>
      </c>
      <c r="B61" s="37" t="s">
        <v>13</v>
      </c>
      <c r="C61" s="49">
        <v>13</v>
      </c>
      <c r="D61" s="2" t="s">
        <v>22</v>
      </c>
      <c r="E61" s="50" t="s">
        <v>87</v>
      </c>
      <c r="F61" s="38" t="s">
        <v>88</v>
      </c>
      <c r="G61" s="51">
        <v>0</v>
      </c>
      <c r="H61" s="2" t="s">
        <v>70</v>
      </c>
      <c r="I61" s="39">
        <v>0.877</v>
      </c>
      <c r="J61" s="39">
        <v>0.15239999999999998</v>
      </c>
      <c r="K61" s="39">
        <v>0.1227</v>
      </c>
      <c r="L61" s="39">
        <v>9.69E-2</v>
      </c>
      <c r="M61" s="40">
        <v>5000</v>
      </c>
      <c r="N61" s="52">
        <v>1000000</v>
      </c>
    </row>
    <row r="62" spans="1:14" ht="15" customHeight="1" x14ac:dyDescent="0.25">
      <c r="A62" s="64" t="str">
        <f t="shared" si="0"/>
        <v>0-14-0-TOU-3 year APR - Reward</v>
      </c>
      <c r="B62" s="37" t="s">
        <v>13</v>
      </c>
      <c r="C62" s="49">
        <v>14</v>
      </c>
      <c r="D62" s="2" t="s">
        <v>23</v>
      </c>
      <c r="E62" s="50" t="s">
        <v>87</v>
      </c>
      <c r="F62" s="38" t="s">
        <v>88</v>
      </c>
      <c r="G62" s="51">
        <v>0</v>
      </c>
      <c r="H62" s="2" t="s">
        <v>70</v>
      </c>
      <c r="I62" s="39">
        <v>0.88600000000000001</v>
      </c>
      <c r="J62" s="39">
        <v>0.1439</v>
      </c>
      <c r="K62" s="39">
        <v>0.1159</v>
      </c>
      <c r="L62" s="39">
        <v>9.1499999999999998E-2</v>
      </c>
      <c r="M62" s="40">
        <v>5000</v>
      </c>
      <c r="N62" s="52">
        <v>1000000</v>
      </c>
    </row>
    <row r="63" spans="1:14" ht="15" customHeight="1" x14ac:dyDescent="0.25">
      <c r="A63" s="64" t="str">
        <f t="shared" si="0"/>
        <v>0-15-0-TOU-3 year APR - Reward</v>
      </c>
      <c r="B63" s="37" t="s">
        <v>13</v>
      </c>
      <c r="C63" s="49">
        <v>15</v>
      </c>
      <c r="D63" s="2" t="s">
        <v>24</v>
      </c>
      <c r="E63" s="50" t="s">
        <v>87</v>
      </c>
      <c r="F63" s="38" t="s">
        <v>88</v>
      </c>
      <c r="G63" s="51">
        <v>0</v>
      </c>
      <c r="H63" s="2" t="s">
        <v>70</v>
      </c>
      <c r="I63" s="39">
        <v>0.95599999999999996</v>
      </c>
      <c r="J63" s="39">
        <v>0.1447</v>
      </c>
      <c r="K63" s="39">
        <v>0.11650000000000001</v>
      </c>
      <c r="L63" s="39">
        <v>9.1999999999999998E-2</v>
      </c>
      <c r="M63" s="40">
        <v>5000</v>
      </c>
      <c r="N63" s="52">
        <v>1000000</v>
      </c>
    </row>
    <row r="64" spans="1:14" ht="15" customHeight="1" x14ac:dyDescent="0.25">
      <c r="A64" s="64" t="str">
        <f t="shared" si="0"/>
        <v>0-16-0-TOU-3 year APR - Reward</v>
      </c>
      <c r="B64" s="37" t="s">
        <v>13</v>
      </c>
      <c r="C64" s="49">
        <v>16</v>
      </c>
      <c r="D64" s="2" t="s">
        <v>25</v>
      </c>
      <c r="E64" s="50" t="s">
        <v>87</v>
      </c>
      <c r="F64" s="38" t="s">
        <v>88</v>
      </c>
      <c r="G64" s="51">
        <v>0</v>
      </c>
      <c r="H64" s="2" t="s">
        <v>70</v>
      </c>
      <c r="I64" s="39">
        <v>0.72399999999999998</v>
      </c>
      <c r="J64" s="39">
        <v>0.14349999999999999</v>
      </c>
      <c r="K64" s="39">
        <v>0.11560000000000001</v>
      </c>
      <c r="L64" s="39">
        <v>9.1200000000000003E-2</v>
      </c>
      <c r="M64" s="40">
        <v>5000</v>
      </c>
      <c r="N64" s="52">
        <v>1000000</v>
      </c>
    </row>
    <row r="65" spans="1:14" ht="15" customHeight="1" x14ac:dyDescent="0.25">
      <c r="A65" s="64" t="str">
        <f t="shared" si="0"/>
        <v>0-17-0-TOU-3 year APR - Reward</v>
      </c>
      <c r="B65" s="37" t="s">
        <v>13</v>
      </c>
      <c r="C65" s="49">
        <v>17</v>
      </c>
      <c r="D65" s="2" t="s">
        <v>26</v>
      </c>
      <c r="E65" s="50" t="s">
        <v>87</v>
      </c>
      <c r="F65" s="38" t="s">
        <v>88</v>
      </c>
      <c r="G65" s="51">
        <v>0</v>
      </c>
      <c r="H65" s="2" t="s">
        <v>70</v>
      </c>
      <c r="I65" s="39">
        <v>1.4770000000000001</v>
      </c>
      <c r="J65" s="39">
        <v>0.16189999999999999</v>
      </c>
      <c r="K65" s="39">
        <v>0.13039999999999999</v>
      </c>
      <c r="L65" s="39">
        <v>0.10290000000000001</v>
      </c>
      <c r="M65" s="40">
        <v>5000</v>
      </c>
      <c r="N65" s="52">
        <v>1000000</v>
      </c>
    </row>
    <row r="66" spans="1:14" ht="15" customHeight="1" x14ac:dyDescent="0.25">
      <c r="A66" s="64" t="str">
        <f t="shared" si="0"/>
        <v>0-18-0-TOU-3 year APR - Reward</v>
      </c>
      <c r="B66" s="37" t="s">
        <v>13</v>
      </c>
      <c r="C66" s="49">
        <v>18</v>
      </c>
      <c r="D66" s="2" t="s">
        <v>27</v>
      </c>
      <c r="E66" s="50" t="s">
        <v>87</v>
      </c>
      <c r="F66" s="38" t="s">
        <v>88</v>
      </c>
      <c r="G66" s="51">
        <v>0</v>
      </c>
      <c r="H66" s="2" t="s">
        <v>70</v>
      </c>
      <c r="I66" s="39">
        <v>0.89500000000000002</v>
      </c>
      <c r="J66" s="39">
        <v>0.14269999999999999</v>
      </c>
      <c r="K66" s="39">
        <v>0.1149</v>
      </c>
      <c r="L66" s="39">
        <v>9.0700000000000003E-2</v>
      </c>
      <c r="M66" s="40">
        <v>5000</v>
      </c>
      <c r="N66" s="52">
        <v>1000000</v>
      </c>
    </row>
    <row r="67" spans="1:14" ht="15" customHeight="1" x14ac:dyDescent="0.25">
      <c r="A67" s="64" t="str">
        <f t="shared" ref="A67:A130" si="1">IF(E67="OP","",CONCATENATE(G67,"-",C67,"-",RIGHT(F67,1),"-",E67,"-",H67))</f>
        <v>0-19-0-TOU-3 year APR - Reward</v>
      </c>
      <c r="B67" s="37" t="s">
        <v>13</v>
      </c>
      <c r="C67" s="49">
        <v>19</v>
      </c>
      <c r="D67" s="2" t="s">
        <v>28</v>
      </c>
      <c r="E67" s="50" t="s">
        <v>87</v>
      </c>
      <c r="F67" s="38" t="s">
        <v>88</v>
      </c>
      <c r="G67" s="51">
        <v>0</v>
      </c>
      <c r="H67" s="2" t="s">
        <v>70</v>
      </c>
      <c r="I67" s="39">
        <v>0.77400000000000002</v>
      </c>
      <c r="J67" s="39">
        <v>0.1419</v>
      </c>
      <c r="K67" s="39">
        <v>0.1142</v>
      </c>
      <c r="L67" s="39">
        <v>9.0200000000000002E-2</v>
      </c>
      <c r="M67" s="40">
        <v>5000</v>
      </c>
      <c r="N67" s="52">
        <v>1000000</v>
      </c>
    </row>
    <row r="68" spans="1:14" ht="15" customHeight="1" x14ac:dyDescent="0.25">
      <c r="A68" s="64" t="str">
        <f t="shared" si="1"/>
        <v>0-20-0-TOU-3 year APR - Reward</v>
      </c>
      <c r="B68" s="37" t="s">
        <v>13</v>
      </c>
      <c r="C68" s="49">
        <v>20</v>
      </c>
      <c r="D68" s="2" t="s">
        <v>29</v>
      </c>
      <c r="E68" s="50" t="s">
        <v>87</v>
      </c>
      <c r="F68" s="38" t="s">
        <v>88</v>
      </c>
      <c r="G68" s="51">
        <v>0</v>
      </c>
      <c r="H68" s="2" t="s">
        <v>70</v>
      </c>
      <c r="I68" s="39">
        <v>0.82299999999999995</v>
      </c>
      <c r="J68" s="39">
        <v>0.14149999999999999</v>
      </c>
      <c r="K68" s="39">
        <v>0.114</v>
      </c>
      <c r="L68" s="39">
        <v>0.09</v>
      </c>
      <c r="M68" s="40">
        <v>5000</v>
      </c>
      <c r="N68" s="52">
        <v>1000000</v>
      </c>
    </row>
    <row r="69" spans="1:14" ht="15" customHeight="1" x14ac:dyDescent="0.25">
      <c r="A69" s="64" t="str">
        <f t="shared" si="1"/>
        <v>0-21-0-TOU-3 year APR - Reward</v>
      </c>
      <c r="B69" s="37" t="s">
        <v>13</v>
      </c>
      <c r="C69" s="49">
        <v>21</v>
      </c>
      <c r="D69" s="2" t="s">
        <v>30</v>
      </c>
      <c r="E69" s="50" t="s">
        <v>87</v>
      </c>
      <c r="F69" s="38" t="s">
        <v>88</v>
      </c>
      <c r="G69" s="51">
        <v>0</v>
      </c>
      <c r="H69" s="2" t="s">
        <v>70</v>
      </c>
      <c r="I69" s="39">
        <v>0.91900000000000004</v>
      </c>
      <c r="J69" s="39">
        <v>0.15139999999999998</v>
      </c>
      <c r="K69" s="39">
        <v>0.12190000000000001</v>
      </c>
      <c r="L69" s="39">
        <v>9.6299999999999997E-2</v>
      </c>
      <c r="M69" s="40">
        <v>5000</v>
      </c>
      <c r="N69" s="52">
        <v>1000000</v>
      </c>
    </row>
    <row r="70" spans="1:14" ht="15" customHeight="1" x14ac:dyDescent="0.25">
      <c r="A70" s="64" t="str">
        <f t="shared" si="1"/>
        <v>0-22-0-TOU-3 year APR - Reward</v>
      </c>
      <c r="B70" s="37" t="s">
        <v>13</v>
      </c>
      <c r="C70" s="49">
        <v>22</v>
      </c>
      <c r="D70" s="2" t="s">
        <v>31</v>
      </c>
      <c r="E70" s="50" t="s">
        <v>87</v>
      </c>
      <c r="F70" s="38" t="s">
        <v>88</v>
      </c>
      <c r="G70" s="51">
        <v>0</v>
      </c>
      <c r="H70" s="2" t="s">
        <v>70</v>
      </c>
      <c r="I70" s="39">
        <v>0.9</v>
      </c>
      <c r="J70" s="39">
        <v>0.152</v>
      </c>
      <c r="K70" s="39">
        <v>0.12240000000000001</v>
      </c>
      <c r="L70" s="39">
        <v>9.6600000000000005E-2</v>
      </c>
      <c r="M70" s="40">
        <v>5000</v>
      </c>
      <c r="N70" s="52">
        <v>1000000</v>
      </c>
    </row>
    <row r="71" spans="1:14" ht="15" customHeight="1" x14ac:dyDescent="0.25">
      <c r="A71" s="64" t="str">
        <f t="shared" si="1"/>
        <v>0-23-0-TOU-3 year APR - Reward</v>
      </c>
      <c r="B71" s="37" t="s">
        <v>13</v>
      </c>
      <c r="C71" s="49">
        <v>23</v>
      </c>
      <c r="D71" s="2" t="s">
        <v>32</v>
      </c>
      <c r="E71" s="50" t="s">
        <v>87</v>
      </c>
      <c r="F71" s="38" t="s">
        <v>88</v>
      </c>
      <c r="G71" s="51">
        <v>0</v>
      </c>
      <c r="H71" s="2" t="s">
        <v>70</v>
      </c>
      <c r="I71" s="39">
        <v>0.90200000000000002</v>
      </c>
      <c r="J71" s="39">
        <v>0.14459999999999998</v>
      </c>
      <c r="K71" s="39">
        <v>0.1164</v>
      </c>
      <c r="L71" s="39">
        <v>9.1900000000000009E-2</v>
      </c>
      <c r="M71" s="40">
        <v>5000</v>
      </c>
      <c r="N71" s="52">
        <v>1000000</v>
      </c>
    </row>
    <row r="72" spans="1:14" ht="15" customHeight="1" x14ac:dyDescent="0.25">
      <c r="A72" s="64" t="str">
        <f t="shared" si="1"/>
        <v>0-10-0-TOU-3 year APR - Reward Plus</v>
      </c>
      <c r="B72" s="37" t="s">
        <v>13</v>
      </c>
      <c r="C72" s="49">
        <v>10</v>
      </c>
      <c r="D72" s="2" t="s">
        <v>14</v>
      </c>
      <c r="E72" s="50" t="s">
        <v>87</v>
      </c>
      <c r="F72" s="38" t="s">
        <v>88</v>
      </c>
      <c r="G72" s="51">
        <v>0</v>
      </c>
      <c r="H72" s="2" t="s">
        <v>71</v>
      </c>
      <c r="I72" s="39">
        <v>0.88100000000000001</v>
      </c>
      <c r="J72" s="39">
        <v>0.1454</v>
      </c>
      <c r="K72" s="39">
        <v>0.11710000000000001</v>
      </c>
      <c r="L72" s="39">
        <v>9.2399999999999996E-2</v>
      </c>
      <c r="M72" s="40">
        <v>5000</v>
      </c>
      <c r="N72" s="52">
        <v>1000000</v>
      </c>
    </row>
    <row r="73" spans="1:14" ht="15" customHeight="1" x14ac:dyDescent="0.25">
      <c r="A73" s="64" t="str">
        <f t="shared" si="1"/>
        <v>0-11-0-TOU-3 year APR - Reward Plus</v>
      </c>
      <c r="B73" s="37" t="s">
        <v>13</v>
      </c>
      <c r="C73" s="49">
        <v>11</v>
      </c>
      <c r="D73" s="2" t="s">
        <v>20</v>
      </c>
      <c r="E73" s="50" t="s">
        <v>87</v>
      </c>
      <c r="F73" s="38" t="s">
        <v>88</v>
      </c>
      <c r="G73" s="51">
        <v>0</v>
      </c>
      <c r="H73" s="2" t="s">
        <v>71</v>
      </c>
      <c r="I73" s="39">
        <v>0.86099999999999999</v>
      </c>
      <c r="J73" s="39">
        <v>0.1477</v>
      </c>
      <c r="K73" s="39">
        <v>0.11890000000000001</v>
      </c>
      <c r="L73" s="39">
        <v>9.3899999999999997E-2</v>
      </c>
      <c r="M73" s="40">
        <v>5000</v>
      </c>
      <c r="N73" s="52">
        <v>1000000</v>
      </c>
    </row>
    <row r="74" spans="1:14" ht="15" customHeight="1" x14ac:dyDescent="0.25">
      <c r="A74" s="64" t="str">
        <f t="shared" si="1"/>
        <v>0-12-0-TOU-3 year APR - Reward Plus</v>
      </c>
      <c r="B74" s="37" t="s">
        <v>13</v>
      </c>
      <c r="C74" s="49">
        <v>12</v>
      </c>
      <c r="D74" s="2" t="s">
        <v>21</v>
      </c>
      <c r="E74" s="50" t="s">
        <v>87</v>
      </c>
      <c r="F74" s="38" t="s">
        <v>88</v>
      </c>
      <c r="G74" s="51">
        <v>0</v>
      </c>
      <c r="H74" s="2" t="s">
        <v>71</v>
      </c>
      <c r="I74" s="39">
        <v>0.90300000000000002</v>
      </c>
      <c r="J74" s="39">
        <v>0.14499999999999999</v>
      </c>
      <c r="K74" s="39">
        <v>0.1167</v>
      </c>
      <c r="L74" s="39">
        <v>9.2100000000000001E-2</v>
      </c>
      <c r="M74" s="40">
        <v>5000</v>
      </c>
      <c r="N74" s="52">
        <v>1000000</v>
      </c>
    </row>
    <row r="75" spans="1:14" ht="15" customHeight="1" x14ac:dyDescent="0.25">
      <c r="A75" s="64" t="str">
        <f t="shared" si="1"/>
        <v>0-13-0-TOU-3 year APR - Reward Plus</v>
      </c>
      <c r="B75" s="37" t="s">
        <v>13</v>
      </c>
      <c r="C75" s="49">
        <v>13</v>
      </c>
      <c r="D75" s="2" t="s">
        <v>22</v>
      </c>
      <c r="E75" s="50" t="s">
        <v>87</v>
      </c>
      <c r="F75" s="38" t="s">
        <v>88</v>
      </c>
      <c r="G75" s="51">
        <v>0</v>
      </c>
      <c r="H75" s="2" t="s">
        <v>71</v>
      </c>
      <c r="I75" s="39">
        <v>0.88100000000000001</v>
      </c>
      <c r="J75" s="39">
        <v>0.15709999999999999</v>
      </c>
      <c r="K75" s="39">
        <v>0.1265</v>
      </c>
      <c r="L75" s="39">
        <v>9.9900000000000003E-2</v>
      </c>
      <c r="M75" s="40">
        <v>5000</v>
      </c>
      <c r="N75" s="52">
        <v>1000000</v>
      </c>
    </row>
    <row r="76" spans="1:14" ht="15" customHeight="1" x14ac:dyDescent="0.25">
      <c r="A76" s="64" t="str">
        <f t="shared" si="1"/>
        <v>0-14-0-TOU-3 year APR - Reward Plus</v>
      </c>
      <c r="B76" s="37" t="s">
        <v>13</v>
      </c>
      <c r="C76" s="49">
        <v>14</v>
      </c>
      <c r="D76" s="2" t="s">
        <v>23</v>
      </c>
      <c r="E76" s="50" t="s">
        <v>87</v>
      </c>
      <c r="F76" s="38" t="s">
        <v>88</v>
      </c>
      <c r="G76" s="51">
        <v>0</v>
      </c>
      <c r="H76" s="2" t="s">
        <v>71</v>
      </c>
      <c r="I76" s="39">
        <v>0.89</v>
      </c>
      <c r="J76" s="39">
        <v>0.14859999999999998</v>
      </c>
      <c r="K76" s="39">
        <v>0.1197</v>
      </c>
      <c r="L76" s="39">
        <v>9.4500000000000001E-2</v>
      </c>
      <c r="M76" s="40">
        <v>5000</v>
      </c>
      <c r="N76" s="52">
        <v>1000000</v>
      </c>
    </row>
    <row r="77" spans="1:14" ht="15" customHeight="1" x14ac:dyDescent="0.25">
      <c r="A77" s="64" t="str">
        <f t="shared" si="1"/>
        <v>0-15-0-TOU-3 year APR - Reward Plus</v>
      </c>
      <c r="B77" s="37" t="s">
        <v>13</v>
      </c>
      <c r="C77" s="49">
        <v>15</v>
      </c>
      <c r="D77" s="2" t="s">
        <v>24</v>
      </c>
      <c r="E77" s="50" t="s">
        <v>87</v>
      </c>
      <c r="F77" s="38" t="s">
        <v>88</v>
      </c>
      <c r="G77" s="51">
        <v>0</v>
      </c>
      <c r="H77" s="2" t="s">
        <v>71</v>
      </c>
      <c r="I77" s="39">
        <v>0.96</v>
      </c>
      <c r="J77" s="39">
        <v>0.14939999999999998</v>
      </c>
      <c r="K77" s="39">
        <v>0.1203</v>
      </c>
      <c r="L77" s="39">
        <v>9.5000000000000001E-2</v>
      </c>
      <c r="M77" s="40">
        <v>5000</v>
      </c>
      <c r="N77" s="52">
        <v>1000000</v>
      </c>
    </row>
    <row r="78" spans="1:14" ht="15" customHeight="1" x14ac:dyDescent="0.25">
      <c r="A78" s="64" t="str">
        <f t="shared" si="1"/>
        <v>0-16-0-TOU-3 year APR - Reward Plus</v>
      </c>
      <c r="B78" s="37" t="s">
        <v>13</v>
      </c>
      <c r="C78" s="49">
        <v>16</v>
      </c>
      <c r="D78" s="2" t="s">
        <v>25</v>
      </c>
      <c r="E78" s="50" t="s">
        <v>87</v>
      </c>
      <c r="F78" s="38" t="s">
        <v>88</v>
      </c>
      <c r="G78" s="51">
        <v>0</v>
      </c>
      <c r="H78" s="2" t="s">
        <v>71</v>
      </c>
      <c r="I78" s="39">
        <v>0.72699999999999998</v>
      </c>
      <c r="J78" s="39">
        <v>0.14829999999999999</v>
      </c>
      <c r="K78" s="39">
        <v>0.11940000000000001</v>
      </c>
      <c r="L78" s="39">
        <v>9.4200000000000006E-2</v>
      </c>
      <c r="M78" s="40">
        <v>5000</v>
      </c>
      <c r="N78" s="52">
        <v>1000000</v>
      </c>
    </row>
    <row r="79" spans="1:14" ht="15" customHeight="1" x14ac:dyDescent="0.25">
      <c r="A79" s="64" t="str">
        <f t="shared" si="1"/>
        <v>0-17-0-TOU-3 year APR - Reward Plus</v>
      </c>
      <c r="B79" s="37" t="s">
        <v>13</v>
      </c>
      <c r="C79" s="49">
        <v>17</v>
      </c>
      <c r="D79" s="2" t="s">
        <v>26</v>
      </c>
      <c r="E79" s="50" t="s">
        <v>87</v>
      </c>
      <c r="F79" s="38" t="s">
        <v>88</v>
      </c>
      <c r="G79" s="51">
        <v>0</v>
      </c>
      <c r="H79" s="2" t="s">
        <v>71</v>
      </c>
      <c r="I79" s="39">
        <v>1.484</v>
      </c>
      <c r="J79" s="39">
        <v>0.16669999999999999</v>
      </c>
      <c r="K79" s="39">
        <v>0.13419999999999999</v>
      </c>
      <c r="L79" s="39">
        <v>0.10589999999999999</v>
      </c>
      <c r="M79" s="40">
        <v>5000</v>
      </c>
      <c r="N79" s="52">
        <v>1000000</v>
      </c>
    </row>
    <row r="80" spans="1:14" ht="15" customHeight="1" x14ac:dyDescent="0.25">
      <c r="A80" s="64" t="str">
        <f t="shared" si="1"/>
        <v>0-18-0-TOU-3 year APR - Reward Plus</v>
      </c>
      <c r="B80" s="37" t="s">
        <v>13</v>
      </c>
      <c r="C80" s="49">
        <v>18</v>
      </c>
      <c r="D80" s="2" t="s">
        <v>27</v>
      </c>
      <c r="E80" s="50" t="s">
        <v>87</v>
      </c>
      <c r="F80" s="38" t="s">
        <v>88</v>
      </c>
      <c r="G80" s="51">
        <v>0</v>
      </c>
      <c r="H80" s="2" t="s">
        <v>71</v>
      </c>
      <c r="I80" s="39">
        <v>0.89900000000000002</v>
      </c>
      <c r="J80" s="39">
        <v>0.14739999999999998</v>
      </c>
      <c r="K80" s="39">
        <v>0.1187</v>
      </c>
      <c r="L80" s="39">
        <v>9.3700000000000006E-2</v>
      </c>
      <c r="M80" s="40">
        <v>5000</v>
      </c>
      <c r="N80" s="52">
        <v>1000000</v>
      </c>
    </row>
    <row r="81" spans="1:14" ht="15" customHeight="1" x14ac:dyDescent="0.25">
      <c r="A81" s="64" t="str">
        <f t="shared" si="1"/>
        <v>0-19-0-TOU-3 year APR - Reward Plus</v>
      </c>
      <c r="B81" s="37" t="s">
        <v>13</v>
      </c>
      <c r="C81" s="49">
        <v>19</v>
      </c>
      <c r="D81" s="2" t="s">
        <v>28</v>
      </c>
      <c r="E81" s="50" t="s">
        <v>87</v>
      </c>
      <c r="F81" s="38" t="s">
        <v>88</v>
      </c>
      <c r="G81" s="51">
        <v>0</v>
      </c>
      <c r="H81" s="2" t="s">
        <v>71</v>
      </c>
      <c r="I81" s="39">
        <v>0.77800000000000002</v>
      </c>
      <c r="J81" s="39">
        <v>0.14659999999999998</v>
      </c>
      <c r="K81" s="39">
        <v>0.11800000000000001</v>
      </c>
      <c r="L81" s="39">
        <v>9.3200000000000005E-2</v>
      </c>
      <c r="M81" s="40">
        <v>5000</v>
      </c>
      <c r="N81" s="52">
        <v>1000000</v>
      </c>
    </row>
    <row r="82" spans="1:14" ht="15" customHeight="1" x14ac:dyDescent="0.25">
      <c r="A82" s="64" t="str">
        <f t="shared" si="1"/>
        <v>0-20-0-TOU-3 year APR - Reward Plus</v>
      </c>
      <c r="B82" s="37" t="s">
        <v>13</v>
      </c>
      <c r="C82" s="49">
        <v>20</v>
      </c>
      <c r="D82" s="2" t="s">
        <v>29</v>
      </c>
      <c r="E82" s="50" t="s">
        <v>87</v>
      </c>
      <c r="F82" s="38" t="s">
        <v>88</v>
      </c>
      <c r="G82" s="51">
        <v>0</v>
      </c>
      <c r="H82" s="2" t="s">
        <v>71</v>
      </c>
      <c r="I82" s="39">
        <v>0.82699999999999996</v>
      </c>
      <c r="J82" s="39">
        <v>0.14629999999999999</v>
      </c>
      <c r="K82" s="39">
        <v>0.1178</v>
      </c>
      <c r="L82" s="39">
        <v>9.2999999999999999E-2</v>
      </c>
      <c r="M82" s="40">
        <v>5000</v>
      </c>
      <c r="N82" s="52">
        <v>1000000</v>
      </c>
    </row>
    <row r="83" spans="1:14" ht="15" customHeight="1" x14ac:dyDescent="0.25">
      <c r="A83" s="64" t="str">
        <f t="shared" si="1"/>
        <v>0-21-0-TOU-3 year APR - Reward Plus</v>
      </c>
      <c r="B83" s="37" t="s">
        <v>13</v>
      </c>
      <c r="C83" s="49">
        <v>21</v>
      </c>
      <c r="D83" s="2" t="s">
        <v>30</v>
      </c>
      <c r="E83" s="50" t="s">
        <v>87</v>
      </c>
      <c r="F83" s="38" t="s">
        <v>88</v>
      </c>
      <c r="G83" s="51">
        <v>0</v>
      </c>
      <c r="H83" s="2" t="s">
        <v>71</v>
      </c>
      <c r="I83" s="39">
        <v>0.92300000000000004</v>
      </c>
      <c r="J83" s="39">
        <v>0.15619999999999998</v>
      </c>
      <c r="K83" s="39">
        <v>0.12569999999999998</v>
      </c>
      <c r="L83" s="39">
        <v>9.9299999999999999E-2</v>
      </c>
      <c r="M83" s="40">
        <v>5000</v>
      </c>
      <c r="N83" s="52">
        <v>1000000</v>
      </c>
    </row>
    <row r="84" spans="1:14" ht="15" customHeight="1" x14ac:dyDescent="0.25">
      <c r="A84" s="64" t="str">
        <f t="shared" si="1"/>
        <v>0-22-0-TOU-3 year APR - Reward Plus</v>
      </c>
      <c r="B84" s="37" t="s">
        <v>13</v>
      </c>
      <c r="C84" s="49">
        <v>22</v>
      </c>
      <c r="D84" s="2" t="s">
        <v>31</v>
      </c>
      <c r="E84" s="50" t="s">
        <v>87</v>
      </c>
      <c r="F84" s="38" t="s">
        <v>88</v>
      </c>
      <c r="G84" s="51">
        <v>0</v>
      </c>
      <c r="H84" s="2" t="s">
        <v>71</v>
      </c>
      <c r="I84" s="39">
        <v>0.90400000000000003</v>
      </c>
      <c r="J84" s="39">
        <v>0.15679999999999999</v>
      </c>
      <c r="K84" s="39">
        <v>0.12619999999999998</v>
      </c>
      <c r="L84" s="39">
        <v>9.9599999999999994E-2</v>
      </c>
      <c r="M84" s="40">
        <v>5000</v>
      </c>
      <c r="N84" s="52">
        <v>1000000</v>
      </c>
    </row>
    <row r="85" spans="1:14" ht="15" customHeight="1" x14ac:dyDescent="0.25">
      <c r="A85" s="64" t="str">
        <f t="shared" si="1"/>
        <v>0-23-0-TOU-3 year APR - Reward Plus</v>
      </c>
      <c r="B85" s="37" t="s">
        <v>13</v>
      </c>
      <c r="C85" s="49">
        <v>23</v>
      </c>
      <c r="D85" s="2" t="s">
        <v>32</v>
      </c>
      <c r="E85" s="50" t="s">
        <v>87</v>
      </c>
      <c r="F85" s="38" t="s">
        <v>88</v>
      </c>
      <c r="G85" s="51">
        <v>0</v>
      </c>
      <c r="H85" s="2" t="s">
        <v>71</v>
      </c>
      <c r="I85" s="39">
        <v>0.90600000000000003</v>
      </c>
      <c r="J85" s="39">
        <v>0.14929999999999999</v>
      </c>
      <c r="K85" s="39">
        <v>0.1202</v>
      </c>
      <c r="L85" s="39">
        <v>9.4899999999999998E-2</v>
      </c>
      <c r="M85" s="40">
        <v>5000</v>
      </c>
      <c r="N85" s="52">
        <v>1000000</v>
      </c>
    </row>
    <row r="86" spans="1:14" ht="15" customHeight="1" x14ac:dyDescent="0.25">
      <c r="A86" s="64" t="str">
        <f t="shared" si="1"/>
        <v>0.1-10-0-TOU-3 year - with APR</v>
      </c>
      <c r="B86" s="37" t="s">
        <v>13</v>
      </c>
      <c r="C86" s="49">
        <v>10</v>
      </c>
      <c r="D86" s="2" t="s">
        <v>14</v>
      </c>
      <c r="E86" s="50" t="s">
        <v>87</v>
      </c>
      <c r="F86" s="38" t="s">
        <v>88</v>
      </c>
      <c r="G86" s="51">
        <v>0.1</v>
      </c>
      <c r="H86" s="2" t="s">
        <v>15</v>
      </c>
      <c r="I86" s="39">
        <v>0.79700000000000004</v>
      </c>
      <c r="J86" s="39">
        <v>0.13479999999999998</v>
      </c>
      <c r="K86" s="39">
        <v>0.1085</v>
      </c>
      <c r="L86" s="39">
        <v>8.5699999999999998E-2</v>
      </c>
      <c r="M86" s="40">
        <v>5000</v>
      </c>
      <c r="N86" s="52">
        <v>1000000</v>
      </c>
    </row>
    <row r="87" spans="1:14" ht="15" customHeight="1" x14ac:dyDescent="0.25">
      <c r="A87" s="64" t="str">
        <f t="shared" si="1"/>
        <v>0.1-11-0-TOU-3 year - with APR</v>
      </c>
      <c r="B87" s="37" t="s">
        <v>13</v>
      </c>
      <c r="C87" s="49">
        <v>11</v>
      </c>
      <c r="D87" s="2" t="s">
        <v>20</v>
      </c>
      <c r="E87" s="50" t="s">
        <v>87</v>
      </c>
      <c r="F87" s="38" t="s">
        <v>88</v>
      </c>
      <c r="G87" s="51">
        <v>0.1</v>
      </c>
      <c r="H87" s="2" t="s">
        <v>15</v>
      </c>
      <c r="I87" s="39">
        <v>0.77900000000000003</v>
      </c>
      <c r="J87" s="39">
        <v>0.13699999999999998</v>
      </c>
      <c r="K87" s="39">
        <v>0.11030000000000001</v>
      </c>
      <c r="L87" s="39">
        <v>8.7099999999999997E-2</v>
      </c>
      <c r="M87" s="40">
        <v>5000</v>
      </c>
      <c r="N87" s="52">
        <v>1000000</v>
      </c>
    </row>
    <row r="88" spans="1:14" ht="15" customHeight="1" x14ac:dyDescent="0.25">
      <c r="A88" s="64" t="str">
        <f t="shared" si="1"/>
        <v>0.1-12-0-TOU-3 year - with APR</v>
      </c>
      <c r="B88" s="37" t="s">
        <v>13</v>
      </c>
      <c r="C88" s="49">
        <v>12</v>
      </c>
      <c r="D88" s="2" t="s">
        <v>21</v>
      </c>
      <c r="E88" s="50" t="s">
        <v>87</v>
      </c>
      <c r="F88" s="38" t="s">
        <v>88</v>
      </c>
      <c r="G88" s="51">
        <v>0.1</v>
      </c>
      <c r="H88" s="2" t="s">
        <v>15</v>
      </c>
      <c r="I88" s="39">
        <v>0.81699999999999995</v>
      </c>
      <c r="J88" s="39">
        <v>0.1343</v>
      </c>
      <c r="K88" s="39">
        <v>0.1082</v>
      </c>
      <c r="L88" s="39">
        <v>8.5400000000000004E-2</v>
      </c>
      <c r="M88" s="40">
        <v>5000</v>
      </c>
      <c r="N88" s="52">
        <v>1000000</v>
      </c>
    </row>
    <row r="89" spans="1:14" ht="15" customHeight="1" x14ac:dyDescent="0.25">
      <c r="A89" s="64" t="str">
        <f t="shared" si="1"/>
        <v>0.1-13-0-TOU-3 year - with APR</v>
      </c>
      <c r="B89" s="37" t="s">
        <v>13</v>
      </c>
      <c r="C89" s="49">
        <v>13</v>
      </c>
      <c r="D89" s="2" t="s">
        <v>22</v>
      </c>
      <c r="E89" s="50" t="s">
        <v>87</v>
      </c>
      <c r="F89" s="38" t="s">
        <v>88</v>
      </c>
      <c r="G89" s="51">
        <v>0.1</v>
      </c>
      <c r="H89" s="2" t="s">
        <v>15</v>
      </c>
      <c r="I89" s="39">
        <v>0.79700000000000004</v>
      </c>
      <c r="J89" s="39">
        <v>0.14649999999999999</v>
      </c>
      <c r="K89" s="39">
        <v>0.1179</v>
      </c>
      <c r="L89" s="39">
        <v>9.3100000000000002E-2</v>
      </c>
      <c r="M89" s="40">
        <v>5000</v>
      </c>
      <c r="N89" s="52">
        <v>1000000</v>
      </c>
    </row>
    <row r="90" spans="1:14" ht="15" customHeight="1" x14ac:dyDescent="0.25">
      <c r="A90" s="64" t="str">
        <f t="shared" si="1"/>
        <v>0.1-14-0-TOU-3 year - with APR</v>
      </c>
      <c r="B90" s="37" t="s">
        <v>13</v>
      </c>
      <c r="C90" s="49">
        <v>14</v>
      </c>
      <c r="D90" s="2" t="s">
        <v>23</v>
      </c>
      <c r="E90" s="50" t="s">
        <v>87</v>
      </c>
      <c r="F90" s="38" t="s">
        <v>88</v>
      </c>
      <c r="G90" s="51">
        <v>0.1</v>
      </c>
      <c r="H90" s="2" t="s">
        <v>15</v>
      </c>
      <c r="I90" s="39">
        <v>0.80500000000000005</v>
      </c>
      <c r="J90" s="39">
        <v>0.13799999999999998</v>
      </c>
      <c r="K90" s="39">
        <v>0.1111</v>
      </c>
      <c r="L90" s="39">
        <v>8.77E-2</v>
      </c>
      <c r="M90" s="40">
        <v>5000</v>
      </c>
      <c r="N90" s="52">
        <v>1000000</v>
      </c>
    </row>
    <row r="91" spans="1:14" ht="15" customHeight="1" x14ac:dyDescent="0.25">
      <c r="A91" s="64" t="str">
        <f t="shared" si="1"/>
        <v>0.1-15-0-TOU-3 year - with APR</v>
      </c>
      <c r="B91" s="37" t="s">
        <v>13</v>
      </c>
      <c r="C91" s="49">
        <v>15</v>
      </c>
      <c r="D91" s="2" t="s">
        <v>24</v>
      </c>
      <c r="E91" s="50" t="s">
        <v>87</v>
      </c>
      <c r="F91" s="38" t="s">
        <v>88</v>
      </c>
      <c r="G91" s="51">
        <v>0.1</v>
      </c>
      <c r="H91" s="2" t="s">
        <v>15</v>
      </c>
      <c r="I91" s="39">
        <v>0.86899999999999999</v>
      </c>
      <c r="J91" s="39">
        <v>0.13879999999999998</v>
      </c>
      <c r="K91" s="39">
        <v>0.1118</v>
      </c>
      <c r="L91" s="39">
        <v>8.8200000000000001E-2</v>
      </c>
      <c r="M91" s="40">
        <v>5000</v>
      </c>
      <c r="N91" s="52">
        <v>1000000</v>
      </c>
    </row>
    <row r="92" spans="1:14" ht="15" customHeight="1" x14ac:dyDescent="0.25">
      <c r="A92" s="64" t="str">
        <f t="shared" si="1"/>
        <v>0.1-16-0-TOU-3 year - with APR</v>
      </c>
      <c r="B92" s="37" t="s">
        <v>13</v>
      </c>
      <c r="C92" s="49">
        <v>16</v>
      </c>
      <c r="D92" s="2" t="s">
        <v>25</v>
      </c>
      <c r="E92" s="50" t="s">
        <v>87</v>
      </c>
      <c r="F92" s="38" t="s">
        <v>88</v>
      </c>
      <c r="G92" s="51">
        <v>0.1</v>
      </c>
      <c r="H92" s="2" t="s">
        <v>15</v>
      </c>
      <c r="I92" s="39">
        <v>0.65800000000000003</v>
      </c>
      <c r="J92" s="39">
        <v>0.1376</v>
      </c>
      <c r="K92" s="39">
        <v>0.11080000000000001</v>
      </c>
      <c r="L92" s="39">
        <v>8.7500000000000008E-2</v>
      </c>
      <c r="M92" s="40">
        <v>5000</v>
      </c>
      <c r="N92" s="52">
        <v>1000000</v>
      </c>
    </row>
    <row r="93" spans="1:14" ht="15" customHeight="1" x14ac:dyDescent="0.25">
      <c r="A93" s="64" t="str">
        <f t="shared" si="1"/>
        <v>0.1-17-0-TOU-3 year - with APR</v>
      </c>
      <c r="B93" s="37" t="s">
        <v>13</v>
      </c>
      <c r="C93" s="49">
        <v>17</v>
      </c>
      <c r="D93" s="2" t="s">
        <v>26</v>
      </c>
      <c r="E93" s="50" t="s">
        <v>87</v>
      </c>
      <c r="F93" s="38" t="s">
        <v>88</v>
      </c>
      <c r="G93" s="51">
        <v>0.1</v>
      </c>
      <c r="H93" s="2" t="s">
        <v>15</v>
      </c>
      <c r="I93" s="39">
        <v>1.343</v>
      </c>
      <c r="J93" s="39">
        <v>0.156</v>
      </c>
      <c r="K93" s="39">
        <v>0.12559999999999999</v>
      </c>
      <c r="L93" s="39">
        <v>9.9199999999999997E-2</v>
      </c>
      <c r="M93" s="40">
        <v>5000</v>
      </c>
      <c r="N93" s="52">
        <v>1000000</v>
      </c>
    </row>
    <row r="94" spans="1:14" ht="15" customHeight="1" x14ac:dyDescent="0.25">
      <c r="A94" s="64" t="str">
        <f t="shared" si="1"/>
        <v>0.1-18-0-TOU-3 year - with APR</v>
      </c>
      <c r="B94" s="37" t="s">
        <v>13</v>
      </c>
      <c r="C94" s="49">
        <v>18</v>
      </c>
      <c r="D94" s="2" t="s">
        <v>27</v>
      </c>
      <c r="E94" s="50" t="s">
        <v>87</v>
      </c>
      <c r="F94" s="38" t="s">
        <v>88</v>
      </c>
      <c r="G94" s="51">
        <v>0.1</v>
      </c>
      <c r="H94" s="2" t="s">
        <v>15</v>
      </c>
      <c r="I94" s="39">
        <v>0.81399999999999995</v>
      </c>
      <c r="J94" s="39">
        <v>0.13679999999999998</v>
      </c>
      <c r="K94" s="39">
        <v>0.11020000000000001</v>
      </c>
      <c r="L94" s="39">
        <v>8.7000000000000008E-2</v>
      </c>
      <c r="M94" s="40">
        <v>5000</v>
      </c>
      <c r="N94" s="52">
        <v>1000000</v>
      </c>
    </row>
    <row r="95" spans="1:14" ht="15" customHeight="1" x14ac:dyDescent="0.25">
      <c r="A95" s="64" t="str">
        <f t="shared" si="1"/>
        <v>0.1-19-0-TOU-3 year - with APR</v>
      </c>
      <c r="B95" s="37" t="s">
        <v>13</v>
      </c>
      <c r="C95" s="49">
        <v>19</v>
      </c>
      <c r="D95" s="2" t="s">
        <v>28</v>
      </c>
      <c r="E95" s="50" t="s">
        <v>87</v>
      </c>
      <c r="F95" s="38" t="s">
        <v>88</v>
      </c>
      <c r="G95" s="51">
        <v>0.1</v>
      </c>
      <c r="H95" s="2" t="s">
        <v>15</v>
      </c>
      <c r="I95" s="39">
        <v>0.70399999999999996</v>
      </c>
      <c r="J95" s="39">
        <v>0.13599999999999998</v>
      </c>
      <c r="K95" s="39">
        <v>0.1095</v>
      </c>
      <c r="L95" s="39">
        <v>8.6400000000000005E-2</v>
      </c>
      <c r="M95" s="40">
        <v>5000</v>
      </c>
      <c r="N95" s="52">
        <v>1000000</v>
      </c>
    </row>
    <row r="96" spans="1:14" ht="15" customHeight="1" x14ac:dyDescent="0.25">
      <c r="A96" s="64" t="str">
        <f t="shared" si="1"/>
        <v>0.1-20-0-TOU-3 year - with APR</v>
      </c>
      <c r="B96" s="37" t="s">
        <v>13</v>
      </c>
      <c r="C96" s="49">
        <v>20</v>
      </c>
      <c r="D96" s="2" t="s">
        <v>29</v>
      </c>
      <c r="E96" s="50" t="s">
        <v>87</v>
      </c>
      <c r="F96" s="38" t="s">
        <v>88</v>
      </c>
      <c r="G96" s="51">
        <v>0.1</v>
      </c>
      <c r="H96" s="2" t="s">
        <v>15</v>
      </c>
      <c r="I96" s="39">
        <v>0.748</v>
      </c>
      <c r="J96" s="39">
        <v>0.1356</v>
      </c>
      <c r="K96" s="39">
        <v>0.10920000000000001</v>
      </c>
      <c r="L96" s="39">
        <v>8.6199999999999999E-2</v>
      </c>
      <c r="M96" s="40">
        <v>5000</v>
      </c>
      <c r="N96" s="52">
        <v>1000000</v>
      </c>
    </row>
    <row r="97" spans="1:14" ht="15" customHeight="1" x14ac:dyDescent="0.25">
      <c r="A97" s="64" t="str">
        <f t="shared" si="1"/>
        <v>0.1-21-0-TOU-3 year - with APR</v>
      </c>
      <c r="B97" s="37" t="s">
        <v>13</v>
      </c>
      <c r="C97" s="49">
        <v>21</v>
      </c>
      <c r="D97" s="2" t="s">
        <v>30</v>
      </c>
      <c r="E97" s="50" t="s">
        <v>87</v>
      </c>
      <c r="F97" s="38" t="s">
        <v>88</v>
      </c>
      <c r="G97" s="51">
        <v>0.1</v>
      </c>
      <c r="H97" s="2" t="s">
        <v>15</v>
      </c>
      <c r="I97" s="39">
        <v>0.83499999999999996</v>
      </c>
      <c r="J97" s="39">
        <v>0.14549999999999999</v>
      </c>
      <c r="K97" s="39">
        <v>0.1172</v>
      </c>
      <c r="L97" s="39">
        <v>9.2499999999999999E-2</v>
      </c>
      <c r="M97" s="40">
        <v>5000</v>
      </c>
      <c r="N97" s="52">
        <v>1000000</v>
      </c>
    </row>
    <row r="98" spans="1:14" ht="15" customHeight="1" x14ac:dyDescent="0.25">
      <c r="A98" s="64" t="str">
        <f t="shared" si="1"/>
        <v>0.1-22-0-TOU-3 year - with APR</v>
      </c>
      <c r="B98" s="37" t="s">
        <v>13</v>
      </c>
      <c r="C98" s="49">
        <v>22</v>
      </c>
      <c r="D98" s="2" t="s">
        <v>31</v>
      </c>
      <c r="E98" s="50" t="s">
        <v>87</v>
      </c>
      <c r="F98" s="38" t="s">
        <v>88</v>
      </c>
      <c r="G98" s="51">
        <v>0.1</v>
      </c>
      <c r="H98" s="2" t="s">
        <v>15</v>
      </c>
      <c r="I98" s="39">
        <v>0.81799999999999995</v>
      </c>
      <c r="J98" s="39">
        <v>0.14609999999999998</v>
      </c>
      <c r="K98" s="39">
        <v>0.1177</v>
      </c>
      <c r="L98" s="39">
        <v>9.2899999999999996E-2</v>
      </c>
      <c r="M98" s="40">
        <v>5000</v>
      </c>
      <c r="N98" s="52">
        <v>1000000</v>
      </c>
    </row>
    <row r="99" spans="1:14" ht="15" customHeight="1" x14ac:dyDescent="0.25">
      <c r="A99" s="64" t="str">
        <f t="shared" si="1"/>
        <v>0.1-23-0-TOU-3 year - with APR</v>
      </c>
      <c r="B99" s="37" t="s">
        <v>13</v>
      </c>
      <c r="C99" s="49">
        <v>23</v>
      </c>
      <c r="D99" s="2" t="s">
        <v>32</v>
      </c>
      <c r="E99" s="50" t="s">
        <v>87</v>
      </c>
      <c r="F99" s="38" t="s">
        <v>88</v>
      </c>
      <c r="G99" s="51">
        <v>0.1</v>
      </c>
      <c r="H99" s="2" t="s">
        <v>15</v>
      </c>
      <c r="I99" s="39">
        <v>0.82</v>
      </c>
      <c r="J99" s="39">
        <v>0.13869999999999999</v>
      </c>
      <c r="K99" s="39">
        <v>0.11170000000000001</v>
      </c>
      <c r="L99" s="39">
        <v>8.8200000000000001E-2</v>
      </c>
      <c r="M99" s="40">
        <v>5000</v>
      </c>
      <c r="N99" s="52">
        <v>1000000</v>
      </c>
    </row>
    <row r="100" spans="1:14" ht="15" customHeight="1" x14ac:dyDescent="0.25">
      <c r="A100" s="64" t="str">
        <f t="shared" si="1"/>
        <v>0.1-10-0-TOU-2 year Fixed</v>
      </c>
      <c r="B100" s="37" t="s">
        <v>13</v>
      </c>
      <c r="C100" s="49">
        <v>10</v>
      </c>
      <c r="D100" s="2" t="s">
        <v>14</v>
      </c>
      <c r="E100" s="50" t="s">
        <v>87</v>
      </c>
      <c r="F100" s="38" t="s">
        <v>88</v>
      </c>
      <c r="G100" s="51">
        <v>0.1</v>
      </c>
      <c r="H100" s="2" t="s">
        <v>33</v>
      </c>
      <c r="I100" s="39">
        <v>0.79700000000000004</v>
      </c>
      <c r="J100" s="39">
        <v>0.14409999999999998</v>
      </c>
      <c r="K100" s="39">
        <v>0.11600000000000001</v>
      </c>
      <c r="L100" s="39">
        <v>9.1600000000000001E-2</v>
      </c>
      <c r="M100" s="40">
        <v>5000</v>
      </c>
      <c r="N100" s="52">
        <v>1000000</v>
      </c>
    </row>
    <row r="101" spans="1:14" ht="15" customHeight="1" x14ac:dyDescent="0.25">
      <c r="A101" s="64" t="str">
        <f t="shared" si="1"/>
        <v>0.1-11-0-TOU-2 year Fixed</v>
      </c>
      <c r="B101" s="37" t="s">
        <v>13</v>
      </c>
      <c r="C101" s="49">
        <v>11</v>
      </c>
      <c r="D101" s="2" t="s">
        <v>20</v>
      </c>
      <c r="E101" s="50" t="s">
        <v>87</v>
      </c>
      <c r="F101" s="38" t="s">
        <v>88</v>
      </c>
      <c r="G101" s="51">
        <v>0.1</v>
      </c>
      <c r="H101" s="2" t="s">
        <v>33</v>
      </c>
      <c r="I101" s="39">
        <v>0.77900000000000003</v>
      </c>
      <c r="J101" s="39">
        <v>0.1472</v>
      </c>
      <c r="K101" s="39">
        <v>0.11850000000000001</v>
      </c>
      <c r="L101" s="39">
        <v>9.3600000000000003E-2</v>
      </c>
      <c r="M101" s="40">
        <v>5000</v>
      </c>
      <c r="N101" s="52">
        <v>1000000</v>
      </c>
    </row>
    <row r="102" spans="1:14" ht="15" customHeight="1" x14ac:dyDescent="0.25">
      <c r="A102" s="64" t="str">
        <f t="shared" si="1"/>
        <v>0.1-12-0-TOU-2 year Fixed</v>
      </c>
      <c r="B102" s="37" t="s">
        <v>13</v>
      </c>
      <c r="C102" s="49">
        <v>12</v>
      </c>
      <c r="D102" s="2" t="s">
        <v>21</v>
      </c>
      <c r="E102" s="50" t="s">
        <v>87</v>
      </c>
      <c r="F102" s="38" t="s">
        <v>88</v>
      </c>
      <c r="G102" s="51">
        <v>0.1</v>
      </c>
      <c r="H102" s="2" t="s">
        <v>33</v>
      </c>
      <c r="I102" s="39">
        <v>0.81699999999999995</v>
      </c>
      <c r="J102" s="39">
        <v>0.14379999999999998</v>
      </c>
      <c r="K102" s="39">
        <v>0.1158</v>
      </c>
      <c r="L102" s="39">
        <v>9.1400000000000009E-2</v>
      </c>
      <c r="M102" s="40">
        <v>5000</v>
      </c>
      <c r="N102" s="52">
        <v>1000000</v>
      </c>
    </row>
    <row r="103" spans="1:14" ht="15" customHeight="1" x14ac:dyDescent="0.25">
      <c r="A103" s="64" t="str">
        <f t="shared" si="1"/>
        <v>0.1-13-0-TOU-2 year Fixed</v>
      </c>
      <c r="B103" s="37" t="s">
        <v>13</v>
      </c>
      <c r="C103" s="49">
        <v>13</v>
      </c>
      <c r="D103" s="2" t="s">
        <v>22</v>
      </c>
      <c r="E103" s="50" t="s">
        <v>87</v>
      </c>
      <c r="F103" s="38" t="s">
        <v>88</v>
      </c>
      <c r="G103" s="51">
        <v>0.1</v>
      </c>
      <c r="H103" s="2" t="s">
        <v>33</v>
      </c>
      <c r="I103" s="39">
        <v>0.79700000000000004</v>
      </c>
      <c r="J103" s="39">
        <v>0.15689999999999998</v>
      </c>
      <c r="K103" s="39">
        <v>0.1263</v>
      </c>
      <c r="L103" s="39">
        <v>9.9699999999999997E-2</v>
      </c>
      <c r="M103" s="40">
        <v>5000</v>
      </c>
      <c r="N103" s="52">
        <v>1000000</v>
      </c>
    </row>
    <row r="104" spans="1:14" ht="15" customHeight="1" x14ac:dyDescent="0.25">
      <c r="A104" s="64" t="str">
        <f t="shared" si="1"/>
        <v>0.1-14-0-TOU-2 year Fixed</v>
      </c>
      <c r="B104" s="37" t="s">
        <v>13</v>
      </c>
      <c r="C104" s="49">
        <v>14</v>
      </c>
      <c r="D104" s="2" t="s">
        <v>23</v>
      </c>
      <c r="E104" s="50" t="s">
        <v>87</v>
      </c>
      <c r="F104" s="38" t="s">
        <v>88</v>
      </c>
      <c r="G104" s="51">
        <v>0.1</v>
      </c>
      <c r="H104" s="2" t="s">
        <v>33</v>
      </c>
      <c r="I104" s="39">
        <v>0.80500000000000005</v>
      </c>
      <c r="J104" s="39">
        <v>0.14829999999999999</v>
      </c>
      <c r="K104" s="39">
        <v>0.11940000000000001</v>
      </c>
      <c r="L104" s="39">
        <v>9.4200000000000006E-2</v>
      </c>
      <c r="M104" s="40">
        <v>5000</v>
      </c>
      <c r="N104" s="52">
        <v>1000000</v>
      </c>
    </row>
    <row r="105" spans="1:14" ht="15" customHeight="1" x14ac:dyDescent="0.25">
      <c r="A105" s="64" t="str">
        <f t="shared" si="1"/>
        <v>0.1-15-0-TOU-2 year Fixed</v>
      </c>
      <c r="B105" s="37" t="s">
        <v>13</v>
      </c>
      <c r="C105" s="49">
        <v>15</v>
      </c>
      <c r="D105" s="2" t="s">
        <v>24</v>
      </c>
      <c r="E105" s="50" t="s">
        <v>87</v>
      </c>
      <c r="F105" s="38" t="s">
        <v>88</v>
      </c>
      <c r="G105" s="51">
        <v>0.1</v>
      </c>
      <c r="H105" s="2" t="s">
        <v>33</v>
      </c>
      <c r="I105" s="39">
        <v>0.86899999999999999</v>
      </c>
      <c r="J105" s="39">
        <v>0.14799999999999999</v>
      </c>
      <c r="K105" s="39">
        <v>0.1192</v>
      </c>
      <c r="L105" s="39">
        <v>9.4100000000000003E-2</v>
      </c>
      <c r="M105" s="40">
        <v>5000</v>
      </c>
      <c r="N105" s="52">
        <v>1000000</v>
      </c>
    </row>
    <row r="106" spans="1:14" ht="15" customHeight="1" x14ac:dyDescent="0.25">
      <c r="A106" s="64" t="str">
        <f t="shared" si="1"/>
        <v>0.1-16-0-TOU-2 year Fixed</v>
      </c>
      <c r="B106" s="37" t="s">
        <v>13</v>
      </c>
      <c r="C106" s="49">
        <v>16</v>
      </c>
      <c r="D106" s="2" t="s">
        <v>25</v>
      </c>
      <c r="E106" s="50" t="s">
        <v>87</v>
      </c>
      <c r="F106" s="38" t="s">
        <v>88</v>
      </c>
      <c r="G106" s="51">
        <v>0.1</v>
      </c>
      <c r="H106" s="2" t="s">
        <v>33</v>
      </c>
      <c r="I106" s="39">
        <v>0.65800000000000003</v>
      </c>
      <c r="J106" s="39">
        <v>0.14729999999999999</v>
      </c>
      <c r="K106" s="39">
        <v>0.1186</v>
      </c>
      <c r="L106" s="39">
        <v>9.3600000000000003E-2</v>
      </c>
      <c r="M106" s="40">
        <v>5000</v>
      </c>
      <c r="N106" s="52">
        <v>1000000</v>
      </c>
    </row>
    <row r="107" spans="1:14" ht="15" customHeight="1" x14ac:dyDescent="0.25">
      <c r="A107" s="64" t="str">
        <f t="shared" si="1"/>
        <v>0.1-17-0-TOU-2 year Fixed</v>
      </c>
      <c r="B107" s="37" t="s">
        <v>13</v>
      </c>
      <c r="C107" s="49">
        <v>17</v>
      </c>
      <c r="D107" s="2" t="s">
        <v>26</v>
      </c>
      <c r="E107" s="50" t="s">
        <v>87</v>
      </c>
      <c r="F107" s="38" t="s">
        <v>88</v>
      </c>
      <c r="G107" s="51">
        <v>0.1</v>
      </c>
      <c r="H107" s="2" t="s">
        <v>33</v>
      </c>
      <c r="I107" s="39">
        <v>1.5109999999999999</v>
      </c>
      <c r="J107" s="39">
        <v>0.16629999999999998</v>
      </c>
      <c r="K107" s="39">
        <v>0.13389999999999999</v>
      </c>
      <c r="L107" s="39">
        <v>0.1057</v>
      </c>
      <c r="M107" s="40">
        <v>5000</v>
      </c>
      <c r="N107" s="52">
        <v>1000000</v>
      </c>
    </row>
    <row r="108" spans="1:14" ht="15" customHeight="1" x14ac:dyDescent="0.25">
      <c r="A108" s="64" t="str">
        <f t="shared" si="1"/>
        <v>0.1-18-0-TOU-2 year Fixed</v>
      </c>
      <c r="B108" s="37" t="s">
        <v>13</v>
      </c>
      <c r="C108" s="49">
        <v>18</v>
      </c>
      <c r="D108" s="2" t="s">
        <v>27</v>
      </c>
      <c r="E108" s="50" t="s">
        <v>87</v>
      </c>
      <c r="F108" s="38" t="s">
        <v>88</v>
      </c>
      <c r="G108" s="51">
        <v>0.1</v>
      </c>
      <c r="H108" s="2" t="s">
        <v>33</v>
      </c>
      <c r="I108" s="39">
        <v>0.81399999999999995</v>
      </c>
      <c r="J108" s="39">
        <v>0.14679999999999999</v>
      </c>
      <c r="K108" s="39">
        <v>0.1182</v>
      </c>
      <c r="L108" s="39">
        <v>9.3299999999999994E-2</v>
      </c>
      <c r="M108" s="40">
        <v>5000</v>
      </c>
      <c r="N108" s="52">
        <v>1000000</v>
      </c>
    </row>
    <row r="109" spans="1:14" ht="15" customHeight="1" x14ac:dyDescent="0.25">
      <c r="A109" s="64" t="str">
        <f t="shared" si="1"/>
        <v>0.1-19-0-TOU-2 year Fixed</v>
      </c>
      <c r="B109" s="37" t="s">
        <v>13</v>
      </c>
      <c r="C109" s="49">
        <v>19</v>
      </c>
      <c r="D109" s="2" t="s">
        <v>28</v>
      </c>
      <c r="E109" s="50" t="s">
        <v>87</v>
      </c>
      <c r="F109" s="38" t="s">
        <v>88</v>
      </c>
      <c r="G109" s="51">
        <v>0.1</v>
      </c>
      <c r="H109" s="2" t="s">
        <v>33</v>
      </c>
      <c r="I109" s="39">
        <v>0.70399999999999996</v>
      </c>
      <c r="J109" s="39">
        <v>0.1457</v>
      </c>
      <c r="K109" s="39">
        <v>0.1173</v>
      </c>
      <c r="L109" s="39">
        <v>9.2600000000000002E-2</v>
      </c>
      <c r="M109" s="40">
        <v>5000</v>
      </c>
      <c r="N109" s="52">
        <v>1000000</v>
      </c>
    </row>
    <row r="110" spans="1:14" ht="15" customHeight="1" x14ac:dyDescent="0.25">
      <c r="A110" s="64" t="str">
        <f t="shared" si="1"/>
        <v>0.1-20-0-TOU-2 year Fixed</v>
      </c>
      <c r="B110" s="37" t="s">
        <v>13</v>
      </c>
      <c r="C110" s="49">
        <v>20</v>
      </c>
      <c r="D110" s="2" t="s">
        <v>29</v>
      </c>
      <c r="E110" s="50" t="s">
        <v>87</v>
      </c>
      <c r="F110" s="38" t="s">
        <v>88</v>
      </c>
      <c r="G110" s="51">
        <v>0.1</v>
      </c>
      <c r="H110" s="2" t="s">
        <v>33</v>
      </c>
      <c r="I110" s="39">
        <v>0.748</v>
      </c>
      <c r="J110" s="39">
        <v>0.14579999999999999</v>
      </c>
      <c r="K110" s="39">
        <v>0.1174</v>
      </c>
      <c r="L110" s="39">
        <v>9.2700000000000005E-2</v>
      </c>
      <c r="M110" s="40">
        <v>5000</v>
      </c>
      <c r="N110" s="52">
        <v>1000000</v>
      </c>
    </row>
    <row r="111" spans="1:14" ht="15" customHeight="1" x14ac:dyDescent="0.25">
      <c r="A111" s="64" t="str">
        <f t="shared" si="1"/>
        <v>0.1-21-0-TOU-2 year Fixed</v>
      </c>
      <c r="B111" s="37" t="s">
        <v>13</v>
      </c>
      <c r="C111" s="49">
        <v>21</v>
      </c>
      <c r="D111" s="2" t="s">
        <v>30</v>
      </c>
      <c r="E111" s="50" t="s">
        <v>87</v>
      </c>
      <c r="F111" s="38" t="s">
        <v>88</v>
      </c>
      <c r="G111" s="51">
        <v>0.1</v>
      </c>
      <c r="H111" s="2" t="s">
        <v>33</v>
      </c>
      <c r="I111" s="39">
        <v>0.83499999999999996</v>
      </c>
      <c r="J111" s="39">
        <v>0.15589999999999998</v>
      </c>
      <c r="K111" s="39">
        <v>0.1255</v>
      </c>
      <c r="L111" s="39">
        <v>9.9100000000000008E-2</v>
      </c>
      <c r="M111" s="40">
        <v>5000</v>
      </c>
      <c r="N111" s="52">
        <v>1000000</v>
      </c>
    </row>
    <row r="112" spans="1:14" ht="15" customHeight="1" x14ac:dyDescent="0.25">
      <c r="A112" s="64" t="str">
        <f t="shared" si="1"/>
        <v>0.1-22-0-TOU-2 year Fixed</v>
      </c>
      <c r="B112" s="37" t="s">
        <v>13</v>
      </c>
      <c r="C112" s="49">
        <v>22</v>
      </c>
      <c r="D112" s="2" t="s">
        <v>31</v>
      </c>
      <c r="E112" s="50" t="s">
        <v>87</v>
      </c>
      <c r="F112" s="38" t="s">
        <v>88</v>
      </c>
      <c r="G112" s="51">
        <v>0.1</v>
      </c>
      <c r="H112" s="2" t="s">
        <v>33</v>
      </c>
      <c r="I112" s="39">
        <v>0.81799999999999995</v>
      </c>
      <c r="J112" s="39">
        <v>0.1565</v>
      </c>
      <c r="K112" s="39">
        <v>0.126</v>
      </c>
      <c r="L112" s="39">
        <v>9.9500000000000005E-2</v>
      </c>
      <c r="M112" s="40">
        <v>5000</v>
      </c>
      <c r="N112" s="52">
        <v>1000000</v>
      </c>
    </row>
    <row r="113" spans="1:14" ht="15" customHeight="1" x14ac:dyDescent="0.25">
      <c r="A113" s="64" t="str">
        <f t="shared" si="1"/>
        <v>0.1-23-0-TOU-2 year Fixed</v>
      </c>
      <c r="B113" s="37" t="s">
        <v>13</v>
      </c>
      <c r="C113" s="49">
        <v>23</v>
      </c>
      <c r="D113" s="2" t="s">
        <v>32</v>
      </c>
      <c r="E113" s="50" t="s">
        <v>87</v>
      </c>
      <c r="F113" s="38" t="s">
        <v>88</v>
      </c>
      <c r="G113" s="51">
        <v>0.1</v>
      </c>
      <c r="H113" s="2" t="s">
        <v>33</v>
      </c>
      <c r="I113" s="39">
        <v>0.82</v>
      </c>
      <c r="J113" s="39">
        <v>0.14829999999999999</v>
      </c>
      <c r="K113" s="39">
        <v>0.11940000000000001</v>
      </c>
      <c r="L113" s="39">
        <v>9.4200000000000006E-2</v>
      </c>
      <c r="M113" s="40">
        <v>5000</v>
      </c>
      <c r="N113" s="52">
        <v>1000000</v>
      </c>
    </row>
    <row r="114" spans="1:14" ht="15" customHeight="1" x14ac:dyDescent="0.25">
      <c r="A114" s="64" t="str">
        <f t="shared" si="1"/>
        <v>0.2-10-0-TOU-3 year - with APR</v>
      </c>
      <c r="B114" s="37" t="s">
        <v>13</v>
      </c>
      <c r="C114" s="49">
        <v>10</v>
      </c>
      <c r="D114" s="2" t="s">
        <v>14</v>
      </c>
      <c r="E114" s="50" t="s">
        <v>87</v>
      </c>
      <c r="F114" s="38" t="s">
        <v>88</v>
      </c>
      <c r="G114" s="51">
        <v>0.2</v>
      </c>
      <c r="H114" s="2" t="s">
        <v>15</v>
      </c>
      <c r="I114" s="39">
        <v>0.79700000000000004</v>
      </c>
      <c r="J114" s="39">
        <v>0.13599999999999998</v>
      </c>
      <c r="K114" s="39">
        <v>0.1095</v>
      </c>
      <c r="L114" s="39">
        <v>8.6400000000000005E-2</v>
      </c>
      <c r="M114" s="40">
        <v>5000</v>
      </c>
      <c r="N114" s="52">
        <v>1000000</v>
      </c>
    </row>
    <row r="115" spans="1:14" ht="15" customHeight="1" x14ac:dyDescent="0.25">
      <c r="A115" s="64" t="str">
        <f t="shared" si="1"/>
        <v>0.2-11-0-TOU-3 year - with APR</v>
      </c>
      <c r="B115" s="37" t="s">
        <v>13</v>
      </c>
      <c r="C115" s="49">
        <v>11</v>
      </c>
      <c r="D115" s="2" t="s">
        <v>20</v>
      </c>
      <c r="E115" s="50" t="s">
        <v>87</v>
      </c>
      <c r="F115" s="38" t="s">
        <v>88</v>
      </c>
      <c r="G115" s="51">
        <v>0.2</v>
      </c>
      <c r="H115" s="2" t="s">
        <v>15</v>
      </c>
      <c r="I115" s="39">
        <v>0.77900000000000003</v>
      </c>
      <c r="J115" s="39">
        <v>0.13819999999999999</v>
      </c>
      <c r="K115" s="39">
        <v>0.1113</v>
      </c>
      <c r="L115" s="39">
        <v>8.7900000000000006E-2</v>
      </c>
      <c r="M115" s="40">
        <v>5000</v>
      </c>
      <c r="N115" s="52">
        <v>1000000</v>
      </c>
    </row>
    <row r="116" spans="1:14" ht="15" customHeight="1" x14ac:dyDescent="0.25">
      <c r="A116" s="64" t="str">
        <f t="shared" si="1"/>
        <v>0.2-12-0-TOU-3 year - with APR</v>
      </c>
      <c r="B116" s="37" t="s">
        <v>13</v>
      </c>
      <c r="C116" s="49">
        <v>12</v>
      </c>
      <c r="D116" s="2" t="s">
        <v>21</v>
      </c>
      <c r="E116" s="50" t="s">
        <v>87</v>
      </c>
      <c r="F116" s="38" t="s">
        <v>88</v>
      </c>
      <c r="G116" s="51">
        <v>0.2</v>
      </c>
      <c r="H116" s="2" t="s">
        <v>15</v>
      </c>
      <c r="I116" s="39">
        <v>0.81699999999999995</v>
      </c>
      <c r="J116" s="39">
        <v>0.13549999999999998</v>
      </c>
      <c r="K116" s="39">
        <v>0.1091</v>
      </c>
      <c r="L116" s="39">
        <v>8.6099999999999996E-2</v>
      </c>
      <c r="M116" s="40">
        <v>5000</v>
      </c>
      <c r="N116" s="52">
        <v>1000000</v>
      </c>
    </row>
    <row r="117" spans="1:14" ht="15" customHeight="1" x14ac:dyDescent="0.25">
      <c r="A117" s="64" t="str">
        <f t="shared" si="1"/>
        <v>0.2-13-0-TOU-3 year - with APR</v>
      </c>
      <c r="B117" s="37" t="s">
        <v>13</v>
      </c>
      <c r="C117" s="49">
        <v>13</v>
      </c>
      <c r="D117" s="2" t="s">
        <v>22</v>
      </c>
      <c r="E117" s="50" t="s">
        <v>87</v>
      </c>
      <c r="F117" s="38" t="s">
        <v>88</v>
      </c>
      <c r="G117" s="51">
        <v>0.2</v>
      </c>
      <c r="H117" s="2" t="s">
        <v>15</v>
      </c>
      <c r="I117" s="39">
        <v>0.79700000000000004</v>
      </c>
      <c r="J117" s="39">
        <v>0.1477</v>
      </c>
      <c r="K117" s="39">
        <v>0.11890000000000001</v>
      </c>
      <c r="L117" s="39">
        <v>9.3899999999999997E-2</v>
      </c>
      <c r="M117" s="40">
        <v>5000</v>
      </c>
      <c r="N117" s="52">
        <v>1000000</v>
      </c>
    </row>
    <row r="118" spans="1:14" ht="15" customHeight="1" x14ac:dyDescent="0.25">
      <c r="A118" s="64" t="str">
        <f t="shared" si="1"/>
        <v>0.2-14-0-TOU-3 year - with APR</v>
      </c>
      <c r="B118" s="37" t="s">
        <v>13</v>
      </c>
      <c r="C118" s="49">
        <v>14</v>
      </c>
      <c r="D118" s="2" t="s">
        <v>23</v>
      </c>
      <c r="E118" s="50" t="s">
        <v>87</v>
      </c>
      <c r="F118" s="38" t="s">
        <v>88</v>
      </c>
      <c r="G118" s="51">
        <v>0.2</v>
      </c>
      <c r="H118" s="2" t="s">
        <v>15</v>
      </c>
      <c r="I118" s="39">
        <v>0.80500000000000005</v>
      </c>
      <c r="J118" s="39">
        <v>0.13919999999999999</v>
      </c>
      <c r="K118" s="39">
        <v>0.11210000000000001</v>
      </c>
      <c r="L118" s="39">
        <v>8.8500000000000009E-2</v>
      </c>
      <c r="M118" s="40">
        <v>5000</v>
      </c>
      <c r="N118" s="52">
        <v>1000000</v>
      </c>
    </row>
    <row r="119" spans="1:14" ht="15" customHeight="1" x14ac:dyDescent="0.25">
      <c r="A119" s="64" t="str">
        <f t="shared" si="1"/>
        <v>0.2-15-0-TOU-3 year - with APR</v>
      </c>
      <c r="B119" s="37" t="s">
        <v>13</v>
      </c>
      <c r="C119" s="49">
        <v>15</v>
      </c>
      <c r="D119" s="2" t="s">
        <v>24</v>
      </c>
      <c r="E119" s="50" t="s">
        <v>87</v>
      </c>
      <c r="F119" s="38" t="s">
        <v>88</v>
      </c>
      <c r="G119" s="51">
        <v>0.2</v>
      </c>
      <c r="H119" s="2" t="s">
        <v>15</v>
      </c>
      <c r="I119" s="39">
        <v>0.86899999999999999</v>
      </c>
      <c r="J119" s="39">
        <v>0.13999999999999999</v>
      </c>
      <c r="K119" s="39">
        <v>0.11270000000000001</v>
      </c>
      <c r="L119" s="39">
        <v>8.900000000000001E-2</v>
      </c>
      <c r="M119" s="40">
        <v>5000</v>
      </c>
      <c r="N119" s="52">
        <v>1000000</v>
      </c>
    </row>
    <row r="120" spans="1:14" ht="15" customHeight="1" x14ac:dyDescent="0.25">
      <c r="A120" s="64" t="str">
        <f t="shared" si="1"/>
        <v>0.2-16-0-TOU-3 year - with APR</v>
      </c>
      <c r="B120" s="37" t="s">
        <v>13</v>
      </c>
      <c r="C120" s="49">
        <v>16</v>
      </c>
      <c r="D120" s="2" t="s">
        <v>25</v>
      </c>
      <c r="E120" s="50" t="s">
        <v>87</v>
      </c>
      <c r="F120" s="38" t="s">
        <v>88</v>
      </c>
      <c r="G120" s="51">
        <v>0.2</v>
      </c>
      <c r="H120" s="2" t="s">
        <v>15</v>
      </c>
      <c r="I120" s="39">
        <v>0.65800000000000003</v>
      </c>
      <c r="J120" s="39">
        <v>0.13879999999999998</v>
      </c>
      <c r="K120" s="39">
        <v>0.1118</v>
      </c>
      <c r="L120" s="39">
        <v>8.8200000000000001E-2</v>
      </c>
      <c r="M120" s="40">
        <v>5000</v>
      </c>
      <c r="N120" s="52">
        <v>1000000</v>
      </c>
    </row>
    <row r="121" spans="1:14" ht="15" customHeight="1" x14ac:dyDescent="0.25">
      <c r="A121" s="64" t="str">
        <f t="shared" si="1"/>
        <v>0.2-17-0-TOU-3 year - with APR</v>
      </c>
      <c r="B121" s="37" t="s">
        <v>13</v>
      </c>
      <c r="C121" s="49">
        <v>17</v>
      </c>
      <c r="D121" s="2" t="s">
        <v>26</v>
      </c>
      <c r="E121" s="50" t="s">
        <v>87</v>
      </c>
      <c r="F121" s="38" t="s">
        <v>88</v>
      </c>
      <c r="G121" s="51">
        <v>0.2</v>
      </c>
      <c r="H121" s="2" t="s">
        <v>15</v>
      </c>
      <c r="I121" s="39">
        <v>1.343</v>
      </c>
      <c r="J121" s="39">
        <v>0.15719999999999998</v>
      </c>
      <c r="K121" s="39">
        <v>0.12659999999999999</v>
      </c>
      <c r="L121" s="39">
        <v>9.9900000000000003E-2</v>
      </c>
      <c r="M121" s="40">
        <v>5000</v>
      </c>
      <c r="N121" s="52">
        <v>1000000</v>
      </c>
    </row>
    <row r="122" spans="1:14" ht="15" customHeight="1" x14ac:dyDescent="0.25">
      <c r="A122" s="64" t="str">
        <f t="shared" si="1"/>
        <v>0.2-18-0-TOU-3 year - with APR</v>
      </c>
      <c r="B122" s="37" t="s">
        <v>13</v>
      </c>
      <c r="C122" s="49">
        <v>18</v>
      </c>
      <c r="D122" s="2" t="s">
        <v>27</v>
      </c>
      <c r="E122" s="50" t="s">
        <v>87</v>
      </c>
      <c r="F122" s="38" t="s">
        <v>88</v>
      </c>
      <c r="G122" s="51">
        <v>0.2</v>
      </c>
      <c r="H122" s="2" t="s">
        <v>15</v>
      </c>
      <c r="I122" s="39">
        <v>0.81399999999999995</v>
      </c>
      <c r="J122" s="39">
        <v>0.13799999999999998</v>
      </c>
      <c r="K122" s="39">
        <v>0.1111</v>
      </c>
      <c r="L122" s="39">
        <v>8.77E-2</v>
      </c>
      <c r="M122" s="40">
        <v>5000</v>
      </c>
      <c r="N122" s="52">
        <v>1000000</v>
      </c>
    </row>
    <row r="123" spans="1:14" ht="15" customHeight="1" x14ac:dyDescent="0.25">
      <c r="A123" s="64" t="str">
        <f t="shared" si="1"/>
        <v>0.2-19-0-TOU-3 year - with APR</v>
      </c>
      <c r="B123" s="37" t="s">
        <v>13</v>
      </c>
      <c r="C123" s="49">
        <v>19</v>
      </c>
      <c r="D123" s="2" t="s">
        <v>28</v>
      </c>
      <c r="E123" s="50" t="s">
        <v>87</v>
      </c>
      <c r="F123" s="38" t="s">
        <v>88</v>
      </c>
      <c r="G123" s="51">
        <v>0.2</v>
      </c>
      <c r="H123" s="2" t="s">
        <v>15</v>
      </c>
      <c r="I123" s="39">
        <v>0.70399999999999996</v>
      </c>
      <c r="J123" s="39">
        <v>0.13719999999999999</v>
      </c>
      <c r="K123" s="39">
        <v>0.1104</v>
      </c>
      <c r="L123" s="39">
        <v>8.72E-2</v>
      </c>
      <c r="M123" s="40">
        <v>5000</v>
      </c>
      <c r="N123" s="52">
        <v>1000000</v>
      </c>
    </row>
    <row r="124" spans="1:14" ht="15" customHeight="1" x14ac:dyDescent="0.25">
      <c r="A124" s="64" t="str">
        <f t="shared" si="1"/>
        <v>0.2-20-0-TOU-3 year - with APR</v>
      </c>
      <c r="B124" s="37" t="s">
        <v>13</v>
      </c>
      <c r="C124" s="49">
        <v>20</v>
      </c>
      <c r="D124" s="2" t="s">
        <v>29</v>
      </c>
      <c r="E124" s="50" t="s">
        <v>87</v>
      </c>
      <c r="F124" s="38" t="s">
        <v>88</v>
      </c>
      <c r="G124" s="51">
        <v>0.2</v>
      </c>
      <c r="H124" s="2" t="s">
        <v>15</v>
      </c>
      <c r="I124" s="39">
        <v>0.748</v>
      </c>
      <c r="J124" s="39">
        <v>0.13679999999999998</v>
      </c>
      <c r="K124" s="39">
        <v>0.11020000000000001</v>
      </c>
      <c r="L124" s="39">
        <v>8.7000000000000008E-2</v>
      </c>
      <c r="M124" s="40">
        <v>5000</v>
      </c>
      <c r="N124" s="52">
        <v>1000000</v>
      </c>
    </row>
    <row r="125" spans="1:14" ht="15" customHeight="1" x14ac:dyDescent="0.25">
      <c r="A125" s="64" t="str">
        <f t="shared" si="1"/>
        <v>0.2-21-0-TOU-3 year - with APR</v>
      </c>
      <c r="B125" s="37" t="s">
        <v>13</v>
      </c>
      <c r="C125" s="49">
        <v>21</v>
      </c>
      <c r="D125" s="2" t="s">
        <v>30</v>
      </c>
      <c r="E125" s="50" t="s">
        <v>87</v>
      </c>
      <c r="F125" s="38" t="s">
        <v>88</v>
      </c>
      <c r="G125" s="51">
        <v>0.2</v>
      </c>
      <c r="H125" s="2" t="s">
        <v>15</v>
      </c>
      <c r="I125" s="39">
        <v>0.83499999999999996</v>
      </c>
      <c r="J125" s="39">
        <v>0.1467</v>
      </c>
      <c r="K125" s="39">
        <v>0.1181</v>
      </c>
      <c r="L125" s="39">
        <v>9.3300000000000008E-2</v>
      </c>
      <c r="M125" s="40">
        <v>5000</v>
      </c>
      <c r="N125" s="52">
        <v>1000000</v>
      </c>
    </row>
    <row r="126" spans="1:14" ht="15" customHeight="1" x14ac:dyDescent="0.25">
      <c r="A126" s="64" t="str">
        <f t="shared" si="1"/>
        <v>0.2-22-0-TOU-3 year - with APR</v>
      </c>
      <c r="B126" s="37" t="s">
        <v>13</v>
      </c>
      <c r="C126" s="49">
        <v>22</v>
      </c>
      <c r="D126" s="2" t="s">
        <v>31</v>
      </c>
      <c r="E126" s="50" t="s">
        <v>87</v>
      </c>
      <c r="F126" s="38" t="s">
        <v>88</v>
      </c>
      <c r="G126" s="51">
        <v>0.2</v>
      </c>
      <c r="H126" s="2" t="s">
        <v>15</v>
      </c>
      <c r="I126" s="39">
        <v>0.81799999999999995</v>
      </c>
      <c r="J126" s="39">
        <v>0.14729999999999999</v>
      </c>
      <c r="K126" s="39">
        <v>0.1186</v>
      </c>
      <c r="L126" s="39">
        <v>9.3600000000000003E-2</v>
      </c>
      <c r="M126" s="40">
        <v>5000</v>
      </c>
      <c r="N126" s="52">
        <v>1000000</v>
      </c>
    </row>
    <row r="127" spans="1:14" ht="15" customHeight="1" x14ac:dyDescent="0.25">
      <c r="A127" s="64" t="str">
        <f t="shared" si="1"/>
        <v>0.2-23-0-TOU-3 year - with APR</v>
      </c>
      <c r="B127" s="37" t="s">
        <v>13</v>
      </c>
      <c r="C127" s="49">
        <v>23</v>
      </c>
      <c r="D127" s="2" t="s">
        <v>32</v>
      </c>
      <c r="E127" s="50" t="s">
        <v>87</v>
      </c>
      <c r="F127" s="38" t="s">
        <v>88</v>
      </c>
      <c r="G127" s="51">
        <v>0.2</v>
      </c>
      <c r="H127" s="2" t="s">
        <v>15</v>
      </c>
      <c r="I127" s="39">
        <v>0.82</v>
      </c>
      <c r="J127" s="39">
        <v>0.1399</v>
      </c>
      <c r="K127" s="39">
        <v>0.11260000000000001</v>
      </c>
      <c r="L127" s="39">
        <v>8.8900000000000007E-2</v>
      </c>
      <c r="M127" s="40">
        <v>5000</v>
      </c>
      <c r="N127" s="52">
        <v>1000000</v>
      </c>
    </row>
    <row r="128" spans="1:14" ht="15" customHeight="1" x14ac:dyDescent="0.25">
      <c r="A128" s="64" t="str">
        <f t="shared" si="1"/>
        <v>0.2-10-0-TOU-2 year Fixed</v>
      </c>
      <c r="B128" s="37" t="s">
        <v>13</v>
      </c>
      <c r="C128" s="49">
        <v>10</v>
      </c>
      <c r="D128" s="2" t="s">
        <v>14</v>
      </c>
      <c r="E128" s="50" t="s">
        <v>87</v>
      </c>
      <c r="F128" s="38" t="s">
        <v>88</v>
      </c>
      <c r="G128" s="51">
        <v>0.2</v>
      </c>
      <c r="H128" s="2" t="s">
        <v>33</v>
      </c>
      <c r="I128" s="39">
        <v>0.79700000000000004</v>
      </c>
      <c r="J128" s="39">
        <v>0.14529999999999998</v>
      </c>
      <c r="K128" s="39">
        <v>0.11700000000000001</v>
      </c>
      <c r="L128" s="39">
        <v>9.2399999999999996E-2</v>
      </c>
      <c r="M128" s="40">
        <v>5000</v>
      </c>
      <c r="N128" s="52">
        <v>1000000</v>
      </c>
    </row>
    <row r="129" spans="1:14" ht="15" customHeight="1" x14ac:dyDescent="0.25">
      <c r="A129" s="64" t="str">
        <f t="shared" si="1"/>
        <v>0.2-11-0-TOU-2 year Fixed</v>
      </c>
      <c r="B129" s="37" t="s">
        <v>13</v>
      </c>
      <c r="C129" s="49">
        <v>11</v>
      </c>
      <c r="D129" s="2" t="s">
        <v>20</v>
      </c>
      <c r="E129" s="50" t="s">
        <v>87</v>
      </c>
      <c r="F129" s="38" t="s">
        <v>88</v>
      </c>
      <c r="G129" s="51">
        <v>0.2</v>
      </c>
      <c r="H129" s="2" t="s">
        <v>33</v>
      </c>
      <c r="I129" s="39">
        <v>0.77900000000000003</v>
      </c>
      <c r="J129" s="39">
        <v>0.14839999999999998</v>
      </c>
      <c r="K129" s="39">
        <v>0.11950000000000001</v>
      </c>
      <c r="L129" s="39">
        <v>9.4300000000000009E-2</v>
      </c>
      <c r="M129" s="40">
        <v>5000</v>
      </c>
      <c r="N129" s="52">
        <v>1000000</v>
      </c>
    </row>
    <row r="130" spans="1:14" ht="15" customHeight="1" x14ac:dyDescent="0.25">
      <c r="A130" s="64" t="str">
        <f t="shared" si="1"/>
        <v>0.2-12-0-TOU-2 year Fixed</v>
      </c>
      <c r="B130" s="37" t="s">
        <v>13</v>
      </c>
      <c r="C130" s="49">
        <v>12</v>
      </c>
      <c r="D130" s="2" t="s">
        <v>21</v>
      </c>
      <c r="E130" s="50" t="s">
        <v>87</v>
      </c>
      <c r="F130" s="38" t="s">
        <v>88</v>
      </c>
      <c r="G130" s="51">
        <v>0.2</v>
      </c>
      <c r="H130" s="2" t="s">
        <v>33</v>
      </c>
      <c r="I130" s="39">
        <v>0.81699999999999995</v>
      </c>
      <c r="J130" s="39">
        <v>0.14499999999999999</v>
      </c>
      <c r="K130" s="39">
        <v>0.1167</v>
      </c>
      <c r="L130" s="39">
        <v>9.2100000000000001E-2</v>
      </c>
      <c r="M130" s="40">
        <v>5000</v>
      </c>
      <c r="N130" s="52">
        <v>1000000</v>
      </c>
    </row>
    <row r="131" spans="1:14" ht="15" customHeight="1" x14ac:dyDescent="0.25">
      <c r="A131" s="64" t="str">
        <f t="shared" ref="A131:A194" si="2">IF(E131="OP","",CONCATENATE(G131,"-",C131,"-",RIGHT(F131,1),"-",E131,"-",H131))</f>
        <v>0.2-13-0-TOU-2 year Fixed</v>
      </c>
      <c r="B131" s="37" t="s">
        <v>13</v>
      </c>
      <c r="C131" s="49">
        <v>13</v>
      </c>
      <c r="D131" s="2" t="s">
        <v>22</v>
      </c>
      <c r="E131" s="50" t="s">
        <v>87</v>
      </c>
      <c r="F131" s="38" t="s">
        <v>88</v>
      </c>
      <c r="G131" s="51">
        <v>0.2</v>
      </c>
      <c r="H131" s="2" t="s">
        <v>33</v>
      </c>
      <c r="I131" s="39">
        <v>0.79700000000000004</v>
      </c>
      <c r="J131" s="39">
        <v>0.15809999999999999</v>
      </c>
      <c r="K131" s="39">
        <v>0.1273</v>
      </c>
      <c r="L131" s="39">
        <v>0.10050000000000001</v>
      </c>
      <c r="M131" s="40">
        <v>5000</v>
      </c>
      <c r="N131" s="52">
        <v>1000000</v>
      </c>
    </row>
    <row r="132" spans="1:14" ht="15" customHeight="1" x14ac:dyDescent="0.25">
      <c r="A132" s="64" t="str">
        <f t="shared" si="2"/>
        <v>0.2-14-0-TOU-2 year Fixed</v>
      </c>
      <c r="B132" s="37" t="s">
        <v>13</v>
      </c>
      <c r="C132" s="49">
        <v>14</v>
      </c>
      <c r="D132" s="2" t="s">
        <v>23</v>
      </c>
      <c r="E132" s="50" t="s">
        <v>87</v>
      </c>
      <c r="F132" s="38" t="s">
        <v>88</v>
      </c>
      <c r="G132" s="51">
        <v>0.2</v>
      </c>
      <c r="H132" s="2" t="s">
        <v>33</v>
      </c>
      <c r="I132" s="39">
        <v>0.80500000000000005</v>
      </c>
      <c r="J132" s="39">
        <v>0.14939999999999998</v>
      </c>
      <c r="K132" s="39">
        <v>0.1203</v>
      </c>
      <c r="L132" s="39">
        <v>9.5000000000000001E-2</v>
      </c>
      <c r="M132" s="40">
        <v>5000</v>
      </c>
      <c r="N132" s="52">
        <v>1000000</v>
      </c>
    </row>
    <row r="133" spans="1:14" ht="15" customHeight="1" x14ac:dyDescent="0.25">
      <c r="A133" s="64" t="str">
        <f t="shared" si="2"/>
        <v>0.2-15-0-TOU-2 year Fixed</v>
      </c>
      <c r="B133" s="37" t="s">
        <v>13</v>
      </c>
      <c r="C133" s="49">
        <v>15</v>
      </c>
      <c r="D133" s="2" t="s">
        <v>24</v>
      </c>
      <c r="E133" s="50" t="s">
        <v>87</v>
      </c>
      <c r="F133" s="38" t="s">
        <v>88</v>
      </c>
      <c r="G133" s="51">
        <v>0.2</v>
      </c>
      <c r="H133" s="2" t="s">
        <v>33</v>
      </c>
      <c r="I133" s="39">
        <v>0.86899999999999999</v>
      </c>
      <c r="J133" s="39">
        <v>0.1492</v>
      </c>
      <c r="K133" s="39">
        <v>0.1201</v>
      </c>
      <c r="L133" s="39">
        <v>9.4799999999999995E-2</v>
      </c>
      <c r="M133" s="40">
        <v>5000</v>
      </c>
      <c r="N133" s="52">
        <v>1000000</v>
      </c>
    </row>
    <row r="134" spans="1:14" ht="15" customHeight="1" x14ac:dyDescent="0.25">
      <c r="A134" s="64" t="str">
        <f t="shared" si="2"/>
        <v>0.2-16-0-TOU-2 year Fixed</v>
      </c>
      <c r="B134" s="37" t="s">
        <v>13</v>
      </c>
      <c r="C134" s="49">
        <v>16</v>
      </c>
      <c r="D134" s="2" t="s">
        <v>25</v>
      </c>
      <c r="E134" s="50" t="s">
        <v>87</v>
      </c>
      <c r="F134" s="38" t="s">
        <v>88</v>
      </c>
      <c r="G134" s="51">
        <v>0.2</v>
      </c>
      <c r="H134" s="2" t="s">
        <v>33</v>
      </c>
      <c r="I134" s="39">
        <v>0.65800000000000003</v>
      </c>
      <c r="J134" s="39">
        <v>0.14849999999999999</v>
      </c>
      <c r="K134" s="39">
        <v>0.1196</v>
      </c>
      <c r="L134" s="39">
        <v>9.4399999999999998E-2</v>
      </c>
      <c r="M134" s="40">
        <v>5000</v>
      </c>
      <c r="N134" s="52">
        <v>1000000</v>
      </c>
    </row>
    <row r="135" spans="1:14" ht="15" customHeight="1" x14ac:dyDescent="0.25">
      <c r="A135" s="64" t="str">
        <f t="shared" si="2"/>
        <v>0.2-17-0-TOU-2 year Fixed</v>
      </c>
      <c r="B135" s="37" t="s">
        <v>13</v>
      </c>
      <c r="C135" s="49">
        <v>17</v>
      </c>
      <c r="D135" s="2" t="s">
        <v>26</v>
      </c>
      <c r="E135" s="50" t="s">
        <v>87</v>
      </c>
      <c r="F135" s="38" t="s">
        <v>88</v>
      </c>
      <c r="G135" s="51">
        <v>0.2</v>
      </c>
      <c r="H135" s="2" t="s">
        <v>33</v>
      </c>
      <c r="I135" s="39">
        <v>1.5109999999999999</v>
      </c>
      <c r="J135" s="39">
        <v>0.16749999999999998</v>
      </c>
      <c r="K135" s="39">
        <v>0.13489999999999999</v>
      </c>
      <c r="L135" s="39">
        <v>0.1065</v>
      </c>
      <c r="M135" s="40">
        <v>5000</v>
      </c>
      <c r="N135" s="52">
        <v>1000000</v>
      </c>
    </row>
    <row r="136" spans="1:14" ht="15" customHeight="1" x14ac:dyDescent="0.25">
      <c r="A136" s="64" t="str">
        <f t="shared" si="2"/>
        <v>0.2-18-0-TOU-2 year Fixed</v>
      </c>
      <c r="B136" s="37" t="s">
        <v>13</v>
      </c>
      <c r="C136" s="49">
        <v>18</v>
      </c>
      <c r="D136" s="2" t="s">
        <v>27</v>
      </c>
      <c r="E136" s="50" t="s">
        <v>87</v>
      </c>
      <c r="F136" s="38" t="s">
        <v>88</v>
      </c>
      <c r="G136" s="51">
        <v>0.2</v>
      </c>
      <c r="H136" s="2" t="s">
        <v>33</v>
      </c>
      <c r="I136" s="39">
        <v>0.81399999999999995</v>
      </c>
      <c r="J136" s="39">
        <v>0.14799999999999999</v>
      </c>
      <c r="K136" s="39">
        <v>0.1192</v>
      </c>
      <c r="L136" s="39">
        <v>9.4100000000000003E-2</v>
      </c>
      <c r="M136" s="40">
        <v>5000</v>
      </c>
      <c r="N136" s="52">
        <v>1000000</v>
      </c>
    </row>
    <row r="137" spans="1:14" ht="15" customHeight="1" x14ac:dyDescent="0.25">
      <c r="A137" s="64" t="str">
        <f t="shared" si="2"/>
        <v>0.2-19-0-TOU-2 year Fixed</v>
      </c>
      <c r="B137" s="37" t="s">
        <v>13</v>
      </c>
      <c r="C137" s="49">
        <v>19</v>
      </c>
      <c r="D137" s="2" t="s">
        <v>28</v>
      </c>
      <c r="E137" s="50" t="s">
        <v>87</v>
      </c>
      <c r="F137" s="38" t="s">
        <v>88</v>
      </c>
      <c r="G137" s="51">
        <v>0.2</v>
      </c>
      <c r="H137" s="2" t="s">
        <v>33</v>
      </c>
      <c r="I137" s="39">
        <v>0.70399999999999996</v>
      </c>
      <c r="J137" s="39">
        <v>0.14679999999999999</v>
      </c>
      <c r="K137" s="39">
        <v>0.1182</v>
      </c>
      <c r="L137" s="39">
        <v>9.3299999999999994E-2</v>
      </c>
      <c r="M137" s="40">
        <v>5000</v>
      </c>
      <c r="N137" s="52">
        <v>1000000</v>
      </c>
    </row>
    <row r="138" spans="1:14" ht="15" customHeight="1" x14ac:dyDescent="0.25">
      <c r="A138" s="64" t="str">
        <f t="shared" si="2"/>
        <v>0.2-20-0-TOU-2 year Fixed</v>
      </c>
      <c r="B138" s="37" t="s">
        <v>13</v>
      </c>
      <c r="C138" s="49">
        <v>20</v>
      </c>
      <c r="D138" s="2" t="s">
        <v>29</v>
      </c>
      <c r="E138" s="50" t="s">
        <v>87</v>
      </c>
      <c r="F138" s="38" t="s">
        <v>88</v>
      </c>
      <c r="G138" s="51">
        <v>0.2</v>
      </c>
      <c r="H138" s="2" t="s">
        <v>33</v>
      </c>
      <c r="I138" s="39">
        <v>0.748</v>
      </c>
      <c r="J138" s="39">
        <v>0.14699999999999999</v>
      </c>
      <c r="K138" s="39">
        <v>0.1183</v>
      </c>
      <c r="L138" s="39">
        <v>9.3399999999999997E-2</v>
      </c>
      <c r="M138" s="40">
        <v>5000</v>
      </c>
      <c r="N138" s="52">
        <v>1000000</v>
      </c>
    </row>
    <row r="139" spans="1:14" ht="15" customHeight="1" x14ac:dyDescent="0.25">
      <c r="A139" s="64" t="str">
        <f t="shared" si="2"/>
        <v>0.2-21-0-TOU-2 year Fixed</v>
      </c>
      <c r="B139" s="37" t="s">
        <v>13</v>
      </c>
      <c r="C139" s="49">
        <v>21</v>
      </c>
      <c r="D139" s="2" t="s">
        <v>30</v>
      </c>
      <c r="E139" s="50" t="s">
        <v>87</v>
      </c>
      <c r="F139" s="38" t="s">
        <v>88</v>
      </c>
      <c r="G139" s="51">
        <v>0.2</v>
      </c>
      <c r="H139" s="2" t="s">
        <v>33</v>
      </c>
      <c r="I139" s="39">
        <v>0.83499999999999996</v>
      </c>
      <c r="J139" s="39">
        <v>0.15709999999999999</v>
      </c>
      <c r="K139" s="39">
        <v>0.1265</v>
      </c>
      <c r="L139" s="39">
        <v>9.9900000000000003E-2</v>
      </c>
      <c r="M139" s="40">
        <v>5000</v>
      </c>
      <c r="N139" s="52">
        <v>1000000</v>
      </c>
    </row>
    <row r="140" spans="1:14" ht="15" customHeight="1" x14ac:dyDescent="0.25">
      <c r="A140" s="64" t="str">
        <f t="shared" si="2"/>
        <v>0.2-22-0-TOU-2 year Fixed</v>
      </c>
      <c r="B140" s="37" t="s">
        <v>13</v>
      </c>
      <c r="C140" s="49">
        <v>22</v>
      </c>
      <c r="D140" s="2" t="s">
        <v>31</v>
      </c>
      <c r="E140" s="50" t="s">
        <v>87</v>
      </c>
      <c r="F140" s="38" t="s">
        <v>88</v>
      </c>
      <c r="G140" s="51">
        <v>0.2</v>
      </c>
      <c r="H140" s="2" t="s">
        <v>33</v>
      </c>
      <c r="I140" s="39">
        <v>0.81799999999999995</v>
      </c>
      <c r="J140" s="39">
        <v>0.15769999999999998</v>
      </c>
      <c r="K140" s="39">
        <v>0.127</v>
      </c>
      <c r="L140" s="39">
        <v>0.1002</v>
      </c>
      <c r="M140" s="40">
        <v>5000</v>
      </c>
      <c r="N140" s="52">
        <v>1000000</v>
      </c>
    </row>
    <row r="141" spans="1:14" ht="15" customHeight="1" x14ac:dyDescent="0.25">
      <c r="A141" s="64" t="str">
        <f t="shared" si="2"/>
        <v>0.2-23-0-TOU-2 year Fixed</v>
      </c>
      <c r="B141" s="37" t="s">
        <v>13</v>
      </c>
      <c r="C141" s="49">
        <v>23</v>
      </c>
      <c r="D141" s="2" t="s">
        <v>32</v>
      </c>
      <c r="E141" s="50" t="s">
        <v>87</v>
      </c>
      <c r="F141" s="38" t="s">
        <v>88</v>
      </c>
      <c r="G141" s="51">
        <v>0.2</v>
      </c>
      <c r="H141" s="2" t="s">
        <v>33</v>
      </c>
      <c r="I141" s="39">
        <v>0.82</v>
      </c>
      <c r="J141" s="39">
        <v>0.14939999999999998</v>
      </c>
      <c r="K141" s="39">
        <v>0.1203</v>
      </c>
      <c r="L141" s="39">
        <v>9.5000000000000001E-2</v>
      </c>
      <c r="M141" s="40">
        <v>5000</v>
      </c>
      <c r="N141" s="52">
        <v>1000000</v>
      </c>
    </row>
    <row r="142" spans="1:14" ht="15" customHeight="1" x14ac:dyDescent="0.25">
      <c r="A142" s="64" t="str">
        <f t="shared" si="2"/>
        <v>0.3-10-0-TOU-3 year - with APR</v>
      </c>
      <c r="B142" s="37" t="s">
        <v>13</v>
      </c>
      <c r="C142" s="49">
        <v>10</v>
      </c>
      <c r="D142" s="2" t="s">
        <v>14</v>
      </c>
      <c r="E142" s="50" t="s">
        <v>87</v>
      </c>
      <c r="F142" s="38" t="s">
        <v>88</v>
      </c>
      <c r="G142" s="51">
        <v>0.3</v>
      </c>
      <c r="H142" s="2" t="s">
        <v>15</v>
      </c>
      <c r="I142" s="39">
        <v>0.79700000000000004</v>
      </c>
      <c r="J142" s="39">
        <v>0.13719999999999999</v>
      </c>
      <c r="K142" s="39">
        <v>0.1104</v>
      </c>
      <c r="L142" s="39">
        <v>8.72E-2</v>
      </c>
      <c r="M142" s="40">
        <v>5000</v>
      </c>
      <c r="N142" s="52">
        <v>1000000</v>
      </c>
    </row>
    <row r="143" spans="1:14" ht="15" customHeight="1" x14ac:dyDescent="0.25">
      <c r="A143" s="64" t="str">
        <f t="shared" si="2"/>
        <v>0.3-11-0-TOU-3 year - with APR</v>
      </c>
      <c r="B143" s="37" t="s">
        <v>13</v>
      </c>
      <c r="C143" s="49">
        <v>11</v>
      </c>
      <c r="D143" s="2" t="s">
        <v>20</v>
      </c>
      <c r="E143" s="50" t="s">
        <v>87</v>
      </c>
      <c r="F143" s="38" t="s">
        <v>88</v>
      </c>
      <c r="G143" s="51">
        <v>0.3</v>
      </c>
      <c r="H143" s="2" t="s">
        <v>15</v>
      </c>
      <c r="I143" s="39">
        <v>0.77900000000000003</v>
      </c>
      <c r="J143" s="39">
        <v>0.1394</v>
      </c>
      <c r="K143" s="39">
        <v>0.11220000000000001</v>
      </c>
      <c r="L143" s="39">
        <v>8.8599999999999998E-2</v>
      </c>
      <c r="M143" s="40">
        <v>5000</v>
      </c>
      <c r="N143" s="52">
        <v>1000000</v>
      </c>
    </row>
    <row r="144" spans="1:14" ht="15" customHeight="1" x14ac:dyDescent="0.25">
      <c r="A144" s="64" t="str">
        <f t="shared" si="2"/>
        <v>0.3-12-0-TOU-3 year - with APR</v>
      </c>
      <c r="B144" s="37" t="s">
        <v>13</v>
      </c>
      <c r="C144" s="49">
        <v>12</v>
      </c>
      <c r="D144" s="2" t="s">
        <v>21</v>
      </c>
      <c r="E144" s="50" t="s">
        <v>87</v>
      </c>
      <c r="F144" s="38" t="s">
        <v>88</v>
      </c>
      <c r="G144" s="51">
        <v>0.3</v>
      </c>
      <c r="H144" s="2" t="s">
        <v>15</v>
      </c>
      <c r="I144" s="39">
        <v>0.81699999999999995</v>
      </c>
      <c r="J144" s="39">
        <v>0.13669999999999999</v>
      </c>
      <c r="K144" s="39">
        <v>0.1101</v>
      </c>
      <c r="L144" s="39">
        <v>8.6900000000000005E-2</v>
      </c>
      <c r="M144" s="40">
        <v>5000</v>
      </c>
      <c r="N144" s="52">
        <v>1000000</v>
      </c>
    </row>
    <row r="145" spans="1:14" ht="15" customHeight="1" x14ac:dyDescent="0.25">
      <c r="A145" s="64" t="str">
        <f t="shared" si="2"/>
        <v>0.3-13-0-TOU-3 year - with APR</v>
      </c>
      <c r="B145" s="37" t="s">
        <v>13</v>
      </c>
      <c r="C145" s="49">
        <v>13</v>
      </c>
      <c r="D145" s="2" t="s">
        <v>22</v>
      </c>
      <c r="E145" s="50" t="s">
        <v>87</v>
      </c>
      <c r="F145" s="38" t="s">
        <v>88</v>
      </c>
      <c r="G145" s="51">
        <v>0.3</v>
      </c>
      <c r="H145" s="2" t="s">
        <v>15</v>
      </c>
      <c r="I145" s="39">
        <v>0.79700000000000004</v>
      </c>
      <c r="J145" s="39">
        <v>0.14879999999999999</v>
      </c>
      <c r="K145" s="39">
        <v>0.1198</v>
      </c>
      <c r="L145" s="39">
        <v>9.4600000000000004E-2</v>
      </c>
      <c r="M145" s="40">
        <v>5000</v>
      </c>
      <c r="N145" s="52">
        <v>1000000</v>
      </c>
    </row>
    <row r="146" spans="1:14" ht="15" customHeight="1" x14ac:dyDescent="0.25">
      <c r="A146" s="64" t="str">
        <f t="shared" si="2"/>
        <v>0.3-14-0-TOU-3 year - with APR</v>
      </c>
      <c r="B146" s="37" t="s">
        <v>13</v>
      </c>
      <c r="C146" s="49">
        <v>14</v>
      </c>
      <c r="D146" s="2" t="s">
        <v>23</v>
      </c>
      <c r="E146" s="50" t="s">
        <v>87</v>
      </c>
      <c r="F146" s="38" t="s">
        <v>88</v>
      </c>
      <c r="G146" s="51">
        <v>0.3</v>
      </c>
      <c r="H146" s="2" t="s">
        <v>15</v>
      </c>
      <c r="I146" s="39">
        <v>0.80500000000000005</v>
      </c>
      <c r="J146" s="39">
        <v>0.1404</v>
      </c>
      <c r="K146" s="39">
        <v>0.113</v>
      </c>
      <c r="L146" s="39">
        <v>8.9200000000000002E-2</v>
      </c>
      <c r="M146" s="40">
        <v>5000</v>
      </c>
      <c r="N146" s="52">
        <v>1000000</v>
      </c>
    </row>
    <row r="147" spans="1:14" ht="15" customHeight="1" x14ac:dyDescent="0.25">
      <c r="A147" s="64" t="str">
        <f t="shared" si="2"/>
        <v>0.3-15-0-TOU-3 year - with APR</v>
      </c>
      <c r="B147" s="37" t="s">
        <v>13</v>
      </c>
      <c r="C147" s="49">
        <v>15</v>
      </c>
      <c r="D147" s="2" t="s">
        <v>24</v>
      </c>
      <c r="E147" s="50" t="s">
        <v>87</v>
      </c>
      <c r="F147" s="38" t="s">
        <v>88</v>
      </c>
      <c r="G147" s="51">
        <v>0.3</v>
      </c>
      <c r="H147" s="2" t="s">
        <v>15</v>
      </c>
      <c r="I147" s="39">
        <v>0.86899999999999999</v>
      </c>
      <c r="J147" s="39">
        <v>0.14119999999999999</v>
      </c>
      <c r="K147" s="39">
        <v>0.11370000000000001</v>
      </c>
      <c r="L147" s="39">
        <v>8.9700000000000002E-2</v>
      </c>
      <c r="M147" s="40">
        <v>5000</v>
      </c>
      <c r="N147" s="52">
        <v>1000000</v>
      </c>
    </row>
    <row r="148" spans="1:14" ht="15" customHeight="1" x14ac:dyDescent="0.25">
      <c r="A148" s="64" t="str">
        <f t="shared" si="2"/>
        <v>0.3-16-0-TOU-3 year - with APR</v>
      </c>
      <c r="B148" s="37" t="s">
        <v>13</v>
      </c>
      <c r="C148" s="49">
        <v>16</v>
      </c>
      <c r="D148" s="2" t="s">
        <v>25</v>
      </c>
      <c r="E148" s="50" t="s">
        <v>87</v>
      </c>
      <c r="F148" s="38" t="s">
        <v>88</v>
      </c>
      <c r="G148" s="51">
        <v>0.3</v>
      </c>
      <c r="H148" s="2" t="s">
        <v>15</v>
      </c>
      <c r="I148" s="39">
        <v>0.65800000000000003</v>
      </c>
      <c r="J148" s="39">
        <v>0.13999999999999999</v>
      </c>
      <c r="K148" s="39">
        <v>0.11270000000000001</v>
      </c>
      <c r="L148" s="39">
        <v>8.900000000000001E-2</v>
      </c>
      <c r="M148" s="40">
        <v>5000</v>
      </c>
      <c r="N148" s="52">
        <v>1000000</v>
      </c>
    </row>
    <row r="149" spans="1:14" ht="15" customHeight="1" x14ac:dyDescent="0.25">
      <c r="A149" s="64" t="str">
        <f t="shared" si="2"/>
        <v>0.3-17-0-TOU-3 year - with APR</v>
      </c>
      <c r="B149" s="37" t="s">
        <v>13</v>
      </c>
      <c r="C149" s="49">
        <v>17</v>
      </c>
      <c r="D149" s="2" t="s">
        <v>26</v>
      </c>
      <c r="E149" s="50" t="s">
        <v>87</v>
      </c>
      <c r="F149" s="38" t="s">
        <v>88</v>
      </c>
      <c r="G149" s="51">
        <v>0.3</v>
      </c>
      <c r="H149" s="2" t="s">
        <v>15</v>
      </c>
      <c r="I149" s="39">
        <v>1.343</v>
      </c>
      <c r="J149" s="39">
        <v>0.15839999999999999</v>
      </c>
      <c r="K149" s="39">
        <v>0.1275</v>
      </c>
      <c r="L149" s="39">
        <v>0.1007</v>
      </c>
      <c r="M149" s="40">
        <v>5000</v>
      </c>
      <c r="N149" s="52">
        <v>1000000</v>
      </c>
    </row>
    <row r="150" spans="1:14" ht="15" customHeight="1" x14ac:dyDescent="0.25">
      <c r="A150" s="64" t="str">
        <f t="shared" si="2"/>
        <v>0.3-18-0-TOU-3 year - with APR</v>
      </c>
      <c r="B150" s="37" t="s">
        <v>13</v>
      </c>
      <c r="C150" s="49">
        <v>18</v>
      </c>
      <c r="D150" s="2" t="s">
        <v>27</v>
      </c>
      <c r="E150" s="50" t="s">
        <v>87</v>
      </c>
      <c r="F150" s="38" t="s">
        <v>88</v>
      </c>
      <c r="G150" s="51">
        <v>0.3</v>
      </c>
      <c r="H150" s="2" t="s">
        <v>15</v>
      </c>
      <c r="I150" s="39">
        <v>0.81399999999999995</v>
      </c>
      <c r="J150" s="39">
        <v>0.13919999999999999</v>
      </c>
      <c r="K150" s="39">
        <v>0.11210000000000001</v>
      </c>
      <c r="L150" s="39">
        <v>8.8500000000000009E-2</v>
      </c>
      <c r="M150" s="40">
        <v>5000</v>
      </c>
      <c r="N150" s="52">
        <v>1000000</v>
      </c>
    </row>
    <row r="151" spans="1:14" ht="15" customHeight="1" x14ac:dyDescent="0.25">
      <c r="A151" s="64" t="str">
        <f t="shared" si="2"/>
        <v>0.3-19-0-TOU-3 year - with APR</v>
      </c>
      <c r="B151" s="37" t="s">
        <v>13</v>
      </c>
      <c r="C151" s="49">
        <v>19</v>
      </c>
      <c r="D151" s="2" t="s">
        <v>28</v>
      </c>
      <c r="E151" s="50" t="s">
        <v>87</v>
      </c>
      <c r="F151" s="38" t="s">
        <v>88</v>
      </c>
      <c r="G151" s="51">
        <v>0.3</v>
      </c>
      <c r="H151" s="2" t="s">
        <v>15</v>
      </c>
      <c r="I151" s="39">
        <v>0.70399999999999996</v>
      </c>
      <c r="J151" s="39">
        <v>0.13829999999999998</v>
      </c>
      <c r="K151" s="39">
        <v>0.1114</v>
      </c>
      <c r="L151" s="39">
        <v>8.7900000000000006E-2</v>
      </c>
      <c r="M151" s="40">
        <v>5000</v>
      </c>
      <c r="N151" s="52">
        <v>1000000</v>
      </c>
    </row>
    <row r="152" spans="1:14" ht="15" customHeight="1" x14ac:dyDescent="0.25">
      <c r="A152" s="64" t="str">
        <f t="shared" si="2"/>
        <v>0.3-20-0-TOU-3 year - with APR</v>
      </c>
      <c r="B152" s="37" t="s">
        <v>13</v>
      </c>
      <c r="C152" s="49">
        <v>20</v>
      </c>
      <c r="D152" s="2" t="s">
        <v>29</v>
      </c>
      <c r="E152" s="50" t="s">
        <v>87</v>
      </c>
      <c r="F152" s="38" t="s">
        <v>88</v>
      </c>
      <c r="G152" s="51">
        <v>0.3</v>
      </c>
      <c r="H152" s="2" t="s">
        <v>15</v>
      </c>
      <c r="I152" s="39">
        <v>0.748</v>
      </c>
      <c r="J152" s="39">
        <v>0.13799999999999998</v>
      </c>
      <c r="K152" s="39">
        <v>0.1111</v>
      </c>
      <c r="L152" s="39">
        <v>8.77E-2</v>
      </c>
      <c r="M152" s="40">
        <v>5000</v>
      </c>
      <c r="N152" s="52">
        <v>1000000</v>
      </c>
    </row>
    <row r="153" spans="1:14" ht="15" customHeight="1" x14ac:dyDescent="0.25">
      <c r="A153" s="64" t="str">
        <f t="shared" si="2"/>
        <v>0.3-21-0-TOU-3 year - with APR</v>
      </c>
      <c r="B153" s="37" t="s">
        <v>13</v>
      </c>
      <c r="C153" s="49">
        <v>21</v>
      </c>
      <c r="D153" s="2" t="s">
        <v>30</v>
      </c>
      <c r="E153" s="50" t="s">
        <v>87</v>
      </c>
      <c r="F153" s="38" t="s">
        <v>88</v>
      </c>
      <c r="G153" s="51">
        <v>0.3</v>
      </c>
      <c r="H153" s="2" t="s">
        <v>15</v>
      </c>
      <c r="I153" s="39">
        <v>0.83499999999999996</v>
      </c>
      <c r="J153" s="39">
        <v>0.14789999999999998</v>
      </c>
      <c r="K153" s="39">
        <v>0.1191</v>
      </c>
      <c r="L153" s="39">
        <v>9.4E-2</v>
      </c>
      <c r="M153" s="40">
        <v>5000</v>
      </c>
      <c r="N153" s="52">
        <v>1000000</v>
      </c>
    </row>
    <row r="154" spans="1:14" ht="15" customHeight="1" x14ac:dyDescent="0.25">
      <c r="A154" s="64" t="str">
        <f t="shared" si="2"/>
        <v>0.3-22-0-TOU-3 year - with APR</v>
      </c>
      <c r="B154" s="37" t="s">
        <v>13</v>
      </c>
      <c r="C154" s="49">
        <v>22</v>
      </c>
      <c r="D154" s="2" t="s">
        <v>31</v>
      </c>
      <c r="E154" s="50" t="s">
        <v>87</v>
      </c>
      <c r="F154" s="38" t="s">
        <v>88</v>
      </c>
      <c r="G154" s="51">
        <v>0.3</v>
      </c>
      <c r="H154" s="2" t="s">
        <v>15</v>
      </c>
      <c r="I154" s="39">
        <v>0.81799999999999995</v>
      </c>
      <c r="J154" s="39">
        <v>0.14849999999999999</v>
      </c>
      <c r="K154" s="39">
        <v>0.1196</v>
      </c>
      <c r="L154" s="39">
        <v>9.4399999999999998E-2</v>
      </c>
      <c r="M154" s="40">
        <v>5000</v>
      </c>
      <c r="N154" s="52">
        <v>1000000</v>
      </c>
    </row>
    <row r="155" spans="1:14" ht="15" customHeight="1" x14ac:dyDescent="0.25">
      <c r="A155" s="64" t="str">
        <f t="shared" si="2"/>
        <v>0.3-23-0-TOU-3 year - with APR</v>
      </c>
      <c r="B155" s="37" t="s">
        <v>13</v>
      </c>
      <c r="C155" s="49">
        <v>23</v>
      </c>
      <c r="D155" s="2" t="s">
        <v>32</v>
      </c>
      <c r="E155" s="50" t="s">
        <v>87</v>
      </c>
      <c r="F155" s="38" t="s">
        <v>88</v>
      </c>
      <c r="G155" s="51">
        <v>0.3</v>
      </c>
      <c r="H155" s="2" t="s">
        <v>15</v>
      </c>
      <c r="I155" s="39">
        <v>0.82</v>
      </c>
      <c r="J155" s="39">
        <v>0.14109999999999998</v>
      </c>
      <c r="K155" s="39">
        <v>0.11360000000000001</v>
      </c>
      <c r="L155" s="39">
        <v>8.9700000000000002E-2</v>
      </c>
      <c r="M155" s="40">
        <v>5000</v>
      </c>
      <c r="N155" s="52">
        <v>1000000</v>
      </c>
    </row>
    <row r="156" spans="1:14" ht="15" customHeight="1" x14ac:dyDescent="0.25">
      <c r="A156" s="64" t="str">
        <f t="shared" si="2"/>
        <v>0.3-10-0-TOU-2 year Fixed</v>
      </c>
      <c r="B156" s="37" t="s">
        <v>13</v>
      </c>
      <c r="C156" s="49">
        <v>10</v>
      </c>
      <c r="D156" s="2" t="s">
        <v>14</v>
      </c>
      <c r="E156" s="50" t="s">
        <v>87</v>
      </c>
      <c r="F156" s="38" t="s">
        <v>88</v>
      </c>
      <c r="G156" s="51">
        <v>0.3</v>
      </c>
      <c r="H156" s="2" t="s">
        <v>33</v>
      </c>
      <c r="I156" s="39">
        <v>0.79700000000000004</v>
      </c>
      <c r="J156" s="39">
        <v>0.14649999999999999</v>
      </c>
      <c r="K156" s="39">
        <v>0.1179</v>
      </c>
      <c r="L156" s="39">
        <v>9.3100000000000002E-2</v>
      </c>
      <c r="M156" s="40">
        <v>5000</v>
      </c>
      <c r="N156" s="52">
        <v>1000000</v>
      </c>
    </row>
    <row r="157" spans="1:14" ht="15" customHeight="1" x14ac:dyDescent="0.25">
      <c r="A157" s="64" t="str">
        <f t="shared" si="2"/>
        <v>0.3-11-0-TOU-2 year Fixed</v>
      </c>
      <c r="B157" s="37" t="s">
        <v>13</v>
      </c>
      <c r="C157" s="49">
        <v>11</v>
      </c>
      <c r="D157" s="2" t="s">
        <v>20</v>
      </c>
      <c r="E157" s="50" t="s">
        <v>87</v>
      </c>
      <c r="F157" s="38" t="s">
        <v>88</v>
      </c>
      <c r="G157" s="51">
        <v>0.3</v>
      </c>
      <c r="H157" s="2" t="s">
        <v>33</v>
      </c>
      <c r="I157" s="39">
        <v>0.77900000000000003</v>
      </c>
      <c r="J157" s="39">
        <v>0.14959999999999998</v>
      </c>
      <c r="K157" s="39">
        <v>0.12040000000000001</v>
      </c>
      <c r="L157" s="39">
        <v>9.5100000000000004E-2</v>
      </c>
      <c r="M157" s="40">
        <v>5000</v>
      </c>
      <c r="N157" s="52">
        <v>1000000</v>
      </c>
    </row>
    <row r="158" spans="1:14" ht="15" customHeight="1" x14ac:dyDescent="0.25">
      <c r="A158" s="64" t="str">
        <f t="shared" si="2"/>
        <v>0.3-12-0-TOU-2 year Fixed</v>
      </c>
      <c r="B158" s="37" t="s">
        <v>13</v>
      </c>
      <c r="C158" s="49">
        <v>12</v>
      </c>
      <c r="D158" s="2" t="s">
        <v>21</v>
      </c>
      <c r="E158" s="50" t="s">
        <v>87</v>
      </c>
      <c r="F158" s="38" t="s">
        <v>88</v>
      </c>
      <c r="G158" s="51">
        <v>0.3</v>
      </c>
      <c r="H158" s="2" t="s">
        <v>33</v>
      </c>
      <c r="I158" s="39">
        <v>0.81699999999999995</v>
      </c>
      <c r="J158" s="39">
        <v>0.14609999999999998</v>
      </c>
      <c r="K158" s="39">
        <v>0.1177</v>
      </c>
      <c r="L158" s="39">
        <v>9.2899999999999996E-2</v>
      </c>
      <c r="M158" s="40">
        <v>5000</v>
      </c>
      <c r="N158" s="52">
        <v>1000000</v>
      </c>
    </row>
    <row r="159" spans="1:14" ht="15" customHeight="1" x14ac:dyDescent="0.25">
      <c r="A159" s="64" t="str">
        <f t="shared" si="2"/>
        <v>0.3-13-0-TOU-2 year Fixed</v>
      </c>
      <c r="B159" s="37" t="s">
        <v>13</v>
      </c>
      <c r="C159" s="49">
        <v>13</v>
      </c>
      <c r="D159" s="2" t="s">
        <v>22</v>
      </c>
      <c r="E159" s="50" t="s">
        <v>87</v>
      </c>
      <c r="F159" s="38" t="s">
        <v>88</v>
      </c>
      <c r="G159" s="51">
        <v>0.3</v>
      </c>
      <c r="H159" s="2" t="s">
        <v>33</v>
      </c>
      <c r="I159" s="39">
        <v>0.79700000000000004</v>
      </c>
      <c r="J159" s="39">
        <v>0.15919999999999998</v>
      </c>
      <c r="K159" s="39">
        <v>0.12819999999999998</v>
      </c>
      <c r="L159" s="39">
        <v>0.1012</v>
      </c>
      <c r="M159" s="40">
        <v>5000</v>
      </c>
      <c r="N159" s="52">
        <v>1000000</v>
      </c>
    </row>
    <row r="160" spans="1:14" ht="15" customHeight="1" x14ac:dyDescent="0.25">
      <c r="A160" s="64" t="str">
        <f t="shared" si="2"/>
        <v>0.3-14-0-TOU-2 year Fixed</v>
      </c>
      <c r="B160" s="37" t="s">
        <v>13</v>
      </c>
      <c r="C160" s="49">
        <v>14</v>
      </c>
      <c r="D160" s="2" t="s">
        <v>23</v>
      </c>
      <c r="E160" s="50" t="s">
        <v>87</v>
      </c>
      <c r="F160" s="38" t="s">
        <v>88</v>
      </c>
      <c r="G160" s="51">
        <v>0.3</v>
      </c>
      <c r="H160" s="2" t="s">
        <v>33</v>
      </c>
      <c r="I160" s="39">
        <v>0.80500000000000005</v>
      </c>
      <c r="J160" s="39">
        <v>0.15059999999999998</v>
      </c>
      <c r="K160" s="39">
        <v>0.12130000000000001</v>
      </c>
      <c r="L160" s="39">
        <v>9.5699999999999993E-2</v>
      </c>
      <c r="M160" s="40">
        <v>5000</v>
      </c>
      <c r="N160" s="52">
        <v>1000000</v>
      </c>
    </row>
    <row r="161" spans="1:14" ht="15" customHeight="1" x14ac:dyDescent="0.25">
      <c r="A161" s="64" t="str">
        <f t="shared" si="2"/>
        <v>0.3-15-0-TOU-2 year Fixed</v>
      </c>
      <c r="B161" s="37" t="s">
        <v>13</v>
      </c>
      <c r="C161" s="49">
        <v>15</v>
      </c>
      <c r="D161" s="2" t="s">
        <v>24</v>
      </c>
      <c r="E161" s="50" t="s">
        <v>87</v>
      </c>
      <c r="F161" s="38" t="s">
        <v>88</v>
      </c>
      <c r="G161" s="51">
        <v>0.3</v>
      </c>
      <c r="H161" s="2" t="s">
        <v>33</v>
      </c>
      <c r="I161" s="39">
        <v>0.86899999999999999</v>
      </c>
      <c r="J161" s="39">
        <v>0.15039999999999998</v>
      </c>
      <c r="K161" s="39">
        <v>0.1211</v>
      </c>
      <c r="L161" s="39">
        <v>9.5600000000000004E-2</v>
      </c>
      <c r="M161" s="40">
        <v>5000</v>
      </c>
      <c r="N161" s="52">
        <v>1000000</v>
      </c>
    </row>
    <row r="162" spans="1:14" ht="15" customHeight="1" x14ac:dyDescent="0.25">
      <c r="A162" s="64" t="str">
        <f t="shared" si="2"/>
        <v>0.3-16-0-TOU-2 year Fixed</v>
      </c>
      <c r="B162" s="37" t="s">
        <v>13</v>
      </c>
      <c r="C162" s="49">
        <v>16</v>
      </c>
      <c r="D162" s="2" t="s">
        <v>25</v>
      </c>
      <c r="E162" s="50" t="s">
        <v>87</v>
      </c>
      <c r="F162" s="38" t="s">
        <v>88</v>
      </c>
      <c r="G162" s="51">
        <v>0.3</v>
      </c>
      <c r="H162" s="2" t="s">
        <v>33</v>
      </c>
      <c r="I162" s="39">
        <v>0.65800000000000003</v>
      </c>
      <c r="J162" s="39">
        <v>0.1497</v>
      </c>
      <c r="K162" s="39">
        <v>0.1205</v>
      </c>
      <c r="L162" s="39">
        <v>9.5100000000000004E-2</v>
      </c>
      <c r="M162" s="40">
        <v>5000</v>
      </c>
      <c r="N162" s="52">
        <v>1000000</v>
      </c>
    </row>
    <row r="163" spans="1:14" ht="15" customHeight="1" x14ac:dyDescent="0.25">
      <c r="A163" s="64" t="str">
        <f t="shared" si="2"/>
        <v>0.3-17-0-TOU-2 year Fixed</v>
      </c>
      <c r="B163" s="37" t="s">
        <v>13</v>
      </c>
      <c r="C163" s="49">
        <v>17</v>
      </c>
      <c r="D163" s="2" t="s">
        <v>26</v>
      </c>
      <c r="E163" s="50" t="s">
        <v>87</v>
      </c>
      <c r="F163" s="38" t="s">
        <v>88</v>
      </c>
      <c r="G163" s="51">
        <v>0.3</v>
      </c>
      <c r="H163" s="2" t="s">
        <v>33</v>
      </c>
      <c r="I163" s="39">
        <v>1.5109999999999999</v>
      </c>
      <c r="J163" s="39">
        <v>0.16869999999999999</v>
      </c>
      <c r="K163" s="39">
        <v>0.13579999999999998</v>
      </c>
      <c r="L163" s="39">
        <v>0.1072</v>
      </c>
      <c r="M163" s="40">
        <v>5000</v>
      </c>
      <c r="N163" s="52">
        <v>1000000</v>
      </c>
    </row>
    <row r="164" spans="1:14" ht="15" customHeight="1" x14ac:dyDescent="0.25">
      <c r="A164" s="64" t="str">
        <f t="shared" si="2"/>
        <v>0.3-18-0-TOU-2 year Fixed</v>
      </c>
      <c r="B164" s="37" t="s">
        <v>13</v>
      </c>
      <c r="C164" s="49">
        <v>18</v>
      </c>
      <c r="D164" s="2" t="s">
        <v>27</v>
      </c>
      <c r="E164" s="50" t="s">
        <v>87</v>
      </c>
      <c r="F164" s="38" t="s">
        <v>88</v>
      </c>
      <c r="G164" s="51">
        <v>0.3</v>
      </c>
      <c r="H164" s="2" t="s">
        <v>33</v>
      </c>
      <c r="I164" s="39">
        <v>0.81399999999999995</v>
      </c>
      <c r="J164" s="39">
        <v>0.1492</v>
      </c>
      <c r="K164" s="39">
        <v>0.1201</v>
      </c>
      <c r="L164" s="39">
        <v>9.4799999999999995E-2</v>
      </c>
      <c r="M164" s="40">
        <v>5000</v>
      </c>
      <c r="N164" s="52">
        <v>1000000</v>
      </c>
    </row>
    <row r="165" spans="1:14" ht="15" customHeight="1" x14ac:dyDescent="0.25">
      <c r="A165" s="64" t="str">
        <f t="shared" si="2"/>
        <v>0.3-19-0-TOU-2 year Fixed</v>
      </c>
      <c r="B165" s="37" t="s">
        <v>13</v>
      </c>
      <c r="C165" s="49">
        <v>19</v>
      </c>
      <c r="D165" s="2" t="s">
        <v>28</v>
      </c>
      <c r="E165" s="50" t="s">
        <v>87</v>
      </c>
      <c r="F165" s="38" t="s">
        <v>88</v>
      </c>
      <c r="G165" s="51">
        <v>0.3</v>
      </c>
      <c r="H165" s="2" t="s">
        <v>33</v>
      </c>
      <c r="I165" s="39">
        <v>0.70399999999999996</v>
      </c>
      <c r="J165" s="39">
        <v>0.14799999999999999</v>
      </c>
      <c r="K165" s="39">
        <v>0.1192</v>
      </c>
      <c r="L165" s="39">
        <v>9.4100000000000003E-2</v>
      </c>
      <c r="M165" s="40">
        <v>5000</v>
      </c>
      <c r="N165" s="52">
        <v>1000000</v>
      </c>
    </row>
    <row r="166" spans="1:14" ht="15" customHeight="1" x14ac:dyDescent="0.25">
      <c r="A166" s="64" t="str">
        <f t="shared" si="2"/>
        <v>0.3-20-0-TOU-2 year Fixed</v>
      </c>
      <c r="B166" s="37" t="s">
        <v>13</v>
      </c>
      <c r="C166" s="49">
        <v>20</v>
      </c>
      <c r="D166" s="2" t="s">
        <v>29</v>
      </c>
      <c r="E166" s="50" t="s">
        <v>87</v>
      </c>
      <c r="F166" s="38" t="s">
        <v>88</v>
      </c>
      <c r="G166" s="51">
        <v>0.3</v>
      </c>
      <c r="H166" s="2" t="s">
        <v>33</v>
      </c>
      <c r="I166" s="39">
        <v>0.748</v>
      </c>
      <c r="J166" s="39">
        <v>0.14809999999999998</v>
      </c>
      <c r="K166" s="39">
        <v>0.1193</v>
      </c>
      <c r="L166" s="39">
        <v>9.4200000000000006E-2</v>
      </c>
      <c r="M166" s="40">
        <v>5000</v>
      </c>
      <c r="N166" s="52">
        <v>1000000</v>
      </c>
    </row>
    <row r="167" spans="1:14" ht="15" customHeight="1" x14ac:dyDescent="0.25">
      <c r="A167" s="64" t="str">
        <f t="shared" si="2"/>
        <v>0.3-21-0-TOU-2 year Fixed</v>
      </c>
      <c r="B167" s="37" t="s">
        <v>13</v>
      </c>
      <c r="C167" s="49">
        <v>21</v>
      </c>
      <c r="D167" s="2" t="s">
        <v>30</v>
      </c>
      <c r="E167" s="50" t="s">
        <v>87</v>
      </c>
      <c r="F167" s="38" t="s">
        <v>88</v>
      </c>
      <c r="G167" s="51">
        <v>0.3</v>
      </c>
      <c r="H167" s="2" t="s">
        <v>33</v>
      </c>
      <c r="I167" s="39">
        <v>0.83499999999999996</v>
      </c>
      <c r="J167" s="39">
        <v>0.1583</v>
      </c>
      <c r="K167" s="39">
        <v>0.12739999999999999</v>
      </c>
      <c r="L167" s="39">
        <v>0.10060000000000001</v>
      </c>
      <c r="M167" s="40">
        <v>5000</v>
      </c>
      <c r="N167" s="52">
        <v>1000000</v>
      </c>
    </row>
    <row r="168" spans="1:14" ht="15" customHeight="1" x14ac:dyDescent="0.25">
      <c r="A168" s="64" t="str">
        <f t="shared" si="2"/>
        <v>0.3-22-0-TOU-2 year Fixed</v>
      </c>
      <c r="B168" s="37" t="s">
        <v>13</v>
      </c>
      <c r="C168" s="49">
        <v>22</v>
      </c>
      <c r="D168" s="2" t="s">
        <v>31</v>
      </c>
      <c r="E168" s="50" t="s">
        <v>87</v>
      </c>
      <c r="F168" s="38" t="s">
        <v>88</v>
      </c>
      <c r="G168" s="51">
        <v>0.3</v>
      </c>
      <c r="H168" s="2" t="s">
        <v>33</v>
      </c>
      <c r="I168" s="39">
        <v>0.81799999999999995</v>
      </c>
      <c r="J168" s="39">
        <v>0.15889999999999999</v>
      </c>
      <c r="K168" s="39">
        <v>0.12789999999999999</v>
      </c>
      <c r="L168" s="39">
        <v>0.10100000000000001</v>
      </c>
      <c r="M168" s="40">
        <v>5000</v>
      </c>
      <c r="N168" s="52">
        <v>1000000</v>
      </c>
    </row>
    <row r="169" spans="1:14" ht="15" customHeight="1" x14ac:dyDescent="0.25">
      <c r="A169" s="64" t="str">
        <f t="shared" si="2"/>
        <v>0.3-23-0-TOU-2 year Fixed</v>
      </c>
      <c r="B169" s="37" t="s">
        <v>13</v>
      </c>
      <c r="C169" s="49">
        <v>23</v>
      </c>
      <c r="D169" s="2" t="s">
        <v>32</v>
      </c>
      <c r="E169" s="50" t="s">
        <v>87</v>
      </c>
      <c r="F169" s="38" t="s">
        <v>88</v>
      </c>
      <c r="G169" s="51">
        <v>0.3</v>
      </c>
      <c r="H169" s="2" t="s">
        <v>33</v>
      </c>
      <c r="I169" s="39">
        <v>0.82</v>
      </c>
      <c r="J169" s="39">
        <v>0.15059999999999998</v>
      </c>
      <c r="K169" s="39">
        <v>0.12130000000000001</v>
      </c>
      <c r="L169" s="39">
        <v>9.5699999999999993E-2</v>
      </c>
      <c r="M169" s="40">
        <v>5000</v>
      </c>
      <c r="N169" s="52">
        <v>1000000</v>
      </c>
    </row>
    <row r="170" spans="1:14" ht="15" customHeight="1" x14ac:dyDescent="0.25">
      <c r="A170" s="64" t="str">
        <f t="shared" si="2"/>
        <v>0.4-10-0-TOU-3 year - with APR</v>
      </c>
      <c r="B170" s="37" t="s">
        <v>13</v>
      </c>
      <c r="C170" s="49">
        <v>10</v>
      </c>
      <c r="D170" s="2" t="s">
        <v>14</v>
      </c>
      <c r="E170" s="50" t="s">
        <v>87</v>
      </c>
      <c r="F170" s="38" t="s">
        <v>88</v>
      </c>
      <c r="G170" s="51">
        <v>0.4</v>
      </c>
      <c r="H170" s="2" t="s">
        <v>15</v>
      </c>
      <c r="I170" s="39">
        <v>0.79700000000000004</v>
      </c>
      <c r="J170" s="39">
        <v>0.13829999999999998</v>
      </c>
      <c r="K170" s="39">
        <v>0.1114</v>
      </c>
      <c r="L170" s="39">
        <v>8.7900000000000006E-2</v>
      </c>
      <c r="M170" s="40">
        <v>5000</v>
      </c>
      <c r="N170" s="52">
        <v>1000000</v>
      </c>
    </row>
    <row r="171" spans="1:14" ht="15" customHeight="1" x14ac:dyDescent="0.25">
      <c r="A171" s="64" t="str">
        <f t="shared" si="2"/>
        <v>0.4-11-0-TOU-3 year - with APR</v>
      </c>
      <c r="B171" s="37" t="s">
        <v>13</v>
      </c>
      <c r="C171" s="49">
        <v>11</v>
      </c>
      <c r="D171" s="2" t="s">
        <v>20</v>
      </c>
      <c r="E171" s="50" t="s">
        <v>87</v>
      </c>
      <c r="F171" s="38" t="s">
        <v>88</v>
      </c>
      <c r="G171" s="51">
        <v>0.4</v>
      </c>
      <c r="H171" s="2" t="s">
        <v>15</v>
      </c>
      <c r="I171" s="39">
        <v>0.77900000000000003</v>
      </c>
      <c r="J171" s="39">
        <v>0.1406</v>
      </c>
      <c r="K171" s="39">
        <v>0.11320000000000001</v>
      </c>
      <c r="L171" s="39">
        <v>8.9400000000000007E-2</v>
      </c>
      <c r="M171" s="40">
        <v>5000</v>
      </c>
      <c r="N171" s="52">
        <v>1000000</v>
      </c>
    </row>
    <row r="172" spans="1:14" ht="15" customHeight="1" x14ac:dyDescent="0.25">
      <c r="A172" s="64" t="str">
        <f t="shared" si="2"/>
        <v>0.4-12-0-TOU-3 year - with APR</v>
      </c>
      <c r="B172" s="37" t="s">
        <v>13</v>
      </c>
      <c r="C172" s="49">
        <v>12</v>
      </c>
      <c r="D172" s="2" t="s">
        <v>21</v>
      </c>
      <c r="E172" s="50" t="s">
        <v>87</v>
      </c>
      <c r="F172" s="38" t="s">
        <v>88</v>
      </c>
      <c r="G172" s="51">
        <v>0.4</v>
      </c>
      <c r="H172" s="2" t="s">
        <v>15</v>
      </c>
      <c r="I172" s="39">
        <v>0.81699999999999995</v>
      </c>
      <c r="J172" s="39">
        <v>0.13789999999999999</v>
      </c>
      <c r="K172" s="39">
        <v>0.111</v>
      </c>
      <c r="L172" s="39">
        <v>8.7599999999999997E-2</v>
      </c>
      <c r="M172" s="40">
        <v>5000</v>
      </c>
      <c r="N172" s="52">
        <v>1000000</v>
      </c>
    </row>
    <row r="173" spans="1:14" ht="15" customHeight="1" x14ac:dyDescent="0.25">
      <c r="A173" s="64" t="str">
        <f t="shared" si="2"/>
        <v>0.4-13-0-TOU-3 year - with APR</v>
      </c>
      <c r="B173" s="37" t="s">
        <v>13</v>
      </c>
      <c r="C173" s="49">
        <v>13</v>
      </c>
      <c r="D173" s="2" t="s">
        <v>22</v>
      </c>
      <c r="E173" s="50" t="s">
        <v>87</v>
      </c>
      <c r="F173" s="38" t="s">
        <v>88</v>
      </c>
      <c r="G173" s="51">
        <v>0.4</v>
      </c>
      <c r="H173" s="2" t="s">
        <v>15</v>
      </c>
      <c r="I173" s="39">
        <v>0.79700000000000004</v>
      </c>
      <c r="J173" s="39">
        <v>0.15</v>
      </c>
      <c r="K173" s="39">
        <v>0.1208</v>
      </c>
      <c r="L173" s="39">
        <v>9.5399999999999999E-2</v>
      </c>
      <c r="M173" s="40">
        <v>5000</v>
      </c>
      <c r="N173" s="52">
        <v>1000000</v>
      </c>
    </row>
    <row r="174" spans="1:14" ht="15" customHeight="1" x14ac:dyDescent="0.25">
      <c r="A174" s="64" t="str">
        <f t="shared" si="2"/>
        <v>0.4-14-0-TOU-3 year - with APR</v>
      </c>
      <c r="B174" s="37" t="s">
        <v>13</v>
      </c>
      <c r="C174" s="49">
        <v>14</v>
      </c>
      <c r="D174" s="2" t="s">
        <v>23</v>
      </c>
      <c r="E174" s="50" t="s">
        <v>87</v>
      </c>
      <c r="F174" s="38" t="s">
        <v>88</v>
      </c>
      <c r="G174" s="51">
        <v>0.4</v>
      </c>
      <c r="H174" s="2" t="s">
        <v>15</v>
      </c>
      <c r="I174" s="39">
        <v>0.80500000000000005</v>
      </c>
      <c r="J174" s="39">
        <v>0.14149999999999999</v>
      </c>
      <c r="K174" s="39">
        <v>0.114</v>
      </c>
      <c r="L174" s="39">
        <v>0.09</v>
      </c>
      <c r="M174" s="40">
        <v>5000</v>
      </c>
      <c r="N174" s="52">
        <v>1000000</v>
      </c>
    </row>
    <row r="175" spans="1:14" ht="15" customHeight="1" x14ac:dyDescent="0.25">
      <c r="A175" s="64" t="str">
        <f t="shared" si="2"/>
        <v>0.4-15-0-TOU-3 year - with APR</v>
      </c>
      <c r="B175" s="37" t="s">
        <v>13</v>
      </c>
      <c r="C175" s="49">
        <v>15</v>
      </c>
      <c r="D175" s="2" t="s">
        <v>24</v>
      </c>
      <c r="E175" s="50" t="s">
        <v>87</v>
      </c>
      <c r="F175" s="38" t="s">
        <v>88</v>
      </c>
      <c r="G175" s="51">
        <v>0.4</v>
      </c>
      <c r="H175" s="2" t="s">
        <v>15</v>
      </c>
      <c r="I175" s="39">
        <v>0.86899999999999999</v>
      </c>
      <c r="J175" s="39">
        <v>0.1424</v>
      </c>
      <c r="K175" s="39">
        <v>0.11460000000000001</v>
      </c>
      <c r="L175" s="39">
        <v>9.0499999999999997E-2</v>
      </c>
      <c r="M175" s="40">
        <v>5000</v>
      </c>
      <c r="N175" s="52">
        <v>1000000</v>
      </c>
    </row>
    <row r="176" spans="1:14" ht="15" customHeight="1" x14ac:dyDescent="0.25">
      <c r="A176" s="64" t="str">
        <f t="shared" si="2"/>
        <v>0.4-16-0-TOU-3 year - with APR</v>
      </c>
      <c r="B176" s="37" t="s">
        <v>13</v>
      </c>
      <c r="C176" s="49">
        <v>16</v>
      </c>
      <c r="D176" s="2" t="s">
        <v>25</v>
      </c>
      <c r="E176" s="50" t="s">
        <v>87</v>
      </c>
      <c r="F176" s="38" t="s">
        <v>88</v>
      </c>
      <c r="G176" s="51">
        <v>0.4</v>
      </c>
      <c r="H176" s="2" t="s">
        <v>15</v>
      </c>
      <c r="I176" s="39">
        <v>0.65800000000000003</v>
      </c>
      <c r="J176" s="39">
        <v>0.14119999999999999</v>
      </c>
      <c r="K176" s="39">
        <v>0.11370000000000001</v>
      </c>
      <c r="L176" s="39">
        <v>8.9700000000000002E-2</v>
      </c>
      <c r="M176" s="40">
        <v>5000</v>
      </c>
      <c r="N176" s="52">
        <v>1000000</v>
      </c>
    </row>
    <row r="177" spans="1:14" ht="15" customHeight="1" x14ac:dyDescent="0.25">
      <c r="A177" s="64" t="str">
        <f t="shared" si="2"/>
        <v>0.4-17-0-TOU-3 year - with APR</v>
      </c>
      <c r="B177" s="37" t="s">
        <v>13</v>
      </c>
      <c r="C177" s="49">
        <v>17</v>
      </c>
      <c r="D177" s="2" t="s">
        <v>26</v>
      </c>
      <c r="E177" s="50" t="s">
        <v>87</v>
      </c>
      <c r="F177" s="38" t="s">
        <v>88</v>
      </c>
      <c r="G177" s="51">
        <v>0.4</v>
      </c>
      <c r="H177" s="2" t="s">
        <v>15</v>
      </c>
      <c r="I177" s="39">
        <v>1.343</v>
      </c>
      <c r="J177" s="39">
        <v>0.15959999999999999</v>
      </c>
      <c r="K177" s="39">
        <v>0.12849999999999998</v>
      </c>
      <c r="L177" s="39">
        <v>0.1014</v>
      </c>
      <c r="M177" s="40">
        <v>5000</v>
      </c>
      <c r="N177" s="52">
        <v>1000000</v>
      </c>
    </row>
    <row r="178" spans="1:14" ht="15" customHeight="1" x14ac:dyDescent="0.25">
      <c r="A178" s="64" t="str">
        <f t="shared" si="2"/>
        <v>0.4-18-0-TOU-3 year - with APR</v>
      </c>
      <c r="B178" s="37" t="s">
        <v>13</v>
      </c>
      <c r="C178" s="49">
        <v>18</v>
      </c>
      <c r="D178" s="2" t="s">
        <v>27</v>
      </c>
      <c r="E178" s="50" t="s">
        <v>87</v>
      </c>
      <c r="F178" s="38" t="s">
        <v>88</v>
      </c>
      <c r="G178" s="51">
        <v>0.4</v>
      </c>
      <c r="H178" s="2" t="s">
        <v>15</v>
      </c>
      <c r="I178" s="39">
        <v>0.81399999999999995</v>
      </c>
      <c r="J178" s="39">
        <v>0.1404</v>
      </c>
      <c r="K178" s="39">
        <v>0.113</v>
      </c>
      <c r="L178" s="39">
        <v>8.9200000000000002E-2</v>
      </c>
      <c r="M178" s="40">
        <v>5000</v>
      </c>
      <c r="N178" s="52">
        <v>1000000</v>
      </c>
    </row>
    <row r="179" spans="1:14" ht="15" customHeight="1" x14ac:dyDescent="0.25">
      <c r="A179" s="64" t="str">
        <f t="shared" si="2"/>
        <v>0.4-19-0-TOU-3 year - with APR</v>
      </c>
      <c r="B179" s="37" t="s">
        <v>13</v>
      </c>
      <c r="C179" s="49">
        <v>19</v>
      </c>
      <c r="D179" s="2" t="s">
        <v>28</v>
      </c>
      <c r="E179" s="50" t="s">
        <v>87</v>
      </c>
      <c r="F179" s="38" t="s">
        <v>88</v>
      </c>
      <c r="G179" s="51">
        <v>0.4</v>
      </c>
      <c r="H179" s="2" t="s">
        <v>15</v>
      </c>
      <c r="I179" s="39">
        <v>0.70399999999999996</v>
      </c>
      <c r="J179" s="39">
        <v>0.13949999999999999</v>
      </c>
      <c r="K179" s="39">
        <v>0.1123</v>
      </c>
      <c r="L179" s="39">
        <v>8.8700000000000001E-2</v>
      </c>
      <c r="M179" s="40">
        <v>5000</v>
      </c>
      <c r="N179" s="52">
        <v>1000000</v>
      </c>
    </row>
    <row r="180" spans="1:14" ht="15" customHeight="1" x14ac:dyDescent="0.25">
      <c r="A180" s="64" t="str">
        <f t="shared" si="2"/>
        <v>0.4-20-0-TOU-3 year - with APR</v>
      </c>
      <c r="B180" s="37" t="s">
        <v>13</v>
      </c>
      <c r="C180" s="49">
        <v>20</v>
      </c>
      <c r="D180" s="2" t="s">
        <v>29</v>
      </c>
      <c r="E180" s="50" t="s">
        <v>87</v>
      </c>
      <c r="F180" s="38" t="s">
        <v>88</v>
      </c>
      <c r="G180" s="51">
        <v>0.4</v>
      </c>
      <c r="H180" s="2" t="s">
        <v>15</v>
      </c>
      <c r="I180" s="39">
        <v>0.748</v>
      </c>
      <c r="J180" s="39">
        <v>0.13919999999999999</v>
      </c>
      <c r="K180" s="39">
        <v>0.11210000000000001</v>
      </c>
      <c r="L180" s="39">
        <v>8.8500000000000009E-2</v>
      </c>
      <c r="M180" s="40">
        <v>5000</v>
      </c>
      <c r="N180" s="52">
        <v>1000000</v>
      </c>
    </row>
    <row r="181" spans="1:14" ht="15" customHeight="1" x14ac:dyDescent="0.25">
      <c r="A181" s="64" t="str">
        <f t="shared" si="2"/>
        <v>0.4-21-0-TOU-3 year - with APR</v>
      </c>
      <c r="B181" s="37" t="s">
        <v>13</v>
      </c>
      <c r="C181" s="49">
        <v>21</v>
      </c>
      <c r="D181" s="2" t="s">
        <v>30</v>
      </c>
      <c r="E181" s="50" t="s">
        <v>87</v>
      </c>
      <c r="F181" s="38" t="s">
        <v>88</v>
      </c>
      <c r="G181" s="51">
        <v>0.4</v>
      </c>
      <c r="H181" s="2" t="s">
        <v>15</v>
      </c>
      <c r="I181" s="39">
        <v>0.83499999999999996</v>
      </c>
      <c r="J181" s="39">
        <v>0.14909999999999998</v>
      </c>
      <c r="K181" s="39">
        <v>0.12000000000000001</v>
      </c>
      <c r="L181" s="39">
        <v>9.4800000000000009E-2</v>
      </c>
      <c r="M181" s="40">
        <v>5000</v>
      </c>
      <c r="N181" s="52">
        <v>1000000</v>
      </c>
    </row>
    <row r="182" spans="1:14" ht="15" customHeight="1" x14ac:dyDescent="0.25">
      <c r="A182" s="64" t="str">
        <f t="shared" si="2"/>
        <v>0.4-22-0-TOU-3 year - with APR</v>
      </c>
      <c r="B182" s="37" t="s">
        <v>13</v>
      </c>
      <c r="C182" s="49">
        <v>22</v>
      </c>
      <c r="D182" s="2" t="s">
        <v>31</v>
      </c>
      <c r="E182" s="50" t="s">
        <v>87</v>
      </c>
      <c r="F182" s="38" t="s">
        <v>88</v>
      </c>
      <c r="G182" s="51">
        <v>0.4</v>
      </c>
      <c r="H182" s="2" t="s">
        <v>15</v>
      </c>
      <c r="I182" s="39">
        <v>0.81799999999999995</v>
      </c>
      <c r="J182" s="39">
        <v>0.1497</v>
      </c>
      <c r="K182" s="39">
        <v>0.1205</v>
      </c>
      <c r="L182" s="39">
        <v>9.5100000000000004E-2</v>
      </c>
      <c r="M182" s="40">
        <v>5000</v>
      </c>
      <c r="N182" s="52">
        <v>1000000</v>
      </c>
    </row>
    <row r="183" spans="1:14" ht="15" customHeight="1" x14ac:dyDescent="0.25">
      <c r="A183" s="64" t="str">
        <f t="shared" si="2"/>
        <v>0.4-23-0-TOU-3 year - with APR</v>
      </c>
      <c r="B183" s="37" t="s">
        <v>13</v>
      </c>
      <c r="C183" s="49">
        <v>23</v>
      </c>
      <c r="D183" s="2" t="s">
        <v>32</v>
      </c>
      <c r="E183" s="50" t="s">
        <v>87</v>
      </c>
      <c r="F183" s="38" t="s">
        <v>88</v>
      </c>
      <c r="G183" s="51">
        <v>0.4</v>
      </c>
      <c r="H183" s="2" t="s">
        <v>15</v>
      </c>
      <c r="I183" s="39">
        <v>0.82</v>
      </c>
      <c r="J183" s="39">
        <v>0.14219999999999999</v>
      </c>
      <c r="K183" s="39">
        <v>0.1145</v>
      </c>
      <c r="L183" s="39">
        <v>9.0400000000000008E-2</v>
      </c>
      <c r="M183" s="40">
        <v>5000</v>
      </c>
      <c r="N183" s="52">
        <v>1000000</v>
      </c>
    </row>
    <row r="184" spans="1:14" ht="15" customHeight="1" x14ac:dyDescent="0.25">
      <c r="A184" s="64" t="str">
        <f t="shared" si="2"/>
        <v>0.4-10-0-TOU-2 year Fixed</v>
      </c>
      <c r="B184" s="37" t="s">
        <v>13</v>
      </c>
      <c r="C184" s="49">
        <v>10</v>
      </c>
      <c r="D184" s="2" t="s">
        <v>14</v>
      </c>
      <c r="E184" s="50" t="s">
        <v>87</v>
      </c>
      <c r="F184" s="38" t="s">
        <v>88</v>
      </c>
      <c r="G184" s="51">
        <v>0.4</v>
      </c>
      <c r="H184" s="2" t="s">
        <v>33</v>
      </c>
      <c r="I184" s="39">
        <v>0.79700000000000004</v>
      </c>
      <c r="J184" s="39">
        <v>0.1477</v>
      </c>
      <c r="K184" s="39">
        <v>0.11890000000000001</v>
      </c>
      <c r="L184" s="39">
        <v>9.3899999999999997E-2</v>
      </c>
      <c r="M184" s="40">
        <v>5000</v>
      </c>
      <c r="N184" s="52">
        <v>1000000</v>
      </c>
    </row>
    <row r="185" spans="1:14" ht="15" customHeight="1" x14ac:dyDescent="0.25">
      <c r="A185" s="64" t="str">
        <f t="shared" si="2"/>
        <v>0.4-11-0-TOU-2 year Fixed</v>
      </c>
      <c r="B185" s="37" t="s">
        <v>13</v>
      </c>
      <c r="C185" s="49">
        <v>11</v>
      </c>
      <c r="D185" s="2" t="s">
        <v>20</v>
      </c>
      <c r="E185" s="50" t="s">
        <v>87</v>
      </c>
      <c r="F185" s="38" t="s">
        <v>88</v>
      </c>
      <c r="G185" s="51">
        <v>0.4</v>
      </c>
      <c r="H185" s="2" t="s">
        <v>33</v>
      </c>
      <c r="I185" s="39">
        <v>0.77900000000000003</v>
      </c>
      <c r="J185" s="39">
        <v>0.1507</v>
      </c>
      <c r="K185" s="39">
        <v>0.12140000000000001</v>
      </c>
      <c r="L185" s="39">
        <v>9.5799999999999996E-2</v>
      </c>
      <c r="M185" s="40">
        <v>5000</v>
      </c>
      <c r="N185" s="52">
        <v>1000000</v>
      </c>
    </row>
    <row r="186" spans="1:14" ht="15" customHeight="1" x14ac:dyDescent="0.25">
      <c r="A186" s="64" t="str">
        <f t="shared" si="2"/>
        <v>0.4-12-0-TOU-2 year Fixed</v>
      </c>
      <c r="B186" s="37" t="s">
        <v>13</v>
      </c>
      <c r="C186" s="49">
        <v>12</v>
      </c>
      <c r="D186" s="2" t="s">
        <v>21</v>
      </c>
      <c r="E186" s="50" t="s">
        <v>87</v>
      </c>
      <c r="F186" s="38" t="s">
        <v>88</v>
      </c>
      <c r="G186" s="51">
        <v>0.4</v>
      </c>
      <c r="H186" s="2" t="s">
        <v>33</v>
      </c>
      <c r="I186" s="39">
        <v>0.81699999999999995</v>
      </c>
      <c r="J186" s="39">
        <v>0.14729999999999999</v>
      </c>
      <c r="K186" s="39">
        <v>0.1186</v>
      </c>
      <c r="L186" s="39">
        <v>9.3600000000000003E-2</v>
      </c>
      <c r="M186" s="40">
        <v>5000</v>
      </c>
      <c r="N186" s="52">
        <v>1000000</v>
      </c>
    </row>
    <row r="187" spans="1:14" ht="15" customHeight="1" x14ac:dyDescent="0.25">
      <c r="A187" s="64" t="str">
        <f t="shared" si="2"/>
        <v>0.4-13-0-TOU-2 year Fixed</v>
      </c>
      <c r="B187" s="37" t="s">
        <v>13</v>
      </c>
      <c r="C187" s="49">
        <v>13</v>
      </c>
      <c r="D187" s="2" t="s">
        <v>22</v>
      </c>
      <c r="E187" s="50" t="s">
        <v>87</v>
      </c>
      <c r="F187" s="38" t="s">
        <v>88</v>
      </c>
      <c r="G187" s="51">
        <v>0.4</v>
      </c>
      <c r="H187" s="2" t="s">
        <v>33</v>
      </c>
      <c r="I187" s="39">
        <v>0.79700000000000004</v>
      </c>
      <c r="J187" s="39">
        <v>0.16039999999999999</v>
      </c>
      <c r="K187" s="39">
        <v>0.12919999999999998</v>
      </c>
      <c r="L187" s="39">
        <v>0.10200000000000001</v>
      </c>
      <c r="M187" s="40">
        <v>5000</v>
      </c>
      <c r="N187" s="52">
        <v>1000000</v>
      </c>
    </row>
    <row r="188" spans="1:14" ht="15" customHeight="1" x14ac:dyDescent="0.25">
      <c r="A188" s="64" t="str">
        <f t="shared" si="2"/>
        <v>0.4-14-0-TOU-2 year Fixed</v>
      </c>
      <c r="B188" s="37" t="s">
        <v>13</v>
      </c>
      <c r="C188" s="49">
        <v>14</v>
      </c>
      <c r="D188" s="2" t="s">
        <v>23</v>
      </c>
      <c r="E188" s="50" t="s">
        <v>87</v>
      </c>
      <c r="F188" s="38" t="s">
        <v>88</v>
      </c>
      <c r="G188" s="51">
        <v>0.4</v>
      </c>
      <c r="H188" s="2" t="s">
        <v>33</v>
      </c>
      <c r="I188" s="39">
        <v>0.80500000000000005</v>
      </c>
      <c r="J188" s="39">
        <v>0.15179999999999999</v>
      </c>
      <c r="K188" s="39">
        <v>0.1222</v>
      </c>
      <c r="L188" s="39">
        <v>9.6500000000000002E-2</v>
      </c>
      <c r="M188" s="40">
        <v>5000</v>
      </c>
      <c r="N188" s="52">
        <v>1000000</v>
      </c>
    </row>
    <row r="189" spans="1:14" ht="15" customHeight="1" x14ac:dyDescent="0.25">
      <c r="A189" s="64" t="str">
        <f t="shared" si="2"/>
        <v>0.4-15-0-TOU-2 year Fixed</v>
      </c>
      <c r="B189" s="37" t="s">
        <v>13</v>
      </c>
      <c r="C189" s="49">
        <v>15</v>
      </c>
      <c r="D189" s="2" t="s">
        <v>24</v>
      </c>
      <c r="E189" s="50" t="s">
        <v>87</v>
      </c>
      <c r="F189" s="38" t="s">
        <v>88</v>
      </c>
      <c r="G189" s="51">
        <v>0.4</v>
      </c>
      <c r="H189" s="2" t="s">
        <v>33</v>
      </c>
      <c r="I189" s="39">
        <v>0.86899999999999999</v>
      </c>
      <c r="J189" s="39">
        <v>0.15159999999999998</v>
      </c>
      <c r="K189" s="39">
        <v>0.122</v>
      </c>
      <c r="L189" s="39">
        <v>9.6299999999999997E-2</v>
      </c>
      <c r="M189" s="40">
        <v>5000</v>
      </c>
      <c r="N189" s="52">
        <v>1000000</v>
      </c>
    </row>
    <row r="190" spans="1:14" ht="15" customHeight="1" x14ac:dyDescent="0.25">
      <c r="A190" s="64" t="str">
        <f t="shared" si="2"/>
        <v>0.4-16-0-TOU-2 year Fixed</v>
      </c>
      <c r="B190" s="37" t="s">
        <v>13</v>
      </c>
      <c r="C190" s="49">
        <v>16</v>
      </c>
      <c r="D190" s="2" t="s">
        <v>25</v>
      </c>
      <c r="E190" s="50" t="s">
        <v>87</v>
      </c>
      <c r="F190" s="38" t="s">
        <v>88</v>
      </c>
      <c r="G190" s="51">
        <v>0.4</v>
      </c>
      <c r="H190" s="2" t="s">
        <v>33</v>
      </c>
      <c r="I190" s="39">
        <v>0.65800000000000003</v>
      </c>
      <c r="J190" s="39">
        <v>0.15089999999999998</v>
      </c>
      <c r="K190" s="39">
        <v>0.1215</v>
      </c>
      <c r="L190" s="39">
        <v>9.5899999999999999E-2</v>
      </c>
      <c r="M190" s="40">
        <v>5000</v>
      </c>
      <c r="N190" s="52">
        <v>1000000</v>
      </c>
    </row>
    <row r="191" spans="1:14" ht="15" customHeight="1" x14ac:dyDescent="0.25">
      <c r="A191" s="64" t="str">
        <f t="shared" si="2"/>
        <v>0.4-17-0-TOU-2 year Fixed</v>
      </c>
      <c r="B191" s="37" t="s">
        <v>13</v>
      </c>
      <c r="C191" s="49">
        <v>17</v>
      </c>
      <c r="D191" s="2" t="s">
        <v>26</v>
      </c>
      <c r="E191" s="50" t="s">
        <v>87</v>
      </c>
      <c r="F191" s="38" t="s">
        <v>88</v>
      </c>
      <c r="G191" s="51">
        <v>0.4</v>
      </c>
      <c r="H191" s="2" t="s">
        <v>33</v>
      </c>
      <c r="I191" s="39">
        <v>1.5109999999999999</v>
      </c>
      <c r="J191" s="39">
        <v>0.1699</v>
      </c>
      <c r="K191" s="39">
        <v>0.13679999999999998</v>
      </c>
      <c r="L191" s="39">
        <v>0.108</v>
      </c>
      <c r="M191" s="40">
        <v>5000</v>
      </c>
      <c r="N191" s="52">
        <v>1000000</v>
      </c>
    </row>
    <row r="192" spans="1:14" ht="15" customHeight="1" x14ac:dyDescent="0.25">
      <c r="A192" s="64" t="str">
        <f t="shared" si="2"/>
        <v>0.4-18-0-TOU-2 year Fixed</v>
      </c>
      <c r="B192" s="37" t="s">
        <v>13</v>
      </c>
      <c r="C192" s="49">
        <v>18</v>
      </c>
      <c r="D192" s="2" t="s">
        <v>27</v>
      </c>
      <c r="E192" s="50" t="s">
        <v>87</v>
      </c>
      <c r="F192" s="38" t="s">
        <v>88</v>
      </c>
      <c r="G192" s="51">
        <v>0.4</v>
      </c>
      <c r="H192" s="2" t="s">
        <v>33</v>
      </c>
      <c r="I192" s="39">
        <v>0.81399999999999995</v>
      </c>
      <c r="J192" s="39">
        <v>0.15039999999999998</v>
      </c>
      <c r="K192" s="39">
        <v>0.1211</v>
      </c>
      <c r="L192" s="39">
        <v>9.5600000000000004E-2</v>
      </c>
      <c r="M192" s="40">
        <v>5000</v>
      </c>
      <c r="N192" s="52">
        <v>1000000</v>
      </c>
    </row>
    <row r="193" spans="1:14" ht="15" customHeight="1" x14ac:dyDescent="0.25">
      <c r="A193" s="64" t="str">
        <f t="shared" si="2"/>
        <v>0.4-19-0-TOU-2 year Fixed</v>
      </c>
      <c r="B193" s="37" t="s">
        <v>13</v>
      </c>
      <c r="C193" s="49">
        <v>19</v>
      </c>
      <c r="D193" s="2" t="s">
        <v>28</v>
      </c>
      <c r="E193" s="50" t="s">
        <v>87</v>
      </c>
      <c r="F193" s="38" t="s">
        <v>88</v>
      </c>
      <c r="G193" s="51">
        <v>0.4</v>
      </c>
      <c r="H193" s="2" t="s">
        <v>33</v>
      </c>
      <c r="I193" s="39">
        <v>0.70399999999999996</v>
      </c>
      <c r="J193" s="39">
        <v>0.1492</v>
      </c>
      <c r="K193" s="39">
        <v>0.1201</v>
      </c>
      <c r="L193" s="39">
        <v>9.4799999999999995E-2</v>
      </c>
      <c r="M193" s="40">
        <v>5000</v>
      </c>
      <c r="N193" s="52">
        <v>1000000</v>
      </c>
    </row>
    <row r="194" spans="1:14" ht="15" customHeight="1" x14ac:dyDescent="0.25">
      <c r="A194" s="64" t="str">
        <f t="shared" si="2"/>
        <v>0.4-20-0-TOU-2 year Fixed</v>
      </c>
      <c r="B194" s="37" t="s">
        <v>13</v>
      </c>
      <c r="C194" s="49">
        <v>20</v>
      </c>
      <c r="D194" s="2" t="s">
        <v>29</v>
      </c>
      <c r="E194" s="50" t="s">
        <v>87</v>
      </c>
      <c r="F194" s="38" t="s">
        <v>88</v>
      </c>
      <c r="G194" s="51">
        <v>0.4</v>
      </c>
      <c r="H194" s="2" t="s">
        <v>33</v>
      </c>
      <c r="I194" s="39">
        <v>0.748</v>
      </c>
      <c r="J194" s="39">
        <v>0.14929999999999999</v>
      </c>
      <c r="K194" s="39">
        <v>0.1202</v>
      </c>
      <c r="L194" s="39">
        <v>9.4899999999999998E-2</v>
      </c>
      <c r="M194" s="40">
        <v>5000</v>
      </c>
      <c r="N194" s="52">
        <v>1000000</v>
      </c>
    </row>
    <row r="195" spans="1:14" ht="15" customHeight="1" x14ac:dyDescent="0.25">
      <c r="A195" s="64" t="str">
        <f t="shared" ref="A195:A258" si="3">IF(E195="OP","",CONCATENATE(G195,"-",C195,"-",RIGHT(F195,1),"-",E195,"-",H195))</f>
        <v>0.4-21-0-TOU-2 year Fixed</v>
      </c>
      <c r="B195" s="37" t="s">
        <v>13</v>
      </c>
      <c r="C195" s="49">
        <v>21</v>
      </c>
      <c r="D195" s="2" t="s">
        <v>30</v>
      </c>
      <c r="E195" s="50" t="s">
        <v>87</v>
      </c>
      <c r="F195" s="38" t="s">
        <v>88</v>
      </c>
      <c r="G195" s="51">
        <v>0.4</v>
      </c>
      <c r="H195" s="2" t="s">
        <v>33</v>
      </c>
      <c r="I195" s="39">
        <v>0.83499999999999996</v>
      </c>
      <c r="J195" s="39">
        <v>0.15949999999999998</v>
      </c>
      <c r="K195" s="39">
        <v>0.12839999999999999</v>
      </c>
      <c r="L195" s="39">
        <v>0.1014</v>
      </c>
      <c r="M195" s="40">
        <v>5000</v>
      </c>
      <c r="N195" s="52">
        <v>1000000</v>
      </c>
    </row>
    <row r="196" spans="1:14" ht="15" customHeight="1" x14ac:dyDescent="0.25">
      <c r="A196" s="64" t="str">
        <f t="shared" si="3"/>
        <v>0.4-22-0-TOU-2 year Fixed</v>
      </c>
      <c r="B196" s="37" t="s">
        <v>13</v>
      </c>
      <c r="C196" s="49">
        <v>22</v>
      </c>
      <c r="D196" s="2" t="s">
        <v>31</v>
      </c>
      <c r="E196" s="50" t="s">
        <v>87</v>
      </c>
      <c r="F196" s="38" t="s">
        <v>88</v>
      </c>
      <c r="G196" s="51">
        <v>0.4</v>
      </c>
      <c r="H196" s="2" t="s">
        <v>33</v>
      </c>
      <c r="I196" s="39">
        <v>0.81799999999999995</v>
      </c>
      <c r="J196" s="39">
        <v>0.16009999999999999</v>
      </c>
      <c r="K196" s="39">
        <v>0.12889999999999999</v>
      </c>
      <c r="L196" s="39">
        <v>0.1017</v>
      </c>
      <c r="M196" s="40">
        <v>5000</v>
      </c>
      <c r="N196" s="52">
        <v>1000000</v>
      </c>
    </row>
    <row r="197" spans="1:14" ht="15" customHeight="1" x14ac:dyDescent="0.25">
      <c r="A197" s="64" t="str">
        <f t="shared" si="3"/>
        <v>0.4-23-0-TOU-2 year Fixed</v>
      </c>
      <c r="B197" s="37" t="s">
        <v>13</v>
      </c>
      <c r="C197" s="49">
        <v>23</v>
      </c>
      <c r="D197" s="2" t="s">
        <v>32</v>
      </c>
      <c r="E197" s="50" t="s">
        <v>87</v>
      </c>
      <c r="F197" s="38" t="s">
        <v>88</v>
      </c>
      <c r="G197" s="51">
        <v>0.4</v>
      </c>
      <c r="H197" s="2" t="s">
        <v>33</v>
      </c>
      <c r="I197" s="39">
        <v>0.82</v>
      </c>
      <c r="J197" s="39">
        <v>0.15179999999999999</v>
      </c>
      <c r="K197" s="39">
        <v>0.1222</v>
      </c>
      <c r="L197" s="39">
        <v>9.6500000000000002E-2</v>
      </c>
      <c r="M197" s="40">
        <v>5000</v>
      </c>
      <c r="N197" s="52">
        <v>1000000</v>
      </c>
    </row>
    <row r="198" spans="1:14" ht="15" customHeight="1" x14ac:dyDescent="0.25">
      <c r="A198" s="64" t="str">
        <f t="shared" si="3"/>
        <v>0.5-10-0-TOU-3 year - with APR</v>
      </c>
      <c r="B198" s="37" t="s">
        <v>13</v>
      </c>
      <c r="C198" s="49">
        <v>10</v>
      </c>
      <c r="D198" s="2" t="s">
        <v>14</v>
      </c>
      <c r="E198" s="50" t="s">
        <v>87</v>
      </c>
      <c r="F198" s="38" t="s">
        <v>88</v>
      </c>
      <c r="G198" s="51">
        <v>0.5</v>
      </c>
      <c r="H198" s="2" t="s">
        <v>15</v>
      </c>
      <c r="I198" s="39">
        <v>0.79700000000000004</v>
      </c>
      <c r="J198" s="39">
        <v>0.13949999999999999</v>
      </c>
      <c r="K198" s="39">
        <v>0.1123</v>
      </c>
      <c r="L198" s="39">
        <v>8.8700000000000001E-2</v>
      </c>
      <c r="M198" s="40">
        <v>5000</v>
      </c>
      <c r="N198" s="52">
        <v>1000000</v>
      </c>
    </row>
    <row r="199" spans="1:14" ht="15" customHeight="1" x14ac:dyDescent="0.25">
      <c r="A199" s="64" t="str">
        <f t="shared" si="3"/>
        <v>0.5-11-0-TOU-3 year - with APR</v>
      </c>
      <c r="B199" s="37" t="s">
        <v>13</v>
      </c>
      <c r="C199" s="49">
        <v>11</v>
      </c>
      <c r="D199" s="2" t="s">
        <v>20</v>
      </c>
      <c r="E199" s="50" t="s">
        <v>87</v>
      </c>
      <c r="F199" s="38" t="s">
        <v>88</v>
      </c>
      <c r="G199" s="51">
        <v>0.5</v>
      </c>
      <c r="H199" s="2" t="s">
        <v>15</v>
      </c>
      <c r="I199" s="39">
        <v>0.77900000000000003</v>
      </c>
      <c r="J199" s="39">
        <v>0.14179999999999998</v>
      </c>
      <c r="K199" s="39">
        <v>0.11410000000000001</v>
      </c>
      <c r="L199" s="39">
        <v>9.01E-2</v>
      </c>
      <c r="M199" s="40">
        <v>5000</v>
      </c>
      <c r="N199" s="52">
        <v>1000000</v>
      </c>
    </row>
    <row r="200" spans="1:14" ht="15" customHeight="1" x14ac:dyDescent="0.25">
      <c r="A200" s="64" t="str">
        <f t="shared" si="3"/>
        <v>0.5-12-0-TOU-3 year - with APR</v>
      </c>
      <c r="B200" s="37" t="s">
        <v>13</v>
      </c>
      <c r="C200" s="49">
        <v>12</v>
      </c>
      <c r="D200" s="2" t="s">
        <v>21</v>
      </c>
      <c r="E200" s="50" t="s">
        <v>87</v>
      </c>
      <c r="F200" s="38" t="s">
        <v>88</v>
      </c>
      <c r="G200" s="51">
        <v>0.5</v>
      </c>
      <c r="H200" s="2" t="s">
        <v>15</v>
      </c>
      <c r="I200" s="39">
        <v>0.81699999999999995</v>
      </c>
      <c r="J200" s="39">
        <v>0.1391</v>
      </c>
      <c r="K200" s="39">
        <v>0.112</v>
      </c>
      <c r="L200" s="39">
        <v>8.8400000000000006E-2</v>
      </c>
      <c r="M200" s="40">
        <v>5000</v>
      </c>
      <c r="N200" s="52">
        <v>1000000</v>
      </c>
    </row>
    <row r="201" spans="1:14" ht="15" customHeight="1" x14ac:dyDescent="0.25">
      <c r="A201" s="64" t="str">
        <f t="shared" si="3"/>
        <v>0.5-13-0-TOU-3 year - with APR</v>
      </c>
      <c r="B201" s="37" t="s">
        <v>13</v>
      </c>
      <c r="C201" s="49">
        <v>13</v>
      </c>
      <c r="D201" s="2" t="s">
        <v>22</v>
      </c>
      <c r="E201" s="50" t="s">
        <v>87</v>
      </c>
      <c r="F201" s="38" t="s">
        <v>88</v>
      </c>
      <c r="G201" s="51">
        <v>0.5</v>
      </c>
      <c r="H201" s="2" t="s">
        <v>15</v>
      </c>
      <c r="I201" s="39">
        <v>0.79700000000000004</v>
      </c>
      <c r="J201" s="39">
        <v>0.1512</v>
      </c>
      <c r="K201" s="39">
        <v>0.1217</v>
      </c>
      <c r="L201" s="39">
        <v>9.6100000000000005E-2</v>
      </c>
      <c r="M201" s="40">
        <v>5000</v>
      </c>
      <c r="N201" s="52">
        <v>1000000</v>
      </c>
    </row>
    <row r="202" spans="1:14" ht="15" customHeight="1" x14ac:dyDescent="0.25">
      <c r="A202" s="64" t="str">
        <f t="shared" si="3"/>
        <v>0.5-14-0-TOU-3 year - with APR</v>
      </c>
      <c r="B202" s="37" t="s">
        <v>13</v>
      </c>
      <c r="C202" s="49">
        <v>14</v>
      </c>
      <c r="D202" s="2" t="s">
        <v>23</v>
      </c>
      <c r="E202" s="50" t="s">
        <v>87</v>
      </c>
      <c r="F202" s="38" t="s">
        <v>88</v>
      </c>
      <c r="G202" s="51">
        <v>0.5</v>
      </c>
      <c r="H202" s="2" t="s">
        <v>15</v>
      </c>
      <c r="I202" s="39">
        <v>0.80500000000000005</v>
      </c>
      <c r="J202" s="39">
        <v>0.14269999999999999</v>
      </c>
      <c r="K202" s="39">
        <v>0.1149</v>
      </c>
      <c r="L202" s="39">
        <v>9.0700000000000003E-2</v>
      </c>
      <c r="M202" s="40">
        <v>5000</v>
      </c>
      <c r="N202" s="52">
        <v>1000000</v>
      </c>
    </row>
    <row r="203" spans="1:14" ht="15" customHeight="1" x14ac:dyDescent="0.25">
      <c r="A203" s="64" t="str">
        <f t="shared" si="3"/>
        <v>0.5-15-0-TOU-3 year - with APR</v>
      </c>
      <c r="B203" s="37" t="s">
        <v>13</v>
      </c>
      <c r="C203" s="49">
        <v>15</v>
      </c>
      <c r="D203" s="2" t="s">
        <v>24</v>
      </c>
      <c r="E203" s="50" t="s">
        <v>87</v>
      </c>
      <c r="F203" s="38" t="s">
        <v>88</v>
      </c>
      <c r="G203" s="51">
        <v>0.5</v>
      </c>
      <c r="H203" s="2" t="s">
        <v>15</v>
      </c>
      <c r="I203" s="39">
        <v>0.86899999999999999</v>
      </c>
      <c r="J203" s="39">
        <v>0.14349999999999999</v>
      </c>
      <c r="K203" s="39">
        <v>0.11560000000000001</v>
      </c>
      <c r="L203" s="39">
        <v>9.1200000000000003E-2</v>
      </c>
      <c r="M203" s="40">
        <v>5000</v>
      </c>
      <c r="N203" s="52">
        <v>1000000</v>
      </c>
    </row>
    <row r="204" spans="1:14" ht="15" customHeight="1" x14ac:dyDescent="0.25">
      <c r="A204" s="64" t="str">
        <f t="shared" si="3"/>
        <v>0.5-16-0-TOU-3 year - with APR</v>
      </c>
      <c r="B204" s="37" t="s">
        <v>13</v>
      </c>
      <c r="C204" s="49">
        <v>16</v>
      </c>
      <c r="D204" s="2" t="s">
        <v>25</v>
      </c>
      <c r="E204" s="50" t="s">
        <v>87</v>
      </c>
      <c r="F204" s="38" t="s">
        <v>88</v>
      </c>
      <c r="G204" s="51">
        <v>0.5</v>
      </c>
      <c r="H204" s="2" t="s">
        <v>15</v>
      </c>
      <c r="I204" s="39">
        <v>0.65800000000000003</v>
      </c>
      <c r="J204" s="39">
        <v>0.1424</v>
      </c>
      <c r="K204" s="39">
        <v>0.11460000000000001</v>
      </c>
      <c r="L204" s="39">
        <v>9.0499999999999997E-2</v>
      </c>
      <c r="M204" s="40">
        <v>5000</v>
      </c>
      <c r="N204" s="52">
        <v>1000000</v>
      </c>
    </row>
    <row r="205" spans="1:14" ht="15" customHeight="1" x14ac:dyDescent="0.25">
      <c r="A205" s="64" t="str">
        <f t="shared" si="3"/>
        <v>0.5-17-0-TOU-3 year - with APR</v>
      </c>
      <c r="B205" s="37" t="s">
        <v>13</v>
      </c>
      <c r="C205" s="49">
        <v>17</v>
      </c>
      <c r="D205" s="2" t="s">
        <v>26</v>
      </c>
      <c r="E205" s="50" t="s">
        <v>87</v>
      </c>
      <c r="F205" s="38" t="s">
        <v>88</v>
      </c>
      <c r="G205" s="51">
        <v>0.5</v>
      </c>
      <c r="H205" s="2" t="s">
        <v>15</v>
      </c>
      <c r="I205" s="39">
        <v>1.343</v>
      </c>
      <c r="J205" s="39">
        <v>0.1608</v>
      </c>
      <c r="K205" s="39">
        <v>0.12939999999999999</v>
      </c>
      <c r="L205" s="39">
        <v>0.1022</v>
      </c>
      <c r="M205" s="40">
        <v>5000</v>
      </c>
      <c r="N205" s="52">
        <v>1000000</v>
      </c>
    </row>
    <row r="206" spans="1:14" ht="15" customHeight="1" x14ac:dyDescent="0.25">
      <c r="A206" s="64" t="str">
        <f t="shared" si="3"/>
        <v>0.5-18-0-TOU-3 year - with APR</v>
      </c>
      <c r="B206" s="37" t="s">
        <v>13</v>
      </c>
      <c r="C206" s="49">
        <v>18</v>
      </c>
      <c r="D206" s="2" t="s">
        <v>27</v>
      </c>
      <c r="E206" s="50" t="s">
        <v>87</v>
      </c>
      <c r="F206" s="38" t="s">
        <v>88</v>
      </c>
      <c r="G206" s="51">
        <v>0.5</v>
      </c>
      <c r="H206" s="2" t="s">
        <v>15</v>
      </c>
      <c r="I206" s="39">
        <v>0.81399999999999995</v>
      </c>
      <c r="J206" s="39">
        <v>0.14149999999999999</v>
      </c>
      <c r="K206" s="39">
        <v>0.114</v>
      </c>
      <c r="L206" s="39">
        <v>0.09</v>
      </c>
      <c r="M206" s="40">
        <v>5000</v>
      </c>
      <c r="N206" s="52">
        <v>1000000</v>
      </c>
    </row>
    <row r="207" spans="1:14" ht="15" customHeight="1" x14ac:dyDescent="0.25">
      <c r="A207" s="64" t="str">
        <f t="shared" si="3"/>
        <v>0.5-19-0-TOU-3 year - with APR</v>
      </c>
      <c r="B207" s="37" t="s">
        <v>13</v>
      </c>
      <c r="C207" s="49">
        <v>19</v>
      </c>
      <c r="D207" s="2" t="s">
        <v>28</v>
      </c>
      <c r="E207" s="50" t="s">
        <v>87</v>
      </c>
      <c r="F207" s="38" t="s">
        <v>88</v>
      </c>
      <c r="G207" s="51">
        <v>0.5</v>
      </c>
      <c r="H207" s="2" t="s">
        <v>15</v>
      </c>
      <c r="I207" s="39">
        <v>0.70399999999999996</v>
      </c>
      <c r="J207" s="39">
        <v>0.14069999999999999</v>
      </c>
      <c r="K207" s="39">
        <v>0.1133</v>
      </c>
      <c r="L207" s="39">
        <v>8.9399999999999993E-2</v>
      </c>
      <c r="M207" s="40">
        <v>5000</v>
      </c>
      <c r="N207" s="52">
        <v>1000000</v>
      </c>
    </row>
    <row r="208" spans="1:14" ht="15" customHeight="1" x14ac:dyDescent="0.25">
      <c r="A208" s="64" t="str">
        <f t="shared" si="3"/>
        <v>0.5-20-0-TOU-3 year - with APR</v>
      </c>
      <c r="B208" s="37" t="s">
        <v>13</v>
      </c>
      <c r="C208" s="49">
        <v>20</v>
      </c>
      <c r="D208" s="2" t="s">
        <v>29</v>
      </c>
      <c r="E208" s="50" t="s">
        <v>87</v>
      </c>
      <c r="F208" s="38" t="s">
        <v>88</v>
      </c>
      <c r="G208" s="51">
        <v>0.5</v>
      </c>
      <c r="H208" s="2" t="s">
        <v>15</v>
      </c>
      <c r="I208" s="39">
        <v>0.748</v>
      </c>
      <c r="J208" s="39">
        <v>0.1404</v>
      </c>
      <c r="K208" s="39">
        <v>0.113</v>
      </c>
      <c r="L208" s="39">
        <v>8.9200000000000002E-2</v>
      </c>
      <c r="M208" s="40">
        <v>5000</v>
      </c>
      <c r="N208" s="52">
        <v>1000000</v>
      </c>
    </row>
    <row r="209" spans="1:14" ht="15" customHeight="1" x14ac:dyDescent="0.25">
      <c r="A209" s="64" t="str">
        <f t="shared" si="3"/>
        <v>0.5-21-0-TOU-3 year - with APR</v>
      </c>
      <c r="B209" s="37" t="s">
        <v>13</v>
      </c>
      <c r="C209" s="49">
        <v>21</v>
      </c>
      <c r="D209" s="2" t="s">
        <v>30</v>
      </c>
      <c r="E209" s="50" t="s">
        <v>87</v>
      </c>
      <c r="F209" s="38" t="s">
        <v>88</v>
      </c>
      <c r="G209" s="51">
        <v>0.5</v>
      </c>
      <c r="H209" s="2" t="s">
        <v>15</v>
      </c>
      <c r="I209" s="39">
        <v>0.83499999999999996</v>
      </c>
      <c r="J209" s="39">
        <v>0.15029999999999999</v>
      </c>
      <c r="K209" s="39">
        <v>0.121</v>
      </c>
      <c r="L209" s="39">
        <v>9.5500000000000002E-2</v>
      </c>
      <c r="M209" s="40">
        <v>5000</v>
      </c>
      <c r="N209" s="52">
        <v>1000000</v>
      </c>
    </row>
    <row r="210" spans="1:14" ht="15" customHeight="1" x14ac:dyDescent="0.25">
      <c r="A210" s="64" t="str">
        <f t="shared" si="3"/>
        <v>0.5-22-0-TOU-3 year - with APR</v>
      </c>
      <c r="B210" s="37" t="s">
        <v>13</v>
      </c>
      <c r="C210" s="49">
        <v>22</v>
      </c>
      <c r="D210" s="2" t="s">
        <v>31</v>
      </c>
      <c r="E210" s="50" t="s">
        <v>87</v>
      </c>
      <c r="F210" s="38" t="s">
        <v>88</v>
      </c>
      <c r="G210" s="51">
        <v>0.5</v>
      </c>
      <c r="H210" s="2" t="s">
        <v>15</v>
      </c>
      <c r="I210" s="39">
        <v>0.81799999999999995</v>
      </c>
      <c r="J210" s="39">
        <v>0.15089999999999998</v>
      </c>
      <c r="K210" s="39">
        <v>0.1215</v>
      </c>
      <c r="L210" s="39">
        <v>9.5899999999999999E-2</v>
      </c>
      <c r="M210" s="40">
        <v>5000</v>
      </c>
      <c r="N210" s="52">
        <v>1000000</v>
      </c>
    </row>
    <row r="211" spans="1:14" ht="15" customHeight="1" x14ac:dyDescent="0.25">
      <c r="A211" s="64" t="str">
        <f t="shared" si="3"/>
        <v>0.5-23-0-TOU-3 year - with APR</v>
      </c>
      <c r="B211" s="37" t="s">
        <v>13</v>
      </c>
      <c r="C211" s="49">
        <v>23</v>
      </c>
      <c r="D211" s="2" t="s">
        <v>32</v>
      </c>
      <c r="E211" s="50" t="s">
        <v>87</v>
      </c>
      <c r="F211" s="38" t="s">
        <v>88</v>
      </c>
      <c r="G211" s="51">
        <v>0.5</v>
      </c>
      <c r="H211" s="2" t="s">
        <v>15</v>
      </c>
      <c r="I211" s="39">
        <v>0.82</v>
      </c>
      <c r="J211" s="39">
        <v>0.1434</v>
      </c>
      <c r="K211" s="39">
        <v>0.11550000000000001</v>
      </c>
      <c r="L211" s="39">
        <v>9.1200000000000003E-2</v>
      </c>
      <c r="M211" s="40">
        <v>5000</v>
      </c>
      <c r="N211" s="52">
        <v>1000000</v>
      </c>
    </row>
    <row r="212" spans="1:14" ht="15" customHeight="1" x14ac:dyDescent="0.25">
      <c r="A212" s="64" t="str">
        <f t="shared" si="3"/>
        <v>0.5-10-0-TOU-2 year Fixed</v>
      </c>
      <c r="B212" s="37" t="s">
        <v>13</v>
      </c>
      <c r="C212" s="49">
        <v>10</v>
      </c>
      <c r="D212" s="2" t="s">
        <v>14</v>
      </c>
      <c r="E212" s="50" t="s">
        <v>87</v>
      </c>
      <c r="F212" s="38" t="s">
        <v>88</v>
      </c>
      <c r="G212" s="51">
        <v>0.5</v>
      </c>
      <c r="H212" s="2" t="s">
        <v>33</v>
      </c>
      <c r="I212" s="39">
        <v>0.79700000000000004</v>
      </c>
      <c r="J212" s="39">
        <v>0.14879999999999999</v>
      </c>
      <c r="K212" s="39">
        <v>0.1198</v>
      </c>
      <c r="L212" s="39">
        <v>9.4600000000000004E-2</v>
      </c>
      <c r="M212" s="40">
        <v>5000</v>
      </c>
      <c r="N212" s="52">
        <v>1000000</v>
      </c>
    </row>
    <row r="213" spans="1:14" ht="15" customHeight="1" x14ac:dyDescent="0.25">
      <c r="A213" s="64" t="str">
        <f t="shared" si="3"/>
        <v>0.5-11-0-TOU-2 year Fixed</v>
      </c>
      <c r="B213" s="37" t="s">
        <v>13</v>
      </c>
      <c r="C213" s="49">
        <v>11</v>
      </c>
      <c r="D213" s="2" t="s">
        <v>20</v>
      </c>
      <c r="E213" s="50" t="s">
        <v>87</v>
      </c>
      <c r="F213" s="38" t="s">
        <v>88</v>
      </c>
      <c r="G213" s="51">
        <v>0.5</v>
      </c>
      <c r="H213" s="2" t="s">
        <v>33</v>
      </c>
      <c r="I213" s="39">
        <v>0.77900000000000003</v>
      </c>
      <c r="J213" s="39">
        <v>0.15189999999999998</v>
      </c>
      <c r="K213" s="39">
        <v>0.12230000000000001</v>
      </c>
      <c r="L213" s="39">
        <v>9.6600000000000005E-2</v>
      </c>
      <c r="M213" s="40">
        <v>5000</v>
      </c>
      <c r="N213" s="52">
        <v>1000000</v>
      </c>
    </row>
    <row r="214" spans="1:14" ht="15" customHeight="1" x14ac:dyDescent="0.25">
      <c r="A214" s="64" t="str">
        <f t="shared" si="3"/>
        <v>0.5-12-0-TOU-2 year Fixed</v>
      </c>
      <c r="B214" s="37" t="s">
        <v>13</v>
      </c>
      <c r="C214" s="49">
        <v>12</v>
      </c>
      <c r="D214" s="2" t="s">
        <v>21</v>
      </c>
      <c r="E214" s="50" t="s">
        <v>87</v>
      </c>
      <c r="F214" s="38" t="s">
        <v>88</v>
      </c>
      <c r="G214" s="51">
        <v>0.5</v>
      </c>
      <c r="H214" s="2" t="s">
        <v>33</v>
      </c>
      <c r="I214" s="39">
        <v>0.81699999999999995</v>
      </c>
      <c r="J214" s="39">
        <v>0.14849999999999999</v>
      </c>
      <c r="K214" s="39">
        <v>0.1196</v>
      </c>
      <c r="L214" s="39">
        <v>9.4399999999999998E-2</v>
      </c>
      <c r="M214" s="40">
        <v>5000</v>
      </c>
      <c r="N214" s="52">
        <v>1000000</v>
      </c>
    </row>
    <row r="215" spans="1:14" ht="15" customHeight="1" x14ac:dyDescent="0.25">
      <c r="A215" s="64" t="str">
        <f t="shared" si="3"/>
        <v>0.5-13-0-TOU-2 year Fixed</v>
      </c>
      <c r="B215" s="37" t="s">
        <v>13</v>
      </c>
      <c r="C215" s="49">
        <v>13</v>
      </c>
      <c r="D215" s="2" t="s">
        <v>22</v>
      </c>
      <c r="E215" s="50" t="s">
        <v>87</v>
      </c>
      <c r="F215" s="38" t="s">
        <v>88</v>
      </c>
      <c r="G215" s="51">
        <v>0.5</v>
      </c>
      <c r="H215" s="2" t="s">
        <v>33</v>
      </c>
      <c r="I215" s="39">
        <v>0.79700000000000004</v>
      </c>
      <c r="J215" s="39">
        <v>0.16159999999999999</v>
      </c>
      <c r="K215" s="39">
        <v>0.13009999999999999</v>
      </c>
      <c r="L215" s="39">
        <v>0.1027</v>
      </c>
      <c r="M215" s="40">
        <v>5000</v>
      </c>
      <c r="N215" s="52">
        <v>1000000</v>
      </c>
    </row>
    <row r="216" spans="1:14" ht="15" customHeight="1" x14ac:dyDescent="0.25">
      <c r="A216" s="64" t="str">
        <f t="shared" si="3"/>
        <v>0.5-14-0-TOU-2 year Fixed</v>
      </c>
      <c r="B216" s="37" t="s">
        <v>13</v>
      </c>
      <c r="C216" s="49">
        <v>14</v>
      </c>
      <c r="D216" s="2" t="s">
        <v>23</v>
      </c>
      <c r="E216" s="50" t="s">
        <v>87</v>
      </c>
      <c r="F216" s="38" t="s">
        <v>88</v>
      </c>
      <c r="G216" s="51">
        <v>0.5</v>
      </c>
      <c r="H216" s="2" t="s">
        <v>33</v>
      </c>
      <c r="I216" s="39">
        <v>0.80500000000000005</v>
      </c>
      <c r="J216" s="39">
        <v>0.153</v>
      </c>
      <c r="K216" s="39">
        <v>0.1232</v>
      </c>
      <c r="L216" s="39">
        <v>9.7199999999999995E-2</v>
      </c>
      <c r="M216" s="40">
        <v>5000</v>
      </c>
      <c r="N216" s="52">
        <v>1000000</v>
      </c>
    </row>
    <row r="217" spans="1:14" ht="15" customHeight="1" x14ac:dyDescent="0.25">
      <c r="A217" s="64" t="str">
        <f t="shared" si="3"/>
        <v>0.5-15-0-TOU-2 year Fixed</v>
      </c>
      <c r="B217" s="37" t="s">
        <v>13</v>
      </c>
      <c r="C217" s="49">
        <v>15</v>
      </c>
      <c r="D217" s="2" t="s">
        <v>24</v>
      </c>
      <c r="E217" s="50" t="s">
        <v>87</v>
      </c>
      <c r="F217" s="38" t="s">
        <v>88</v>
      </c>
      <c r="G217" s="51">
        <v>0.5</v>
      </c>
      <c r="H217" s="2" t="s">
        <v>33</v>
      </c>
      <c r="I217" s="39">
        <v>0.86899999999999999</v>
      </c>
      <c r="J217" s="39">
        <v>0.1527</v>
      </c>
      <c r="K217" s="39">
        <v>0.123</v>
      </c>
      <c r="L217" s="39">
        <v>9.7100000000000006E-2</v>
      </c>
      <c r="M217" s="40">
        <v>5000</v>
      </c>
      <c r="N217" s="52">
        <v>1000000</v>
      </c>
    </row>
    <row r="218" spans="1:14" ht="15" customHeight="1" x14ac:dyDescent="0.25">
      <c r="A218" s="64" t="str">
        <f t="shared" si="3"/>
        <v>0.5-16-0-TOU-2 year Fixed</v>
      </c>
      <c r="B218" s="37" t="s">
        <v>13</v>
      </c>
      <c r="C218" s="49">
        <v>16</v>
      </c>
      <c r="D218" s="2" t="s">
        <v>25</v>
      </c>
      <c r="E218" s="50" t="s">
        <v>87</v>
      </c>
      <c r="F218" s="38" t="s">
        <v>88</v>
      </c>
      <c r="G218" s="51">
        <v>0.5</v>
      </c>
      <c r="H218" s="2" t="s">
        <v>33</v>
      </c>
      <c r="I218" s="39">
        <v>0.65800000000000003</v>
      </c>
      <c r="J218" s="39">
        <v>0.152</v>
      </c>
      <c r="K218" s="39">
        <v>0.12240000000000001</v>
      </c>
      <c r="L218" s="39">
        <v>9.6600000000000005E-2</v>
      </c>
      <c r="M218" s="40">
        <v>5000</v>
      </c>
      <c r="N218" s="52">
        <v>1000000</v>
      </c>
    </row>
    <row r="219" spans="1:14" ht="15" customHeight="1" x14ac:dyDescent="0.25">
      <c r="A219" s="64" t="str">
        <f t="shared" si="3"/>
        <v>0.5-17-0-TOU-2 year Fixed</v>
      </c>
      <c r="B219" s="37" t="s">
        <v>13</v>
      </c>
      <c r="C219" s="49">
        <v>17</v>
      </c>
      <c r="D219" s="2" t="s">
        <v>26</v>
      </c>
      <c r="E219" s="50" t="s">
        <v>87</v>
      </c>
      <c r="F219" s="38" t="s">
        <v>88</v>
      </c>
      <c r="G219" s="51">
        <v>0.5</v>
      </c>
      <c r="H219" s="2" t="s">
        <v>33</v>
      </c>
      <c r="I219" s="39">
        <v>1.5109999999999999</v>
      </c>
      <c r="J219" s="39">
        <v>0.17099999999999999</v>
      </c>
      <c r="K219" s="39">
        <v>0.13769999999999999</v>
      </c>
      <c r="L219" s="39">
        <v>0.1087</v>
      </c>
      <c r="M219" s="40">
        <v>5000</v>
      </c>
      <c r="N219" s="52">
        <v>1000000</v>
      </c>
    </row>
    <row r="220" spans="1:14" ht="15" customHeight="1" x14ac:dyDescent="0.25">
      <c r="A220" s="64" t="str">
        <f t="shared" si="3"/>
        <v>0.5-18-0-TOU-2 year Fixed</v>
      </c>
      <c r="B220" s="37" t="s">
        <v>13</v>
      </c>
      <c r="C220" s="49">
        <v>18</v>
      </c>
      <c r="D220" s="2" t="s">
        <v>27</v>
      </c>
      <c r="E220" s="50" t="s">
        <v>87</v>
      </c>
      <c r="F220" s="38" t="s">
        <v>88</v>
      </c>
      <c r="G220" s="51">
        <v>0.5</v>
      </c>
      <c r="H220" s="2" t="s">
        <v>33</v>
      </c>
      <c r="I220" s="39">
        <v>0.81399999999999995</v>
      </c>
      <c r="J220" s="39">
        <v>0.15159999999999998</v>
      </c>
      <c r="K220" s="39">
        <v>0.122</v>
      </c>
      <c r="L220" s="39">
        <v>9.6299999999999997E-2</v>
      </c>
      <c r="M220" s="40">
        <v>5000</v>
      </c>
      <c r="N220" s="52">
        <v>1000000</v>
      </c>
    </row>
    <row r="221" spans="1:14" ht="15" customHeight="1" x14ac:dyDescent="0.25">
      <c r="A221" s="64" t="str">
        <f t="shared" si="3"/>
        <v>0.5-19-0-TOU-2 year Fixed</v>
      </c>
      <c r="B221" s="37" t="s">
        <v>13</v>
      </c>
      <c r="C221" s="49">
        <v>19</v>
      </c>
      <c r="D221" s="2" t="s">
        <v>28</v>
      </c>
      <c r="E221" s="50" t="s">
        <v>87</v>
      </c>
      <c r="F221" s="38" t="s">
        <v>88</v>
      </c>
      <c r="G221" s="51">
        <v>0.5</v>
      </c>
      <c r="H221" s="2" t="s">
        <v>33</v>
      </c>
      <c r="I221" s="39">
        <v>0.70399999999999996</v>
      </c>
      <c r="J221" s="39">
        <v>0.15039999999999998</v>
      </c>
      <c r="K221" s="39">
        <v>0.1211</v>
      </c>
      <c r="L221" s="39">
        <v>9.5600000000000004E-2</v>
      </c>
      <c r="M221" s="40">
        <v>5000</v>
      </c>
      <c r="N221" s="52">
        <v>1000000</v>
      </c>
    </row>
    <row r="222" spans="1:14" ht="15" customHeight="1" x14ac:dyDescent="0.25">
      <c r="A222" s="64" t="str">
        <f t="shared" si="3"/>
        <v>0.5-20-0-TOU-2 year Fixed</v>
      </c>
      <c r="B222" s="37" t="s">
        <v>13</v>
      </c>
      <c r="C222" s="49">
        <v>20</v>
      </c>
      <c r="D222" s="2" t="s">
        <v>29</v>
      </c>
      <c r="E222" s="50" t="s">
        <v>87</v>
      </c>
      <c r="F222" s="38" t="s">
        <v>88</v>
      </c>
      <c r="G222" s="51">
        <v>0.5</v>
      </c>
      <c r="H222" s="2" t="s">
        <v>33</v>
      </c>
      <c r="I222" s="39">
        <v>0.748</v>
      </c>
      <c r="J222" s="39">
        <v>0.15049999999999999</v>
      </c>
      <c r="K222" s="39">
        <v>0.1212</v>
      </c>
      <c r="L222" s="39">
        <v>9.5700000000000007E-2</v>
      </c>
      <c r="M222" s="40">
        <v>5000</v>
      </c>
      <c r="N222" s="52">
        <v>1000000</v>
      </c>
    </row>
    <row r="223" spans="1:14" ht="15" customHeight="1" x14ac:dyDescent="0.25">
      <c r="A223" s="64" t="str">
        <f t="shared" si="3"/>
        <v>0.5-21-0-TOU-2 year Fixed</v>
      </c>
      <c r="B223" s="37" t="s">
        <v>13</v>
      </c>
      <c r="C223" s="49">
        <v>21</v>
      </c>
      <c r="D223" s="2" t="s">
        <v>30</v>
      </c>
      <c r="E223" s="50" t="s">
        <v>87</v>
      </c>
      <c r="F223" s="38" t="s">
        <v>88</v>
      </c>
      <c r="G223" s="51">
        <v>0.5</v>
      </c>
      <c r="H223" s="2" t="s">
        <v>33</v>
      </c>
      <c r="I223" s="39">
        <v>0.83499999999999996</v>
      </c>
      <c r="J223" s="39">
        <v>0.16059999999999999</v>
      </c>
      <c r="K223" s="39">
        <v>0.1293</v>
      </c>
      <c r="L223" s="39">
        <v>0.1021</v>
      </c>
      <c r="M223" s="40">
        <v>5000</v>
      </c>
      <c r="N223" s="52">
        <v>1000000</v>
      </c>
    </row>
    <row r="224" spans="1:14" ht="15" customHeight="1" x14ac:dyDescent="0.25">
      <c r="A224" s="64" t="str">
        <f t="shared" si="3"/>
        <v>0.5-22-0-TOU-2 year Fixed</v>
      </c>
      <c r="B224" s="37" t="s">
        <v>13</v>
      </c>
      <c r="C224" s="49">
        <v>22</v>
      </c>
      <c r="D224" s="2" t="s">
        <v>31</v>
      </c>
      <c r="E224" s="50" t="s">
        <v>87</v>
      </c>
      <c r="F224" s="38" t="s">
        <v>88</v>
      </c>
      <c r="G224" s="51">
        <v>0.5</v>
      </c>
      <c r="H224" s="2" t="s">
        <v>33</v>
      </c>
      <c r="I224" s="39">
        <v>0.81799999999999995</v>
      </c>
      <c r="J224" s="39">
        <v>0.16119999999999998</v>
      </c>
      <c r="K224" s="39">
        <v>0.1298</v>
      </c>
      <c r="L224" s="39">
        <v>0.10250000000000001</v>
      </c>
      <c r="M224" s="40">
        <v>5000</v>
      </c>
      <c r="N224" s="52">
        <v>1000000</v>
      </c>
    </row>
    <row r="225" spans="1:14" ht="15" customHeight="1" x14ac:dyDescent="0.25">
      <c r="A225" s="64" t="str">
        <f t="shared" si="3"/>
        <v>0.5-23-0-TOU-2 year Fixed</v>
      </c>
      <c r="B225" s="37" t="s">
        <v>13</v>
      </c>
      <c r="C225" s="49">
        <v>23</v>
      </c>
      <c r="D225" s="2" t="s">
        <v>32</v>
      </c>
      <c r="E225" s="50" t="s">
        <v>87</v>
      </c>
      <c r="F225" s="38" t="s">
        <v>88</v>
      </c>
      <c r="G225" s="51">
        <v>0.5</v>
      </c>
      <c r="H225" s="2" t="s">
        <v>33</v>
      </c>
      <c r="I225" s="39">
        <v>0.82</v>
      </c>
      <c r="J225" s="39">
        <v>0.153</v>
      </c>
      <c r="K225" s="39">
        <v>0.1232</v>
      </c>
      <c r="L225" s="39">
        <v>9.7199999999999995E-2</v>
      </c>
      <c r="M225" s="40">
        <v>5000</v>
      </c>
      <c r="N225" s="52">
        <v>1000000</v>
      </c>
    </row>
    <row r="226" spans="1:14" ht="15" customHeight="1" x14ac:dyDescent="0.25">
      <c r="A226" s="64" t="str">
        <f t="shared" si="3"/>
        <v>0.6-10-0-TOU-3 year - with APR</v>
      </c>
      <c r="B226" s="37" t="s">
        <v>13</v>
      </c>
      <c r="C226" s="49">
        <v>10</v>
      </c>
      <c r="D226" s="2" t="s">
        <v>14</v>
      </c>
      <c r="E226" s="50" t="s">
        <v>87</v>
      </c>
      <c r="F226" s="38" t="s">
        <v>88</v>
      </c>
      <c r="G226" s="51">
        <v>0.6</v>
      </c>
      <c r="H226" s="2" t="s">
        <v>15</v>
      </c>
      <c r="I226" s="39">
        <v>0.79700000000000004</v>
      </c>
      <c r="J226" s="39">
        <v>0.14069999999999999</v>
      </c>
      <c r="K226" s="39">
        <v>0.1133</v>
      </c>
      <c r="L226" s="39">
        <v>8.9399999999999993E-2</v>
      </c>
      <c r="M226" s="40">
        <v>5000</v>
      </c>
      <c r="N226" s="52">
        <v>1000000</v>
      </c>
    </row>
    <row r="227" spans="1:14" ht="15" customHeight="1" x14ac:dyDescent="0.25">
      <c r="A227" s="64" t="str">
        <f t="shared" si="3"/>
        <v>0.6-11-0-TOU-3 year - with APR</v>
      </c>
      <c r="B227" s="37" t="s">
        <v>13</v>
      </c>
      <c r="C227" s="49">
        <v>11</v>
      </c>
      <c r="D227" s="2" t="s">
        <v>20</v>
      </c>
      <c r="E227" s="50" t="s">
        <v>87</v>
      </c>
      <c r="F227" s="38" t="s">
        <v>88</v>
      </c>
      <c r="G227" s="51">
        <v>0.6</v>
      </c>
      <c r="H227" s="2" t="s">
        <v>15</v>
      </c>
      <c r="I227" s="39">
        <v>0.77900000000000003</v>
      </c>
      <c r="J227" s="39">
        <v>0.1429</v>
      </c>
      <c r="K227" s="39">
        <v>0.11510000000000001</v>
      </c>
      <c r="L227" s="39">
        <v>9.0900000000000009E-2</v>
      </c>
      <c r="M227" s="40">
        <v>5000</v>
      </c>
      <c r="N227" s="52">
        <v>1000000</v>
      </c>
    </row>
    <row r="228" spans="1:14" ht="15" customHeight="1" x14ac:dyDescent="0.25">
      <c r="A228" s="64" t="str">
        <f t="shared" si="3"/>
        <v>0.6-12-0-TOU-3 year - with APR</v>
      </c>
      <c r="B228" s="37" t="s">
        <v>13</v>
      </c>
      <c r="C228" s="49">
        <v>12</v>
      </c>
      <c r="D228" s="2" t="s">
        <v>21</v>
      </c>
      <c r="E228" s="50" t="s">
        <v>87</v>
      </c>
      <c r="F228" s="38" t="s">
        <v>88</v>
      </c>
      <c r="G228" s="51">
        <v>0.6</v>
      </c>
      <c r="H228" s="2" t="s">
        <v>15</v>
      </c>
      <c r="I228" s="39">
        <v>0.81699999999999995</v>
      </c>
      <c r="J228" s="39">
        <v>0.14019999999999999</v>
      </c>
      <c r="K228" s="39">
        <v>0.1129</v>
      </c>
      <c r="L228" s="39">
        <v>8.9099999999999999E-2</v>
      </c>
      <c r="M228" s="40">
        <v>5000</v>
      </c>
      <c r="N228" s="52">
        <v>1000000</v>
      </c>
    </row>
    <row r="229" spans="1:14" ht="15" customHeight="1" x14ac:dyDescent="0.25">
      <c r="A229" s="64" t="str">
        <f t="shared" si="3"/>
        <v>0.6-13-0-TOU-3 year - with APR</v>
      </c>
      <c r="B229" s="37" t="s">
        <v>13</v>
      </c>
      <c r="C229" s="49">
        <v>13</v>
      </c>
      <c r="D229" s="2" t="s">
        <v>22</v>
      </c>
      <c r="E229" s="50" t="s">
        <v>87</v>
      </c>
      <c r="F229" s="38" t="s">
        <v>88</v>
      </c>
      <c r="G229" s="51">
        <v>0.6</v>
      </c>
      <c r="H229" s="2" t="s">
        <v>15</v>
      </c>
      <c r="I229" s="39">
        <v>0.79700000000000004</v>
      </c>
      <c r="J229" s="39">
        <v>0.15239999999999998</v>
      </c>
      <c r="K229" s="39">
        <v>0.1227</v>
      </c>
      <c r="L229" s="39">
        <v>9.69E-2</v>
      </c>
      <c r="M229" s="40">
        <v>5000</v>
      </c>
      <c r="N229" s="52">
        <v>1000000</v>
      </c>
    </row>
    <row r="230" spans="1:14" ht="15" customHeight="1" x14ac:dyDescent="0.25">
      <c r="A230" s="64" t="str">
        <f t="shared" si="3"/>
        <v>0.6-14-0-TOU-3 year - with APR</v>
      </c>
      <c r="B230" s="37" t="s">
        <v>13</v>
      </c>
      <c r="C230" s="49">
        <v>14</v>
      </c>
      <c r="D230" s="2" t="s">
        <v>23</v>
      </c>
      <c r="E230" s="50" t="s">
        <v>87</v>
      </c>
      <c r="F230" s="38" t="s">
        <v>88</v>
      </c>
      <c r="G230" s="51">
        <v>0.6</v>
      </c>
      <c r="H230" s="2" t="s">
        <v>15</v>
      </c>
      <c r="I230" s="39">
        <v>0.80500000000000005</v>
      </c>
      <c r="J230" s="39">
        <v>0.1439</v>
      </c>
      <c r="K230" s="39">
        <v>0.1159</v>
      </c>
      <c r="L230" s="39">
        <v>9.1499999999999998E-2</v>
      </c>
      <c r="M230" s="40">
        <v>5000</v>
      </c>
      <c r="N230" s="52">
        <v>1000000</v>
      </c>
    </row>
    <row r="231" spans="1:14" ht="15" customHeight="1" x14ac:dyDescent="0.25">
      <c r="A231" s="64" t="str">
        <f t="shared" si="3"/>
        <v>0.6-15-0-TOU-3 year - with APR</v>
      </c>
      <c r="B231" s="37" t="s">
        <v>13</v>
      </c>
      <c r="C231" s="49">
        <v>15</v>
      </c>
      <c r="D231" s="2" t="s">
        <v>24</v>
      </c>
      <c r="E231" s="50" t="s">
        <v>87</v>
      </c>
      <c r="F231" s="38" t="s">
        <v>88</v>
      </c>
      <c r="G231" s="51">
        <v>0.6</v>
      </c>
      <c r="H231" s="2" t="s">
        <v>15</v>
      </c>
      <c r="I231" s="39">
        <v>0.86899999999999999</v>
      </c>
      <c r="J231" s="39">
        <v>0.1447</v>
      </c>
      <c r="K231" s="39">
        <v>0.11650000000000001</v>
      </c>
      <c r="L231" s="39">
        <v>9.1999999999999998E-2</v>
      </c>
      <c r="M231" s="40">
        <v>5000</v>
      </c>
      <c r="N231" s="52">
        <v>1000000</v>
      </c>
    </row>
    <row r="232" spans="1:14" ht="15" customHeight="1" x14ac:dyDescent="0.25">
      <c r="A232" s="64" t="str">
        <f t="shared" si="3"/>
        <v>0.6-16-0-TOU-3 year - with APR</v>
      </c>
      <c r="B232" s="37" t="s">
        <v>13</v>
      </c>
      <c r="C232" s="49">
        <v>16</v>
      </c>
      <c r="D232" s="2" t="s">
        <v>25</v>
      </c>
      <c r="E232" s="50" t="s">
        <v>87</v>
      </c>
      <c r="F232" s="38" t="s">
        <v>88</v>
      </c>
      <c r="G232" s="51">
        <v>0.6</v>
      </c>
      <c r="H232" s="2" t="s">
        <v>15</v>
      </c>
      <c r="I232" s="39">
        <v>0.65800000000000003</v>
      </c>
      <c r="J232" s="39">
        <v>0.14349999999999999</v>
      </c>
      <c r="K232" s="39">
        <v>0.11560000000000001</v>
      </c>
      <c r="L232" s="39">
        <v>9.1200000000000003E-2</v>
      </c>
      <c r="M232" s="40">
        <v>5000</v>
      </c>
      <c r="N232" s="52">
        <v>1000000</v>
      </c>
    </row>
    <row r="233" spans="1:14" ht="15" customHeight="1" x14ac:dyDescent="0.25">
      <c r="A233" s="64" t="str">
        <f t="shared" si="3"/>
        <v>0.6-17-0-TOU-3 year - with APR</v>
      </c>
      <c r="B233" s="37" t="s">
        <v>13</v>
      </c>
      <c r="C233" s="49">
        <v>17</v>
      </c>
      <c r="D233" s="2" t="s">
        <v>26</v>
      </c>
      <c r="E233" s="50" t="s">
        <v>87</v>
      </c>
      <c r="F233" s="38" t="s">
        <v>88</v>
      </c>
      <c r="G233" s="51">
        <v>0.6</v>
      </c>
      <c r="H233" s="2" t="s">
        <v>15</v>
      </c>
      <c r="I233" s="39">
        <v>1.343</v>
      </c>
      <c r="J233" s="39">
        <v>0.16189999999999999</v>
      </c>
      <c r="K233" s="39">
        <v>0.13039999999999999</v>
      </c>
      <c r="L233" s="39">
        <v>0.10290000000000001</v>
      </c>
      <c r="M233" s="40">
        <v>5000</v>
      </c>
      <c r="N233" s="52">
        <v>1000000</v>
      </c>
    </row>
    <row r="234" spans="1:14" ht="15" customHeight="1" x14ac:dyDescent="0.25">
      <c r="A234" s="64" t="str">
        <f t="shared" si="3"/>
        <v>0.6-18-0-TOU-3 year - with APR</v>
      </c>
      <c r="B234" s="37" t="s">
        <v>13</v>
      </c>
      <c r="C234" s="49">
        <v>18</v>
      </c>
      <c r="D234" s="2" t="s">
        <v>27</v>
      </c>
      <c r="E234" s="50" t="s">
        <v>87</v>
      </c>
      <c r="F234" s="38" t="s">
        <v>88</v>
      </c>
      <c r="G234" s="51">
        <v>0.6</v>
      </c>
      <c r="H234" s="2" t="s">
        <v>15</v>
      </c>
      <c r="I234" s="39">
        <v>0.81399999999999995</v>
      </c>
      <c r="J234" s="39">
        <v>0.14269999999999999</v>
      </c>
      <c r="K234" s="39">
        <v>0.1149</v>
      </c>
      <c r="L234" s="39">
        <v>9.0700000000000003E-2</v>
      </c>
      <c r="M234" s="40">
        <v>5000</v>
      </c>
      <c r="N234" s="52">
        <v>1000000</v>
      </c>
    </row>
    <row r="235" spans="1:14" ht="15" customHeight="1" x14ac:dyDescent="0.25">
      <c r="A235" s="64" t="str">
        <f t="shared" si="3"/>
        <v>0.6-19-0-TOU-3 year - with APR</v>
      </c>
      <c r="B235" s="37" t="s">
        <v>13</v>
      </c>
      <c r="C235" s="49">
        <v>19</v>
      </c>
      <c r="D235" s="2" t="s">
        <v>28</v>
      </c>
      <c r="E235" s="50" t="s">
        <v>87</v>
      </c>
      <c r="F235" s="38" t="s">
        <v>88</v>
      </c>
      <c r="G235" s="51">
        <v>0.6</v>
      </c>
      <c r="H235" s="2" t="s">
        <v>15</v>
      </c>
      <c r="I235" s="39">
        <v>0.70399999999999996</v>
      </c>
      <c r="J235" s="39">
        <v>0.1419</v>
      </c>
      <c r="K235" s="39">
        <v>0.1142</v>
      </c>
      <c r="L235" s="39">
        <v>9.0200000000000002E-2</v>
      </c>
      <c r="M235" s="40">
        <v>5000</v>
      </c>
      <c r="N235" s="52">
        <v>1000000</v>
      </c>
    </row>
    <row r="236" spans="1:14" ht="15" customHeight="1" x14ac:dyDescent="0.25">
      <c r="A236" s="64" t="str">
        <f t="shared" si="3"/>
        <v>0.6-20-0-TOU-3 year - with APR</v>
      </c>
      <c r="B236" s="37" t="s">
        <v>13</v>
      </c>
      <c r="C236" s="49">
        <v>20</v>
      </c>
      <c r="D236" s="2" t="s">
        <v>29</v>
      </c>
      <c r="E236" s="50" t="s">
        <v>87</v>
      </c>
      <c r="F236" s="38" t="s">
        <v>88</v>
      </c>
      <c r="G236" s="51">
        <v>0.6</v>
      </c>
      <c r="H236" s="2" t="s">
        <v>15</v>
      </c>
      <c r="I236" s="39">
        <v>0.748</v>
      </c>
      <c r="J236" s="39">
        <v>0.14149999999999999</v>
      </c>
      <c r="K236" s="39">
        <v>0.114</v>
      </c>
      <c r="L236" s="39">
        <v>0.09</v>
      </c>
      <c r="M236" s="40">
        <v>5000</v>
      </c>
      <c r="N236" s="52">
        <v>1000000</v>
      </c>
    </row>
    <row r="237" spans="1:14" ht="15" customHeight="1" x14ac:dyDescent="0.25">
      <c r="A237" s="64" t="str">
        <f t="shared" si="3"/>
        <v>0.6-21-0-TOU-3 year - with APR</v>
      </c>
      <c r="B237" s="37" t="s">
        <v>13</v>
      </c>
      <c r="C237" s="49">
        <v>21</v>
      </c>
      <c r="D237" s="2" t="s">
        <v>30</v>
      </c>
      <c r="E237" s="50" t="s">
        <v>87</v>
      </c>
      <c r="F237" s="38" t="s">
        <v>88</v>
      </c>
      <c r="G237" s="51">
        <v>0.6</v>
      </c>
      <c r="H237" s="2" t="s">
        <v>15</v>
      </c>
      <c r="I237" s="39">
        <v>0.83499999999999996</v>
      </c>
      <c r="J237" s="39">
        <v>0.15139999999999998</v>
      </c>
      <c r="K237" s="39">
        <v>0.12190000000000001</v>
      </c>
      <c r="L237" s="39">
        <v>9.6299999999999997E-2</v>
      </c>
      <c r="M237" s="40">
        <v>5000</v>
      </c>
      <c r="N237" s="52">
        <v>1000000</v>
      </c>
    </row>
    <row r="238" spans="1:14" ht="15" customHeight="1" x14ac:dyDescent="0.25">
      <c r="A238" s="64" t="str">
        <f t="shared" si="3"/>
        <v>0.6-22-0-TOU-3 year - with APR</v>
      </c>
      <c r="B238" s="37" t="s">
        <v>13</v>
      </c>
      <c r="C238" s="49">
        <v>22</v>
      </c>
      <c r="D238" s="2" t="s">
        <v>31</v>
      </c>
      <c r="E238" s="50" t="s">
        <v>87</v>
      </c>
      <c r="F238" s="38" t="s">
        <v>88</v>
      </c>
      <c r="G238" s="51">
        <v>0.6</v>
      </c>
      <c r="H238" s="2" t="s">
        <v>15</v>
      </c>
      <c r="I238" s="39">
        <v>0.81799999999999995</v>
      </c>
      <c r="J238" s="39">
        <v>0.152</v>
      </c>
      <c r="K238" s="39">
        <v>0.12240000000000001</v>
      </c>
      <c r="L238" s="39">
        <v>9.6600000000000005E-2</v>
      </c>
      <c r="M238" s="40">
        <v>5000</v>
      </c>
      <c r="N238" s="52">
        <v>1000000</v>
      </c>
    </row>
    <row r="239" spans="1:14" ht="15" customHeight="1" x14ac:dyDescent="0.25">
      <c r="A239" s="64" t="str">
        <f t="shared" si="3"/>
        <v>0.6-23-0-TOU-3 year - with APR</v>
      </c>
      <c r="B239" s="37" t="s">
        <v>13</v>
      </c>
      <c r="C239" s="49">
        <v>23</v>
      </c>
      <c r="D239" s="2" t="s">
        <v>32</v>
      </c>
      <c r="E239" s="50" t="s">
        <v>87</v>
      </c>
      <c r="F239" s="38" t="s">
        <v>88</v>
      </c>
      <c r="G239" s="51">
        <v>0.6</v>
      </c>
      <c r="H239" s="2" t="s">
        <v>15</v>
      </c>
      <c r="I239" s="39">
        <v>0.82</v>
      </c>
      <c r="J239" s="39">
        <v>0.14459999999999998</v>
      </c>
      <c r="K239" s="39">
        <v>0.1164</v>
      </c>
      <c r="L239" s="39">
        <v>9.1900000000000009E-2</v>
      </c>
      <c r="M239" s="40">
        <v>5000</v>
      </c>
      <c r="N239" s="52">
        <v>1000000</v>
      </c>
    </row>
    <row r="240" spans="1:14" ht="15" customHeight="1" x14ac:dyDescent="0.25">
      <c r="A240" s="64" t="str">
        <f t="shared" si="3"/>
        <v>0.6-10-0-TOU-2 year Fixed</v>
      </c>
      <c r="B240" s="37" t="s">
        <v>13</v>
      </c>
      <c r="C240" s="49">
        <v>10</v>
      </c>
      <c r="D240" s="2" t="s">
        <v>14</v>
      </c>
      <c r="E240" s="50" t="s">
        <v>87</v>
      </c>
      <c r="F240" s="38" t="s">
        <v>88</v>
      </c>
      <c r="G240" s="51">
        <v>0.6</v>
      </c>
      <c r="H240" s="2" t="s">
        <v>33</v>
      </c>
      <c r="I240" s="39">
        <v>0.79700000000000004</v>
      </c>
      <c r="J240" s="39">
        <v>0.15</v>
      </c>
      <c r="K240" s="39">
        <v>0.1208</v>
      </c>
      <c r="L240" s="39">
        <v>9.5399999999999999E-2</v>
      </c>
      <c r="M240" s="40">
        <v>5000</v>
      </c>
      <c r="N240" s="52">
        <v>1000000</v>
      </c>
    </row>
    <row r="241" spans="1:14" ht="15" customHeight="1" x14ac:dyDescent="0.25">
      <c r="A241" s="64" t="str">
        <f t="shared" si="3"/>
        <v>0.6-11-0-TOU-2 year Fixed</v>
      </c>
      <c r="B241" s="37" t="s">
        <v>13</v>
      </c>
      <c r="C241" s="49">
        <v>11</v>
      </c>
      <c r="D241" s="2" t="s">
        <v>20</v>
      </c>
      <c r="E241" s="50" t="s">
        <v>87</v>
      </c>
      <c r="F241" s="38" t="s">
        <v>88</v>
      </c>
      <c r="G241" s="51">
        <v>0.6</v>
      </c>
      <c r="H241" s="2" t="s">
        <v>33</v>
      </c>
      <c r="I241" s="39">
        <v>0.77900000000000003</v>
      </c>
      <c r="J241" s="39">
        <v>0.15309999999999999</v>
      </c>
      <c r="K241" s="39">
        <v>0.12330000000000001</v>
      </c>
      <c r="L241" s="39">
        <v>9.7299999999999998E-2</v>
      </c>
      <c r="M241" s="40">
        <v>5000</v>
      </c>
      <c r="N241" s="52">
        <v>1000000</v>
      </c>
    </row>
    <row r="242" spans="1:14" ht="15" customHeight="1" x14ac:dyDescent="0.25">
      <c r="A242" s="64" t="str">
        <f t="shared" si="3"/>
        <v>0.6-12-0-TOU-2 year Fixed</v>
      </c>
      <c r="B242" s="37" t="s">
        <v>13</v>
      </c>
      <c r="C242" s="49">
        <v>12</v>
      </c>
      <c r="D242" s="2" t="s">
        <v>21</v>
      </c>
      <c r="E242" s="50" t="s">
        <v>87</v>
      </c>
      <c r="F242" s="38" t="s">
        <v>88</v>
      </c>
      <c r="G242" s="51">
        <v>0.6</v>
      </c>
      <c r="H242" s="2" t="s">
        <v>33</v>
      </c>
      <c r="I242" s="39">
        <v>0.81699999999999995</v>
      </c>
      <c r="J242" s="39">
        <v>0.1497</v>
      </c>
      <c r="K242" s="39">
        <v>0.1205</v>
      </c>
      <c r="L242" s="39">
        <v>9.5100000000000004E-2</v>
      </c>
      <c r="M242" s="40">
        <v>5000</v>
      </c>
      <c r="N242" s="52">
        <v>1000000</v>
      </c>
    </row>
    <row r="243" spans="1:14" ht="15" customHeight="1" x14ac:dyDescent="0.25">
      <c r="A243" s="64" t="str">
        <f t="shared" si="3"/>
        <v>0.6-13-0-TOU-2 year Fixed</v>
      </c>
      <c r="B243" s="37" t="s">
        <v>13</v>
      </c>
      <c r="C243" s="49">
        <v>13</v>
      </c>
      <c r="D243" s="2" t="s">
        <v>22</v>
      </c>
      <c r="E243" s="50" t="s">
        <v>87</v>
      </c>
      <c r="F243" s="38" t="s">
        <v>88</v>
      </c>
      <c r="G243" s="51">
        <v>0.6</v>
      </c>
      <c r="H243" s="2" t="s">
        <v>33</v>
      </c>
      <c r="I243" s="39">
        <v>0.79700000000000004</v>
      </c>
      <c r="J243" s="39">
        <v>0.1628</v>
      </c>
      <c r="K243" s="39">
        <v>0.13109999999999999</v>
      </c>
      <c r="L243" s="39">
        <v>0.10350000000000001</v>
      </c>
      <c r="M243" s="40">
        <v>5000</v>
      </c>
      <c r="N243" s="52">
        <v>1000000</v>
      </c>
    </row>
    <row r="244" spans="1:14" ht="15" customHeight="1" x14ac:dyDescent="0.25">
      <c r="A244" s="64" t="str">
        <f t="shared" si="3"/>
        <v>0.6-14-0-TOU-2 year Fixed</v>
      </c>
      <c r="B244" s="37" t="s">
        <v>13</v>
      </c>
      <c r="C244" s="49">
        <v>14</v>
      </c>
      <c r="D244" s="2" t="s">
        <v>23</v>
      </c>
      <c r="E244" s="50" t="s">
        <v>87</v>
      </c>
      <c r="F244" s="38" t="s">
        <v>88</v>
      </c>
      <c r="G244" s="51">
        <v>0.6</v>
      </c>
      <c r="H244" s="2" t="s">
        <v>33</v>
      </c>
      <c r="I244" s="39">
        <v>0.80500000000000005</v>
      </c>
      <c r="J244" s="39">
        <v>0.15419999999999998</v>
      </c>
      <c r="K244" s="39">
        <v>0.1241</v>
      </c>
      <c r="L244" s="39">
        <v>9.8000000000000004E-2</v>
      </c>
      <c r="M244" s="40">
        <v>5000</v>
      </c>
      <c r="N244" s="52">
        <v>1000000</v>
      </c>
    </row>
    <row r="245" spans="1:14" ht="15" customHeight="1" x14ac:dyDescent="0.25">
      <c r="A245" s="64" t="str">
        <f t="shared" si="3"/>
        <v>0.6-15-0-TOU-2 year Fixed</v>
      </c>
      <c r="B245" s="37" t="s">
        <v>13</v>
      </c>
      <c r="C245" s="49">
        <v>15</v>
      </c>
      <c r="D245" s="2" t="s">
        <v>24</v>
      </c>
      <c r="E245" s="50" t="s">
        <v>87</v>
      </c>
      <c r="F245" s="38" t="s">
        <v>88</v>
      </c>
      <c r="G245" s="51">
        <v>0.6</v>
      </c>
      <c r="H245" s="2" t="s">
        <v>33</v>
      </c>
      <c r="I245" s="39">
        <v>0.86899999999999999</v>
      </c>
      <c r="J245" s="39">
        <v>0.15389999999999998</v>
      </c>
      <c r="K245" s="39">
        <v>0.1239</v>
      </c>
      <c r="L245" s="39">
        <v>9.7799999999999998E-2</v>
      </c>
      <c r="M245" s="40">
        <v>5000</v>
      </c>
      <c r="N245" s="52">
        <v>1000000</v>
      </c>
    </row>
    <row r="246" spans="1:14" ht="15" customHeight="1" x14ac:dyDescent="0.25">
      <c r="A246" s="64" t="str">
        <f t="shared" si="3"/>
        <v>0.6-16-0-TOU-2 year Fixed</v>
      </c>
      <c r="B246" s="37" t="s">
        <v>13</v>
      </c>
      <c r="C246" s="49">
        <v>16</v>
      </c>
      <c r="D246" s="2" t="s">
        <v>25</v>
      </c>
      <c r="E246" s="50" t="s">
        <v>87</v>
      </c>
      <c r="F246" s="38" t="s">
        <v>88</v>
      </c>
      <c r="G246" s="51">
        <v>0.6</v>
      </c>
      <c r="H246" s="2" t="s">
        <v>33</v>
      </c>
      <c r="I246" s="39">
        <v>0.65800000000000003</v>
      </c>
      <c r="J246" s="39">
        <v>0.1532</v>
      </c>
      <c r="K246" s="39">
        <v>0.12340000000000001</v>
      </c>
      <c r="L246" s="39">
        <v>9.74E-2</v>
      </c>
      <c r="M246" s="40">
        <v>5000</v>
      </c>
      <c r="N246" s="52">
        <v>1000000</v>
      </c>
    </row>
    <row r="247" spans="1:14" ht="15" customHeight="1" x14ac:dyDescent="0.25">
      <c r="A247" s="64" t="str">
        <f t="shared" si="3"/>
        <v>0.6-17-0-TOU-2 year Fixed</v>
      </c>
      <c r="B247" s="37" t="s">
        <v>13</v>
      </c>
      <c r="C247" s="49">
        <v>17</v>
      </c>
      <c r="D247" s="2" t="s">
        <v>26</v>
      </c>
      <c r="E247" s="50" t="s">
        <v>87</v>
      </c>
      <c r="F247" s="38" t="s">
        <v>88</v>
      </c>
      <c r="G247" s="51">
        <v>0.6</v>
      </c>
      <c r="H247" s="2" t="s">
        <v>33</v>
      </c>
      <c r="I247" s="39">
        <v>1.5109999999999999</v>
      </c>
      <c r="J247" s="39">
        <v>0.17219999999999999</v>
      </c>
      <c r="K247" s="39">
        <v>0.13869999999999999</v>
      </c>
      <c r="L247" s="39">
        <v>0.1095</v>
      </c>
      <c r="M247" s="40">
        <v>5000</v>
      </c>
      <c r="N247" s="52">
        <v>1000000</v>
      </c>
    </row>
    <row r="248" spans="1:14" ht="15" customHeight="1" x14ac:dyDescent="0.25">
      <c r="A248" s="64" t="str">
        <f t="shared" si="3"/>
        <v>0.6-18-0-TOU-2 year Fixed</v>
      </c>
      <c r="B248" s="37" t="s">
        <v>13</v>
      </c>
      <c r="C248" s="49">
        <v>18</v>
      </c>
      <c r="D248" s="2" t="s">
        <v>27</v>
      </c>
      <c r="E248" s="50" t="s">
        <v>87</v>
      </c>
      <c r="F248" s="38" t="s">
        <v>88</v>
      </c>
      <c r="G248" s="51">
        <v>0.6</v>
      </c>
      <c r="H248" s="2" t="s">
        <v>33</v>
      </c>
      <c r="I248" s="39">
        <v>0.81399999999999995</v>
      </c>
      <c r="J248" s="39">
        <v>0.1527</v>
      </c>
      <c r="K248" s="39">
        <v>0.123</v>
      </c>
      <c r="L248" s="39">
        <v>9.7100000000000006E-2</v>
      </c>
      <c r="M248" s="40">
        <v>5000</v>
      </c>
      <c r="N248" s="52">
        <v>1000000</v>
      </c>
    </row>
    <row r="249" spans="1:14" ht="15" customHeight="1" x14ac:dyDescent="0.25">
      <c r="A249" s="64" t="str">
        <f t="shared" si="3"/>
        <v>0.6-19-0-TOU-2 year Fixed</v>
      </c>
      <c r="B249" s="37" t="s">
        <v>13</v>
      </c>
      <c r="C249" s="49">
        <v>19</v>
      </c>
      <c r="D249" s="2" t="s">
        <v>28</v>
      </c>
      <c r="E249" s="50" t="s">
        <v>87</v>
      </c>
      <c r="F249" s="38" t="s">
        <v>88</v>
      </c>
      <c r="G249" s="51">
        <v>0.6</v>
      </c>
      <c r="H249" s="2" t="s">
        <v>33</v>
      </c>
      <c r="I249" s="39">
        <v>0.70399999999999996</v>
      </c>
      <c r="J249" s="39">
        <v>0.15159999999999998</v>
      </c>
      <c r="K249" s="39">
        <v>0.122</v>
      </c>
      <c r="L249" s="39">
        <v>9.6299999999999997E-2</v>
      </c>
      <c r="M249" s="40">
        <v>5000</v>
      </c>
      <c r="N249" s="52">
        <v>1000000</v>
      </c>
    </row>
    <row r="250" spans="1:14" ht="15" customHeight="1" x14ac:dyDescent="0.25">
      <c r="A250" s="64" t="str">
        <f t="shared" si="3"/>
        <v>0.6-20-0-TOU-2 year Fixed</v>
      </c>
      <c r="B250" s="37" t="s">
        <v>13</v>
      </c>
      <c r="C250" s="49">
        <v>20</v>
      </c>
      <c r="D250" s="2" t="s">
        <v>29</v>
      </c>
      <c r="E250" s="50" t="s">
        <v>87</v>
      </c>
      <c r="F250" s="38" t="s">
        <v>88</v>
      </c>
      <c r="G250" s="51">
        <v>0.6</v>
      </c>
      <c r="H250" s="2" t="s">
        <v>33</v>
      </c>
      <c r="I250" s="39">
        <v>0.748</v>
      </c>
      <c r="J250" s="39">
        <v>0.1517</v>
      </c>
      <c r="K250" s="39">
        <v>0.1221</v>
      </c>
      <c r="L250" s="39">
        <v>9.64E-2</v>
      </c>
      <c r="M250" s="40">
        <v>5000</v>
      </c>
      <c r="N250" s="52">
        <v>1000000</v>
      </c>
    </row>
    <row r="251" spans="1:14" ht="15" customHeight="1" x14ac:dyDescent="0.25">
      <c r="A251" s="64" t="str">
        <f t="shared" si="3"/>
        <v>0.6-21-0-TOU-2 year Fixed</v>
      </c>
      <c r="B251" s="37" t="s">
        <v>13</v>
      </c>
      <c r="C251" s="49">
        <v>21</v>
      </c>
      <c r="D251" s="2" t="s">
        <v>30</v>
      </c>
      <c r="E251" s="50" t="s">
        <v>87</v>
      </c>
      <c r="F251" s="38" t="s">
        <v>88</v>
      </c>
      <c r="G251" s="51">
        <v>0.6</v>
      </c>
      <c r="H251" s="2" t="s">
        <v>33</v>
      </c>
      <c r="I251" s="39">
        <v>0.83499999999999996</v>
      </c>
      <c r="J251" s="39">
        <v>0.1618</v>
      </c>
      <c r="K251" s="39">
        <v>0.1303</v>
      </c>
      <c r="L251" s="39">
        <v>0.10290000000000001</v>
      </c>
      <c r="M251" s="40">
        <v>5000</v>
      </c>
      <c r="N251" s="52">
        <v>1000000</v>
      </c>
    </row>
    <row r="252" spans="1:14" ht="15" customHeight="1" x14ac:dyDescent="0.25">
      <c r="A252" s="64" t="str">
        <f t="shared" si="3"/>
        <v>0.6-22-0-TOU-2 year Fixed</v>
      </c>
      <c r="B252" s="37" t="s">
        <v>13</v>
      </c>
      <c r="C252" s="49">
        <v>22</v>
      </c>
      <c r="D252" s="2" t="s">
        <v>31</v>
      </c>
      <c r="E252" s="50" t="s">
        <v>87</v>
      </c>
      <c r="F252" s="38" t="s">
        <v>88</v>
      </c>
      <c r="G252" s="51">
        <v>0.6</v>
      </c>
      <c r="H252" s="2" t="s">
        <v>33</v>
      </c>
      <c r="I252" s="39">
        <v>0.81799999999999995</v>
      </c>
      <c r="J252" s="39">
        <v>0.16239999999999999</v>
      </c>
      <c r="K252" s="39">
        <v>0.1308</v>
      </c>
      <c r="L252" s="39">
        <v>0.1032</v>
      </c>
      <c r="M252" s="40">
        <v>5000</v>
      </c>
      <c r="N252" s="52">
        <v>1000000</v>
      </c>
    </row>
    <row r="253" spans="1:14" ht="15" customHeight="1" x14ac:dyDescent="0.25">
      <c r="A253" s="64" t="str">
        <f t="shared" si="3"/>
        <v>0.6-23-0-TOU-2 year Fixed</v>
      </c>
      <c r="B253" s="37" t="s">
        <v>13</v>
      </c>
      <c r="C253" s="49">
        <v>23</v>
      </c>
      <c r="D253" s="2" t="s">
        <v>32</v>
      </c>
      <c r="E253" s="50" t="s">
        <v>87</v>
      </c>
      <c r="F253" s="38" t="s">
        <v>88</v>
      </c>
      <c r="G253" s="51">
        <v>0.6</v>
      </c>
      <c r="H253" s="2" t="s">
        <v>33</v>
      </c>
      <c r="I253" s="39">
        <v>0.82</v>
      </c>
      <c r="J253" s="39">
        <v>0.15419999999999998</v>
      </c>
      <c r="K253" s="39">
        <v>0.1241</v>
      </c>
      <c r="L253" s="39">
        <v>9.8000000000000004E-2</v>
      </c>
      <c r="M253" s="40">
        <v>5000</v>
      </c>
      <c r="N253" s="52">
        <v>1000000</v>
      </c>
    </row>
    <row r="254" spans="1:14" ht="15" customHeight="1" x14ac:dyDescent="0.25">
      <c r="A254" s="64" t="str">
        <f t="shared" si="3"/>
        <v>0.7-10-0-TOU-3 year - with APR</v>
      </c>
      <c r="B254" s="37" t="s">
        <v>13</v>
      </c>
      <c r="C254" s="49">
        <v>10</v>
      </c>
      <c r="D254" s="2" t="s">
        <v>14</v>
      </c>
      <c r="E254" s="50" t="s">
        <v>87</v>
      </c>
      <c r="F254" s="38" t="s">
        <v>88</v>
      </c>
      <c r="G254" s="51">
        <v>0.7</v>
      </c>
      <c r="H254" s="2" t="s">
        <v>15</v>
      </c>
      <c r="I254" s="39">
        <v>0.79700000000000004</v>
      </c>
      <c r="J254" s="39">
        <v>0.1419</v>
      </c>
      <c r="K254" s="39">
        <v>0.1142</v>
      </c>
      <c r="L254" s="39">
        <v>9.0200000000000002E-2</v>
      </c>
      <c r="M254" s="40">
        <v>5000</v>
      </c>
      <c r="N254" s="52">
        <v>1000000</v>
      </c>
    </row>
    <row r="255" spans="1:14" ht="15" customHeight="1" x14ac:dyDescent="0.25">
      <c r="A255" s="64" t="str">
        <f t="shared" si="3"/>
        <v>0.7-11-0-TOU-3 year - with APR</v>
      </c>
      <c r="B255" s="37" t="s">
        <v>13</v>
      </c>
      <c r="C255" s="49">
        <v>11</v>
      </c>
      <c r="D255" s="2" t="s">
        <v>20</v>
      </c>
      <c r="E255" s="50" t="s">
        <v>87</v>
      </c>
      <c r="F255" s="38" t="s">
        <v>88</v>
      </c>
      <c r="G255" s="51">
        <v>0.7</v>
      </c>
      <c r="H255" s="2" t="s">
        <v>15</v>
      </c>
      <c r="I255" s="39">
        <v>0.77900000000000003</v>
      </c>
      <c r="J255" s="39">
        <v>0.14409999999999998</v>
      </c>
      <c r="K255" s="39">
        <v>0.11600000000000001</v>
      </c>
      <c r="L255" s="39">
        <v>9.1600000000000001E-2</v>
      </c>
      <c r="M255" s="40">
        <v>5000</v>
      </c>
      <c r="N255" s="52">
        <v>1000000</v>
      </c>
    </row>
    <row r="256" spans="1:14" ht="15" customHeight="1" x14ac:dyDescent="0.25">
      <c r="A256" s="64" t="str">
        <f t="shared" si="3"/>
        <v>0.7-12-0-TOU-3 year - with APR</v>
      </c>
      <c r="B256" s="37" t="s">
        <v>13</v>
      </c>
      <c r="C256" s="49">
        <v>12</v>
      </c>
      <c r="D256" s="2" t="s">
        <v>21</v>
      </c>
      <c r="E256" s="50" t="s">
        <v>87</v>
      </c>
      <c r="F256" s="38" t="s">
        <v>88</v>
      </c>
      <c r="G256" s="51">
        <v>0.7</v>
      </c>
      <c r="H256" s="2" t="s">
        <v>15</v>
      </c>
      <c r="I256" s="39">
        <v>0.81699999999999995</v>
      </c>
      <c r="J256" s="39">
        <v>0.1414</v>
      </c>
      <c r="K256" s="39">
        <v>0.1139</v>
      </c>
      <c r="L256" s="39">
        <v>8.9900000000000008E-2</v>
      </c>
      <c r="M256" s="40">
        <v>5000</v>
      </c>
      <c r="N256" s="52">
        <v>1000000</v>
      </c>
    </row>
    <row r="257" spans="1:14" ht="15" customHeight="1" x14ac:dyDescent="0.25">
      <c r="A257" s="64" t="str">
        <f t="shared" si="3"/>
        <v>0.7-13-0-TOU-3 year - with APR</v>
      </c>
      <c r="B257" s="37" t="s">
        <v>13</v>
      </c>
      <c r="C257" s="49">
        <v>13</v>
      </c>
      <c r="D257" s="2" t="s">
        <v>22</v>
      </c>
      <c r="E257" s="50" t="s">
        <v>87</v>
      </c>
      <c r="F257" s="38" t="s">
        <v>88</v>
      </c>
      <c r="G257" s="51">
        <v>0.7</v>
      </c>
      <c r="H257" s="2" t="s">
        <v>15</v>
      </c>
      <c r="I257" s="39">
        <v>0.79700000000000004</v>
      </c>
      <c r="J257" s="39">
        <v>0.15359999999999999</v>
      </c>
      <c r="K257" s="39">
        <v>0.1236</v>
      </c>
      <c r="L257" s="39">
        <v>9.7600000000000006E-2</v>
      </c>
      <c r="M257" s="40">
        <v>5000</v>
      </c>
      <c r="N257" s="52">
        <v>1000000</v>
      </c>
    </row>
    <row r="258" spans="1:14" ht="15" customHeight="1" x14ac:dyDescent="0.25">
      <c r="A258" s="64" t="str">
        <f t="shared" si="3"/>
        <v>0.7-14-0-TOU-3 year - with APR</v>
      </c>
      <c r="B258" s="37" t="s">
        <v>13</v>
      </c>
      <c r="C258" s="49">
        <v>14</v>
      </c>
      <c r="D258" s="2" t="s">
        <v>23</v>
      </c>
      <c r="E258" s="50" t="s">
        <v>87</v>
      </c>
      <c r="F258" s="38" t="s">
        <v>88</v>
      </c>
      <c r="G258" s="51">
        <v>0.7</v>
      </c>
      <c r="H258" s="2" t="s">
        <v>15</v>
      </c>
      <c r="I258" s="39">
        <v>0.80500000000000005</v>
      </c>
      <c r="J258" s="39">
        <v>0.14509999999999998</v>
      </c>
      <c r="K258" s="39">
        <v>0.1168</v>
      </c>
      <c r="L258" s="39">
        <v>9.2200000000000004E-2</v>
      </c>
      <c r="M258" s="40">
        <v>5000</v>
      </c>
      <c r="N258" s="52">
        <v>1000000</v>
      </c>
    </row>
    <row r="259" spans="1:14" ht="15" customHeight="1" x14ac:dyDescent="0.25">
      <c r="A259" s="64" t="str">
        <f t="shared" ref="A259:A322" si="4">IF(E259="OP","",CONCATENATE(G259,"-",C259,"-",RIGHT(F259,1),"-",E259,"-",H259))</f>
        <v>0.7-15-0-TOU-3 year - with APR</v>
      </c>
      <c r="B259" s="37" t="s">
        <v>13</v>
      </c>
      <c r="C259" s="49">
        <v>15</v>
      </c>
      <c r="D259" s="2" t="s">
        <v>24</v>
      </c>
      <c r="E259" s="50" t="s">
        <v>87</v>
      </c>
      <c r="F259" s="38" t="s">
        <v>88</v>
      </c>
      <c r="G259" s="51">
        <v>0.7</v>
      </c>
      <c r="H259" s="2" t="s">
        <v>15</v>
      </c>
      <c r="I259" s="39">
        <v>0.86899999999999999</v>
      </c>
      <c r="J259" s="39">
        <v>0.1459</v>
      </c>
      <c r="K259" s="39">
        <v>0.11750000000000001</v>
      </c>
      <c r="L259" s="39">
        <v>9.2700000000000005E-2</v>
      </c>
      <c r="M259" s="40">
        <v>5000</v>
      </c>
      <c r="N259" s="52">
        <v>1000000</v>
      </c>
    </row>
    <row r="260" spans="1:14" ht="15" customHeight="1" x14ac:dyDescent="0.25">
      <c r="A260" s="64" t="str">
        <f t="shared" si="4"/>
        <v>0.7-16-0-TOU-3 year - with APR</v>
      </c>
      <c r="B260" s="37" t="s">
        <v>13</v>
      </c>
      <c r="C260" s="49">
        <v>16</v>
      </c>
      <c r="D260" s="2" t="s">
        <v>25</v>
      </c>
      <c r="E260" s="50" t="s">
        <v>87</v>
      </c>
      <c r="F260" s="38" t="s">
        <v>88</v>
      </c>
      <c r="G260" s="51">
        <v>0.7</v>
      </c>
      <c r="H260" s="2" t="s">
        <v>15</v>
      </c>
      <c r="I260" s="39">
        <v>0.65800000000000003</v>
      </c>
      <c r="J260" s="39">
        <v>0.1447</v>
      </c>
      <c r="K260" s="39">
        <v>0.11650000000000001</v>
      </c>
      <c r="L260" s="39">
        <v>9.1999999999999998E-2</v>
      </c>
      <c r="M260" s="40">
        <v>5000</v>
      </c>
      <c r="N260" s="52">
        <v>1000000</v>
      </c>
    </row>
    <row r="261" spans="1:14" ht="15" customHeight="1" x14ac:dyDescent="0.25">
      <c r="A261" s="64" t="str">
        <f t="shared" si="4"/>
        <v>0.7-17-0-TOU-3 year - with APR</v>
      </c>
      <c r="B261" s="37" t="s">
        <v>13</v>
      </c>
      <c r="C261" s="49">
        <v>17</v>
      </c>
      <c r="D261" s="2" t="s">
        <v>26</v>
      </c>
      <c r="E261" s="50" t="s">
        <v>87</v>
      </c>
      <c r="F261" s="38" t="s">
        <v>88</v>
      </c>
      <c r="G261" s="51">
        <v>0.7</v>
      </c>
      <c r="H261" s="2" t="s">
        <v>15</v>
      </c>
      <c r="I261" s="39">
        <v>1.343</v>
      </c>
      <c r="J261" s="39">
        <v>0.16309999999999999</v>
      </c>
      <c r="K261" s="39">
        <v>0.1313</v>
      </c>
      <c r="L261" s="39">
        <v>0.1037</v>
      </c>
      <c r="M261" s="40">
        <v>5000</v>
      </c>
      <c r="N261" s="52">
        <v>1000000</v>
      </c>
    </row>
    <row r="262" spans="1:14" ht="15" customHeight="1" x14ac:dyDescent="0.25">
      <c r="A262" s="64" t="str">
        <f t="shared" si="4"/>
        <v>0.7-18-0-TOU-3 year - with APR</v>
      </c>
      <c r="B262" s="37" t="s">
        <v>13</v>
      </c>
      <c r="C262" s="49">
        <v>18</v>
      </c>
      <c r="D262" s="2" t="s">
        <v>27</v>
      </c>
      <c r="E262" s="50" t="s">
        <v>87</v>
      </c>
      <c r="F262" s="38" t="s">
        <v>88</v>
      </c>
      <c r="G262" s="51">
        <v>0.7</v>
      </c>
      <c r="H262" s="2" t="s">
        <v>15</v>
      </c>
      <c r="I262" s="39">
        <v>0.81399999999999995</v>
      </c>
      <c r="J262" s="39">
        <v>0.1439</v>
      </c>
      <c r="K262" s="39">
        <v>0.1159</v>
      </c>
      <c r="L262" s="39">
        <v>9.1499999999999998E-2</v>
      </c>
      <c r="M262" s="40">
        <v>5000</v>
      </c>
      <c r="N262" s="52">
        <v>1000000</v>
      </c>
    </row>
    <row r="263" spans="1:14" ht="15" customHeight="1" x14ac:dyDescent="0.25">
      <c r="A263" s="64" t="str">
        <f t="shared" si="4"/>
        <v>0.7-19-0-TOU-3 year - with APR</v>
      </c>
      <c r="B263" s="37" t="s">
        <v>13</v>
      </c>
      <c r="C263" s="49">
        <v>19</v>
      </c>
      <c r="D263" s="2" t="s">
        <v>28</v>
      </c>
      <c r="E263" s="50" t="s">
        <v>87</v>
      </c>
      <c r="F263" s="38" t="s">
        <v>88</v>
      </c>
      <c r="G263" s="51">
        <v>0.7</v>
      </c>
      <c r="H263" s="2" t="s">
        <v>15</v>
      </c>
      <c r="I263" s="39">
        <v>0.70399999999999996</v>
      </c>
      <c r="J263" s="39">
        <v>0.14309999999999998</v>
      </c>
      <c r="K263" s="39">
        <v>0.1152</v>
      </c>
      <c r="L263" s="39">
        <v>9.0899999999999995E-2</v>
      </c>
      <c r="M263" s="40">
        <v>5000</v>
      </c>
      <c r="N263" s="52">
        <v>1000000</v>
      </c>
    </row>
    <row r="264" spans="1:14" ht="15" customHeight="1" x14ac:dyDescent="0.25">
      <c r="A264" s="64" t="str">
        <f t="shared" si="4"/>
        <v>0.7-20-0-TOU-3 year - with APR</v>
      </c>
      <c r="B264" s="37" t="s">
        <v>13</v>
      </c>
      <c r="C264" s="49">
        <v>20</v>
      </c>
      <c r="D264" s="2" t="s">
        <v>29</v>
      </c>
      <c r="E264" s="50" t="s">
        <v>87</v>
      </c>
      <c r="F264" s="38" t="s">
        <v>88</v>
      </c>
      <c r="G264" s="51">
        <v>0.7</v>
      </c>
      <c r="H264" s="2" t="s">
        <v>15</v>
      </c>
      <c r="I264" s="39">
        <v>0.748</v>
      </c>
      <c r="J264" s="39">
        <v>0.14269999999999999</v>
      </c>
      <c r="K264" s="39">
        <v>0.1149</v>
      </c>
      <c r="L264" s="39">
        <v>9.0700000000000003E-2</v>
      </c>
      <c r="M264" s="40">
        <v>5000</v>
      </c>
      <c r="N264" s="52">
        <v>1000000</v>
      </c>
    </row>
    <row r="265" spans="1:14" ht="15" customHeight="1" x14ac:dyDescent="0.25">
      <c r="A265" s="64" t="str">
        <f t="shared" si="4"/>
        <v>0.7-21-0-TOU-3 year - with APR</v>
      </c>
      <c r="B265" s="37" t="s">
        <v>13</v>
      </c>
      <c r="C265" s="49">
        <v>21</v>
      </c>
      <c r="D265" s="2" t="s">
        <v>30</v>
      </c>
      <c r="E265" s="50" t="s">
        <v>87</v>
      </c>
      <c r="F265" s="38" t="s">
        <v>88</v>
      </c>
      <c r="G265" s="51">
        <v>0.7</v>
      </c>
      <c r="H265" s="2" t="s">
        <v>15</v>
      </c>
      <c r="I265" s="39">
        <v>0.83499999999999996</v>
      </c>
      <c r="J265" s="39">
        <v>0.15259999999999999</v>
      </c>
      <c r="K265" s="39">
        <v>0.12290000000000001</v>
      </c>
      <c r="L265" s="39">
        <v>9.7000000000000003E-2</v>
      </c>
      <c r="M265" s="40">
        <v>5000</v>
      </c>
      <c r="N265" s="52">
        <v>1000000</v>
      </c>
    </row>
    <row r="266" spans="1:14" ht="15" customHeight="1" x14ac:dyDescent="0.25">
      <c r="A266" s="64" t="str">
        <f t="shared" si="4"/>
        <v>0.7-22-0-TOU-3 year - with APR</v>
      </c>
      <c r="B266" s="37" t="s">
        <v>13</v>
      </c>
      <c r="C266" s="49">
        <v>22</v>
      </c>
      <c r="D266" s="2" t="s">
        <v>31</v>
      </c>
      <c r="E266" s="50" t="s">
        <v>87</v>
      </c>
      <c r="F266" s="38" t="s">
        <v>88</v>
      </c>
      <c r="G266" s="51">
        <v>0.7</v>
      </c>
      <c r="H266" s="2" t="s">
        <v>15</v>
      </c>
      <c r="I266" s="39">
        <v>0.81799999999999995</v>
      </c>
      <c r="J266" s="39">
        <v>0.1532</v>
      </c>
      <c r="K266" s="39">
        <v>0.12340000000000001</v>
      </c>
      <c r="L266" s="39">
        <v>9.74E-2</v>
      </c>
      <c r="M266" s="40">
        <v>5000</v>
      </c>
      <c r="N266" s="52">
        <v>1000000</v>
      </c>
    </row>
    <row r="267" spans="1:14" ht="15" customHeight="1" x14ac:dyDescent="0.25">
      <c r="A267" s="64" t="str">
        <f t="shared" si="4"/>
        <v>0.7-23-0-TOU-3 year - with APR</v>
      </c>
      <c r="B267" s="37" t="s">
        <v>13</v>
      </c>
      <c r="C267" s="49">
        <v>23</v>
      </c>
      <c r="D267" s="2" t="s">
        <v>32</v>
      </c>
      <c r="E267" s="50" t="s">
        <v>87</v>
      </c>
      <c r="F267" s="38" t="s">
        <v>88</v>
      </c>
      <c r="G267" s="51">
        <v>0.7</v>
      </c>
      <c r="H267" s="2" t="s">
        <v>15</v>
      </c>
      <c r="I267" s="39">
        <v>0.82</v>
      </c>
      <c r="J267" s="39">
        <v>0.14579999999999999</v>
      </c>
      <c r="K267" s="39">
        <v>0.1174</v>
      </c>
      <c r="L267" s="39">
        <v>9.2700000000000005E-2</v>
      </c>
      <c r="M267" s="40">
        <v>5000</v>
      </c>
      <c r="N267" s="52">
        <v>1000000</v>
      </c>
    </row>
    <row r="268" spans="1:14" ht="15" customHeight="1" x14ac:dyDescent="0.25">
      <c r="A268" s="64" t="str">
        <f t="shared" si="4"/>
        <v>0.7-10-0-TOU-2 year Fixed</v>
      </c>
      <c r="B268" s="37" t="s">
        <v>13</v>
      </c>
      <c r="C268" s="49">
        <v>10</v>
      </c>
      <c r="D268" s="2" t="s">
        <v>14</v>
      </c>
      <c r="E268" s="50" t="s">
        <v>87</v>
      </c>
      <c r="F268" s="38" t="s">
        <v>88</v>
      </c>
      <c r="G268" s="51">
        <v>0.7</v>
      </c>
      <c r="H268" s="2" t="s">
        <v>33</v>
      </c>
      <c r="I268" s="39">
        <v>0.79700000000000004</v>
      </c>
      <c r="J268" s="39">
        <v>0.1512</v>
      </c>
      <c r="K268" s="39">
        <v>0.1217</v>
      </c>
      <c r="L268" s="39">
        <v>9.6100000000000005E-2</v>
      </c>
      <c r="M268" s="40">
        <v>5000</v>
      </c>
      <c r="N268" s="52">
        <v>1000000</v>
      </c>
    </row>
    <row r="269" spans="1:14" ht="15" customHeight="1" x14ac:dyDescent="0.25">
      <c r="A269" s="64" t="str">
        <f t="shared" si="4"/>
        <v>0.7-11-0-TOU-2 year Fixed</v>
      </c>
      <c r="B269" s="37" t="s">
        <v>13</v>
      </c>
      <c r="C269" s="49">
        <v>11</v>
      </c>
      <c r="D269" s="2" t="s">
        <v>20</v>
      </c>
      <c r="E269" s="50" t="s">
        <v>87</v>
      </c>
      <c r="F269" s="38" t="s">
        <v>88</v>
      </c>
      <c r="G269" s="51">
        <v>0.7</v>
      </c>
      <c r="H269" s="2" t="s">
        <v>33</v>
      </c>
      <c r="I269" s="39">
        <v>0.77900000000000003</v>
      </c>
      <c r="J269" s="39">
        <v>0.15429999999999999</v>
      </c>
      <c r="K269" s="39">
        <v>0.1242</v>
      </c>
      <c r="L269" s="39">
        <v>9.8100000000000007E-2</v>
      </c>
      <c r="M269" s="40">
        <v>5000</v>
      </c>
      <c r="N269" s="52">
        <v>1000000</v>
      </c>
    </row>
    <row r="270" spans="1:14" ht="15" customHeight="1" x14ac:dyDescent="0.25">
      <c r="A270" s="64" t="str">
        <f t="shared" si="4"/>
        <v>0.7-12-0-TOU-2 year Fixed</v>
      </c>
      <c r="B270" s="37" t="s">
        <v>13</v>
      </c>
      <c r="C270" s="49">
        <v>12</v>
      </c>
      <c r="D270" s="2" t="s">
        <v>21</v>
      </c>
      <c r="E270" s="50" t="s">
        <v>87</v>
      </c>
      <c r="F270" s="38" t="s">
        <v>88</v>
      </c>
      <c r="G270" s="51">
        <v>0.7</v>
      </c>
      <c r="H270" s="2" t="s">
        <v>33</v>
      </c>
      <c r="I270" s="39">
        <v>0.81699999999999995</v>
      </c>
      <c r="J270" s="39">
        <v>0.15089999999999998</v>
      </c>
      <c r="K270" s="39">
        <v>0.1215</v>
      </c>
      <c r="L270" s="39">
        <v>9.5899999999999999E-2</v>
      </c>
      <c r="M270" s="40">
        <v>5000</v>
      </c>
      <c r="N270" s="52">
        <v>1000000</v>
      </c>
    </row>
    <row r="271" spans="1:14" ht="15" customHeight="1" x14ac:dyDescent="0.25">
      <c r="A271" s="64" t="str">
        <f t="shared" si="4"/>
        <v>0.7-13-0-TOU-2 year Fixed</v>
      </c>
      <c r="B271" s="37" t="s">
        <v>13</v>
      </c>
      <c r="C271" s="49">
        <v>13</v>
      </c>
      <c r="D271" s="2" t="s">
        <v>22</v>
      </c>
      <c r="E271" s="50" t="s">
        <v>87</v>
      </c>
      <c r="F271" s="38" t="s">
        <v>88</v>
      </c>
      <c r="G271" s="51">
        <v>0.7</v>
      </c>
      <c r="H271" s="2" t="s">
        <v>33</v>
      </c>
      <c r="I271" s="39">
        <v>0.79700000000000004</v>
      </c>
      <c r="J271" s="39">
        <v>0.16399999999999998</v>
      </c>
      <c r="K271" s="39">
        <v>0.13199999999999998</v>
      </c>
      <c r="L271" s="39">
        <v>0.1042</v>
      </c>
      <c r="M271" s="40">
        <v>5000</v>
      </c>
      <c r="N271" s="52">
        <v>1000000</v>
      </c>
    </row>
    <row r="272" spans="1:14" ht="15" customHeight="1" x14ac:dyDescent="0.25">
      <c r="A272" s="64" t="str">
        <f t="shared" si="4"/>
        <v>0.7-14-0-TOU-2 year Fixed</v>
      </c>
      <c r="B272" s="37" t="s">
        <v>13</v>
      </c>
      <c r="C272" s="49">
        <v>14</v>
      </c>
      <c r="D272" s="2" t="s">
        <v>23</v>
      </c>
      <c r="E272" s="50" t="s">
        <v>87</v>
      </c>
      <c r="F272" s="38" t="s">
        <v>88</v>
      </c>
      <c r="G272" s="51">
        <v>0.7</v>
      </c>
      <c r="H272" s="2" t="s">
        <v>33</v>
      </c>
      <c r="I272" s="39">
        <v>0.80500000000000005</v>
      </c>
      <c r="J272" s="39">
        <v>0.15529999999999999</v>
      </c>
      <c r="K272" s="39">
        <v>0.12509999999999999</v>
      </c>
      <c r="L272" s="39">
        <v>9.8699999999999996E-2</v>
      </c>
      <c r="M272" s="40">
        <v>5000</v>
      </c>
      <c r="N272" s="52">
        <v>1000000</v>
      </c>
    </row>
    <row r="273" spans="1:14" ht="15" customHeight="1" x14ac:dyDescent="0.25">
      <c r="A273" s="64" t="str">
        <f t="shared" si="4"/>
        <v>0.7-15-0-TOU-2 year Fixed</v>
      </c>
      <c r="B273" s="37" t="s">
        <v>13</v>
      </c>
      <c r="C273" s="49">
        <v>15</v>
      </c>
      <c r="D273" s="2" t="s">
        <v>24</v>
      </c>
      <c r="E273" s="50" t="s">
        <v>87</v>
      </c>
      <c r="F273" s="38" t="s">
        <v>88</v>
      </c>
      <c r="G273" s="51">
        <v>0.7</v>
      </c>
      <c r="H273" s="2" t="s">
        <v>33</v>
      </c>
      <c r="I273" s="39">
        <v>0.86899999999999999</v>
      </c>
      <c r="J273" s="39">
        <v>0.15509999999999999</v>
      </c>
      <c r="K273" s="39">
        <v>0.1249</v>
      </c>
      <c r="L273" s="39">
        <v>9.8600000000000007E-2</v>
      </c>
      <c r="M273" s="40">
        <v>5000</v>
      </c>
      <c r="N273" s="52">
        <v>1000000</v>
      </c>
    </row>
    <row r="274" spans="1:14" ht="15" customHeight="1" x14ac:dyDescent="0.25">
      <c r="A274" s="64" t="str">
        <f t="shared" si="4"/>
        <v>0.7-16-0-TOU-2 year Fixed</v>
      </c>
      <c r="B274" s="37" t="s">
        <v>13</v>
      </c>
      <c r="C274" s="49">
        <v>16</v>
      </c>
      <c r="D274" s="2" t="s">
        <v>25</v>
      </c>
      <c r="E274" s="50" t="s">
        <v>87</v>
      </c>
      <c r="F274" s="38" t="s">
        <v>88</v>
      </c>
      <c r="G274" s="51">
        <v>0.7</v>
      </c>
      <c r="H274" s="2" t="s">
        <v>33</v>
      </c>
      <c r="I274" s="39">
        <v>0.65800000000000003</v>
      </c>
      <c r="J274" s="39">
        <v>0.15439999999999998</v>
      </c>
      <c r="K274" s="39">
        <v>0.12430000000000001</v>
      </c>
      <c r="L274" s="39">
        <v>9.8100000000000007E-2</v>
      </c>
      <c r="M274" s="40">
        <v>5000</v>
      </c>
      <c r="N274" s="52">
        <v>1000000</v>
      </c>
    </row>
    <row r="275" spans="1:14" ht="15" customHeight="1" x14ac:dyDescent="0.25">
      <c r="A275" s="64" t="str">
        <f t="shared" si="4"/>
        <v>0.7-17-0-TOU-2 year Fixed</v>
      </c>
      <c r="B275" s="37" t="s">
        <v>13</v>
      </c>
      <c r="C275" s="49">
        <v>17</v>
      </c>
      <c r="D275" s="2" t="s">
        <v>26</v>
      </c>
      <c r="E275" s="50" t="s">
        <v>87</v>
      </c>
      <c r="F275" s="38" t="s">
        <v>88</v>
      </c>
      <c r="G275" s="51">
        <v>0.7</v>
      </c>
      <c r="H275" s="2" t="s">
        <v>33</v>
      </c>
      <c r="I275" s="39">
        <v>1.5109999999999999</v>
      </c>
      <c r="J275" s="39">
        <v>0.1734</v>
      </c>
      <c r="K275" s="39">
        <v>0.1396</v>
      </c>
      <c r="L275" s="39">
        <v>0.11020000000000001</v>
      </c>
      <c r="M275" s="40">
        <v>5000</v>
      </c>
      <c r="N275" s="52">
        <v>1000000</v>
      </c>
    </row>
    <row r="276" spans="1:14" ht="15" customHeight="1" x14ac:dyDescent="0.25">
      <c r="A276" s="64" t="str">
        <f t="shared" si="4"/>
        <v>0.7-18-0-TOU-2 year Fixed</v>
      </c>
      <c r="B276" s="37" t="s">
        <v>13</v>
      </c>
      <c r="C276" s="49">
        <v>18</v>
      </c>
      <c r="D276" s="2" t="s">
        <v>27</v>
      </c>
      <c r="E276" s="50" t="s">
        <v>87</v>
      </c>
      <c r="F276" s="38" t="s">
        <v>88</v>
      </c>
      <c r="G276" s="51">
        <v>0.7</v>
      </c>
      <c r="H276" s="2" t="s">
        <v>33</v>
      </c>
      <c r="I276" s="39">
        <v>0.81399999999999995</v>
      </c>
      <c r="J276" s="39">
        <v>0.15389999999999998</v>
      </c>
      <c r="K276" s="39">
        <v>0.1239</v>
      </c>
      <c r="L276" s="39">
        <v>9.7799999999999998E-2</v>
      </c>
      <c r="M276" s="40">
        <v>5000</v>
      </c>
      <c r="N276" s="52">
        <v>1000000</v>
      </c>
    </row>
    <row r="277" spans="1:14" ht="15" customHeight="1" x14ac:dyDescent="0.25">
      <c r="A277" s="64" t="str">
        <f t="shared" si="4"/>
        <v>0.7-19-0-TOU-2 year Fixed</v>
      </c>
      <c r="B277" s="37" t="s">
        <v>13</v>
      </c>
      <c r="C277" s="49">
        <v>19</v>
      </c>
      <c r="D277" s="2" t="s">
        <v>28</v>
      </c>
      <c r="E277" s="50" t="s">
        <v>87</v>
      </c>
      <c r="F277" s="38" t="s">
        <v>88</v>
      </c>
      <c r="G277" s="51">
        <v>0.7</v>
      </c>
      <c r="H277" s="2" t="s">
        <v>33</v>
      </c>
      <c r="I277" s="39">
        <v>0.70399999999999996</v>
      </c>
      <c r="J277" s="39">
        <v>0.1527</v>
      </c>
      <c r="K277" s="39">
        <v>0.123</v>
      </c>
      <c r="L277" s="39">
        <v>9.7100000000000006E-2</v>
      </c>
      <c r="M277" s="40">
        <v>5000</v>
      </c>
      <c r="N277" s="52">
        <v>1000000</v>
      </c>
    </row>
    <row r="278" spans="1:14" ht="15" customHeight="1" x14ac:dyDescent="0.25">
      <c r="A278" s="64" t="str">
        <f t="shared" si="4"/>
        <v>0.7-20-0-TOU-2 year Fixed</v>
      </c>
      <c r="B278" s="37" t="s">
        <v>13</v>
      </c>
      <c r="C278" s="49">
        <v>20</v>
      </c>
      <c r="D278" s="2" t="s">
        <v>29</v>
      </c>
      <c r="E278" s="50" t="s">
        <v>87</v>
      </c>
      <c r="F278" s="38" t="s">
        <v>88</v>
      </c>
      <c r="G278" s="51">
        <v>0.7</v>
      </c>
      <c r="H278" s="2" t="s">
        <v>33</v>
      </c>
      <c r="I278" s="39">
        <v>0.748</v>
      </c>
      <c r="J278" s="39">
        <v>0.15289999999999998</v>
      </c>
      <c r="K278" s="39">
        <v>0.1231</v>
      </c>
      <c r="L278" s="39">
        <v>9.7200000000000009E-2</v>
      </c>
      <c r="M278" s="40">
        <v>5000</v>
      </c>
      <c r="N278" s="52">
        <v>1000000</v>
      </c>
    </row>
    <row r="279" spans="1:14" ht="15" customHeight="1" x14ac:dyDescent="0.25">
      <c r="A279" s="64" t="str">
        <f t="shared" si="4"/>
        <v>0.7-21-0-TOU-2 year Fixed</v>
      </c>
      <c r="B279" s="37" t="s">
        <v>13</v>
      </c>
      <c r="C279" s="49">
        <v>21</v>
      </c>
      <c r="D279" s="2" t="s">
        <v>30</v>
      </c>
      <c r="E279" s="50" t="s">
        <v>87</v>
      </c>
      <c r="F279" s="38" t="s">
        <v>88</v>
      </c>
      <c r="G279" s="51">
        <v>0.7</v>
      </c>
      <c r="H279" s="2" t="s">
        <v>33</v>
      </c>
      <c r="I279" s="39">
        <v>0.83499999999999996</v>
      </c>
      <c r="J279" s="39">
        <v>0.16299999999999998</v>
      </c>
      <c r="K279" s="39">
        <v>0.13119999999999998</v>
      </c>
      <c r="L279" s="39">
        <v>0.1036</v>
      </c>
      <c r="M279" s="40">
        <v>5000</v>
      </c>
      <c r="N279" s="52">
        <v>1000000</v>
      </c>
    </row>
    <row r="280" spans="1:14" ht="15" customHeight="1" x14ac:dyDescent="0.25">
      <c r="A280" s="64" t="str">
        <f t="shared" si="4"/>
        <v>0.7-22-0-TOU-2 year Fixed</v>
      </c>
      <c r="B280" s="37" t="s">
        <v>13</v>
      </c>
      <c r="C280" s="49">
        <v>22</v>
      </c>
      <c r="D280" s="2" t="s">
        <v>31</v>
      </c>
      <c r="E280" s="50" t="s">
        <v>87</v>
      </c>
      <c r="F280" s="38" t="s">
        <v>88</v>
      </c>
      <c r="G280" s="51">
        <v>0.7</v>
      </c>
      <c r="H280" s="2" t="s">
        <v>33</v>
      </c>
      <c r="I280" s="39">
        <v>0.81799999999999995</v>
      </c>
      <c r="J280" s="39">
        <v>0.1636</v>
      </c>
      <c r="K280" s="39">
        <v>0.13169999999999998</v>
      </c>
      <c r="L280" s="39">
        <v>0.10400000000000001</v>
      </c>
      <c r="M280" s="40">
        <v>5000</v>
      </c>
      <c r="N280" s="52">
        <v>1000000</v>
      </c>
    </row>
    <row r="281" spans="1:14" ht="15" customHeight="1" x14ac:dyDescent="0.25">
      <c r="A281" s="64" t="str">
        <f t="shared" si="4"/>
        <v>0.7-23-0-TOU-2 year Fixed</v>
      </c>
      <c r="B281" s="37" t="s">
        <v>13</v>
      </c>
      <c r="C281" s="49">
        <v>23</v>
      </c>
      <c r="D281" s="2" t="s">
        <v>32</v>
      </c>
      <c r="E281" s="50" t="s">
        <v>87</v>
      </c>
      <c r="F281" s="38" t="s">
        <v>88</v>
      </c>
      <c r="G281" s="51">
        <v>0.7</v>
      </c>
      <c r="H281" s="2" t="s">
        <v>33</v>
      </c>
      <c r="I281" s="39">
        <v>0.82</v>
      </c>
      <c r="J281" s="39">
        <v>0.15529999999999999</v>
      </c>
      <c r="K281" s="39">
        <v>0.12509999999999999</v>
      </c>
      <c r="L281" s="39">
        <v>9.8699999999999996E-2</v>
      </c>
      <c r="M281" s="40">
        <v>5000</v>
      </c>
      <c r="N281" s="52">
        <v>1000000</v>
      </c>
    </row>
    <row r="282" spans="1:14" ht="15" customHeight="1" x14ac:dyDescent="0.25">
      <c r="A282" s="64" t="str">
        <f t="shared" si="4"/>
        <v>0.8-10-0-TOU-3 year - with APR</v>
      </c>
      <c r="B282" s="37" t="s">
        <v>13</v>
      </c>
      <c r="C282" s="49">
        <v>10</v>
      </c>
      <c r="D282" s="2" t="s">
        <v>14</v>
      </c>
      <c r="E282" s="50" t="s">
        <v>87</v>
      </c>
      <c r="F282" s="38" t="s">
        <v>88</v>
      </c>
      <c r="G282" s="51">
        <v>0.8</v>
      </c>
      <c r="H282" s="2" t="s">
        <v>15</v>
      </c>
      <c r="I282" s="39">
        <v>0.79700000000000004</v>
      </c>
      <c r="J282" s="39">
        <v>0.14309999999999998</v>
      </c>
      <c r="K282" s="39">
        <v>0.1152</v>
      </c>
      <c r="L282" s="39">
        <v>9.0899999999999995E-2</v>
      </c>
      <c r="M282" s="40">
        <v>5000</v>
      </c>
      <c r="N282" s="52">
        <v>1000000</v>
      </c>
    </row>
    <row r="283" spans="1:14" ht="15" customHeight="1" x14ac:dyDescent="0.25">
      <c r="A283" s="64" t="str">
        <f t="shared" si="4"/>
        <v>0.8-11-0-TOU-3 year - with APR</v>
      </c>
      <c r="B283" s="37" t="s">
        <v>13</v>
      </c>
      <c r="C283" s="49">
        <v>11</v>
      </c>
      <c r="D283" s="2" t="s">
        <v>20</v>
      </c>
      <c r="E283" s="50" t="s">
        <v>87</v>
      </c>
      <c r="F283" s="38" t="s">
        <v>88</v>
      </c>
      <c r="G283" s="51">
        <v>0.8</v>
      </c>
      <c r="H283" s="2" t="s">
        <v>15</v>
      </c>
      <c r="I283" s="39">
        <v>0.77900000000000003</v>
      </c>
      <c r="J283" s="39">
        <v>0.14529999999999998</v>
      </c>
      <c r="K283" s="39">
        <v>0.11700000000000001</v>
      </c>
      <c r="L283" s="39">
        <v>9.2399999999999996E-2</v>
      </c>
      <c r="M283" s="40">
        <v>5000</v>
      </c>
      <c r="N283" s="52">
        <v>1000000</v>
      </c>
    </row>
    <row r="284" spans="1:14" ht="15" customHeight="1" x14ac:dyDescent="0.25">
      <c r="A284" s="64" t="str">
        <f t="shared" si="4"/>
        <v>0.8-12-0-TOU-3 year - with APR</v>
      </c>
      <c r="B284" s="37" t="s">
        <v>13</v>
      </c>
      <c r="C284" s="49">
        <v>12</v>
      </c>
      <c r="D284" s="2" t="s">
        <v>21</v>
      </c>
      <c r="E284" s="50" t="s">
        <v>87</v>
      </c>
      <c r="F284" s="38" t="s">
        <v>88</v>
      </c>
      <c r="G284" s="51">
        <v>0.8</v>
      </c>
      <c r="H284" s="2" t="s">
        <v>15</v>
      </c>
      <c r="I284" s="39">
        <v>0.81699999999999995</v>
      </c>
      <c r="J284" s="39">
        <v>0.14259999999999998</v>
      </c>
      <c r="K284" s="39">
        <v>0.1148</v>
      </c>
      <c r="L284" s="39">
        <v>9.06E-2</v>
      </c>
      <c r="M284" s="40">
        <v>5000</v>
      </c>
      <c r="N284" s="52">
        <v>1000000</v>
      </c>
    </row>
    <row r="285" spans="1:14" ht="15" customHeight="1" x14ac:dyDescent="0.25">
      <c r="A285" s="64" t="str">
        <f t="shared" si="4"/>
        <v>0.8-13-0-TOU-3 year - with APR</v>
      </c>
      <c r="B285" s="37" t="s">
        <v>13</v>
      </c>
      <c r="C285" s="49">
        <v>13</v>
      </c>
      <c r="D285" s="2" t="s">
        <v>22</v>
      </c>
      <c r="E285" s="50" t="s">
        <v>87</v>
      </c>
      <c r="F285" s="38" t="s">
        <v>88</v>
      </c>
      <c r="G285" s="51">
        <v>0.8</v>
      </c>
      <c r="H285" s="2" t="s">
        <v>15</v>
      </c>
      <c r="I285" s="39">
        <v>0.79700000000000004</v>
      </c>
      <c r="J285" s="39">
        <v>0.15469999999999998</v>
      </c>
      <c r="K285" s="39">
        <v>0.1246</v>
      </c>
      <c r="L285" s="39">
        <v>9.8400000000000001E-2</v>
      </c>
      <c r="M285" s="40">
        <v>5000</v>
      </c>
      <c r="N285" s="52">
        <v>1000000</v>
      </c>
    </row>
    <row r="286" spans="1:14" ht="15" customHeight="1" x14ac:dyDescent="0.25">
      <c r="A286" s="64" t="str">
        <f t="shared" si="4"/>
        <v>0.8-14-0-TOU-3 year - with APR</v>
      </c>
      <c r="B286" s="37" t="s">
        <v>13</v>
      </c>
      <c r="C286" s="49">
        <v>14</v>
      </c>
      <c r="D286" s="2" t="s">
        <v>23</v>
      </c>
      <c r="E286" s="50" t="s">
        <v>87</v>
      </c>
      <c r="F286" s="38" t="s">
        <v>88</v>
      </c>
      <c r="G286" s="51">
        <v>0.8</v>
      </c>
      <c r="H286" s="2" t="s">
        <v>15</v>
      </c>
      <c r="I286" s="39">
        <v>0.80500000000000005</v>
      </c>
      <c r="J286" s="39">
        <v>0.14629999999999999</v>
      </c>
      <c r="K286" s="39">
        <v>0.1178</v>
      </c>
      <c r="L286" s="39">
        <v>9.2999999999999999E-2</v>
      </c>
      <c r="M286" s="40">
        <v>5000</v>
      </c>
      <c r="N286" s="52">
        <v>1000000</v>
      </c>
    </row>
    <row r="287" spans="1:14" ht="15" customHeight="1" x14ac:dyDescent="0.25">
      <c r="A287" s="64" t="str">
        <f t="shared" si="4"/>
        <v>0.8-15-0-TOU-3 year - with APR</v>
      </c>
      <c r="B287" s="37" t="s">
        <v>13</v>
      </c>
      <c r="C287" s="49">
        <v>15</v>
      </c>
      <c r="D287" s="2" t="s">
        <v>24</v>
      </c>
      <c r="E287" s="50" t="s">
        <v>87</v>
      </c>
      <c r="F287" s="38" t="s">
        <v>88</v>
      </c>
      <c r="G287" s="51">
        <v>0.8</v>
      </c>
      <c r="H287" s="2" t="s">
        <v>15</v>
      </c>
      <c r="I287" s="39">
        <v>0.86899999999999999</v>
      </c>
      <c r="J287" s="39">
        <v>0.14709999999999998</v>
      </c>
      <c r="K287" s="39">
        <v>0.11840000000000001</v>
      </c>
      <c r="L287" s="39">
        <v>9.35E-2</v>
      </c>
      <c r="M287" s="40">
        <v>5000</v>
      </c>
      <c r="N287" s="52">
        <v>1000000</v>
      </c>
    </row>
    <row r="288" spans="1:14" ht="15" customHeight="1" x14ac:dyDescent="0.25">
      <c r="A288" s="64" t="str">
        <f t="shared" si="4"/>
        <v>0.8-16-0-TOU-3 year - with APR</v>
      </c>
      <c r="B288" s="37" t="s">
        <v>13</v>
      </c>
      <c r="C288" s="49">
        <v>16</v>
      </c>
      <c r="D288" s="2" t="s">
        <v>25</v>
      </c>
      <c r="E288" s="50" t="s">
        <v>87</v>
      </c>
      <c r="F288" s="38" t="s">
        <v>88</v>
      </c>
      <c r="G288" s="51">
        <v>0.8</v>
      </c>
      <c r="H288" s="2" t="s">
        <v>15</v>
      </c>
      <c r="I288" s="39">
        <v>0.65800000000000003</v>
      </c>
      <c r="J288" s="39">
        <v>0.1459</v>
      </c>
      <c r="K288" s="39">
        <v>0.11750000000000001</v>
      </c>
      <c r="L288" s="39">
        <v>9.2700000000000005E-2</v>
      </c>
      <c r="M288" s="40">
        <v>5000</v>
      </c>
      <c r="N288" s="52">
        <v>1000000</v>
      </c>
    </row>
    <row r="289" spans="1:14" ht="15" customHeight="1" x14ac:dyDescent="0.25">
      <c r="A289" s="64" t="str">
        <f t="shared" si="4"/>
        <v>0.8-17-0-TOU-3 year - with APR</v>
      </c>
      <c r="B289" s="37" t="s">
        <v>13</v>
      </c>
      <c r="C289" s="49">
        <v>17</v>
      </c>
      <c r="D289" s="2" t="s">
        <v>26</v>
      </c>
      <c r="E289" s="50" t="s">
        <v>87</v>
      </c>
      <c r="F289" s="38" t="s">
        <v>88</v>
      </c>
      <c r="G289" s="51">
        <v>0.8</v>
      </c>
      <c r="H289" s="2" t="s">
        <v>15</v>
      </c>
      <c r="I289" s="39">
        <v>1.343</v>
      </c>
      <c r="J289" s="39">
        <v>0.1643</v>
      </c>
      <c r="K289" s="39">
        <v>0.1323</v>
      </c>
      <c r="L289" s="39">
        <v>0.10440000000000001</v>
      </c>
      <c r="M289" s="40">
        <v>5000</v>
      </c>
      <c r="N289" s="52">
        <v>1000000</v>
      </c>
    </row>
    <row r="290" spans="1:14" ht="15" customHeight="1" x14ac:dyDescent="0.25">
      <c r="A290" s="64" t="str">
        <f t="shared" si="4"/>
        <v>0.8-18-0-TOU-3 year - with APR</v>
      </c>
      <c r="B290" s="37" t="s">
        <v>13</v>
      </c>
      <c r="C290" s="49">
        <v>18</v>
      </c>
      <c r="D290" s="2" t="s">
        <v>27</v>
      </c>
      <c r="E290" s="50" t="s">
        <v>87</v>
      </c>
      <c r="F290" s="38" t="s">
        <v>88</v>
      </c>
      <c r="G290" s="51">
        <v>0.8</v>
      </c>
      <c r="H290" s="2" t="s">
        <v>15</v>
      </c>
      <c r="I290" s="39">
        <v>0.81399999999999995</v>
      </c>
      <c r="J290" s="39">
        <v>0.14509999999999998</v>
      </c>
      <c r="K290" s="39">
        <v>0.1168</v>
      </c>
      <c r="L290" s="39">
        <v>9.2200000000000004E-2</v>
      </c>
      <c r="M290" s="40">
        <v>5000</v>
      </c>
      <c r="N290" s="52">
        <v>1000000</v>
      </c>
    </row>
    <row r="291" spans="1:14" ht="15" customHeight="1" x14ac:dyDescent="0.25">
      <c r="A291" s="64" t="str">
        <f t="shared" si="4"/>
        <v>0.8-19-0-TOU-3 year - with APR</v>
      </c>
      <c r="B291" s="37" t="s">
        <v>13</v>
      </c>
      <c r="C291" s="49">
        <v>19</v>
      </c>
      <c r="D291" s="2" t="s">
        <v>28</v>
      </c>
      <c r="E291" s="50" t="s">
        <v>87</v>
      </c>
      <c r="F291" s="38" t="s">
        <v>88</v>
      </c>
      <c r="G291" s="51">
        <v>0.8</v>
      </c>
      <c r="H291" s="2" t="s">
        <v>15</v>
      </c>
      <c r="I291" s="39">
        <v>0.70399999999999996</v>
      </c>
      <c r="J291" s="39">
        <v>0.14419999999999999</v>
      </c>
      <c r="K291" s="39">
        <v>0.11610000000000001</v>
      </c>
      <c r="L291" s="39">
        <v>9.1700000000000004E-2</v>
      </c>
      <c r="M291" s="40">
        <v>5000</v>
      </c>
      <c r="N291" s="52">
        <v>1000000</v>
      </c>
    </row>
    <row r="292" spans="1:14" ht="15" customHeight="1" x14ac:dyDescent="0.25">
      <c r="A292" s="64" t="str">
        <f t="shared" si="4"/>
        <v>0.8-20-0-TOU-3 year - with APR</v>
      </c>
      <c r="B292" s="37" t="s">
        <v>13</v>
      </c>
      <c r="C292" s="49">
        <v>20</v>
      </c>
      <c r="D292" s="2" t="s">
        <v>29</v>
      </c>
      <c r="E292" s="50" t="s">
        <v>87</v>
      </c>
      <c r="F292" s="38" t="s">
        <v>88</v>
      </c>
      <c r="G292" s="51">
        <v>0.8</v>
      </c>
      <c r="H292" s="2" t="s">
        <v>15</v>
      </c>
      <c r="I292" s="39">
        <v>0.748</v>
      </c>
      <c r="J292" s="39">
        <v>0.1439</v>
      </c>
      <c r="K292" s="39">
        <v>0.1159</v>
      </c>
      <c r="L292" s="39">
        <v>9.1499999999999998E-2</v>
      </c>
      <c r="M292" s="40">
        <v>5000</v>
      </c>
      <c r="N292" s="52">
        <v>1000000</v>
      </c>
    </row>
    <row r="293" spans="1:14" ht="15" customHeight="1" x14ac:dyDescent="0.25">
      <c r="A293" s="64" t="str">
        <f t="shared" si="4"/>
        <v>0.8-21-0-TOU-3 year - with APR</v>
      </c>
      <c r="B293" s="37" t="s">
        <v>13</v>
      </c>
      <c r="C293" s="49">
        <v>21</v>
      </c>
      <c r="D293" s="2" t="s">
        <v>30</v>
      </c>
      <c r="E293" s="50" t="s">
        <v>87</v>
      </c>
      <c r="F293" s="38" t="s">
        <v>88</v>
      </c>
      <c r="G293" s="51">
        <v>0.8</v>
      </c>
      <c r="H293" s="2" t="s">
        <v>15</v>
      </c>
      <c r="I293" s="39">
        <v>0.83499999999999996</v>
      </c>
      <c r="J293" s="39">
        <v>0.15379999999999999</v>
      </c>
      <c r="K293" s="39">
        <v>0.12380000000000001</v>
      </c>
      <c r="L293" s="39">
        <v>9.7799999999999998E-2</v>
      </c>
      <c r="M293" s="40">
        <v>5000</v>
      </c>
      <c r="N293" s="52">
        <v>1000000</v>
      </c>
    </row>
    <row r="294" spans="1:14" ht="15" customHeight="1" x14ac:dyDescent="0.25">
      <c r="A294" s="64" t="str">
        <f t="shared" si="4"/>
        <v>0.8-22-0-TOU-3 year - with APR</v>
      </c>
      <c r="B294" s="37" t="s">
        <v>13</v>
      </c>
      <c r="C294" s="49">
        <v>22</v>
      </c>
      <c r="D294" s="2" t="s">
        <v>31</v>
      </c>
      <c r="E294" s="50" t="s">
        <v>87</v>
      </c>
      <c r="F294" s="38" t="s">
        <v>88</v>
      </c>
      <c r="G294" s="51">
        <v>0.8</v>
      </c>
      <c r="H294" s="2" t="s">
        <v>15</v>
      </c>
      <c r="I294" s="39">
        <v>0.81799999999999995</v>
      </c>
      <c r="J294" s="39">
        <v>0.15439999999999998</v>
      </c>
      <c r="K294" s="39">
        <v>0.12430000000000001</v>
      </c>
      <c r="L294" s="39">
        <v>9.8100000000000007E-2</v>
      </c>
      <c r="M294" s="40">
        <v>5000</v>
      </c>
      <c r="N294" s="52">
        <v>1000000</v>
      </c>
    </row>
    <row r="295" spans="1:14" ht="15" customHeight="1" x14ac:dyDescent="0.25">
      <c r="A295" s="64" t="str">
        <f t="shared" si="4"/>
        <v>0.8-23-0-TOU-3 year - with APR</v>
      </c>
      <c r="B295" s="37" t="s">
        <v>13</v>
      </c>
      <c r="C295" s="49">
        <v>23</v>
      </c>
      <c r="D295" s="2" t="s">
        <v>32</v>
      </c>
      <c r="E295" s="50" t="s">
        <v>87</v>
      </c>
      <c r="F295" s="38" t="s">
        <v>88</v>
      </c>
      <c r="G295" s="51">
        <v>0.8</v>
      </c>
      <c r="H295" s="2" t="s">
        <v>15</v>
      </c>
      <c r="I295" s="39">
        <v>0.82</v>
      </c>
      <c r="J295" s="39">
        <v>0.14699999999999999</v>
      </c>
      <c r="K295" s="39">
        <v>0.1183</v>
      </c>
      <c r="L295" s="39">
        <v>9.3399999999999997E-2</v>
      </c>
      <c r="M295" s="40">
        <v>5000</v>
      </c>
      <c r="N295" s="52">
        <v>1000000</v>
      </c>
    </row>
    <row r="296" spans="1:14" ht="15" customHeight="1" x14ac:dyDescent="0.25">
      <c r="A296" s="64" t="str">
        <f t="shared" si="4"/>
        <v>0.8-10-0-TOU-2 year Fixed</v>
      </c>
      <c r="B296" s="62" t="s">
        <v>13</v>
      </c>
      <c r="C296" s="54">
        <v>10</v>
      </c>
      <c r="D296" s="53" t="s">
        <v>14</v>
      </c>
      <c r="E296" s="53" t="s">
        <v>87</v>
      </c>
      <c r="F296" s="38" t="s">
        <v>88</v>
      </c>
      <c r="G296" s="51">
        <v>0.8</v>
      </c>
      <c r="H296" s="53" t="s">
        <v>33</v>
      </c>
      <c r="I296" s="39">
        <v>0.79700000000000004</v>
      </c>
      <c r="J296" s="39">
        <v>0.15239999999999998</v>
      </c>
      <c r="K296" s="39">
        <v>0.1227</v>
      </c>
      <c r="L296" s="39">
        <v>9.69E-2</v>
      </c>
      <c r="M296" s="55">
        <v>5000</v>
      </c>
      <c r="N296" s="55">
        <v>1000000</v>
      </c>
    </row>
    <row r="297" spans="1:14" ht="15" customHeight="1" x14ac:dyDescent="0.25">
      <c r="A297" s="64" t="str">
        <f t="shared" si="4"/>
        <v>0.8-11-0-TOU-2 year Fixed</v>
      </c>
      <c r="B297" s="62" t="s">
        <v>13</v>
      </c>
      <c r="C297" s="54">
        <v>11</v>
      </c>
      <c r="D297" s="53" t="s">
        <v>20</v>
      </c>
      <c r="E297" s="53" t="s">
        <v>87</v>
      </c>
      <c r="F297" s="38" t="s">
        <v>88</v>
      </c>
      <c r="G297" s="51">
        <v>0.8</v>
      </c>
      <c r="H297" s="53" t="s">
        <v>33</v>
      </c>
      <c r="I297" s="39">
        <v>0.77900000000000003</v>
      </c>
      <c r="J297" s="39">
        <v>0.1555</v>
      </c>
      <c r="K297" s="39">
        <v>0.12519999999999998</v>
      </c>
      <c r="L297" s="39">
        <v>9.8799999999999999E-2</v>
      </c>
      <c r="M297" s="55">
        <v>5000</v>
      </c>
      <c r="N297" s="55">
        <v>1000000</v>
      </c>
    </row>
    <row r="298" spans="1:14" ht="15" customHeight="1" x14ac:dyDescent="0.25">
      <c r="A298" s="64" t="str">
        <f t="shared" si="4"/>
        <v>0.8-12-0-TOU-2 year Fixed</v>
      </c>
      <c r="B298" s="62" t="s">
        <v>13</v>
      </c>
      <c r="C298" s="54">
        <v>12</v>
      </c>
      <c r="D298" s="53" t="s">
        <v>21</v>
      </c>
      <c r="E298" s="53" t="s">
        <v>87</v>
      </c>
      <c r="F298" s="38" t="s">
        <v>88</v>
      </c>
      <c r="G298" s="51">
        <v>0.8</v>
      </c>
      <c r="H298" s="53" t="s">
        <v>33</v>
      </c>
      <c r="I298" s="39">
        <v>0.81699999999999995</v>
      </c>
      <c r="J298" s="39">
        <v>0.152</v>
      </c>
      <c r="K298" s="39">
        <v>0.12240000000000001</v>
      </c>
      <c r="L298" s="39">
        <v>9.6600000000000005E-2</v>
      </c>
      <c r="M298" s="55">
        <v>5000</v>
      </c>
      <c r="N298" s="55">
        <v>1000000</v>
      </c>
    </row>
    <row r="299" spans="1:14" ht="15" customHeight="1" x14ac:dyDescent="0.25">
      <c r="A299" s="64" t="str">
        <f t="shared" si="4"/>
        <v>0.8-13-0-TOU-2 year Fixed</v>
      </c>
      <c r="B299" s="62" t="s">
        <v>13</v>
      </c>
      <c r="C299" s="54">
        <v>13</v>
      </c>
      <c r="D299" s="53" t="s">
        <v>22</v>
      </c>
      <c r="E299" s="53" t="s">
        <v>87</v>
      </c>
      <c r="F299" s="38" t="s">
        <v>88</v>
      </c>
      <c r="G299" s="51">
        <v>0.8</v>
      </c>
      <c r="H299" s="53" t="s">
        <v>33</v>
      </c>
      <c r="I299" s="39">
        <v>0.79700000000000004</v>
      </c>
      <c r="J299" s="39">
        <v>0.1651</v>
      </c>
      <c r="K299" s="39">
        <v>0.13299999999999998</v>
      </c>
      <c r="L299" s="39">
        <v>0.105</v>
      </c>
      <c r="M299" s="55">
        <v>5000</v>
      </c>
      <c r="N299" s="55">
        <v>1000000</v>
      </c>
    </row>
    <row r="300" spans="1:14" ht="15" customHeight="1" x14ac:dyDescent="0.25">
      <c r="A300" s="64" t="str">
        <f t="shared" si="4"/>
        <v>0.8-14-0-TOU-2 year Fixed</v>
      </c>
      <c r="B300" s="62" t="s">
        <v>13</v>
      </c>
      <c r="C300" s="54">
        <v>14</v>
      </c>
      <c r="D300" s="53" t="s">
        <v>23</v>
      </c>
      <c r="E300" s="53" t="s">
        <v>87</v>
      </c>
      <c r="F300" s="38" t="s">
        <v>88</v>
      </c>
      <c r="G300" s="51">
        <v>0.8</v>
      </c>
      <c r="H300" s="53" t="s">
        <v>33</v>
      </c>
      <c r="I300" s="39">
        <v>0.80500000000000005</v>
      </c>
      <c r="J300" s="39">
        <v>0.1565</v>
      </c>
      <c r="K300" s="39">
        <v>0.126</v>
      </c>
      <c r="L300" s="39">
        <v>9.9500000000000005E-2</v>
      </c>
      <c r="M300" s="55">
        <v>5000</v>
      </c>
      <c r="N300" s="55">
        <v>1000000</v>
      </c>
    </row>
    <row r="301" spans="1:14" ht="15" customHeight="1" x14ac:dyDescent="0.25">
      <c r="A301" s="64" t="str">
        <f t="shared" si="4"/>
        <v>0.8-15-0-TOU-2 year Fixed</v>
      </c>
      <c r="B301" s="62" t="s">
        <v>13</v>
      </c>
      <c r="C301" s="54">
        <v>15</v>
      </c>
      <c r="D301" s="53" t="s">
        <v>24</v>
      </c>
      <c r="E301" s="53" t="s">
        <v>87</v>
      </c>
      <c r="F301" s="38" t="s">
        <v>88</v>
      </c>
      <c r="G301" s="51">
        <v>0.8</v>
      </c>
      <c r="H301" s="53" t="s">
        <v>33</v>
      </c>
      <c r="I301" s="39">
        <v>0.86899999999999999</v>
      </c>
      <c r="J301" s="39">
        <v>0.15629999999999999</v>
      </c>
      <c r="K301" s="39">
        <v>0.1258</v>
      </c>
      <c r="L301" s="39">
        <v>9.9299999999999999E-2</v>
      </c>
      <c r="M301" s="55">
        <v>5000</v>
      </c>
      <c r="N301" s="55">
        <v>1000000</v>
      </c>
    </row>
    <row r="302" spans="1:14" ht="15" customHeight="1" x14ac:dyDescent="0.25">
      <c r="A302" s="64" t="str">
        <f t="shared" si="4"/>
        <v>0.8-16-0-TOU-2 year Fixed</v>
      </c>
      <c r="B302" s="62" t="s">
        <v>13</v>
      </c>
      <c r="C302" s="54">
        <v>16</v>
      </c>
      <c r="D302" s="53" t="s">
        <v>25</v>
      </c>
      <c r="E302" s="53" t="s">
        <v>87</v>
      </c>
      <c r="F302" s="38" t="s">
        <v>88</v>
      </c>
      <c r="G302" s="51">
        <v>0.8</v>
      </c>
      <c r="H302" s="53" t="s">
        <v>33</v>
      </c>
      <c r="I302" s="39">
        <v>0.65800000000000003</v>
      </c>
      <c r="J302" s="39">
        <v>0.15559999999999999</v>
      </c>
      <c r="K302" s="39">
        <v>0.12529999999999999</v>
      </c>
      <c r="L302" s="39">
        <v>9.8900000000000002E-2</v>
      </c>
      <c r="M302" s="55">
        <v>5000</v>
      </c>
      <c r="N302" s="55">
        <v>1000000</v>
      </c>
    </row>
    <row r="303" spans="1:14" ht="15" customHeight="1" x14ac:dyDescent="0.25">
      <c r="A303" s="64" t="str">
        <f t="shared" si="4"/>
        <v>0.8-17-0-TOU-2 year Fixed</v>
      </c>
      <c r="B303" s="62" t="s">
        <v>13</v>
      </c>
      <c r="C303" s="54">
        <v>17</v>
      </c>
      <c r="D303" s="53" t="s">
        <v>26</v>
      </c>
      <c r="E303" s="53" t="s">
        <v>87</v>
      </c>
      <c r="F303" s="38" t="s">
        <v>88</v>
      </c>
      <c r="G303" s="51">
        <v>0.8</v>
      </c>
      <c r="H303" s="53" t="s">
        <v>33</v>
      </c>
      <c r="I303" s="39">
        <v>1.5109999999999999</v>
      </c>
      <c r="J303" s="39">
        <v>0.17459999999999998</v>
      </c>
      <c r="K303" s="39">
        <v>0.1406</v>
      </c>
      <c r="L303" s="39">
        <v>0.111</v>
      </c>
      <c r="M303" s="55">
        <v>5000</v>
      </c>
      <c r="N303" s="55">
        <v>1000000</v>
      </c>
    </row>
    <row r="304" spans="1:14" ht="15" customHeight="1" x14ac:dyDescent="0.25">
      <c r="A304" s="64" t="str">
        <f t="shared" si="4"/>
        <v>0.8-18-0-TOU-2 year Fixed</v>
      </c>
      <c r="B304" s="62" t="s">
        <v>13</v>
      </c>
      <c r="C304" s="54">
        <v>18</v>
      </c>
      <c r="D304" s="53" t="s">
        <v>27</v>
      </c>
      <c r="E304" s="53" t="s">
        <v>87</v>
      </c>
      <c r="F304" s="38" t="s">
        <v>88</v>
      </c>
      <c r="G304" s="51">
        <v>0.8</v>
      </c>
      <c r="H304" s="53" t="s">
        <v>33</v>
      </c>
      <c r="I304" s="39">
        <v>0.81399999999999995</v>
      </c>
      <c r="J304" s="39">
        <v>0.15509999999999999</v>
      </c>
      <c r="K304" s="39">
        <v>0.1249</v>
      </c>
      <c r="L304" s="39">
        <v>9.8600000000000007E-2</v>
      </c>
      <c r="M304" s="55">
        <v>5000</v>
      </c>
      <c r="N304" s="55">
        <v>1000000</v>
      </c>
    </row>
    <row r="305" spans="1:14" ht="15" customHeight="1" x14ac:dyDescent="0.25">
      <c r="A305" s="64" t="str">
        <f t="shared" si="4"/>
        <v>0.8-19-0-TOU-2 year Fixed</v>
      </c>
      <c r="B305" s="62" t="s">
        <v>13</v>
      </c>
      <c r="C305" s="54">
        <v>19</v>
      </c>
      <c r="D305" s="53" t="s">
        <v>28</v>
      </c>
      <c r="E305" s="53" t="s">
        <v>87</v>
      </c>
      <c r="F305" s="38" t="s">
        <v>88</v>
      </c>
      <c r="G305" s="51">
        <v>0.8</v>
      </c>
      <c r="H305" s="53" t="s">
        <v>33</v>
      </c>
      <c r="I305" s="39">
        <v>0.70399999999999996</v>
      </c>
      <c r="J305" s="39">
        <v>0.15389999999999998</v>
      </c>
      <c r="K305" s="39">
        <v>0.1239</v>
      </c>
      <c r="L305" s="39">
        <v>9.7799999999999998E-2</v>
      </c>
      <c r="M305" s="55">
        <v>5000</v>
      </c>
      <c r="N305" s="55">
        <v>1000000</v>
      </c>
    </row>
    <row r="306" spans="1:14" ht="15" customHeight="1" x14ac:dyDescent="0.25">
      <c r="A306" s="64" t="str">
        <f t="shared" si="4"/>
        <v>0.8-20-0-TOU-2 year Fixed</v>
      </c>
      <c r="B306" s="62" t="s">
        <v>13</v>
      </c>
      <c r="C306" s="54">
        <v>20</v>
      </c>
      <c r="D306" s="53" t="s">
        <v>29</v>
      </c>
      <c r="E306" s="53" t="s">
        <v>87</v>
      </c>
      <c r="F306" s="38" t="s">
        <v>88</v>
      </c>
      <c r="G306" s="51">
        <v>0.8</v>
      </c>
      <c r="H306" s="53" t="s">
        <v>33</v>
      </c>
      <c r="I306" s="39">
        <v>0.748</v>
      </c>
      <c r="J306" s="39">
        <v>0.154</v>
      </c>
      <c r="K306" s="39">
        <v>0.124</v>
      </c>
      <c r="L306" s="39">
        <v>9.7900000000000001E-2</v>
      </c>
      <c r="M306" s="55">
        <v>5000</v>
      </c>
      <c r="N306" s="55">
        <v>1000000</v>
      </c>
    </row>
    <row r="307" spans="1:14" ht="15" customHeight="1" x14ac:dyDescent="0.25">
      <c r="A307" s="64" t="str">
        <f t="shared" si="4"/>
        <v>0.8-21-0-TOU-2 year Fixed</v>
      </c>
      <c r="B307" s="62" t="s">
        <v>13</v>
      </c>
      <c r="C307" s="54">
        <v>21</v>
      </c>
      <c r="D307" s="53" t="s">
        <v>30</v>
      </c>
      <c r="E307" s="53" t="s">
        <v>87</v>
      </c>
      <c r="F307" s="38" t="s">
        <v>88</v>
      </c>
      <c r="G307" s="51">
        <v>0.8</v>
      </c>
      <c r="H307" s="53" t="s">
        <v>33</v>
      </c>
      <c r="I307" s="39">
        <v>0.83499999999999996</v>
      </c>
      <c r="J307" s="39">
        <v>0.16419999999999998</v>
      </c>
      <c r="K307" s="39">
        <v>0.13219999999999998</v>
      </c>
      <c r="L307" s="39">
        <v>0.10440000000000001</v>
      </c>
      <c r="M307" s="55">
        <v>5000</v>
      </c>
      <c r="N307" s="55">
        <v>1000000</v>
      </c>
    </row>
    <row r="308" spans="1:14" ht="15" customHeight="1" x14ac:dyDescent="0.25">
      <c r="A308" s="64" t="str">
        <f t="shared" si="4"/>
        <v>0.8-22-0-TOU-2 year Fixed</v>
      </c>
      <c r="B308" s="62" t="s">
        <v>13</v>
      </c>
      <c r="C308" s="54">
        <v>22</v>
      </c>
      <c r="D308" s="53" t="s">
        <v>31</v>
      </c>
      <c r="E308" s="53" t="s">
        <v>87</v>
      </c>
      <c r="F308" s="38" t="s">
        <v>88</v>
      </c>
      <c r="G308" s="51">
        <v>0.8</v>
      </c>
      <c r="H308" s="53" t="s">
        <v>33</v>
      </c>
      <c r="I308" s="39">
        <v>0.81799999999999995</v>
      </c>
      <c r="J308" s="39">
        <v>0.1648</v>
      </c>
      <c r="K308" s="39">
        <v>0.13269999999999998</v>
      </c>
      <c r="L308" s="39">
        <v>0.1047</v>
      </c>
      <c r="M308" s="55">
        <v>5000</v>
      </c>
      <c r="N308" s="55">
        <v>1000000</v>
      </c>
    </row>
    <row r="309" spans="1:14" ht="15" customHeight="1" x14ac:dyDescent="0.25">
      <c r="A309" s="64" t="str">
        <f t="shared" si="4"/>
        <v>0.8-23-0-TOU-2 year Fixed</v>
      </c>
      <c r="B309" s="62" t="s">
        <v>13</v>
      </c>
      <c r="C309" s="54">
        <v>23</v>
      </c>
      <c r="D309" s="53" t="s">
        <v>32</v>
      </c>
      <c r="E309" s="53" t="s">
        <v>87</v>
      </c>
      <c r="F309" s="38" t="s">
        <v>88</v>
      </c>
      <c r="G309" s="51">
        <v>0.8</v>
      </c>
      <c r="H309" s="53" t="s">
        <v>33</v>
      </c>
      <c r="I309" s="39">
        <v>0.82</v>
      </c>
      <c r="J309" s="39">
        <v>0.1565</v>
      </c>
      <c r="K309" s="39">
        <v>0.126</v>
      </c>
      <c r="L309" s="39">
        <v>9.9500000000000005E-2</v>
      </c>
      <c r="M309" s="55">
        <v>5000</v>
      </c>
      <c r="N309" s="55">
        <v>1000000</v>
      </c>
    </row>
    <row r="310" spans="1:14" ht="15" customHeight="1" x14ac:dyDescent="0.25">
      <c r="A310" s="64" t="str">
        <f t="shared" si="4"/>
        <v>0.9-10-0-TOU-3 year - with APR</v>
      </c>
      <c r="B310" s="62" t="s">
        <v>13</v>
      </c>
      <c r="C310" s="54">
        <v>10</v>
      </c>
      <c r="D310" s="53" t="s">
        <v>14</v>
      </c>
      <c r="E310" s="53" t="s">
        <v>87</v>
      </c>
      <c r="F310" s="38" t="s">
        <v>88</v>
      </c>
      <c r="G310" s="51">
        <v>0.9</v>
      </c>
      <c r="H310" s="53" t="s">
        <v>15</v>
      </c>
      <c r="I310" s="39">
        <v>0.79700000000000004</v>
      </c>
      <c r="J310" s="39">
        <v>0.14419999999999999</v>
      </c>
      <c r="K310" s="39">
        <v>0.11610000000000001</v>
      </c>
      <c r="L310" s="39">
        <v>9.1700000000000004E-2</v>
      </c>
      <c r="M310" s="55">
        <v>5000</v>
      </c>
      <c r="N310" s="55">
        <v>1000000</v>
      </c>
    </row>
    <row r="311" spans="1:14" ht="15" customHeight="1" x14ac:dyDescent="0.25">
      <c r="A311" s="64" t="str">
        <f t="shared" si="4"/>
        <v>0.9-11-0-TOU-3 year - with APR</v>
      </c>
      <c r="B311" s="62" t="s">
        <v>13</v>
      </c>
      <c r="C311" s="54">
        <v>11</v>
      </c>
      <c r="D311" s="53" t="s">
        <v>20</v>
      </c>
      <c r="E311" s="53" t="s">
        <v>87</v>
      </c>
      <c r="F311" s="38" t="s">
        <v>88</v>
      </c>
      <c r="G311" s="51">
        <v>0.9</v>
      </c>
      <c r="H311" s="53" t="s">
        <v>15</v>
      </c>
      <c r="I311" s="39">
        <v>0.77900000000000003</v>
      </c>
      <c r="J311" s="39">
        <v>0.14649999999999999</v>
      </c>
      <c r="K311" s="39">
        <v>0.1179</v>
      </c>
      <c r="L311" s="39">
        <v>9.3100000000000002E-2</v>
      </c>
      <c r="M311" s="55">
        <v>5000</v>
      </c>
      <c r="N311" s="55">
        <v>1000000</v>
      </c>
    </row>
    <row r="312" spans="1:14" ht="15" customHeight="1" x14ac:dyDescent="0.25">
      <c r="A312" s="64" t="str">
        <f t="shared" si="4"/>
        <v>0.9-12-0-TOU-3 year - with APR</v>
      </c>
      <c r="B312" s="62" t="s">
        <v>13</v>
      </c>
      <c r="C312" s="54">
        <v>12</v>
      </c>
      <c r="D312" s="53" t="s">
        <v>21</v>
      </c>
      <c r="E312" s="53" t="s">
        <v>87</v>
      </c>
      <c r="F312" s="38" t="s">
        <v>88</v>
      </c>
      <c r="G312" s="51">
        <v>0.9</v>
      </c>
      <c r="H312" s="53" t="s">
        <v>15</v>
      </c>
      <c r="I312" s="39">
        <v>0.81699999999999995</v>
      </c>
      <c r="J312" s="39">
        <v>0.14379999999999998</v>
      </c>
      <c r="K312" s="39">
        <v>0.1158</v>
      </c>
      <c r="L312" s="39">
        <v>9.1400000000000009E-2</v>
      </c>
      <c r="M312" s="55">
        <v>5000</v>
      </c>
      <c r="N312" s="55">
        <v>1000000</v>
      </c>
    </row>
    <row r="313" spans="1:14" ht="15" customHeight="1" x14ac:dyDescent="0.25">
      <c r="A313" s="64" t="str">
        <f t="shared" si="4"/>
        <v>0.9-13-0-TOU-3 year - with APR</v>
      </c>
      <c r="B313" s="62" t="s">
        <v>13</v>
      </c>
      <c r="C313" s="54">
        <v>13</v>
      </c>
      <c r="D313" s="53" t="s">
        <v>22</v>
      </c>
      <c r="E313" s="53" t="s">
        <v>87</v>
      </c>
      <c r="F313" s="38" t="s">
        <v>88</v>
      </c>
      <c r="G313" s="51">
        <v>0.9</v>
      </c>
      <c r="H313" s="53" t="s">
        <v>15</v>
      </c>
      <c r="I313" s="39">
        <v>0.79700000000000004</v>
      </c>
      <c r="J313" s="39">
        <v>0.15589999999999998</v>
      </c>
      <c r="K313" s="39">
        <v>0.1255</v>
      </c>
      <c r="L313" s="39">
        <v>9.9100000000000008E-2</v>
      </c>
      <c r="M313" s="55">
        <v>5000</v>
      </c>
      <c r="N313" s="55">
        <v>1000000</v>
      </c>
    </row>
    <row r="314" spans="1:14" ht="15" customHeight="1" x14ac:dyDescent="0.25">
      <c r="A314" s="64" t="str">
        <f t="shared" si="4"/>
        <v>0.9-14-0-TOU-3 year - with APR</v>
      </c>
      <c r="B314" s="62" t="s">
        <v>13</v>
      </c>
      <c r="C314" s="54">
        <v>14</v>
      </c>
      <c r="D314" s="53" t="s">
        <v>23</v>
      </c>
      <c r="E314" s="53" t="s">
        <v>87</v>
      </c>
      <c r="F314" s="38" t="s">
        <v>88</v>
      </c>
      <c r="G314" s="51">
        <v>0.9</v>
      </c>
      <c r="H314" s="53" t="s">
        <v>15</v>
      </c>
      <c r="I314" s="39">
        <v>0.80500000000000005</v>
      </c>
      <c r="J314" s="39">
        <v>0.14739999999999998</v>
      </c>
      <c r="K314" s="39">
        <v>0.1187</v>
      </c>
      <c r="L314" s="39">
        <v>9.3700000000000006E-2</v>
      </c>
      <c r="M314" s="55">
        <v>5000</v>
      </c>
      <c r="N314" s="55">
        <v>1000000</v>
      </c>
    </row>
    <row r="315" spans="1:14" ht="15" customHeight="1" x14ac:dyDescent="0.25">
      <c r="A315" s="64" t="str">
        <f t="shared" si="4"/>
        <v>0.9-15-0-TOU-3 year - with APR</v>
      </c>
      <c r="B315" s="62" t="s">
        <v>13</v>
      </c>
      <c r="C315" s="54">
        <v>15</v>
      </c>
      <c r="D315" s="53" t="s">
        <v>24</v>
      </c>
      <c r="E315" s="53" t="s">
        <v>87</v>
      </c>
      <c r="F315" s="38" t="s">
        <v>88</v>
      </c>
      <c r="G315" s="51">
        <v>0.9</v>
      </c>
      <c r="H315" s="53" t="s">
        <v>15</v>
      </c>
      <c r="I315" s="39">
        <v>0.86899999999999999</v>
      </c>
      <c r="J315" s="39">
        <v>0.14829999999999999</v>
      </c>
      <c r="K315" s="39">
        <v>0.11940000000000001</v>
      </c>
      <c r="L315" s="39">
        <v>9.4200000000000006E-2</v>
      </c>
      <c r="M315" s="55">
        <v>5000</v>
      </c>
      <c r="N315" s="55">
        <v>1000000</v>
      </c>
    </row>
    <row r="316" spans="1:14" ht="15" customHeight="1" x14ac:dyDescent="0.25">
      <c r="A316" s="64" t="str">
        <f t="shared" si="4"/>
        <v>0.9-16-0-TOU-3 year - with APR</v>
      </c>
      <c r="B316" s="62" t="s">
        <v>13</v>
      </c>
      <c r="C316" s="54">
        <v>16</v>
      </c>
      <c r="D316" s="53" t="s">
        <v>25</v>
      </c>
      <c r="E316" s="53" t="s">
        <v>87</v>
      </c>
      <c r="F316" s="38" t="s">
        <v>88</v>
      </c>
      <c r="G316" s="51">
        <v>0.9</v>
      </c>
      <c r="H316" s="53" t="s">
        <v>15</v>
      </c>
      <c r="I316" s="39">
        <v>0.65800000000000003</v>
      </c>
      <c r="J316" s="39">
        <v>0.14709999999999998</v>
      </c>
      <c r="K316" s="39">
        <v>0.11840000000000001</v>
      </c>
      <c r="L316" s="39">
        <v>9.35E-2</v>
      </c>
      <c r="M316" s="55">
        <v>5000</v>
      </c>
      <c r="N316" s="55">
        <v>1000000</v>
      </c>
    </row>
    <row r="317" spans="1:14" ht="15" customHeight="1" x14ac:dyDescent="0.25">
      <c r="A317" s="64" t="str">
        <f t="shared" si="4"/>
        <v>0.9-17-0-TOU-3 year - with APR</v>
      </c>
      <c r="B317" s="62" t="s">
        <v>13</v>
      </c>
      <c r="C317" s="54">
        <v>17</v>
      </c>
      <c r="D317" s="53" t="s">
        <v>26</v>
      </c>
      <c r="E317" s="53" t="s">
        <v>87</v>
      </c>
      <c r="F317" s="38" t="s">
        <v>88</v>
      </c>
      <c r="G317" s="51">
        <v>0.9</v>
      </c>
      <c r="H317" s="53" t="s">
        <v>15</v>
      </c>
      <c r="I317" s="39">
        <v>1.343</v>
      </c>
      <c r="J317" s="39">
        <v>0.16549999999999998</v>
      </c>
      <c r="K317" s="39">
        <v>0.13319999999999999</v>
      </c>
      <c r="L317" s="39">
        <v>0.1052</v>
      </c>
      <c r="M317" s="55">
        <v>5000</v>
      </c>
      <c r="N317" s="55">
        <v>1000000</v>
      </c>
    </row>
    <row r="318" spans="1:14" ht="15" customHeight="1" x14ac:dyDescent="0.25">
      <c r="A318" s="64" t="str">
        <f t="shared" si="4"/>
        <v>0.9-18-0-TOU-3 year - with APR</v>
      </c>
      <c r="B318" s="62" t="s">
        <v>13</v>
      </c>
      <c r="C318" s="54">
        <v>18</v>
      </c>
      <c r="D318" s="53" t="s">
        <v>27</v>
      </c>
      <c r="E318" s="53" t="s">
        <v>87</v>
      </c>
      <c r="F318" s="38" t="s">
        <v>88</v>
      </c>
      <c r="G318" s="51">
        <v>0.9</v>
      </c>
      <c r="H318" s="53" t="s">
        <v>15</v>
      </c>
      <c r="I318" s="39">
        <v>0.81399999999999995</v>
      </c>
      <c r="J318" s="39">
        <v>0.14629999999999999</v>
      </c>
      <c r="K318" s="39">
        <v>0.1178</v>
      </c>
      <c r="L318" s="39">
        <v>9.2999999999999999E-2</v>
      </c>
      <c r="M318" s="55">
        <v>5000</v>
      </c>
      <c r="N318" s="55">
        <v>1000000</v>
      </c>
    </row>
    <row r="319" spans="1:14" ht="15" customHeight="1" x14ac:dyDescent="0.25">
      <c r="A319" s="64" t="str">
        <f t="shared" si="4"/>
        <v>0.9-19-0-TOU-3 year - with APR</v>
      </c>
      <c r="B319" s="62" t="s">
        <v>13</v>
      </c>
      <c r="C319" s="54">
        <v>19</v>
      </c>
      <c r="D319" s="53" t="s">
        <v>28</v>
      </c>
      <c r="E319" s="53" t="s">
        <v>87</v>
      </c>
      <c r="F319" s="38" t="s">
        <v>88</v>
      </c>
      <c r="G319" s="51">
        <v>0.9</v>
      </c>
      <c r="H319" s="53" t="s">
        <v>15</v>
      </c>
      <c r="I319" s="39">
        <v>0.70399999999999996</v>
      </c>
      <c r="J319" s="39">
        <v>0.1454</v>
      </c>
      <c r="K319" s="39">
        <v>0.11710000000000001</v>
      </c>
      <c r="L319" s="39">
        <v>9.2399999999999996E-2</v>
      </c>
      <c r="M319" s="55">
        <v>5000</v>
      </c>
      <c r="N319" s="55">
        <v>1000000</v>
      </c>
    </row>
    <row r="320" spans="1:14" ht="15" customHeight="1" x14ac:dyDescent="0.25">
      <c r="A320" s="64" t="str">
        <f t="shared" si="4"/>
        <v>0.9-20-0-TOU-3 year - with APR</v>
      </c>
      <c r="B320" s="62" t="s">
        <v>13</v>
      </c>
      <c r="C320" s="54">
        <v>20</v>
      </c>
      <c r="D320" s="53" t="s">
        <v>29</v>
      </c>
      <c r="E320" s="53" t="s">
        <v>87</v>
      </c>
      <c r="F320" s="38" t="s">
        <v>88</v>
      </c>
      <c r="G320" s="51">
        <v>0.9</v>
      </c>
      <c r="H320" s="53" t="s">
        <v>15</v>
      </c>
      <c r="I320" s="39">
        <v>0.748</v>
      </c>
      <c r="J320" s="39">
        <v>0.14509999999999998</v>
      </c>
      <c r="K320" s="39">
        <v>0.1168</v>
      </c>
      <c r="L320" s="39">
        <v>9.2200000000000004E-2</v>
      </c>
      <c r="M320" s="55">
        <v>5000</v>
      </c>
      <c r="N320" s="55">
        <v>1000000</v>
      </c>
    </row>
    <row r="321" spans="1:14" ht="15" customHeight="1" x14ac:dyDescent="0.25">
      <c r="A321" s="64" t="str">
        <f t="shared" si="4"/>
        <v>0.9-21-0-TOU-3 year - with APR</v>
      </c>
      <c r="B321" s="62" t="s">
        <v>13</v>
      </c>
      <c r="C321" s="54">
        <v>21</v>
      </c>
      <c r="D321" s="53" t="s">
        <v>30</v>
      </c>
      <c r="E321" s="53" t="s">
        <v>87</v>
      </c>
      <c r="F321" s="38" t="s">
        <v>88</v>
      </c>
      <c r="G321" s="51">
        <v>0.9</v>
      </c>
      <c r="H321" s="53" t="s">
        <v>15</v>
      </c>
      <c r="I321" s="39">
        <v>0.83499999999999996</v>
      </c>
      <c r="J321" s="39">
        <v>0.155</v>
      </c>
      <c r="K321" s="39">
        <v>0.12480000000000001</v>
      </c>
      <c r="L321" s="39">
        <v>9.8500000000000004E-2</v>
      </c>
      <c r="M321" s="55">
        <v>5000</v>
      </c>
      <c r="N321" s="55">
        <v>1000000</v>
      </c>
    </row>
    <row r="322" spans="1:14" ht="15" customHeight="1" x14ac:dyDescent="0.25">
      <c r="A322" s="64" t="str">
        <f t="shared" si="4"/>
        <v>0.9-22-0-TOU-3 year - with APR</v>
      </c>
      <c r="B322" s="62" t="s">
        <v>13</v>
      </c>
      <c r="C322" s="54">
        <v>22</v>
      </c>
      <c r="D322" s="53" t="s">
        <v>31</v>
      </c>
      <c r="E322" s="53" t="s">
        <v>87</v>
      </c>
      <c r="F322" s="38" t="s">
        <v>88</v>
      </c>
      <c r="G322" s="51">
        <v>0.9</v>
      </c>
      <c r="H322" s="53" t="s">
        <v>15</v>
      </c>
      <c r="I322" s="39">
        <v>0.81799999999999995</v>
      </c>
      <c r="J322" s="39">
        <v>0.15559999999999999</v>
      </c>
      <c r="K322" s="39">
        <v>0.12529999999999999</v>
      </c>
      <c r="L322" s="39">
        <v>9.8900000000000002E-2</v>
      </c>
      <c r="M322" s="55">
        <v>5000</v>
      </c>
      <c r="N322" s="55">
        <v>1000000</v>
      </c>
    </row>
    <row r="323" spans="1:14" ht="15" customHeight="1" x14ac:dyDescent="0.25">
      <c r="A323" s="64" t="str">
        <f t="shared" ref="A323:A386" si="5">IF(E323="OP","",CONCATENATE(G323,"-",C323,"-",RIGHT(F323,1),"-",E323,"-",H323))</f>
        <v>0.9-23-0-TOU-3 year - with APR</v>
      </c>
      <c r="B323" s="62" t="s">
        <v>13</v>
      </c>
      <c r="C323" s="54">
        <v>23</v>
      </c>
      <c r="D323" s="53" t="s">
        <v>32</v>
      </c>
      <c r="E323" s="53" t="s">
        <v>87</v>
      </c>
      <c r="F323" s="38" t="s">
        <v>88</v>
      </c>
      <c r="G323" s="51">
        <v>0.9</v>
      </c>
      <c r="H323" s="53" t="s">
        <v>15</v>
      </c>
      <c r="I323" s="39">
        <v>0.82</v>
      </c>
      <c r="J323" s="39">
        <v>0.14809999999999998</v>
      </c>
      <c r="K323" s="39">
        <v>0.1193</v>
      </c>
      <c r="L323" s="39">
        <v>9.4200000000000006E-2</v>
      </c>
      <c r="M323" s="55">
        <v>5000</v>
      </c>
      <c r="N323" s="55">
        <v>1000000</v>
      </c>
    </row>
    <row r="324" spans="1:14" ht="15" customHeight="1" x14ac:dyDescent="0.25">
      <c r="A324" s="64" t="str">
        <f t="shared" si="5"/>
        <v>0.9-10-0-TOU-2 year Fixed</v>
      </c>
      <c r="B324" s="62" t="s">
        <v>13</v>
      </c>
      <c r="C324" s="54">
        <v>10</v>
      </c>
      <c r="D324" s="53" t="s">
        <v>14</v>
      </c>
      <c r="E324" s="53" t="s">
        <v>87</v>
      </c>
      <c r="F324" s="38" t="s">
        <v>88</v>
      </c>
      <c r="G324" s="51">
        <v>0.9</v>
      </c>
      <c r="H324" s="53" t="s">
        <v>33</v>
      </c>
      <c r="I324" s="39">
        <v>0.79700000000000004</v>
      </c>
      <c r="J324" s="39">
        <v>0.15359999999999999</v>
      </c>
      <c r="K324" s="39">
        <v>0.1236</v>
      </c>
      <c r="L324" s="39">
        <v>9.7600000000000006E-2</v>
      </c>
      <c r="M324" s="55">
        <v>5000</v>
      </c>
      <c r="N324" s="55">
        <v>1000000</v>
      </c>
    </row>
    <row r="325" spans="1:14" ht="15" customHeight="1" x14ac:dyDescent="0.25">
      <c r="A325" s="64" t="str">
        <f t="shared" si="5"/>
        <v>0.9-11-0-TOU-2 year Fixed</v>
      </c>
      <c r="B325" s="62" t="s">
        <v>13</v>
      </c>
      <c r="C325" s="54">
        <v>11</v>
      </c>
      <c r="D325" s="53" t="s">
        <v>20</v>
      </c>
      <c r="E325" s="53" t="s">
        <v>87</v>
      </c>
      <c r="F325" s="38" t="s">
        <v>88</v>
      </c>
      <c r="G325" s="51">
        <v>0.9</v>
      </c>
      <c r="H325" s="53" t="s">
        <v>33</v>
      </c>
      <c r="I325" s="39">
        <v>0.77900000000000003</v>
      </c>
      <c r="J325" s="39">
        <v>0.15659999999999999</v>
      </c>
      <c r="K325" s="39">
        <v>0.12609999999999999</v>
      </c>
      <c r="L325" s="39">
        <v>9.9600000000000008E-2</v>
      </c>
      <c r="M325" s="55">
        <v>5000</v>
      </c>
      <c r="N325" s="55">
        <v>1000000</v>
      </c>
    </row>
    <row r="326" spans="1:14" ht="15" customHeight="1" x14ac:dyDescent="0.25">
      <c r="A326" s="64" t="str">
        <f t="shared" si="5"/>
        <v>0.9-12-0-TOU-2 year Fixed</v>
      </c>
      <c r="B326" s="62" t="s">
        <v>13</v>
      </c>
      <c r="C326" s="54">
        <v>12</v>
      </c>
      <c r="D326" s="53" t="s">
        <v>21</v>
      </c>
      <c r="E326" s="53" t="s">
        <v>87</v>
      </c>
      <c r="F326" s="38" t="s">
        <v>88</v>
      </c>
      <c r="G326" s="51">
        <v>0.9</v>
      </c>
      <c r="H326" s="53" t="s">
        <v>33</v>
      </c>
      <c r="I326" s="39">
        <v>0.81699999999999995</v>
      </c>
      <c r="J326" s="39">
        <v>0.1532</v>
      </c>
      <c r="K326" s="39">
        <v>0.12340000000000001</v>
      </c>
      <c r="L326" s="39">
        <v>9.74E-2</v>
      </c>
      <c r="M326" s="55">
        <v>5000</v>
      </c>
      <c r="N326" s="55">
        <v>1000000</v>
      </c>
    </row>
    <row r="327" spans="1:14" ht="15" customHeight="1" x14ac:dyDescent="0.25">
      <c r="A327" s="64" t="str">
        <f t="shared" si="5"/>
        <v>0.9-13-0-TOU-2 year Fixed</v>
      </c>
      <c r="B327" s="62" t="s">
        <v>13</v>
      </c>
      <c r="C327" s="54">
        <v>13</v>
      </c>
      <c r="D327" s="53" t="s">
        <v>22</v>
      </c>
      <c r="E327" s="53" t="s">
        <v>87</v>
      </c>
      <c r="F327" s="38" t="s">
        <v>88</v>
      </c>
      <c r="G327" s="51">
        <v>0.9</v>
      </c>
      <c r="H327" s="53" t="s">
        <v>33</v>
      </c>
      <c r="I327" s="39">
        <v>0.79700000000000004</v>
      </c>
      <c r="J327" s="39">
        <v>0.16629999999999998</v>
      </c>
      <c r="K327" s="39">
        <v>0.13389999999999999</v>
      </c>
      <c r="L327" s="39">
        <v>0.1057</v>
      </c>
      <c r="M327" s="55">
        <v>5000</v>
      </c>
      <c r="N327" s="55">
        <v>1000000</v>
      </c>
    </row>
    <row r="328" spans="1:14" ht="15" customHeight="1" x14ac:dyDescent="0.25">
      <c r="A328" s="64" t="str">
        <f t="shared" si="5"/>
        <v>0.9-14-0-TOU-2 year Fixed</v>
      </c>
      <c r="B328" s="62" t="s">
        <v>13</v>
      </c>
      <c r="C328" s="54">
        <v>14</v>
      </c>
      <c r="D328" s="53" t="s">
        <v>23</v>
      </c>
      <c r="E328" s="53" t="s">
        <v>87</v>
      </c>
      <c r="F328" s="38" t="s">
        <v>88</v>
      </c>
      <c r="G328" s="51">
        <v>0.9</v>
      </c>
      <c r="H328" s="53" t="s">
        <v>33</v>
      </c>
      <c r="I328" s="39">
        <v>0.80500000000000005</v>
      </c>
      <c r="J328" s="39">
        <v>0.15769999999999998</v>
      </c>
      <c r="K328" s="39">
        <v>0.127</v>
      </c>
      <c r="L328" s="39">
        <v>0.1002</v>
      </c>
      <c r="M328" s="55">
        <v>5000</v>
      </c>
      <c r="N328" s="55">
        <v>1000000</v>
      </c>
    </row>
    <row r="329" spans="1:14" ht="15" customHeight="1" x14ac:dyDescent="0.25">
      <c r="A329" s="64" t="str">
        <f t="shared" si="5"/>
        <v>0.9-15-0-TOU-2 year Fixed</v>
      </c>
      <c r="B329" s="62" t="s">
        <v>13</v>
      </c>
      <c r="C329" s="54">
        <v>15</v>
      </c>
      <c r="D329" s="53" t="s">
        <v>24</v>
      </c>
      <c r="E329" s="53" t="s">
        <v>87</v>
      </c>
      <c r="F329" s="38" t="s">
        <v>88</v>
      </c>
      <c r="G329" s="51">
        <v>0.9</v>
      </c>
      <c r="H329" s="53" t="s">
        <v>33</v>
      </c>
      <c r="I329" s="39">
        <v>0.86899999999999999</v>
      </c>
      <c r="J329" s="39">
        <v>0.1575</v>
      </c>
      <c r="K329" s="39">
        <v>0.1268</v>
      </c>
      <c r="L329" s="39">
        <v>0.10010000000000001</v>
      </c>
      <c r="M329" s="55">
        <v>5000</v>
      </c>
      <c r="N329" s="55">
        <v>1000000</v>
      </c>
    </row>
    <row r="330" spans="1:14" ht="15" customHeight="1" x14ac:dyDescent="0.25">
      <c r="A330" s="64" t="str">
        <f t="shared" si="5"/>
        <v>0.9-16-0-TOU-2 year Fixed</v>
      </c>
      <c r="B330" s="62" t="s">
        <v>13</v>
      </c>
      <c r="C330" s="54">
        <v>16</v>
      </c>
      <c r="D330" s="53" t="s">
        <v>25</v>
      </c>
      <c r="E330" s="53" t="s">
        <v>87</v>
      </c>
      <c r="F330" s="38" t="s">
        <v>88</v>
      </c>
      <c r="G330" s="51">
        <v>0.9</v>
      </c>
      <c r="H330" s="53" t="s">
        <v>33</v>
      </c>
      <c r="I330" s="39">
        <v>0.65800000000000003</v>
      </c>
      <c r="J330" s="39">
        <v>0.15679999999999999</v>
      </c>
      <c r="K330" s="39">
        <v>0.12619999999999998</v>
      </c>
      <c r="L330" s="39">
        <v>9.9599999999999994E-2</v>
      </c>
      <c r="M330" s="55">
        <v>5000</v>
      </c>
      <c r="N330" s="55">
        <v>1000000</v>
      </c>
    </row>
    <row r="331" spans="1:14" ht="15" customHeight="1" x14ac:dyDescent="0.25">
      <c r="A331" s="64" t="str">
        <f t="shared" si="5"/>
        <v>0.9-17-0-TOU-2 year Fixed</v>
      </c>
      <c r="B331" s="62" t="s">
        <v>13</v>
      </c>
      <c r="C331" s="54">
        <v>17</v>
      </c>
      <c r="D331" s="53" t="s">
        <v>26</v>
      </c>
      <c r="E331" s="53" t="s">
        <v>87</v>
      </c>
      <c r="F331" s="38" t="s">
        <v>88</v>
      </c>
      <c r="G331" s="51">
        <v>0.9</v>
      </c>
      <c r="H331" s="53" t="s">
        <v>33</v>
      </c>
      <c r="I331" s="39">
        <v>1.5109999999999999</v>
      </c>
      <c r="J331" s="39">
        <v>0.17579999999999998</v>
      </c>
      <c r="K331" s="39">
        <v>0.14149999999999999</v>
      </c>
      <c r="L331" s="39">
        <v>0.11170000000000001</v>
      </c>
      <c r="M331" s="55">
        <v>5000</v>
      </c>
      <c r="N331" s="55">
        <v>1000000</v>
      </c>
    </row>
    <row r="332" spans="1:14" ht="15" customHeight="1" x14ac:dyDescent="0.25">
      <c r="A332" s="64" t="str">
        <f t="shared" si="5"/>
        <v>0.9-18-0-TOU-2 year Fixed</v>
      </c>
      <c r="B332" s="62" t="s">
        <v>13</v>
      </c>
      <c r="C332" s="54">
        <v>18</v>
      </c>
      <c r="D332" s="53" t="s">
        <v>27</v>
      </c>
      <c r="E332" s="53" t="s">
        <v>87</v>
      </c>
      <c r="F332" s="38" t="s">
        <v>88</v>
      </c>
      <c r="G332" s="51">
        <v>0.9</v>
      </c>
      <c r="H332" s="53" t="s">
        <v>33</v>
      </c>
      <c r="I332" s="39">
        <v>0.81399999999999995</v>
      </c>
      <c r="J332" s="39">
        <v>0.15629999999999999</v>
      </c>
      <c r="K332" s="39">
        <v>0.1258</v>
      </c>
      <c r="L332" s="39">
        <v>9.9299999999999999E-2</v>
      </c>
      <c r="M332" s="55">
        <v>5000</v>
      </c>
      <c r="N332" s="55">
        <v>1000000</v>
      </c>
    </row>
    <row r="333" spans="1:14" ht="15" customHeight="1" x14ac:dyDescent="0.25">
      <c r="A333" s="64" t="str">
        <f t="shared" si="5"/>
        <v>0.9-19-0-TOU-2 year Fixed</v>
      </c>
      <c r="B333" s="62" t="s">
        <v>13</v>
      </c>
      <c r="C333" s="54">
        <v>19</v>
      </c>
      <c r="D333" s="53" t="s">
        <v>28</v>
      </c>
      <c r="E333" s="53" t="s">
        <v>87</v>
      </c>
      <c r="F333" s="38" t="s">
        <v>88</v>
      </c>
      <c r="G333" s="51">
        <v>0.9</v>
      </c>
      <c r="H333" s="53" t="s">
        <v>33</v>
      </c>
      <c r="I333" s="39">
        <v>0.70399999999999996</v>
      </c>
      <c r="J333" s="39">
        <v>0.15509999999999999</v>
      </c>
      <c r="K333" s="39">
        <v>0.1249</v>
      </c>
      <c r="L333" s="39">
        <v>9.8600000000000007E-2</v>
      </c>
      <c r="M333" s="55">
        <v>5000</v>
      </c>
      <c r="N333" s="55">
        <v>1000000</v>
      </c>
    </row>
    <row r="334" spans="1:14" ht="15" customHeight="1" x14ac:dyDescent="0.25">
      <c r="A334" s="64" t="str">
        <f t="shared" si="5"/>
        <v>0.9-20-0-TOU-2 year Fixed</v>
      </c>
      <c r="B334" s="62" t="s">
        <v>13</v>
      </c>
      <c r="C334" s="54">
        <v>20</v>
      </c>
      <c r="D334" s="53" t="s">
        <v>29</v>
      </c>
      <c r="E334" s="53" t="s">
        <v>87</v>
      </c>
      <c r="F334" s="38" t="s">
        <v>88</v>
      </c>
      <c r="G334" s="51">
        <v>0.9</v>
      </c>
      <c r="H334" s="53" t="s">
        <v>33</v>
      </c>
      <c r="I334" s="39">
        <v>0.748</v>
      </c>
      <c r="J334" s="39">
        <v>0.15519999999999998</v>
      </c>
      <c r="K334" s="39">
        <v>0.125</v>
      </c>
      <c r="L334" s="39">
        <v>9.8699999999999996E-2</v>
      </c>
      <c r="M334" s="55">
        <v>5000</v>
      </c>
      <c r="N334" s="55">
        <v>1000000</v>
      </c>
    </row>
    <row r="335" spans="1:14" ht="15" customHeight="1" x14ac:dyDescent="0.25">
      <c r="A335" s="64" t="str">
        <f t="shared" si="5"/>
        <v>0.9-21-0-TOU-2 year Fixed</v>
      </c>
      <c r="B335" s="62" t="s">
        <v>13</v>
      </c>
      <c r="C335" s="54">
        <v>21</v>
      </c>
      <c r="D335" s="53" t="s">
        <v>30</v>
      </c>
      <c r="E335" s="53" t="s">
        <v>87</v>
      </c>
      <c r="F335" s="38" t="s">
        <v>88</v>
      </c>
      <c r="G335" s="51">
        <v>0.9</v>
      </c>
      <c r="H335" s="53" t="s">
        <v>33</v>
      </c>
      <c r="I335" s="39">
        <v>0.83499999999999996</v>
      </c>
      <c r="J335" s="39">
        <v>0.16539999999999999</v>
      </c>
      <c r="K335" s="39">
        <v>0.1331</v>
      </c>
      <c r="L335" s="39">
        <v>0.1051</v>
      </c>
      <c r="M335" s="55">
        <v>5000</v>
      </c>
      <c r="N335" s="55">
        <v>1000000</v>
      </c>
    </row>
    <row r="336" spans="1:14" ht="15" customHeight="1" x14ac:dyDescent="0.25">
      <c r="A336" s="64" t="str">
        <f t="shared" si="5"/>
        <v>0.9-22-0-TOU-2 year Fixed</v>
      </c>
      <c r="B336" s="62" t="s">
        <v>13</v>
      </c>
      <c r="C336" s="54">
        <v>22</v>
      </c>
      <c r="D336" s="53" t="s">
        <v>31</v>
      </c>
      <c r="E336" s="53" t="s">
        <v>87</v>
      </c>
      <c r="F336" s="38" t="s">
        <v>88</v>
      </c>
      <c r="G336" s="51">
        <v>0.9</v>
      </c>
      <c r="H336" s="53" t="s">
        <v>33</v>
      </c>
      <c r="I336" s="39">
        <v>0.81799999999999995</v>
      </c>
      <c r="J336" s="39">
        <v>0.16599999999999998</v>
      </c>
      <c r="K336" s="39">
        <v>0.1336</v>
      </c>
      <c r="L336" s="39">
        <v>0.1055</v>
      </c>
      <c r="M336" s="55">
        <v>5000</v>
      </c>
      <c r="N336" s="55">
        <v>1000000</v>
      </c>
    </row>
    <row r="337" spans="1:14" ht="15" customHeight="1" x14ac:dyDescent="0.25">
      <c r="A337" s="64" t="str">
        <f t="shared" si="5"/>
        <v>0.9-23-0-TOU-2 year Fixed</v>
      </c>
      <c r="B337" s="62" t="s">
        <v>13</v>
      </c>
      <c r="C337" s="54">
        <v>23</v>
      </c>
      <c r="D337" s="53" t="s">
        <v>32</v>
      </c>
      <c r="E337" s="53" t="s">
        <v>87</v>
      </c>
      <c r="F337" s="38" t="s">
        <v>88</v>
      </c>
      <c r="G337" s="51">
        <v>0.9</v>
      </c>
      <c r="H337" s="53" t="s">
        <v>33</v>
      </c>
      <c r="I337" s="39">
        <v>0.82</v>
      </c>
      <c r="J337" s="39">
        <v>0.15769999999999998</v>
      </c>
      <c r="K337" s="39">
        <v>0.127</v>
      </c>
      <c r="L337" s="39">
        <v>0.1002</v>
      </c>
      <c r="M337" s="55">
        <v>5000</v>
      </c>
      <c r="N337" s="55">
        <v>1000000</v>
      </c>
    </row>
    <row r="338" spans="1:14" ht="15" customHeight="1" x14ac:dyDescent="0.25">
      <c r="A338" s="64" t="str">
        <f t="shared" si="5"/>
        <v>1-10-0-TOU-3 year - with APR</v>
      </c>
      <c r="B338" s="62" t="s">
        <v>13</v>
      </c>
      <c r="C338" s="54">
        <v>10</v>
      </c>
      <c r="D338" s="53" t="s">
        <v>14</v>
      </c>
      <c r="E338" s="53" t="s">
        <v>87</v>
      </c>
      <c r="F338" s="38" t="s">
        <v>88</v>
      </c>
      <c r="G338" s="51">
        <v>1</v>
      </c>
      <c r="H338" s="53" t="s">
        <v>15</v>
      </c>
      <c r="I338" s="39">
        <v>0.79700000000000004</v>
      </c>
      <c r="J338" s="39">
        <v>0.1454</v>
      </c>
      <c r="K338" s="39">
        <v>0.11710000000000001</v>
      </c>
      <c r="L338" s="39">
        <v>9.2399999999999996E-2</v>
      </c>
      <c r="M338" s="55">
        <v>5000</v>
      </c>
      <c r="N338" s="55">
        <v>1000000</v>
      </c>
    </row>
    <row r="339" spans="1:14" ht="15" customHeight="1" x14ac:dyDescent="0.25">
      <c r="A339" s="64" t="str">
        <f t="shared" si="5"/>
        <v>1-11-0-TOU-3 year - with APR</v>
      </c>
      <c r="B339" s="62" t="s">
        <v>13</v>
      </c>
      <c r="C339" s="54">
        <v>11</v>
      </c>
      <c r="D339" s="53" t="s">
        <v>20</v>
      </c>
      <c r="E339" s="53" t="s">
        <v>87</v>
      </c>
      <c r="F339" s="38" t="s">
        <v>88</v>
      </c>
      <c r="G339" s="51">
        <v>1</v>
      </c>
      <c r="H339" s="53" t="s">
        <v>15</v>
      </c>
      <c r="I339" s="39">
        <v>0.77900000000000003</v>
      </c>
      <c r="J339" s="39">
        <v>0.1477</v>
      </c>
      <c r="K339" s="39">
        <v>0.11890000000000001</v>
      </c>
      <c r="L339" s="39">
        <v>9.3899999999999997E-2</v>
      </c>
      <c r="M339" s="55">
        <v>5000</v>
      </c>
      <c r="N339" s="55">
        <v>1000000</v>
      </c>
    </row>
    <row r="340" spans="1:14" ht="15" customHeight="1" x14ac:dyDescent="0.25">
      <c r="A340" s="64" t="str">
        <f t="shared" si="5"/>
        <v>1-12-0-TOU-3 year - with APR</v>
      </c>
      <c r="B340" s="62" t="s">
        <v>13</v>
      </c>
      <c r="C340" s="54">
        <v>12</v>
      </c>
      <c r="D340" s="53" t="s">
        <v>21</v>
      </c>
      <c r="E340" s="53" t="s">
        <v>87</v>
      </c>
      <c r="F340" s="38" t="s">
        <v>88</v>
      </c>
      <c r="G340" s="51">
        <v>1</v>
      </c>
      <c r="H340" s="53" t="s">
        <v>15</v>
      </c>
      <c r="I340" s="39">
        <v>0.81699999999999995</v>
      </c>
      <c r="J340" s="39">
        <v>0.14499999999999999</v>
      </c>
      <c r="K340" s="39">
        <v>0.1167</v>
      </c>
      <c r="L340" s="39">
        <v>9.2100000000000001E-2</v>
      </c>
      <c r="M340" s="55">
        <v>5000</v>
      </c>
      <c r="N340" s="55">
        <v>1000000</v>
      </c>
    </row>
    <row r="341" spans="1:14" ht="15" customHeight="1" x14ac:dyDescent="0.25">
      <c r="A341" s="64" t="str">
        <f t="shared" si="5"/>
        <v>1-13-0-TOU-3 year - with APR</v>
      </c>
      <c r="B341" s="62" t="s">
        <v>13</v>
      </c>
      <c r="C341" s="54">
        <v>13</v>
      </c>
      <c r="D341" s="53" t="s">
        <v>22</v>
      </c>
      <c r="E341" s="53" t="s">
        <v>87</v>
      </c>
      <c r="F341" s="38" t="s">
        <v>88</v>
      </c>
      <c r="G341" s="51">
        <v>1</v>
      </c>
      <c r="H341" s="53" t="s">
        <v>15</v>
      </c>
      <c r="I341" s="39">
        <v>0.79700000000000004</v>
      </c>
      <c r="J341" s="39">
        <v>0.15709999999999999</v>
      </c>
      <c r="K341" s="39">
        <v>0.1265</v>
      </c>
      <c r="L341" s="39">
        <v>9.9900000000000003E-2</v>
      </c>
      <c r="M341" s="55">
        <v>5000</v>
      </c>
      <c r="N341" s="55">
        <v>1000000</v>
      </c>
    </row>
    <row r="342" spans="1:14" ht="15" customHeight="1" x14ac:dyDescent="0.25">
      <c r="A342" s="64" t="str">
        <f t="shared" si="5"/>
        <v>1-14-0-TOU-3 year - with APR</v>
      </c>
      <c r="B342" s="62" t="s">
        <v>13</v>
      </c>
      <c r="C342" s="54">
        <v>14</v>
      </c>
      <c r="D342" s="53" t="s">
        <v>23</v>
      </c>
      <c r="E342" s="53" t="s">
        <v>87</v>
      </c>
      <c r="F342" s="38" t="s">
        <v>88</v>
      </c>
      <c r="G342" s="51">
        <v>1</v>
      </c>
      <c r="H342" s="53" t="s">
        <v>15</v>
      </c>
      <c r="I342" s="39">
        <v>0.80500000000000005</v>
      </c>
      <c r="J342" s="39">
        <v>0.14859999999999998</v>
      </c>
      <c r="K342" s="39">
        <v>0.1197</v>
      </c>
      <c r="L342" s="39">
        <v>9.4500000000000001E-2</v>
      </c>
      <c r="M342" s="55">
        <v>5000</v>
      </c>
      <c r="N342" s="55">
        <v>1000000</v>
      </c>
    </row>
    <row r="343" spans="1:14" ht="15" customHeight="1" x14ac:dyDescent="0.25">
      <c r="A343" s="64" t="str">
        <f t="shared" si="5"/>
        <v>1-15-0-TOU-3 year - with APR</v>
      </c>
      <c r="B343" s="62" t="s">
        <v>13</v>
      </c>
      <c r="C343" s="54">
        <v>15</v>
      </c>
      <c r="D343" s="53" t="s">
        <v>24</v>
      </c>
      <c r="E343" s="53" t="s">
        <v>87</v>
      </c>
      <c r="F343" s="38" t="s">
        <v>88</v>
      </c>
      <c r="G343" s="51">
        <v>1</v>
      </c>
      <c r="H343" s="53" t="s">
        <v>15</v>
      </c>
      <c r="I343" s="39">
        <v>0.86899999999999999</v>
      </c>
      <c r="J343" s="39">
        <v>0.14939999999999998</v>
      </c>
      <c r="K343" s="39">
        <v>0.1203</v>
      </c>
      <c r="L343" s="39">
        <v>9.5000000000000001E-2</v>
      </c>
      <c r="M343" s="55">
        <v>5000</v>
      </c>
      <c r="N343" s="55">
        <v>1000000</v>
      </c>
    </row>
    <row r="344" spans="1:14" ht="15" customHeight="1" x14ac:dyDescent="0.25">
      <c r="A344" s="64" t="str">
        <f t="shared" si="5"/>
        <v>1-16-0-TOU-3 year - with APR</v>
      </c>
      <c r="B344" s="62" t="s">
        <v>13</v>
      </c>
      <c r="C344" s="54">
        <v>16</v>
      </c>
      <c r="D344" s="53" t="s">
        <v>25</v>
      </c>
      <c r="E344" s="53" t="s">
        <v>87</v>
      </c>
      <c r="F344" s="38" t="s">
        <v>88</v>
      </c>
      <c r="G344" s="51">
        <v>1</v>
      </c>
      <c r="H344" s="53" t="s">
        <v>15</v>
      </c>
      <c r="I344" s="39">
        <v>0.65800000000000003</v>
      </c>
      <c r="J344" s="39">
        <v>0.14829999999999999</v>
      </c>
      <c r="K344" s="39">
        <v>0.11940000000000001</v>
      </c>
      <c r="L344" s="39">
        <v>9.4200000000000006E-2</v>
      </c>
      <c r="M344" s="55">
        <v>5000</v>
      </c>
      <c r="N344" s="55">
        <v>1000000</v>
      </c>
    </row>
    <row r="345" spans="1:14" ht="15" customHeight="1" x14ac:dyDescent="0.25">
      <c r="A345" s="64" t="str">
        <f t="shared" si="5"/>
        <v>1-17-0-TOU-3 year - with APR</v>
      </c>
      <c r="B345" s="62" t="s">
        <v>13</v>
      </c>
      <c r="C345" s="54">
        <v>17</v>
      </c>
      <c r="D345" s="53" t="s">
        <v>26</v>
      </c>
      <c r="E345" s="53" t="s">
        <v>87</v>
      </c>
      <c r="F345" s="38" t="s">
        <v>88</v>
      </c>
      <c r="G345" s="51">
        <v>1</v>
      </c>
      <c r="H345" s="53" t="s">
        <v>15</v>
      </c>
      <c r="I345" s="39">
        <v>1.343</v>
      </c>
      <c r="J345" s="39">
        <v>0.16669999999999999</v>
      </c>
      <c r="K345" s="39">
        <v>0.13419999999999999</v>
      </c>
      <c r="L345" s="39">
        <v>0.10589999999999999</v>
      </c>
      <c r="M345" s="55">
        <v>5000</v>
      </c>
      <c r="N345" s="55">
        <v>1000000</v>
      </c>
    </row>
    <row r="346" spans="1:14" ht="15" customHeight="1" x14ac:dyDescent="0.25">
      <c r="A346" s="64" t="str">
        <f t="shared" si="5"/>
        <v>1-18-0-TOU-3 year - with APR</v>
      </c>
      <c r="B346" s="62" t="s">
        <v>13</v>
      </c>
      <c r="C346" s="54">
        <v>18</v>
      </c>
      <c r="D346" s="53" t="s">
        <v>27</v>
      </c>
      <c r="E346" s="53" t="s">
        <v>87</v>
      </c>
      <c r="F346" s="38" t="s">
        <v>88</v>
      </c>
      <c r="G346" s="51">
        <v>1</v>
      </c>
      <c r="H346" s="53" t="s">
        <v>15</v>
      </c>
      <c r="I346" s="39">
        <v>0.81399999999999995</v>
      </c>
      <c r="J346" s="39">
        <v>0.14739999999999998</v>
      </c>
      <c r="K346" s="39">
        <v>0.1187</v>
      </c>
      <c r="L346" s="39">
        <v>9.3700000000000006E-2</v>
      </c>
      <c r="M346" s="55">
        <v>5000</v>
      </c>
      <c r="N346" s="55">
        <v>1000000</v>
      </c>
    </row>
    <row r="347" spans="1:14" ht="15" customHeight="1" x14ac:dyDescent="0.25">
      <c r="A347" s="64" t="str">
        <f t="shared" si="5"/>
        <v>1-19-0-TOU-3 year - with APR</v>
      </c>
      <c r="B347" s="62" t="s">
        <v>13</v>
      </c>
      <c r="C347" s="54">
        <v>19</v>
      </c>
      <c r="D347" s="53" t="s">
        <v>28</v>
      </c>
      <c r="E347" s="53" t="s">
        <v>87</v>
      </c>
      <c r="F347" s="38" t="s">
        <v>88</v>
      </c>
      <c r="G347" s="51">
        <v>1</v>
      </c>
      <c r="H347" s="53" t="s">
        <v>15</v>
      </c>
      <c r="I347" s="39">
        <v>0.70399999999999996</v>
      </c>
      <c r="J347" s="39">
        <v>0.14659999999999998</v>
      </c>
      <c r="K347" s="39">
        <v>0.11800000000000001</v>
      </c>
      <c r="L347" s="39">
        <v>9.3200000000000005E-2</v>
      </c>
      <c r="M347" s="55">
        <v>5000</v>
      </c>
      <c r="N347" s="55">
        <v>1000000</v>
      </c>
    </row>
    <row r="348" spans="1:14" ht="15" customHeight="1" x14ac:dyDescent="0.25">
      <c r="A348" s="64" t="str">
        <f t="shared" si="5"/>
        <v>1-20-0-TOU-3 year - with APR</v>
      </c>
      <c r="B348" s="62" t="s">
        <v>13</v>
      </c>
      <c r="C348" s="54">
        <v>20</v>
      </c>
      <c r="D348" s="53" t="s">
        <v>29</v>
      </c>
      <c r="E348" s="53" t="s">
        <v>87</v>
      </c>
      <c r="F348" s="38" t="s">
        <v>88</v>
      </c>
      <c r="G348" s="51">
        <v>1</v>
      </c>
      <c r="H348" s="53" t="s">
        <v>15</v>
      </c>
      <c r="I348" s="39">
        <v>0.748</v>
      </c>
      <c r="J348" s="39">
        <v>0.14629999999999999</v>
      </c>
      <c r="K348" s="39">
        <v>0.1178</v>
      </c>
      <c r="L348" s="39">
        <v>9.2999999999999999E-2</v>
      </c>
      <c r="M348" s="55">
        <v>5000</v>
      </c>
      <c r="N348" s="55">
        <v>1000000</v>
      </c>
    </row>
    <row r="349" spans="1:14" ht="15" customHeight="1" x14ac:dyDescent="0.25">
      <c r="A349" s="64" t="str">
        <f t="shared" si="5"/>
        <v>1-21-0-TOU-3 year - with APR</v>
      </c>
      <c r="B349" s="62" t="s">
        <v>13</v>
      </c>
      <c r="C349" s="54">
        <v>21</v>
      </c>
      <c r="D349" s="53" t="s">
        <v>30</v>
      </c>
      <c r="E349" s="53" t="s">
        <v>87</v>
      </c>
      <c r="F349" s="38" t="s">
        <v>88</v>
      </c>
      <c r="G349" s="51">
        <v>1</v>
      </c>
      <c r="H349" s="53" t="s">
        <v>15</v>
      </c>
      <c r="I349" s="39">
        <v>0.83499999999999996</v>
      </c>
      <c r="J349" s="39">
        <v>0.15619999999999998</v>
      </c>
      <c r="K349" s="39">
        <v>0.12569999999999998</v>
      </c>
      <c r="L349" s="39">
        <v>9.9299999999999999E-2</v>
      </c>
      <c r="M349" s="55">
        <v>5000</v>
      </c>
      <c r="N349" s="55">
        <v>1000000</v>
      </c>
    </row>
    <row r="350" spans="1:14" ht="15" customHeight="1" x14ac:dyDescent="0.25">
      <c r="A350" s="64" t="str">
        <f t="shared" si="5"/>
        <v>1-22-0-TOU-3 year - with APR</v>
      </c>
      <c r="B350" s="62" t="s">
        <v>13</v>
      </c>
      <c r="C350" s="54">
        <v>22</v>
      </c>
      <c r="D350" s="53" t="s">
        <v>31</v>
      </c>
      <c r="E350" s="53" t="s">
        <v>87</v>
      </c>
      <c r="F350" s="38" t="s">
        <v>88</v>
      </c>
      <c r="G350" s="51">
        <v>1</v>
      </c>
      <c r="H350" s="53" t="s">
        <v>15</v>
      </c>
      <c r="I350" s="39">
        <v>0.81799999999999995</v>
      </c>
      <c r="J350" s="39">
        <v>0.15679999999999999</v>
      </c>
      <c r="K350" s="39">
        <v>0.12619999999999998</v>
      </c>
      <c r="L350" s="39">
        <v>9.9599999999999994E-2</v>
      </c>
      <c r="M350" s="55">
        <v>5000</v>
      </c>
      <c r="N350" s="55">
        <v>1000000</v>
      </c>
    </row>
    <row r="351" spans="1:14" ht="15" customHeight="1" x14ac:dyDescent="0.25">
      <c r="A351" s="64" t="str">
        <f t="shared" si="5"/>
        <v>1-23-0-TOU-3 year - with APR</v>
      </c>
      <c r="B351" s="62" t="s">
        <v>13</v>
      </c>
      <c r="C351" s="54">
        <v>23</v>
      </c>
      <c r="D351" s="53" t="s">
        <v>32</v>
      </c>
      <c r="E351" s="53" t="s">
        <v>87</v>
      </c>
      <c r="F351" s="38" t="s">
        <v>88</v>
      </c>
      <c r="G351" s="51">
        <v>1</v>
      </c>
      <c r="H351" s="53" t="s">
        <v>15</v>
      </c>
      <c r="I351" s="39">
        <v>0.82</v>
      </c>
      <c r="J351" s="39">
        <v>0.14929999999999999</v>
      </c>
      <c r="K351" s="39">
        <v>0.1202</v>
      </c>
      <c r="L351" s="39">
        <v>9.4899999999999998E-2</v>
      </c>
      <c r="M351" s="55">
        <v>5000</v>
      </c>
      <c r="N351" s="55">
        <v>1000000</v>
      </c>
    </row>
    <row r="352" spans="1:14" ht="15" customHeight="1" x14ac:dyDescent="0.25">
      <c r="A352" s="64" t="str">
        <f t="shared" si="5"/>
        <v>1-10-0-TOU-2 year Fixed</v>
      </c>
      <c r="B352" s="62" t="s">
        <v>13</v>
      </c>
      <c r="C352" s="54">
        <v>10</v>
      </c>
      <c r="D352" s="53" t="s">
        <v>14</v>
      </c>
      <c r="E352" s="53" t="s">
        <v>87</v>
      </c>
      <c r="F352" s="38" t="s">
        <v>88</v>
      </c>
      <c r="G352" s="51">
        <v>1</v>
      </c>
      <c r="H352" s="53" t="s">
        <v>33</v>
      </c>
      <c r="I352" s="39">
        <v>0.79700000000000004</v>
      </c>
      <c r="J352" s="39">
        <v>0.15469999999999998</v>
      </c>
      <c r="K352" s="39">
        <v>0.1246</v>
      </c>
      <c r="L352" s="39">
        <v>9.8400000000000001E-2</v>
      </c>
      <c r="M352" s="55">
        <v>5000</v>
      </c>
      <c r="N352" s="55">
        <v>1000000</v>
      </c>
    </row>
    <row r="353" spans="1:14" ht="15" customHeight="1" x14ac:dyDescent="0.25">
      <c r="A353" s="64" t="str">
        <f t="shared" si="5"/>
        <v>1-11-0-TOU-2 year Fixed</v>
      </c>
      <c r="B353" s="62" t="s">
        <v>13</v>
      </c>
      <c r="C353" s="54">
        <v>11</v>
      </c>
      <c r="D353" s="53" t="s">
        <v>20</v>
      </c>
      <c r="E353" s="53" t="s">
        <v>87</v>
      </c>
      <c r="F353" s="38" t="s">
        <v>88</v>
      </c>
      <c r="G353" s="51">
        <v>1</v>
      </c>
      <c r="H353" s="53" t="s">
        <v>33</v>
      </c>
      <c r="I353" s="39">
        <v>0.77900000000000003</v>
      </c>
      <c r="J353" s="39">
        <v>0.1578</v>
      </c>
      <c r="K353" s="39">
        <v>0.12709999999999999</v>
      </c>
      <c r="L353" s="39">
        <v>0.1003</v>
      </c>
      <c r="M353" s="55">
        <v>5000</v>
      </c>
      <c r="N353" s="55">
        <v>1000000</v>
      </c>
    </row>
    <row r="354" spans="1:14" ht="15" customHeight="1" x14ac:dyDescent="0.25">
      <c r="A354" s="64" t="str">
        <f t="shared" si="5"/>
        <v>1-12-0-TOU-2 year Fixed</v>
      </c>
      <c r="B354" s="62" t="s">
        <v>13</v>
      </c>
      <c r="C354" s="54">
        <v>12</v>
      </c>
      <c r="D354" s="53" t="s">
        <v>21</v>
      </c>
      <c r="E354" s="53" t="s">
        <v>87</v>
      </c>
      <c r="F354" s="38" t="s">
        <v>88</v>
      </c>
      <c r="G354" s="51">
        <v>1</v>
      </c>
      <c r="H354" s="53" t="s">
        <v>33</v>
      </c>
      <c r="I354" s="39">
        <v>0.81699999999999995</v>
      </c>
      <c r="J354" s="39">
        <v>0.15439999999999998</v>
      </c>
      <c r="K354" s="39">
        <v>0.12430000000000001</v>
      </c>
      <c r="L354" s="39">
        <v>9.8100000000000007E-2</v>
      </c>
      <c r="M354" s="55">
        <v>5000</v>
      </c>
      <c r="N354" s="55">
        <v>1000000</v>
      </c>
    </row>
    <row r="355" spans="1:14" ht="15" customHeight="1" x14ac:dyDescent="0.25">
      <c r="A355" s="64" t="str">
        <f t="shared" si="5"/>
        <v>1-13-0-TOU-2 year Fixed</v>
      </c>
      <c r="B355" s="62" t="s">
        <v>13</v>
      </c>
      <c r="C355" s="54">
        <v>13</v>
      </c>
      <c r="D355" s="53" t="s">
        <v>22</v>
      </c>
      <c r="E355" s="53" t="s">
        <v>87</v>
      </c>
      <c r="F355" s="38" t="s">
        <v>88</v>
      </c>
      <c r="G355" s="51">
        <v>1</v>
      </c>
      <c r="H355" s="53" t="s">
        <v>33</v>
      </c>
      <c r="I355" s="39">
        <v>0.79700000000000004</v>
      </c>
      <c r="J355" s="39">
        <v>0.16749999999999998</v>
      </c>
      <c r="K355" s="39">
        <v>0.13489999999999999</v>
      </c>
      <c r="L355" s="39">
        <v>0.1065</v>
      </c>
      <c r="M355" s="55">
        <v>5000</v>
      </c>
      <c r="N355" s="55">
        <v>1000000</v>
      </c>
    </row>
    <row r="356" spans="1:14" ht="15" customHeight="1" x14ac:dyDescent="0.25">
      <c r="A356" s="64" t="str">
        <f t="shared" si="5"/>
        <v>1-14-0-TOU-2 year Fixed</v>
      </c>
      <c r="B356" s="62" t="s">
        <v>13</v>
      </c>
      <c r="C356" s="54">
        <v>14</v>
      </c>
      <c r="D356" s="53" t="s">
        <v>23</v>
      </c>
      <c r="E356" s="53" t="s">
        <v>87</v>
      </c>
      <c r="F356" s="38" t="s">
        <v>88</v>
      </c>
      <c r="G356" s="51">
        <v>1</v>
      </c>
      <c r="H356" s="53" t="s">
        <v>33</v>
      </c>
      <c r="I356" s="39">
        <v>0.80500000000000005</v>
      </c>
      <c r="J356" s="39">
        <v>0.15889999999999999</v>
      </c>
      <c r="K356" s="39">
        <v>0.12789999999999999</v>
      </c>
      <c r="L356" s="39">
        <v>0.10100000000000001</v>
      </c>
      <c r="M356" s="55">
        <v>5000</v>
      </c>
      <c r="N356" s="55">
        <v>1000000</v>
      </c>
    </row>
    <row r="357" spans="1:14" ht="15" customHeight="1" x14ac:dyDescent="0.25">
      <c r="A357" s="64" t="str">
        <f t="shared" si="5"/>
        <v>1-15-0-TOU-2 year Fixed</v>
      </c>
      <c r="B357" s="62" t="s">
        <v>13</v>
      </c>
      <c r="C357" s="54">
        <v>15</v>
      </c>
      <c r="D357" s="53" t="s">
        <v>24</v>
      </c>
      <c r="E357" s="53" t="s">
        <v>87</v>
      </c>
      <c r="F357" s="38" t="s">
        <v>88</v>
      </c>
      <c r="G357" s="51">
        <v>1</v>
      </c>
      <c r="H357" s="53" t="s">
        <v>33</v>
      </c>
      <c r="I357" s="39">
        <v>0.86899999999999999</v>
      </c>
      <c r="J357" s="39">
        <v>0.15859999999999999</v>
      </c>
      <c r="K357" s="39">
        <v>0.12769999999999998</v>
      </c>
      <c r="L357" s="39">
        <v>0.1008</v>
      </c>
      <c r="M357" s="55">
        <v>5000</v>
      </c>
      <c r="N357" s="55">
        <v>1000000</v>
      </c>
    </row>
    <row r="358" spans="1:14" ht="15" customHeight="1" x14ac:dyDescent="0.25">
      <c r="A358" s="64" t="str">
        <f t="shared" si="5"/>
        <v>1-16-0-TOU-2 year Fixed</v>
      </c>
      <c r="B358" s="62" t="s">
        <v>13</v>
      </c>
      <c r="C358" s="54">
        <v>16</v>
      </c>
      <c r="D358" s="53" t="s">
        <v>25</v>
      </c>
      <c r="E358" s="53" t="s">
        <v>87</v>
      </c>
      <c r="F358" s="38" t="s">
        <v>88</v>
      </c>
      <c r="G358" s="51">
        <v>1</v>
      </c>
      <c r="H358" s="53" t="s">
        <v>33</v>
      </c>
      <c r="I358" s="39">
        <v>0.65800000000000003</v>
      </c>
      <c r="J358" s="39">
        <v>0.15789999999999998</v>
      </c>
      <c r="K358" s="39">
        <v>0.12719999999999998</v>
      </c>
      <c r="L358" s="39">
        <v>0.1004</v>
      </c>
      <c r="M358" s="55">
        <v>5000</v>
      </c>
      <c r="N358" s="55">
        <v>1000000</v>
      </c>
    </row>
    <row r="359" spans="1:14" ht="15" customHeight="1" x14ac:dyDescent="0.25">
      <c r="A359" s="64" t="str">
        <f t="shared" si="5"/>
        <v>1-17-0-TOU-2 year Fixed</v>
      </c>
      <c r="B359" s="62" t="s">
        <v>13</v>
      </c>
      <c r="C359" s="54">
        <v>17</v>
      </c>
      <c r="D359" s="53" t="s">
        <v>26</v>
      </c>
      <c r="E359" s="53" t="s">
        <v>87</v>
      </c>
      <c r="F359" s="38" t="s">
        <v>88</v>
      </c>
      <c r="G359" s="51">
        <v>1</v>
      </c>
      <c r="H359" s="53" t="s">
        <v>33</v>
      </c>
      <c r="I359" s="39">
        <v>1.5109999999999999</v>
      </c>
      <c r="J359" s="39">
        <v>0.1769</v>
      </c>
      <c r="K359" s="39">
        <v>0.14249999999999999</v>
      </c>
      <c r="L359" s="39">
        <v>0.1125</v>
      </c>
      <c r="M359" s="55">
        <v>5000</v>
      </c>
      <c r="N359" s="55">
        <v>1000000</v>
      </c>
    </row>
    <row r="360" spans="1:14" ht="15" customHeight="1" x14ac:dyDescent="0.25">
      <c r="A360" s="64" t="str">
        <f t="shared" si="5"/>
        <v>1-18-0-TOU-2 year Fixed</v>
      </c>
      <c r="B360" s="62" t="s">
        <v>13</v>
      </c>
      <c r="C360" s="54">
        <v>18</v>
      </c>
      <c r="D360" s="53" t="s">
        <v>27</v>
      </c>
      <c r="E360" s="53" t="s">
        <v>87</v>
      </c>
      <c r="F360" s="38" t="s">
        <v>88</v>
      </c>
      <c r="G360" s="51">
        <v>1</v>
      </c>
      <c r="H360" s="53" t="s">
        <v>33</v>
      </c>
      <c r="I360" s="39">
        <v>0.81399999999999995</v>
      </c>
      <c r="J360" s="39">
        <v>0.1575</v>
      </c>
      <c r="K360" s="39">
        <v>0.1268</v>
      </c>
      <c r="L360" s="39">
        <v>0.10010000000000001</v>
      </c>
      <c r="M360" s="55">
        <v>5000</v>
      </c>
      <c r="N360" s="55">
        <v>1000000</v>
      </c>
    </row>
    <row r="361" spans="1:14" ht="15" customHeight="1" x14ac:dyDescent="0.25">
      <c r="A361" s="64" t="str">
        <f t="shared" si="5"/>
        <v>1-19-0-TOU-2 year Fixed</v>
      </c>
      <c r="B361" s="62" t="s">
        <v>13</v>
      </c>
      <c r="C361" s="54">
        <v>19</v>
      </c>
      <c r="D361" s="53" t="s">
        <v>28</v>
      </c>
      <c r="E361" s="53" t="s">
        <v>87</v>
      </c>
      <c r="F361" s="38" t="s">
        <v>88</v>
      </c>
      <c r="G361" s="51">
        <v>1</v>
      </c>
      <c r="H361" s="53" t="s">
        <v>33</v>
      </c>
      <c r="I361" s="39">
        <v>0.70399999999999996</v>
      </c>
      <c r="J361" s="39">
        <v>0.15629999999999999</v>
      </c>
      <c r="K361" s="39">
        <v>0.1258</v>
      </c>
      <c r="L361" s="39">
        <v>9.9299999999999999E-2</v>
      </c>
      <c r="M361" s="55">
        <v>5000</v>
      </c>
      <c r="N361" s="55">
        <v>1000000</v>
      </c>
    </row>
    <row r="362" spans="1:14" ht="15" customHeight="1" x14ac:dyDescent="0.25">
      <c r="A362" s="64" t="str">
        <f t="shared" si="5"/>
        <v>1-20-0-TOU-2 year Fixed</v>
      </c>
      <c r="B362" s="62" t="s">
        <v>13</v>
      </c>
      <c r="C362" s="54">
        <v>20</v>
      </c>
      <c r="D362" s="53" t="s">
        <v>29</v>
      </c>
      <c r="E362" s="53" t="s">
        <v>87</v>
      </c>
      <c r="F362" s="38" t="s">
        <v>88</v>
      </c>
      <c r="G362" s="51">
        <v>1</v>
      </c>
      <c r="H362" s="53" t="s">
        <v>33</v>
      </c>
      <c r="I362" s="39">
        <v>0.748</v>
      </c>
      <c r="J362" s="39">
        <v>0.15639999999999998</v>
      </c>
      <c r="K362" s="39">
        <v>0.12589999999999998</v>
      </c>
      <c r="L362" s="39">
        <v>9.9400000000000002E-2</v>
      </c>
      <c r="M362" s="55">
        <v>5000</v>
      </c>
      <c r="N362" s="55">
        <v>1000000</v>
      </c>
    </row>
    <row r="363" spans="1:14" ht="15" customHeight="1" x14ac:dyDescent="0.25">
      <c r="A363" s="64" t="str">
        <f t="shared" si="5"/>
        <v>1-21-0-TOU-2 year Fixed</v>
      </c>
      <c r="B363" s="62" t="s">
        <v>13</v>
      </c>
      <c r="C363" s="54">
        <v>21</v>
      </c>
      <c r="D363" s="53" t="s">
        <v>30</v>
      </c>
      <c r="E363" s="53" t="s">
        <v>87</v>
      </c>
      <c r="F363" s="38" t="s">
        <v>88</v>
      </c>
      <c r="G363" s="51">
        <v>1</v>
      </c>
      <c r="H363" s="53" t="s">
        <v>33</v>
      </c>
      <c r="I363" s="39">
        <v>0.83499999999999996</v>
      </c>
      <c r="J363" s="39">
        <v>0.16649999999999998</v>
      </c>
      <c r="K363" s="39">
        <v>0.1341</v>
      </c>
      <c r="L363" s="39">
        <v>0.10590000000000001</v>
      </c>
      <c r="M363" s="55">
        <v>5000</v>
      </c>
      <c r="N363" s="55">
        <v>1000000</v>
      </c>
    </row>
    <row r="364" spans="1:14" ht="15" customHeight="1" x14ac:dyDescent="0.25">
      <c r="A364" s="64" t="str">
        <f t="shared" si="5"/>
        <v>1-22-0-TOU-2 year Fixed</v>
      </c>
      <c r="B364" s="62" t="s">
        <v>13</v>
      </c>
      <c r="C364" s="54">
        <v>22</v>
      </c>
      <c r="D364" s="53" t="s">
        <v>31</v>
      </c>
      <c r="E364" s="53" t="s">
        <v>87</v>
      </c>
      <c r="F364" s="38" t="s">
        <v>88</v>
      </c>
      <c r="G364" s="51">
        <v>1</v>
      </c>
      <c r="H364" s="53" t="s">
        <v>33</v>
      </c>
      <c r="I364" s="39">
        <v>0.81799999999999995</v>
      </c>
      <c r="J364" s="39">
        <v>0.1671</v>
      </c>
      <c r="K364" s="39">
        <v>0.1346</v>
      </c>
      <c r="L364" s="39">
        <v>0.1062</v>
      </c>
      <c r="M364" s="55">
        <v>5000</v>
      </c>
      <c r="N364" s="55">
        <v>1000000</v>
      </c>
    </row>
    <row r="365" spans="1:14" ht="15" customHeight="1" x14ac:dyDescent="0.25">
      <c r="A365" s="64" t="str">
        <f t="shared" si="5"/>
        <v>1-23-0-TOU-2 year Fixed</v>
      </c>
      <c r="B365" s="62" t="s">
        <v>13</v>
      </c>
      <c r="C365" s="54">
        <v>23</v>
      </c>
      <c r="D365" s="53" t="s">
        <v>32</v>
      </c>
      <c r="E365" s="53" t="s">
        <v>87</v>
      </c>
      <c r="F365" s="38" t="s">
        <v>88</v>
      </c>
      <c r="G365" s="51">
        <v>1</v>
      </c>
      <c r="H365" s="53" t="s">
        <v>33</v>
      </c>
      <c r="I365" s="39">
        <v>0.82</v>
      </c>
      <c r="J365" s="39">
        <v>0.15889999999999999</v>
      </c>
      <c r="K365" s="39">
        <v>0.12789999999999999</v>
      </c>
      <c r="L365" s="39">
        <v>0.10100000000000001</v>
      </c>
      <c r="M365" s="55">
        <v>5000</v>
      </c>
      <c r="N365" s="55">
        <v>1000000</v>
      </c>
    </row>
    <row r="366" spans="1:14" ht="15" customHeight="1" x14ac:dyDescent="0.25">
      <c r="A366" s="64" t="str">
        <f t="shared" si="5"/>
        <v>1.1-10-0-TOU-3 year - with APR</v>
      </c>
      <c r="B366" s="62" t="s">
        <v>13</v>
      </c>
      <c r="C366" s="54">
        <v>10</v>
      </c>
      <c r="D366" s="53" t="s">
        <v>14</v>
      </c>
      <c r="E366" s="53" t="s">
        <v>87</v>
      </c>
      <c r="F366" s="38" t="s">
        <v>88</v>
      </c>
      <c r="G366" s="51">
        <v>1.1000000000000001</v>
      </c>
      <c r="H366" s="53" t="s">
        <v>15</v>
      </c>
      <c r="I366" s="39">
        <v>0.79700000000000004</v>
      </c>
      <c r="J366" s="39">
        <v>0.14659999999999998</v>
      </c>
      <c r="K366" s="39">
        <v>0.11800000000000001</v>
      </c>
      <c r="L366" s="39">
        <v>9.3200000000000005E-2</v>
      </c>
      <c r="M366" s="55">
        <v>5000</v>
      </c>
      <c r="N366" s="55">
        <v>1000000</v>
      </c>
    </row>
    <row r="367" spans="1:14" ht="15" customHeight="1" x14ac:dyDescent="0.25">
      <c r="A367" s="64" t="str">
        <f t="shared" si="5"/>
        <v>1.1-11-0-TOU-3 year - with APR</v>
      </c>
      <c r="B367" s="62" t="s">
        <v>13</v>
      </c>
      <c r="C367" s="54">
        <v>11</v>
      </c>
      <c r="D367" s="53" t="s">
        <v>20</v>
      </c>
      <c r="E367" s="53" t="s">
        <v>87</v>
      </c>
      <c r="F367" s="38" t="s">
        <v>88</v>
      </c>
      <c r="G367" s="51">
        <v>1.1000000000000001</v>
      </c>
      <c r="H367" s="53" t="s">
        <v>15</v>
      </c>
      <c r="I367" s="39">
        <v>0.77900000000000003</v>
      </c>
      <c r="J367" s="39">
        <v>0.14879999999999999</v>
      </c>
      <c r="K367" s="39">
        <v>0.1198</v>
      </c>
      <c r="L367" s="39">
        <v>9.4600000000000004E-2</v>
      </c>
      <c r="M367" s="55">
        <v>5000</v>
      </c>
      <c r="N367" s="55">
        <v>1000000</v>
      </c>
    </row>
    <row r="368" spans="1:14" ht="15" customHeight="1" x14ac:dyDescent="0.25">
      <c r="A368" s="64" t="str">
        <f t="shared" si="5"/>
        <v>1.1-12-0-TOU-3 year - with APR</v>
      </c>
      <c r="B368" s="62" t="s">
        <v>13</v>
      </c>
      <c r="C368" s="54">
        <v>12</v>
      </c>
      <c r="D368" s="53" t="s">
        <v>21</v>
      </c>
      <c r="E368" s="53" t="s">
        <v>87</v>
      </c>
      <c r="F368" s="38" t="s">
        <v>88</v>
      </c>
      <c r="G368" s="51">
        <v>1.1000000000000001</v>
      </c>
      <c r="H368" s="53" t="s">
        <v>15</v>
      </c>
      <c r="I368" s="39">
        <v>0.81699999999999995</v>
      </c>
      <c r="J368" s="39">
        <v>0.14609999999999998</v>
      </c>
      <c r="K368" s="39">
        <v>0.1177</v>
      </c>
      <c r="L368" s="39">
        <v>9.2899999999999996E-2</v>
      </c>
      <c r="M368" s="55">
        <v>5000</v>
      </c>
      <c r="N368" s="55">
        <v>1000000</v>
      </c>
    </row>
    <row r="369" spans="1:14" ht="15" customHeight="1" x14ac:dyDescent="0.25">
      <c r="A369" s="64" t="str">
        <f t="shared" si="5"/>
        <v>1.1-13-0-TOU-3 year - with APR</v>
      </c>
      <c r="B369" s="62" t="s">
        <v>13</v>
      </c>
      <c r="C369" s="54">
        <v>13</v>
      </c>
      <c r="D369" s="53" t="s">
        <v>22</v>
      </c>
      <c r="E369" s="53" t="s">
        <v>87</v>
      </c>
      <c r="F369" s="38" t="s">
        <v>88</v>
      </c>
      <c r="G369" s="51">
        <v>1.1000000000000001</v>
      </c>
      <c r="H369" s="53" t="s">
        <v>15</v>
      </c>
      <c r="I369" s="39">
        <v>0.79700000000000004</v>
      </c>
      <c r="J369" s="39">
        <v>0.1583</v>
      </c>
      <c r="K369" s="39">
        <v>0.12739999999999999</v>
      </c>
      <c r="L369" s="39">
        <v>0.10060000000000001</v>
      </c>
      <c r="M369" s="55">
        <v>5000</v>
      </c>
      <c r="N369" s="55">
        <v>1000000</v>
      </c>
    </row>
    <row r="370" spans="1:14" ht="15" customHeight="1" x14ac:dyDescent="0.25">
      <c r="A370" s="64" t="str">
        <f t="shared" si="5"/>
        <v>1.1-14-0-TOU-3 year - with APR</v>
      </c>
      <c r="B370" s="62" t="s">
        <v>13</v>
      </c>
      <c r="C370" s="54">
        <v>14</v>
      </c>
      <c r="D370" s="53" t="s">
        <v>23</v>
      </c>
      <c r="E370" s="53" t="s">
        <v>87</v>
      </c>
      <c r="F370" s="38" t="s">
        <v>88</v>
      </c>
      <c r="G370" s="51">
        <v>1.1000000000000001</v>
      </c>
      <c r="H370" s="53" t="s">
        <v>15</v>
      </c>
      <c r="I370" s="39">
        <v>0.80500000000000005</v>
      </c>
      <c r="J370" s="39">
        <v>0.14979999999999999</v>
      </c>
      <c r="K370" s="39">
        <v>0.1206</v>
      </c>
      <c r="L370" s="39">
        <v>9.5200000000000007E-2</v>
      </c>
      <c r="M370" s="55">
        <v>5000</v>
      </c>
      <c r="N370" s="55">
        <v>1000000</v>
      </c>
    </row>
    <row r="371" spans="1:14" ht="15" customHeight="1" x14ac:dyDescent="0.25">
      <c r="A371" s="64" t="str">
        <f t="shared" si="5"/>
        <v>1.1-15-0-TOU-3 year - with APR</v>
      </c>
      <c r="B371" s="62" t="s">
        <v>13</v>
      </c>
      <c r="C371" s="54">
        <v>15</v>
      </c>
      <c r="D371" s="53" t="s">
        <v>24</v>
      </c>
      <c r="E371" s="53" t="s">
        <v>87</v>
      </c>
      <c r="F371" s="38" t="s">
        <v>88</v>
      </c>
      <c r="G371" s="51">
        <v>1.1000000000000001</v>
      </c>
      <c r="H371" s="53" t="s">
        <v>15</v>
      </c>
      <c r="I371" s="39">
        <v>0.86899999999999999</v>
      </c>
      <c r="J371" s="39">
        <v>0.15059999999999998</v>
      </c>
      <c r="K371" s="39">
        <v>0.12130000000000001</v>
      </c>
      <c r="L371" s="39">
        <v>9.5699999999999993E-2</v>
      </c>
      <c r="M371" s="55">
        <v>5000</v>
      </c>
      <c r="N371" s="55">
        <v>1000000</v>
      </c>
    </row>
    <row r="372" spans="1:14" ht="15" customHeight="1" x14ac:dyDescent="0.25">
      <c r="A372" s="64" t="str">
        <f t="shared" si="5"/>
        <v>1.1-16-0-TOU-3 year - with APR</v>
      </c>
      <c r="B372" s="62" t="s">
        <v>13</v>
      </c>
      <c r="C372" s="54">
        <v>16</v>
      </c>
      <c r="D372" s="53" t="s">
        <v>25</v>
      </c>
      <c r="E372" s="53" t="s">
        <v>87</v>
      </c>
      <c r="F372" s="38" t="s">
        <v>88</v>
      </c>
      <c r="G372" s="51">
        <v>1.1000000000000001</v>
      </c>
      <c r="H372" s="53" t="s">
        <v>15</v>
      </c>
      <c r="I372" s="39">
        <v>0.65800000000000003</v>
      </c>
      <c r="J372" s="39">
        <v>0.14939999999999998</v>
      </c>
      <c r="K372" s="39">
        <v>0.1203</v>
      </c>
      <c r="L372" s="39">
        <v>9.5000000000000001E-2</v>
      </c>
      <c r="M372" s="55">
        <v>5000</v>
      </c>
      <c r="N372" s="55">
        <v>1000000</v>
      </c>
    </row>
    <row r="373" spans="1:14" ht="15" customHeight="1" x14ac:dyDescent="0.25">
      <c r="A373" s="64" t="str">
        <f t="shared" si="5"/>
        <v>1.1-17-0-TOU-3 year - with APR</v>
      </c>
      <c r="B373" s="62" t="s">
        <v>13</v>
      </c>
      <c r="C373" s="54">
        <v>17</v>
      </c>
      <c r="D373" s="53" t="s">
        <v>26</v>
      </c>
      <c r="E373" s="53" t="s">
        <v>87</v>
      </c>
      <c r="F373" s="38" t="s">
        <v>88</v>
      </c>
      <c r="G373" s="51">
        <v>1.1000000000000001</v>
      </c>
      <c r="H373" s="53" t="s">
        <v>15</v>
      </c>
      <c r="I373" s="39">
        <v>1.343</v>
      </c>
      <c r="J373" s="39">
        <v>0.16779999999999998</v>
      </c>
      <c r="K373" s="39">
        <v>0.1351</v>
      </c>
      <c r="L373" s="39">
        <v>0.1067</v>
      </c>
      <c r="M373" s="55">
        <v>5000</v>
      </c>
      <c r="N373" s="55">
        <v>1000000</v>
      </c>
    </row>
    <row r="374" spans="1:14" ht="15" customHeight="1" x14ac:dyDescent="0.25">
      <c r="A374" s="64" t="str">
        <f t="shared" si="5"/>
        <v>1.1-18-0-TOU-3 year - with APR</v>
      </c>
      <c r="B374" s="62" t="s">
        <v>13</v>
      </c>
      <c r="C374" s="54">
        <v>18</v>
      </c>
      <c r="D374" s="53" t="s">
        <v>27</v>
      </c>
      <c r="E374" s="53" t="s">
        <v>87</v>
      </c>
      <c r="F374" s="38" t="s">
        <v>88</v>
      </c>
      <c r="G374" s="51">
        <v>1.1000000000000001</v>
      </c>
      <c r="H374" s="53" t="s">
        <v>15</v>
      </c>
      <c r="I374" s="39">
        <v>0.81399999999999995</v>
      </c>
      <c r="J374" s="39">
        <v>0.14859999999999998</v>
      </c>
      <c r="K374" s="39">
        <v>0.1197</v>
      </c>
      <c r="L374" s="39">
        <v>9.4500000000000001E-2</v>
      </c>
      <c r="M374" s="55">
        <v>5000</v>
      </c>
      <c r="N374" s="55">
        <v>1000000</v>
      </c>
    </row>
    <row r="375" spans="1:14" ht="15" customHeight="1" x14ac:dyDescent="0.25">
      <c r="A375" s="64" t="str">
        <f t="shared" si="5"/>
        <v>1.1-19-0-TOU-3 year - with APR</v>
      </c>
      <c r="B375" s="62" t="s">
        <v>13</v>
      </c>
      <c r="C375" s="54">
        <v>19</v>
      </c>
      <c r="D375" s="53" t="s">
        <v>28</v>
      </c>
      <c r="E375" s="53" t="s">
        <v>87</v>
      </c>
      <c r="F375" s="38" t="s">
        <v>88</v>
      </c>
      <c r="G375" s="51">
        <v>1.1000000000000001</v>
      </c>
      <c r="H375" s="53" t="s">
        <v>15</v>
      </c>
      <c r="I375" s="39">
        <v>0.70399999999999996</v>
      </c>
      <c r="J375" s="39">
        <v>0.14779999999999999</v>
      </c>
      <c r="K375" s="39">
        <v>0.11900000000000001</v>
      </c>
      <c r="L375" s="39">
        <v>9.3899999999999997E-2</v>
      </c>
      <c r="M375" s="55">
        <v>5000</v>
      </c>
      <c r="N375" s="55">
        <v>1000000</v>
      </c>
    </row>
    <row r="376" spans="1:14" ht="15" customHeight="1" x14ac:dyDescent="0.25">
      <c r="A376" s="64" t="str">
        <f t="shared" si="5"/>
        <v>1.1-20-0-TOU-3 year - with APR</v>
      </c>
      <c r="B376" s="62" t="s">
        <v>13</v>
      </c>
      <c r="C376" s="54">
        <v>20</v>
      </c>
      <c r="D376" s="53" t="s">
        <v>29</v>
      </c>
      <c r="E376" s="53" t="s">
        <v>87</v>
      </c>
      <c r="F376" s="38" t="s">
        <v>88</v>
      </c>
      <c r="G376" s="51">
        <v>1.1000000000000001</v>
      </c>
      <c r="H376" s="53" t="s">
        <v>15</v>
      </c>
      <c r="I376" s="39">
        <v>0.748</v>
      </c>
      <c r="J376" s="39">
        <v>0.14739999999999998</v>
      </c>
      <c r="K376" s="39">
        <v>0.1187</v>
      </c>
      <c r="L376" s="39">
        <v>9.3700000000000006E-2</v>
      </c>
      <c r="M376" s="55">
        <v>5000</v>
      </c>
      <c r="N376" s="55">
        <v>1000000</v>
      </c>
    </row>
    <row r="377" spans="1:14" ht="15" customHeight="1" x14ac:dyDescent="0.25">
      <c r="A377" s="64" t="str">
        <f t="shared" si="5"/>
        <v>1.1-21-0-TOU-3 year - with APR</v>
      </c>
      <c r="B377" s="62" t="s">
        <v>13</v>
      </c>
      <c r="C377" s="54">
        <v>21</v>
      </c>
      <c r="D377" s="53" t="s">
        <v>30</v>
      </c>
      <c r="E377" s="53" t="s">
        <v>87</v>
      </c>
      <c r="F377" s="38" t="s">
        <v>88</v>
      </c>
      <c r="G377" s="51">
        <v>1.1000000000000001</v>
      </c>
      <c r="H377" s="53" t="s">
        <v>15</v>
      </c>
      <c r="I377" s="39">
        <v>0.83499999999999996</v>
      </c>
      <c r="J377" s="39">
        <v>0.1573</v>
      </c>
      <c r="K377" s="39">
        <v>0.12669999999999998</v>
      </c>
      <c r="L377" s="39">
        <v>0.1</v>
      </c>
      <c r="M377" s="55">
        <v>5000</v>
      </c>
      <c r="N377" s="55">
        <v>1000000</v>
      </c>
    </row>
    <row r="378" spans="1:14" ht="15" customHeight="1" x14ac:dyDescent="0.25">
      <c r="A378" s="64" t="str">
        <f t="shared" si="5"/>
        <v>1.1-22-0-TOU-3 year - with APR</v>
      </c>
      <c r="B378" s="62" t="s">
        <v>13</v>
      </c>
      <c r="C378" s="54">
        <v>22</v>
      </c>
      <c r="D378" s="53" t="s">
        <v>31</v>
      </c>
      <c r="E378" s="53" t="s">
        <v>87</v>
      </c>
      <c r="F378" s="38" t="s">
        <v>88</v>
      </c>
      <c r="G378" s="51">
        <v>1.1000000000000001</v>
      </c>
      <c r="H378" s="53" t="s">
        <v>15</v>
      </c>
      <c r="I378" s="39">
        <v>0.81799999999999995</v>
      </c>
      <c r="J378" s="39">
        <v>0.15789999999999998</v>
      </c>
      <c r="K378" s="39">
        <v>0.12719999999999998</v>
      </c>
      <c r="L378" s="39">
        <v>0.1004</v>
      </c>
      <c r="M378" s="55">
        <v>5000</v>
      </c>
      <c r="N378" s="55">
        <v>1000000</v>
      </c>
    </row>
    <row r="379" spans="1:14" ht="15" customHeight="1" x14ac:dyDescent="0.25">
      <c r="A379" s="64" t="str">
        <f t="shared" si="5"/>
        <v>1.1-23-0-TOU-3 year - with APR</v>
      </c>
      <c r="B379" s="62" t="s">
        <v>13</v>
      </c>
      <c r="C379" s="54">
        <v>23</v>
      </c>
      <c r="D379" s="53" t="s">
        <v>32</v>
      </c>
      <c r="E379" s="53" t="s">
        <v>87</v>
      </c>
      <c r="F379" s="38" t="s">
        <v>88</v>
      </c>
      <c r="G379" s="51">
        <v>1.1000000000000001</v>
      </c>
      <c r="H379" s="53" t="s">
        <v>15</v>
      </c>
      <c r="I379" s="39">
        <v>0.82</v>
      </c>
      <c r="J379" s="39">
        <v>0.15049999999999999</v>
      </c>
      <c r="K379" s="39">
        <v>0.1212</v>
      </c>
      <c r="L379" s="39">
        <v>9.5700000000000007E-2</v>
      </c>
      <c r="M379" s="55">
        <v>5000</v>
      </c>
      <c r="N379" s="55">
        <v>1000000</v>
      </c>
    </row>
    <row r="380" spans="1:14" ht="15" customHeight="1" x14ac:dyDescent="0.25">
      <c r="A380" s="64" t="str">
        <f t="shared" si="5"/>
        <v>1.1-10-0-TOU-2 year Fixed</v>
      </c>
      <c r="B380" s="62" t="s">
        <v>13</v>
      </c>
      <c r="C380" s="54">
        <v>10</v>
      </c>
      <c r="D380" s="53" t="s">
        <v>14</v>
      </c>
      <c r="E380" s="53" t="s">
        <v>87</v>
      </c>
      <c r="F380" s="38" t="s">
        <v>88</v>
      </c>
      <c r="G380" s="51">
        <v>1.1000000000000001</v>
      </c>
      <c r="H380" s="53" t="s">
        <v>33</v>
      </c>
      <c r="I380" s="39">
        <v>0.79700000000000004</v>
      </c>
      <c r="J380" s="39">
        <v>0.15589999999999998</v>
      </c>
      <c r="K380" s="39">
        <v>0.1255</v>
      </c>
      <c r="L380" s="39">
        <v>9.9100000000000008E-2</v>
      </c>
      <c r="M380" s="55">
        <v>5000</v>
      </c>
      <c r="N380" s="55">
        <v>1000000</v>
      </c>
    </row>
    <row r="381" spans="1:14" ht="15" customHeight="1" x14ac:dyDescent="0.25">
      <c r="A381" s="64" t="str">
        <f t="shared" si="5"/>
        <v>1.1-11-0-TOU-2 year Fixed</v>
      </c>
      <c r="B381" s="62" t="s">
        <v>13</v>
      </c>
      <c r="C381" s="54">
        <v>11</v>
      </c>
      <c r="D381" s="53" t="s">
        <v>20</v>
      </c>
      <c r="E381" s="53" t="s">
        <v>87</v>
      </c>
      <c r="F381" s="38" t="s">
        <v>88</v>
      </c>
      <c r="G381" s="51">
        <v>1.1000000000000001</v>
      </c>
      <c r="H381" s="53" t="s">
        <v>33</v>
      </c>
      <c r="I381" s="39">
        <v>0.77900000000000003</v>
      </c>
      <c r="J381" s="39">
        <v>0.159</v>
      </c>
      <c r="K381" s="39">
        <v>0.128</v>
      </c>
      <c r="L381" s="39">
        <v>0.10110000000000001</v>
      </c>
      <c r="M381" s="55">
        <v>5000</v>
      </c>
      <c r="N381" s="55">
        <v>1000000</v>
      </c>
    </row>
    <row r="382" spans="1:14" ht="15" customHeight="1" x14ac:dyDescent="0.25">
      <c r="A382" s="64" t="str">
        <f t="shared" si="5"/>
        <v>1.1-12-0-TOU-2 year Fixed</v>
      </c>
      <c r="B382" s="62" t="s">
        <v>13</v>
      </c>
      <c r="C382" s="54">
        <v>12</v>
      </c>
      <c r="D382" s="53" t="s">
        <v>21</v>
      </c>
      <c r="E382" s="53" t="s">
        <v>87</v>
      </c>
      <c r="F382" s="38" t="s">
        <v>88</v>
      </c>
      <c r="G382" s="51">
        <v>1.1000000000000001</v>
      </c>
      <c r="H382" s="53" t="s">
        <v>33</v>
      </c>
      <c r="I382" s="39">
        <v>0.81699999999999995</v>
      </c>
      <c r="J382" s="39">
        <v>0.15559999999999999</v>
      </c>
      <c r="K382" s="39">
        <v>0.12529999999999999</v>
      </c>
      <c r="L382" s="39">
        <v>9.8900000000000002E-2</v>
      </c>
      <c r="M382" s="55">
        <v>5000</v>
      </c>
      <c r="N382" s="55">
        <v>1000000</v>
      </c>
    </row>
    <row r="383" spans="1:14" ht="15" customHeight="1" x14ac:dyDescent="0.25">
      <c r="A383" s="64" t="str">
        <f t="shared" si="5"/>
        <v>1.1-13-0-TOU-2 year Fixed</v>
      </c>
      <c r="B383" s="62" t="s">
        <v>13</v>
      </c>
      <c r="C383" s="54">
        <v>13</v>
      </c>
      <c r="D383" s="53" t="s">
        <v>22</v>
      </c>
      <c r="E383" s="53" t="s">
        <v>87</v>
      </c>
      <c r="F383" s="38" t="s">
        <v>88</v>
      </c>
      <c r="G383" s="51">
        <v>1.1000000000000001</v>
      </c>
      <c r="H383" s="53" t="s">
        <v>33</v>
      </c>
      <c r="I383" s="39">
        <v>0.79700000000000004</v>
      </c>
      <c r="J383" s="39">
        <v>0.16869999999999999</v>
      </c>
      <c r="K383" s="39">
        <v>0.13579999999999998</v>
      </c>
      <c r="L383" s="39">
        <v>0.1072</v>
      </c>
      <c r="M383" s="55">
        <v>5000</v>
      </c>
      <c r="N383" s="55">
        <v>1000000</v>
      </c>
    </row>
    <row r="384" spans="1:14" ht="15" customHeight="1" x14ac:dyDescent="0.25">
      <c r="A384" s="64" t="str">
        <f t="shared" si="5"/>
        <v>1.1-14-0-TOU-2 year Fixed</v>
      </c>
      <c r="B384" s="62" t="s">
        <v>13</v>
      </c>
      <c r="C384" s="54">
        <v>14</v>
      </c>
      <c r="D384" s="53" t="s">
        <v>23</v>
      </c>
      <c r="E384" s="53" t="s">
        <v>87</v>
      </c>
      <c r="F384" s="38" t="s">
        <v>88</v>
      </c>
      <c r="G384" s="51">
        <v>1.1000000000000001</v>
      </c>
      <c r="H384" s="53" t="s">
        <v>33</v>
      </c>
      <c r="I384" s="39">
        <v>0.80500000000000005</v>
      </c>
      <c r="J384" s="39">
        <v>0.16009999999999999</v>
      </c>
      <c r="K384" s="39">
        <v>0.12889999999999999</v>
      </c>
      <c r="L384" s="39">
        <v>0.1017</v>
      </c>
      <c r="M384" s="55">
        <v>5000</v>
      </c>
      <c r="N384" s="55">
        <v>1000000</v>
      </c>
    </row>
    <row r="385" spans="1:14" ht="15" customHeight="1" x14ac:dyDescent="0.25">
      <c r="A385" s="64" t="str">
        <f t="shared" si="5"/>
        <v>1.1-15-0-TOU-2 year Fixed</v>
      </c>
      <c r="B385" s="62" t="s">
        <v>13</v>
      </c>
      <c r="C385" s="54">
        <v>15</v>
      </c>
      <c r="D385" s="53" t="s">
        <v>24</v>
      </c>
      <c r="E385" s="53" t="s">
        <v>87</v>
      </c>
      <c r="F385" s="38" t="s">
        <v>88</v>
      </c>
      <c r="G385" s="51">
        <v>1.1000000000000001</v>
      </c>
      <c r="H385" s="53" t="s">
        <v>33</v>
      </c>
      <c r="I385" s="39">
        <v>0.86899999999999999</v>
      </c>
      <c r="J385" s="39">
        <v>0.1598</v>
      </c>
      <c r="K385" s="39">
        <v>0.12869999999999998</v>
      </c>
      <c r="L385" s="39">
        <v>0.10160000000000001</v>
      </c>
      <c r="M385" s="55">
        <v>5000</v>
      </c>
      <c r="N385" s="55">
        <v>1000000</v>
      </c>
    </row>
    <row r="386" spans="1:14" ht="15" customHeight="1" x14ac:dyDescent="0.25">
      <c r="A386" s="64" t="str">
        <f t="shared" si="5"/>
        <v>1.1-16-0-TOU-2 year Fixed</v>
      </c>
      <c r="B386" s="62" t="s">
        <v>13</v>
      </c>
      <c r="C386" s="54">
        <v>16</v>
      </c>
      <c r="D386" s="53" t="s">
        <v>25</v>
      </c>
      <c r="E386" s="53" t="s">
        <v>87</v>
      </c>
      <c r="F386" s="38" t="s">
        <v>88</v>
      </c>
      <c r="G386" s="51">
        <v>1.1000000000000001</v>
      </c>
      <c r="H386" s="53" t="s">
        <v>33</v>
      </c>
      <c r="I386" s="39">
        <v>0.65800000000000003</v>
      </c>
      <c r="J386" s="39">
        <v>0.15909999999999999</v>
      </c>
      <c r="K386" s="39">
        <v>0.12809999999999999</v>
      </c>
      <c r="L386" s="39">
        <v>0.1011</v>
      </c>
      <c r="M386" s="55">
        <v>5000</v>
      </c>
      <c r="N386" s="55">
        <v>1000000</v>
      </c>
    </row>
    <row r="387" spans="1:14" ht="15" customHeight="1" x14ac:dyDescent="0.25">
      <c r="A387" s="64" t="str">
        <f t="shared" ref="A387:A450" si="6">IF(E387="OP","",CONCATENATE(G387,"-",C387,"-",RIGHT(F387,1),"-",E387,"-",H387))</f>
        <v>1.1-17-0-TOU-2 year Fixed</v>
      </c>
      <c r="B387" s="62" t="s">
        <v>13</v>
      </c>
      <c r="C387" s="54">
        <v>17</v>
      </c>
      <c r="D387" s="53" t="s">
        <v>26</v>
      </c>
      <c r="E387" s="53" t="s">
        <v>87</v>
      </c>
      <c r="F387" s="38" t="s">
        <v>88</v>
      </c>
      <c r="G387" s="51">
        <v>1.1000000000000001</v>
      </c>
      <c r="H387" s="53" t="s">
        <v>33</v>
      </c>
      <c r="I387" s="39">
        <v>1.5109999999999999</v>
      </c>
      <c r="J387" s="39">
        <v>0.17809999999999998</v>
      </c>
      <c r="K387" s="39">
        <v>0.1434</v>
      </c>
      <c r="L387" s="39">
        <v>0.11320000000000001</v>
      </c>
      <c r="M387" s="55">
        <v>5000</v>
      </c>
      <c r="N387" s="55">
        <v>1000000</v>
      </c>
    </row>
    <row r="388" spans="1:14" ht="15" customHeight="1" x14ac:dyDescent="0.25">
      <c r="A388" s="64" t="str">
        <f t="shared" si="6"/>
        <v>1.1-18-0-TOU-2 year Fixed</v>
      </c>
      <c r="B388" s="62" t="s">
        <v>13</v>
      </c>
      <c r="C388" s="54">
        <v>18</v>
      </c>
      <c r="D388" s="53" t="s">
        <v>27</v>
      </c>
      <c r="E388" s="53" t="s">
        <v>87</v>
      </c>
      <c r="F388" s="38" t="s">
        <v>88</v>
      </c>
      <c r="G388" s="51">
        <v>1.1000000000000001</v>
      </c>
      <c r="H388" s="53" t="s">
        <v>33</v>
      </c>
      <c r="I388" s="39">
        <v>0.81399999999999995</v>
      </c>
      <c r="J388" s="39">
        <v>0.15859999999999999</v>
      </c>
      <c r="K388" s="39">
        <v>0.12769999999999998</v>
      </c>
      <c r="L388" s="39">
        <v>0.1008</v>
      </c>
      <c r="M388" s="55">
        <v>5000</v>
      </c>
      <c r="N388" s="55">
        <v>1000000</v>
      </c>
    </row>
    <row r="389" spans="1:14" ht="15" customHeight="1" x14ac:dyDescent="0.25">
      <c r="A389" s="64" t="str">
        <f t="shared" si="6"/>
        <v>1.1-19-0-TOU-2 year Fixed</v>
      </c>
      <c r="B389" s="62" t="s">
        <v>13</v>
      </c>
      <c r="C389" s="54">
        <v>19</v>
      </c>
      <c r="D389" s="53" t="s">
        <v>28</v>
      </c>
      <c r="E389" s="53" t="s">
        <v>87</v>
      </c>
      <c r="F389" s="38" t="s">
        <v>88</v>
      </c>
      <c r="G389" s="51">
        <v>1.1000000000000001</v>
      </c>
      <c r="H389" s="53" t="s">
        <v>33</v>
      </c>
      <c r="I389" s="39">
        <v>0.70399999999999996</v>
      </c>
      <c r="J389" s="39">
        <v>0.1575</v>
      </c>
      <c r="K389" s="39">
        <v>0.1268</v>
      </c>
      <c r="L389" s="39">
        <v>0.10010000000000001</v>
      </c>
      <c r="M389" s="55">
        <v>5000</v>
      </c>
      <c r="N389" s="55">
        <v>1000000</v>
      </c>
    </row>
    <row r="390" spans="1:14" ht="15" customHeight="1" x14ac:dyDescent="0.25">
      <c r="A390" s="64" t="str">
        <f t="shared" si="6"/>
        <v>1.1-20-0-TOU-2 year Fixed</v>
      </c>
      <c r="B390" s="62" t="s">
        <v>13</v>
      </c>
      <c r="C390" s="54">
        <v>20</v>
      </c>
      <c r="D390" s="53" t="s">
        <v>29</v>
      </c>
      <c r="E390" s="53" t="s">
        <v>87</v>
      </c>
      <c r="F390" s="38" t="s">
        <v>88</v>
      </c>
      <c r="G390" s="51">
        <v>1.1000000000000001</v>
      </c>
      <c r="H390" s="53" t="s">
        <v>33</v>
      </c>
      <c r="I390" s="39">
        <v>0.748</v>
      </c>
      <c r="J390" s="39">
        <v>0.15759999999999999</v>
      </c>
      <c r="K390" s="39">
        <v>0.12689999999999999</v>
      </c>
      <c r="L390" s="39">
        <v>0.1002</v>
      </c>
      <c r="M390" s="55">
        <v>5000</v>
      </c>
      <c r="N390" s="55">
        <v>1000000</v>
      </c>
    </row>
    <row r="391" spans="1:14" ht="15" customHeight="1" x14ac:dyDescent="0.25">
      <c r="A391" s="64" t="str">
        <f t="shared" si="6"/>
        <v>1.1-21-0-TOU-2 year Fixed</v>
      </c>
      <c r="B391" s="62" t="s">
        <v>13</v>
      </c>
      <c r="C391" s="54">
        <v>21</v>
      </c>
      <c r="D391" s="53" t="s">
        <v>30</v>
      </c>
      <c r="E391" s="53" t="s">
        <v>87</v>
      </c>
      <c r="F391" s="38" t="s">
        <v>88</v>
      </c>
      <c r="G391" s="51">
        <v>1.1000000000000001</v>
      </c>
      <c r="H391" s="53" t="s">
        <v>33</v>
      </c>
      <c r="I391" s="39">
        <v>0.83499999999999996</v>
      </c>
      <c r="J391" s="39">
        <v>0.16769999999999999</v>
      </c>
      <c r="K391" s="39">
        <v>0.13499999999999998</v>
      </c>
      <c r="L391" s="39">
        <v>0.1066</v>
      </c>
      <c r="M391" s="55">
        <v>5000</v>
      </c>
      <c r="N391" s="55">
        <v>1000000</v>
      </c>
    </row>
    <row r="392" spans="1:14" ht="15" customHeight="1" x14ac:dyDescent="0.25">
      <c r="A392" s="64" t="str">
        <f t="shared" si="6"/>
        <v>1.1-22-0-TOU-2 year Fixed</v>
      </c>
      <c r="B392" s="62" t="s">
        <v>13</v>
      </c>
      <c r="C392" s="54">
        <v>22</v>
      </c>
      <c r="D392" s="53" t="s">
        <v>31</v>
      </c>
      <c r="E392" s="53" t="s">
        <v>87</v>
      </c>
      <c r="F392" s="38" t="s">
        <v>88</v>
      </c>
      <c r="G392" s="51">
        <v>1.1000000000000001</v>
      </c>
      <c r="H392" s="53" t="s">
        <v>33</v>
      </c>
      <c r="I392" s="39">
        <v>0.81799999999999995</v>
      </c>
      <c r="J392" s="39">
        <v>0.16829999999999998</v>
      </c>
      <c r="K392" s="39">
        <v>0.13549999999999998</v>
      </c>
      <c r="L392" s="39">
        <v>0.107</v>
      </c>
      <c r="M392" s="55">
        <v>5000</v>
      </c>
      <c r="N392" s="55">
        <v>1000000</v>
      </c>
    </row>
    <row r="393" spans="1:14" ht="15" customHeight="1" x14ac:dyDescent="0.25">
      <c r="A393" s="64" t="str">
        <f t="shared" si="6"/>
        <v>1.1-23-0-TOU-2 year Fixed</v>
      </c>
      <c r="B393" s="62" t="s">
        <v>13</v>
      </c>
      <c r="C393" s="54">
        <v>23</v>
      </c>
      <c r="D393" s="53" t="s">
        <v>32</v>
      </c>
      <c r="E393" s="53" t="s">
        <v>87</v>
      </c>
      <c r="F393" s="38" t="s">
        <v>88</v>
      </c>
      <c r="G393" s="51">
        <v>1.1000000000000001</v>
      </c>
      <c r="H393" s="53" t="s">
        <v>33</v>
      </c>
      <c r="I393" s="39">
        <v>0.82</v>
      </c>
      <c r="J393" s="39">
        <v>0.16009999999999999</v>
      </c>
      <c r="K393" s="39">
        <v>0.12889999999999999</v>
      </c>
      <c r="L393" s="39">
        <v>0.1017</v>
      </c>
      <c r="M393" s="55">
        <v>5000</v>
      </c>
      <c r="N393" s="55">
        <v>1000000</v>
      </c>
    </row>
    <row r="394" spans="1:14" ht="15" customHeight="1" x14ac:dyDescent="0.25">
      <c r="A394" s="64" t="str">
        <f t="shared" si="6"/>
        <v>1.2-10-0-TOU-3 year - with APR</v>
      </c>
      <c r="B394" s="62" t="s">
        <v>13</v>
      </c>
      <c r="C394" s="54">
        <v>10</v>
      </c>
      <c r="D394" s="53" t="s">
        <v>14</v>
      </c>
      <c r="E394" s="53" t="s">
        <v>87</v>
      </c>
      <c r="F394" s="38" t="s">
        <v>88</v>
      </c>
      <c r="G394" s="51">
        <v>1.2</v>
      </c>
      <c r="H394" s="53" t="s">
        <v>15</v>
      </c>
      <c r="I394" s="39">
        <v>0.79700000000000004</v>
      </c>
      <c r="J394" s="39">
        <v>0.14779999999999999</v>
      </c>
      <c r="K394" s="39">
        <v>0.11900000000000001</v>
      </c>
      <c r="L394" s="39">
        <v>9.3899999999999997E-2</v>
      </c>
      <c r="M394" s="55">
        <v>5000</v>
      </c>
      <c r="N394" s="55">
        <v>1000000</v>
      </c>
    </row>
    <row r="395" spans="1:14" ht="15" customHeight="1" x14ac:dyDescent="0.25">
      <c r="A395" s="64" t="str">
        <f t="shared" si="6"/>
        <v>1.2-11-0-TOU-3 year - with APR</v>
      </c>
      <c r="B395" s="62" t="s">
        <v>13</v>
      </c>
      <c r="C395" s="54">
        <v>11</v>
      </c>
      <c r="D395" s="53" t="s">
        <v>20</v>
      </c>
      <c r="E395" s="53" t="s">
        <v>87</v>
      </c>
      <c r="F395" s="38" t="s">
        <v>88</v>
      </c>
      <c r="G395" s="51">
        <v>1.2</v>
      </c>
      <c r="H395" s="53" t="s">
        <v>15</v>
      </c>
      <c r="I395" s="39">
        <v>0.77900000000000003</v>
      </c>
      <c r="J395" s="39">
        <v>0.15</v>
      </c>
      <c r="K395" s="39">
        <v>0.1208</v>
      </c>
      <c r="L395" s="39">
        <v>9.5399999999999999E-2</v>
      </c>
      <c r="M395" s="55">
        <v>5000</v>
      </c>
      <c r="N395" s="55">
        <v>1000000</v>
      </c>
    </row>
    <row r="396" spans="1:14" ht="15" customHeight="1" x14ac:dyDescent="0.25">
      <c r="A396" s="64" t="str">
        <f t="shared" si="6"/>
        <v>1.2-12-0-TOU-3 year - with APR</v>
      </c>
      <c r="B396" s="62" t="s">
        <v>13</v>
      </c>
      <c r="C396" s="54">
        <v>12</v>
      </c>
      <c r="D396" s="53" t="s">
        <v>21</v>
      </c>
      <c r="E396" s="53" t="s">
        <v>87</v>
      </c>
      <c r="F396" s="38" t="s">
        <v>88</v>
      </c>
      <c r="G396" s="51">
        <v>1.2</v>
      </c>
      <c r="H396" s="53" t="s">
        <v>15</v>
      </c>
      <c r="I396" s="39">
        <v>0.81699999999999995</v>
      </c>
      <c r="J396" s="39">
        <v>0.14729999999999999</v>
      </c>
      <c r="K396" s="39">
        <v>0.1186</v>
      </c>
      <c r="L396" s="39">
        <v>9.3600000000000003E-2</v>
      </c>
      <c r="M396" s="55">
        <v>5000</v>
      </c>
      <c r="N396" s="55">
        <v>1000000</v>
      </c>
    </row>
    <row r="397" spans="1:14" ht="15" customHeight="1" x14ac:dyDescent="0.25">
      <c r="A397" s="64" t="str">
        <f t="shared" si="6"/>
        <v>1.2-13-0-TOU-3 year - with APR</v>
      </c>
      <c r="B397" s="62" t="s">
        <v>13</v>
      </c>
      <c r="C397" s="54">
        <v>13</v>
      </c>
      <c r="D397" s="53" t="s">
        <v>22</v>
      </c>
      <c r="E397" s="53" t="s">
        <v>87</v>
      </c>
      <c r="F397" s="38" t="s">
        <v>88</v>
      </c>
      <c r="G397" s="51">
        <v>1.2</v>
      </c>
      <c r="H397" s="53" t="s">
        <v>15</v>
      </c>
      <c r="I397" s="39">
        <v>0.79700000000000004</v>
      </c>
      <c r="J397" s="39">
        <v>0.15949999999999998</v>
      </c>
      <c r="K397" s="39">
        <v>0.12839999999999999</v>
      </c>
      <c r="L397" s="39">
        <v>0.1014</v>
      </c>
      <c r="M397" s="55">
        <v>5000</v>
      </c>
      <c r="N397" s="55">
        <v>1000000</v>
      </c>
    </row>
    <row r="398" spans="1:14" ht="15" customHeight="1" x14ac:dyDescent="0.25">
      <c r="A398" s="64" t="str">
        <f t="shared" si="6"/>
        <v>1.2-14-0-TOU-3 year - with APR</v>
      </c>
      <c r="B398" s="62" t="s">
        <v>13</v>
      </c>
      <c r="C398" s="54">
        <v>14</v>
      </c>
      <c r="D398" s="53" t="s">
        <v>23</v>
      </c>
      <c r="E398" s="53" t="s">
        <v>87</v>
      </c>
      <c r="F398" s="38" t="s">
        <v>88</v>
      </c>
      <c r="G398" s="51">
        <v>1.2</v>
      </c>
      <c r="H398" s="53" t="s">
        <v>15</v>
      </c>
      <c r="I398" s="39">
        <v>0.80500000000000005</v>
      </c>
      <c r="J398" s="39">
        <v>0.151</v>
      </c>
      <c r="K398" s="39">
        <v>0.1216</v>
      </c>
      <c r="L398" s="39">
        <v>9.6000000000000002E-2</v>
      </c>
      <c r="M398" s="55">
        <v>5000</v>
      </c>
      <c r="N398" s="55">
        <v>1000000</v>
      </c>
    </row>
    <row r="399" spans="1:14" ht="15" customHeight="1" x14ac:dyDescent="0.25">
      <c r="A399" s="64" t="str">
        <f t="shared" si="6"/>
        <v>1.2-15-0-TOU-3 year - with APR</v>
      </c>
      <c r="B399" s="62" t="s">
        <v>13</v>
      </c>
      <c r="C399" s="54">
        <v>15</v>
      </c>
      <c r="D399" s="53" t="s">
        <v>24</v>
      </c>
      <c r="E399" s="53" t="s">
        <v>87</v>
      </c>
      <c r="F399" s="38" t="s">
        <v>88</v>
      </c>
      <c r="G399" s="51">
        <v>1.2</v>
      </c>
      <c r="H399" s="53" t="s">
        <v>15</v>
      </c>
      <c r="I399" s="39">
        <v>0.86899999999999999</v>
      </c>
      <c r="J399" s="39">
        <v>0.15179999999999999</v>
      </c>
      <c r="K399" s="39">
        <v>0.1222</v>
      </c>
      <c r="L399" s="39">
        <v>9.6500000000000002E-2</v>
      </c>
      <c r="M399" s="55">
        <v>5000</v>
      </c>
      <c r="N399" s="55">
        <v>1000000</v>
      </c>
    </row>
    <row r="400" spans="1:14" ht="15" customHeight="1" x14ac:dyDescent="0.25">
      <c r="A400" s="64" t="str">
        <f t="shared" si="6"/>
        <v>1.2-16-0-TOU-3 year - with APR</v>
      </c>
      <c r="B400" s="62" t="s">
        <v>13</v>
      </c>
      <c r="C400" s="54">
        <v>16</v>
      </c>
      <c r="D400" s="53" t="s">
        <v>25</v>
      </c>
      <c r="E400" s="53" t="s">
        <v>87</v>
      </c>
      <c r="F400" s="38" t="s">
        <v>88</v>
      </c>
      <c r="G400" s="51">
        <v>1.2</v>
      </c>
      <c r="H400" s="53" t="s">
        <v>15</v>
      </c>
      <c r="I400" s="39">
        <v>0.65800000000000003</v>
      </c>
      <c r="J400" s="39">
        <v>0.15059999999999998</v>
      </c>
      <c r="K400" s="39">
        <v>0.12130000000000001</v>
      </c>
      <c r="L400" s="39">
        <v>9.5699999999999993E-2</v>
      </c>
      <c r="M400" s="55">
        <v>5000</v>
      </c>
      <c r="N400" s="55">
        <v>1000000</v>
      </c>
    </row>
    <row r="401" spans="1:14" ht="15" customHeight="1" x14ac:dyDescent="0.25">
      <c r="A401" s="64" t="str">
        <f t="shared" si="6"/>
        <v>1.2-17-0-TOU-3 year - with APR</v>
      </c>
      <c r="B401" s="62" t="s">
        <v>13</v>
      </c>
      <c r="C401" s="54">
        <v>17</v>
      </c>
      <c r="D401" s="53" t="s">
        <v>26</v>
      </c>
      <c r="E401" s="53" t="s">
        <v>87</v>
      </c>
      <c r="F401" s="38" t="s">
        <v>88</v>
      </c>
      <c r="G401" s="51">
        <v>1.2</v>
      </c>
      <c r="H401" s="53" t="s">
        <v>15</v>
      </c>
      <c r="I401" s="39">
        <v>1.343</v>
      </c>
      <c r="J401" s="39">
        <v>0.16899999999999998</v>
      </c>
      <c r="K401" s="39">
        <v>0.1361</v>
      </c>
      <c r="L401" s="39">
        <v>0.1074</v>
      </c>
      <c r="M401" s="55">
        <v>5000</v>
      </c>
      <c r="N401" s="55">
        <v>1000000</v>
      </c>
    </row>
    <row r="402" spans="1:14" ht="15" customHeight="1" x14ac:dyDescent="0.25">
      <c r="A402" s="64" t="str">
        <f t="shared" si="6"/>
        <v>1.2-18-0-TOU-3 year - with APR</v>
      </c>
      <c r="B402" s="62" t="s">
        <v>13</v>
      </c>
      <c r="C402" s="54">
        <v>18</v>
      </c>
      <c r="D402" s="53" t="s">
        <v>27</v>
      </c>
      <c r="E402" s="53" t="s">
        <v>87</v>
      </c>
      <c r="F402" s="38" t="s">
        <v>88</v>
      </c>
      <c r="G402" s="51">
        <v>1.2</v>
      </c>
      <c r="H402" s="53" t="s">
        <v>15</v>
      </c>
      <c r="I402" s="39">
        <v>0.81399999999999995</v>
      </c>
      <c r="J402" s="39">
        <v>0.14979999999999999</v>
      </c>
      <c r="K402" s="39">
        <v>0.1206</v>
      </c>
      <c r="L402" s="39">
        <v>9.5200000000000007E-2</v>
      </c>
      <c r="M402" s="55">
        <v>5000</v>
      </c>
      <c r="N402" s="55">
        <v>1000000</v>
      </c>
    </row>
    <row r="403" spans="1:14" ht="15" customHeight="1" x14ac:dyDescent="0.25">
      <c r="A403" s="64" t="str">
        <f t="shared" si="6"/>
        <v>1.2-19-0-TOU-3 year - with APR</v>
      </c>
      <c r="B403" s="62" t="s">
        <v>13</v>
      </c>
      <c r="C403" s="54">
        <v>19</v>
      </c>
      <c r="D403" s="53" t="s">
        <v>28</v>
      </c>
      <c r="E403" s="53" t="s">
        <v>87</v>
      </c>
      <c r="F403" s="38" t="s">
        <v>88</v>
      </c>
      <c r="G403" s="51">
        <v>1.2</v>
      </c>
      <c r="H403" s="53" t="s">
        <v>15</v>
      </c>
      <c r="I403" s="39">
        <v>0.70399999999999996</v>
      </c>
      <c r="J403" s="39">
        <v>0.14899999999999999</v>
      </c>
      <c r="K403" s="39">
        <v>0.11990000000000001</v>
      </c>
      <c r="L403" s="39">
        <v>9.4700000000000006E-2</v>
      </c>
      <c r="M403" s="55">
        <v>5000</v>
      </c>
      <c r="N403" s="55">
        <v>1000000</v>
      </c>
    </row>
    <row r="404" spans="1:14" ht="15" customHeight="1" x14ac:dyDescent="0.25">
      <c r="A404" s="64" t="str">
        <f t="shared" si="6"/>
        <v>1.2-20-0-TOU-3 year - with APR</v>
      </c>
      <c r="B404" s="62" t="s">
        <v>13</v>
      </c>
      <c r="C404" s="54">
        <v>20</v>
      </c>
      <c r="D404" s="53" t="s">
        <v>29</v>
      </c>
      <c r="E404" s="53" t="s">
        <v>87</v>
      </c>
      <c r="F404" s="38" t="s">
        <v>88</v>
      </c>
      <c r="G404" s="51">
        <v>1.2</v>
      </c>
      <c r="H404" s="53" t="s">
        <v>15</v>
      </c>
      <c r="I404" s="39">
        <v>0.748</v>
      </c>
      <c r="J404" s="39">
        <v>0.14859999999999998</v>
      </c>
      <c r="K404" s="39">
        <v>0.1197</v>
      </c>
      <c r="L404" s="39">
        <v>9.4500000000000001E-2</v>
      </c>
      <c r="M404" s="55">
        <v>5000</v>
      </c>
      <c r="N404" s="55">
        <v>1000000</v>
      </c>
    </row>
    <row r="405" spans="1:14" ht="15" customHeight="1" x14ac:dyDescent="0.25">
      <c r="A405" s="64" t="str">
        <f t="shared" si="6"/>
        <v>1.2-21-0-TOU-3 year - with APR</v>
      </c>
      <c r="B405" s="62" t="s">
        <v>13</v>
      </c>
      <c r="C405" s="54">
        <v>21</v>
      </c>
      <c r="D405" s="53" t="s">
        <v>30</v>
      </c>
      <c r="E405" s="53" t="s">
        <v>87</v>
      </c>
      <c r="F405" s="38" t="s">
        <v>88</v>
      </c>
      <c r="G405" s="51">
        <v>1.2</v>
      </c>
      <c r="H405" s="53" t="s">
        <v>15</v>
      </c>
      <c r="I405" s="39">
        <v>0.83499999999999996</v>
      </c>
      <c r="J405" s="39">
        <v>0.1585</v>
      </c>
      <c r="K405" s="39">
        <v>0.12759999999999999</v>
      </c>
      <c r="L405" s="39">
        <v>0.1008</v>
      </c>
      <c r="M405" s="55">
        <v>5000</v>
      </c>
      <c r="N405" s="55">
        <v>1000000</v>
      </c>
    </row>
    <row r="406" spans="1:14" ht="15" customHeight="1" x14ac:dyDescent="0.25">
      <c r="A406" s="64" t="str">
        <f t="shared" si="6"/>
        <v>1.2-22-0-TOU-3 year - with APR</v>
      </c>
      <c r="B406" s="62" t="s">
        <v>13</v>
      </c>
      <c r="C406" s="54">
        <v>22</v>
      </c>
      <c r="D406" s="53" t="s">
        <v>31</v>
      </c>
      <c r="E406" s="53" t="s">
        <v>87</v>
      </c>
      <c r="F406" s="38" t="s">
        <v>88</v>
      </c>
      <c r="G406" s="51">
        <v>1.2</v>
      </c>
      <c r="H406" s="53" t="s">
        <v>15</v>
      </c>
      <c r="I406" s="39">
        <v>0.81799999999999995</v>
      </c>
      <c r="J406" s="39">
        <v>0.15909999999999999</v>
      </c>
      <c r="K406" s="39">
        <v>0.12809999999999999</v>
      </c>
      <c r="L406" s="39">
        <v>0.1011</v>
      </c>
      <c r="M406" s="55">
        <v>5000</v>
      </c>
      <c r="N406" s="55">
        <v>1000000</v>
      </c>
    </row>
    <row r="407" spans="1:14" ht="15" customHeight="1" x14ac:dyDescent="0.25">
      <c r="A407" s="64" t="str">
        <f t="shared" si="6"/>
        <v>1.2-23-0-TOU-3 year - with APR</v>
      </c>
      <c r="B407" s="62" t="s">
        <v>13</v>
      </c>
      <c r="C407" s="54">
        <v>23</v>
      </c>
      <c r="D407" s="53" t="s">
        <v>32</v>
      </c>
      <c r="E407" s="53" t="s">
        <v>87</v>
      </c>
      <c r="F407" s="38" t="s">
        <v>88</v>
      </c>
      <c r="G407" s="51">
        <v>1.2</v>
      </c>
      <c r="H407" s="53" t="s">
        <v>15</v>
      </c>
      <c r="I407" s="39">
        <v>0.82</v>
      </c>
      <c r="J407" s="39">
        <v>0.1517</v>
      </c>
      <c r="K407" s="39">
        <v>0.1221</v>
      </c>
      <c r="L407" s="39">
        <v>9.64E-2</v>
      </c>
      <c r="M407" s="55">
        <v>5000</v>
      </c>
      <c r="N407" s="55">
        <v>1000000</v>
      </c>
    </row>
    <row r="408" spans="1:14" ht="15" customHeight="1" x14ac:dyDescent="0.25">
      <c r="A408" s="64" t="str">
        <f t="shared" si="6"/>
        <v>1.2-10-0-TOU-2 year Fixed</v>
      </c>
      <c r="B408" s="62" t="s">
        <v>13</v>
      </c>
      <c r="C408" s="54">
        <v>10</v>
      </c>
      <c r="D408" s="53" t="s">
        <v>14</v>
      </c>
      <c r="E408" s="53" t="s">
        <v>87</v>
      </c>
      <c r="F408" s="38" t="s">
        <v>88</v>
      </c>
      <c r="G408" s="51">
        <v>1.2</v>
      </c>
      <c r="H408" s="53" t="s">
        <v>33</v>
      </c>
      <c r="I408" s="39">
        <v>0.79700000000000004</v>
      </c>
      <c r="J408" s="39">
        <v>0.15709999999999999</v>
      </c>
      <c r="K408" s="39">
        <v>0.1265</v>
      </c>
      <c r="L408" s="39">
        <v>9.9900000000000003E-2</v>
      </c>
      <c r="M408" s="55">
        <v>5000</v>
      </c>
      <c r="N408" s="55">
        <v>1000000</v>
      </c>
    </row>
    <row r="409" spans="1:14" ht="15" customHeight="1" x14ac:dyDescent="0.25">
      <c r="A409" s="64" t="str">
        <f t="shared" si="6"/>
        <v>1.2-11-0-TOU-2 year Fixed</v>
      </c>
      <c r="B409" s="62" t="s">
        <v>13</v>
      </c>
      <c r="C409" s="54">
        <v>11</v>
      </c>
      <c r="D409" s="53" t="s">
        <v>20</v>
      </c>
      <c r="E409" s="53" t="s">
        <v>87</v>
      </c>
      <c r="F409" s="38" t="s">
        <v>88</v>
      </c>
      <c r="G409" s="51">
        <v>1.2</v>
      </c>
      <c r="H409" s="53" t="s">
        <v>33</v>
      </c>
      <c r="I409" s="39">
        <v>0.77900000000000003</v>
      </c>
      <c r="J409" s="39">
        <v>0.16019999999999998</v>
      </c>
      <c r="K409" s="39">
        <v>0.12899999999999998</v>
      </c>
      <c r="L409" s="39">
        <v>0.1018</v>
      </c>
      <c r="M409" s="55">
        <v>5000</v>
      </c>
      <c r="N409" s="55">
        <v>1000000</v>
      </c>
    </row>
    <row r="410" spans="1:14" ht="15" customHeight="1" x14ac:dyDescent="0.25">
      <c r="A410" s="64" t="str">
        <f t="shared" si="6"/>
        <v>1.2-12-0-TOU-2 year Fixed</v>
      </c>
      <c r="B410" s="62" t="s">
        <v>13</v>
      </c>
      <c r="C410" s="54">
        <v>12</v>
      </c>
      <c r="D410" s="53" t="s">
        <v>21</v>
      </c>
      <c r="E410" s="53" t="s">
        <v>87</v>
      </c>
      <c r="F410" s="38" t="s">
        <v>88</v>
      </c>
      <c r="G410" s="51">
        <v>1.2</v>
      </c>
      <c r="H410" s="53" t="s">
        <v>33</v>
      </c>
      <c r="I410" s="39">
        <v>0.81699999999999995</v>
      </c>
      <c r="J410" s="39">
        <v>0.15679999999999999</v>
      </c>
      <c r="K410" s="39">
        <v>0.12619999999999998</v>
      </c>
      <c r="L410" s="39">
        <v>9.9599999999999994E-2</v>
      </c>
      <c r="M410" s="55">
        <v>5000</v>
      </c>
      <c r="N410" s="55">
        <v>1000000</v>
      </c>
    </row>
    <row r="411" spans="1:14" ht="15" customHeight="1" x14ac:dyDescent="0.25">
      <c r="A411" s="64" t="str">
        <f t="shared" si="6"/>
        <v>1.2-13-0-TOU-2 year Fixed</v>
      </c>
      <c r="B411" s="62" t="s">
        <v>13</v>
      </c>
      <c r="C411" s="54">
        <v>13</v>
      </c>
      <c r="D411" s="53" t="s">
        <v>22</v>
      </c>
      <c r="E411" s="53" t="s">
        <v>87</v>
      </c>
      <c r="F411" s="38" t="s">
        <v>88</v>
      </c>
      <c r="G411" s="51">
        <v>1.2</v>
      </c>
      <c r="H411" s="53" t="s">
        <v>33</v>
      </c>
      <c r="I411" s="39">
        <v>0.79700000000000004</v>
      </c>
      <c r="J411" s="39">
        <v>0.1699</v>
      </c>
      <c r="K411" s="39">
        <v>0.13679999999999998</v>
      </c>
      <c r="L411" s="39">
        <v>0.108</v>
      </c>
      <c r="M411" s="55">
        <v>5000</v>
      </c>
      <c r="N411" s="55">
        <v>1000000</v>
      </c>
    </row>
    <row r="412" spans="1:14" ht="15" customHeight="1" x14ac:dyDescent="0.25">
      <c r="A412" s="64" t="str">
        <f t="shared" si="6"/>
        <v>1.2-14-0-TOU-2 year Fixed</v>
      </c>
      <c r="B412" s="62" t="s">
        <v>13</v>
      </c>
      <c r="C412" s="54">
        <v>14</v>
      </c>
      <c r="D412" s="53" t="s">
        <v>23</v>
      </c>
      <c r="E412" s="53" t="s">
        <v>87</v>
      </c>
      <c r="F412" s="38" t="s">
        <v>88</v>
      </c>
      <c r="G412" s="51">
        <v>1.2</v>
      </c>
      <c r="H412" s="53" t="s">
        <v>33</v>
      </c>
      <c r="I412" s="39">
        <v>0.80500000000000005</v>
      </c>
      <c r="J412" s="39">
        <v>0.16119999999999998</v>
      </c>
      <c r="K412" s="39">
        <v>0.1298</v>
      </c>
      <c r="L412" s="39">
        <v>0.10250000000000001</v>
      </c>
      <c r="M412" s="55">
        <v>5000</v>
      </c>
      <c r="N412" s="55">
        <v>1000000</v>
      </c>
    </row>
    <row r="413" spans="1:14" ht="15" customHeight="1" x14ac:dyDescent="0.25">
      <c r="A413" s="64" t="str">
        <f t="shared" si="6"/>
        <v>1.2-15-0-TOU-2 year Fixed</v>
      </c>
      <c r="B413" s="62" t="s">
        <v>13</v>
      </c>
      <c r="C413" s="54">
        <v>15</v>
      </c>
      <c r="D413" s="53" t="s">
        <v>24</v>
      </c>
      <c r="E413" s="53" t="s">
        <v>87</v>
      </c>
      <c r="F413" s="38" t="s">
        <v>88</v>
      </c>
      <c r="G413" s="51">
        <v>1.2</v>
      </c>
      <c r="H413" s="53" t="s">
        <v>33</v>
      </c>
      <c r="I413" s="39">
        <v>0.86899999999999999</v>
      </c>
      <c r="J413" s="39">
        <v>0.16099999999999998</v>
      </c>
      <c r="K413" s="39">
        <v>0.12959999999999999</v>
      </c>
      <c r="L413" s="39">
        <v>0.1023</v>
      </c>
      <c r="M413" s="55">
        <v>5000</v>
      </c>
      <c r="N413" s="55">
        <v>1000000</v>
      </c>
    </row>
    <row r="414" spans="1:14" ht="15" customHeight="1" x14ac:dyDescent="0.25">
      <c r="A414" s="64" t="str">
        <f t="shared" si="6"/>
        <v>1.2-16-0-TOU-2 year Fixed</v>
      </c>
      <c r="B414" s="62" t="s">
        <v>13</v>
      </c>
      <c r="C414" s="54">
        <v>16</v>
      </c>
      <c r="D414" s="53" t="s">
        <v>25</v>
      </c>
      <c r="E414" s="53" t="s">
        <v>87</v>
      </c>
      <c r="F414" s="38" t="s">
        <v>88</v>
      </c>
      <c r="G414" s="51">
        <v>1.2</v>
      </c>
      <c r="H414" s="53" t="s">
        <v>33</v>
      </c>
      <c r="I414" s="39">
        <v>0.65800000000000003</v>
      </c>
      <c r="J414" s="39">
        <v>0.1603</v>
      </c>
      <c r="K414" s="39">
        <v>0.12909999999999999</v>
      </c>
      <c r="L414" s="39">
        <v>0.1019</v>
      </c>
      <c r="M414" s="55">
        <v>5000</v>
      </c>
      <c r="N414" s="55">
        <v>1000000</v>
      </c>
    </row>
    <row r="415" spans="1:14" ht="15" customHeight="1" x14ac:dyDescent="0.25">
      <c r="A415" s="64" t="str">
        <f t="shared" si="6"/>
        <v>1.2-17-0-TOU-2 year Fixed</v>
      </c>
      <c r="B415" s="62" t="s">
        <v>13</v>
      </c>
      <c r="C415" s="54">
        <v>17</v>
      </c>
      <c r="D415" s="53" t="s">
        <v>26</v>
      </c>
      <c r="E415" s="53" t="s">
        <v>87</v>
      </c>
      <c r="F415" s="38" t="s">
        <v>88</v>
      </c>
      <c r="G415" s="51">
        <v>1.2</v>
      </c>
      <c r="H415" s="53" t="s">
        <v>33</v>
      </c>
      <c r="I415" s="39">
        <v>1.5109999999999999</v>
      </c>
      <c r="J415" s="39">
        <v>0.17929999999999999</v>
      </c>
      <c r="K415" s="39">
        <v>0.1444</v>
      </c>
      <c r="L415" s="39">
        <v>0.114</v>
      </c>
      <c r="M415" s="55">
        <v>5000</v>
      </c>
      <c r="N415" s="55">
        <v>1000000</v>
      </c>
    </row>
    <row r="416" spans="1:14" ht="15" customHeight="1" x14ac:dyDescent="0.25">
      <c r="A416" s="64" t="str">
        <f t="shared" si="6"/>
        <v>1.2-18-0-TOU-2 year Fixed</v>
      </c>
      <c r="B416" s="62" t="s">
        <v>13</v>
      </c>
      <c r="C416" s="54">
        <v>18</v>
      </c>
      <c r="D416" s="53" t="s">
        <v>27</v>
      </c>
      <c r="E416" s="53" t="s">
        <v>87</v>
      </c>
      <c r="F416" s="38" t="s">
        <v>88</v>
      </c>
      <c r="G416" s="51">
        <v>1.2</v>
      </c>
      <c r="H416" s="53" t="s">
        <v>33</v>
      </c>
      <c r="I416" s="39">
        <v>0.81399999999999995</v>
      </c>
      <c r="J416" s="39">
        <v>0.1598</v>
      </c>
      <c r="K416" s="39">
        <v>0.12869999999999998</v>
      </c>
      <c r="L416" s="39">
        <v>0.10160000000000001</v>
      </c>
      <c r="M416" s="55">
        <v>5000</v>
      </c>
      <c r="N416" s="55">
        <v>1000000</v>
      </c>
    </row>
    <row r="417" spans="1:14" ht="15" customHeight="1" x14ac:dyDescent="0.25">
      <c r="A417" s="64" t="str">
        <f t="shared" si="6"/>
        <v>1.2-19-0-TOU-2 year Fixed</v>
      </c>
      <c r="B417" s="62" t="s">
        <v>13</v>
      </c>
      <c r="C417" s="54">
        <v>19</v>
      </c>
      <c r="D417" s="53" t="s">
        <v>28</v>
      </c>
      <c r="E417" s="53" t="s">
        <v>87</v>
      </c>
      <c r="F417" s="38" t="s">
        <v>88</v>
      </c>
      <c r="G417" s="51">
        <v>1.2</v>
      </c>
      <c r="H417" s="53" t="s">
        <v>33</v>
      </c>
      <c r="I417" s="39">
        <v>0.70399999999999996</v>
      </c>
      <c r="J417" s="39">
        <v>0.15859999999999999</v>
      </c>
      <c r="K417" s="39">
        <v>0.12769999999999998</v>
      </c>
      <c r="L417" s="39">
        <v>0.1008</v>
      </c>
      <c r="M417" s="55">
        <v>5000</v>
      </c>
      <c r="N417" s="55">
        <v>1000000</v>
      </c>
    </row>
    <row r="418" spans="1:14" ht="15" customHeight="1" x14ac:dyDescent="0.25">
      <c r="A418" s="64" t="str">
        <f t="shared" si="6"/>
        <v>1.2-20-0-TOU-2 year Fixed</v>
      </c>
      <c r="B418" s="62" t="s">
        <v>13</v>
      </c>
      <c r="C418" s="54">
        <v>20</v>
      </c>
      <c r="D418" s="53" t="s">
        <v>29</v>
      </c>
      <c r="E418" s="53" t="s">
        <v>87</v>
      </c>
      <c r="F418" s="38" t="s">
        <v>88</v>
      </c>
      <c r="G418" s="51">
        <v>1.2</v>
      </c>
      <c r="H418" s="53" t="s">
        <v>33</v>
      </c>
      <c r="I418" s="39">
        <v>0.748</v>
      </c>
      <c r="J418" s="39">
        <v>0.1588</v>
      </c>
      <c r="K418" s="39">
        <v>0.1278</v>
      </c>
      <c r="L418" s="39">
        <v>0.1009</v>
      </c>
      <c r="M418" s="55">
        <v>5000</v>
      </c>
      <c r="N418" s="55">
        <v>1000000</v>
      </c>
    </row>
    <row r="419" spans="1:14" ht="15" customHeight="1" x14ac:dyDescent="0.25">
      <c r="A419" s="64" t="str">
        <f t="shared" si="6"/>
        <v>1.2-21-0-TOU-2 year Fixed</v>
      </c>
      <c r="B419" s="62" t="s">
        <v>13</v>
      </c>
      <c r="C419" s="54">
        <v>21</v>
      </c>
      <c r="D419" s="53" t="s">
        <v>30</v>
      </c>
      <c r="E419" s="53" t="s">
        <v>87</v>
      </c>
      <c r="F419" s="38" t="s">
        <v>88</v>
      </c>
      <c r="G419" s="51">
        <v>1.2</v>
      </c>
      <c r="H419" s="53" t="s">
        <v>33</v>
      </c>
      <c r="I419" s="39">
        <v>0.83499999999999996</v>
      </c>
      <c r="J419" s="39">
        <v>0.16889999999999999</v>
      </c>
      <c r="K419" s="39">
        <v>0.13599999999999998</v>
      </c>
      <c r="L419" s="39">
        <v>0.10740000000000001</v>
      </c>
      <c r="M419" s="55">
        <v>5000</v>
      </c>
      <c r="N419" s="55">
        <v>1000000</v>
      </c>
    </row>
    <row r="420" spans="1:14" ht="15" customHeight="1" x14ac:dyDescent="0.25">
      <c r="A420" s="64" t="str">
        <f t="shared" si="6"/>
        <v>1.2-22-0-TOU-2 year Fixed</v>
      </c>
      <c r="B420" s="62" t="s">
        <v>13</v>
      </c>
      <c r="C420" s="54">
        <v>22</v>
      </c>
      <c r="D420" s="53" t="s">
        <v>31</v>
      </c>
      <c r="E420" s="53" t="s">
        <v>87</v>
      </c>
      <c r="F420" s="38" t="s">
        <v>88</v>
      </c>
      <c r="G420" s="51">
        <v>1.2</v>
      </c>
      <c r="H420" s="53" t="s">
        <v>33</v>
      </c>
      <c r="I420" s="39">
        <v>0.81799999999999995</v>
      </c>
      <c r="J420" s="39">
        <v>0.16949999999999998</v>
      </c>
      <c r="K420" s="39">
        <v>0.13649999999999998</v>
      </c>
      <c r="L420" s="39">
        <v>0.1077</v>
      </c>
      <c r="M420" s="55">
        <v>5000</v>
      </c>
      <c r="N420" s="55">
        <v>1000000</v>
      </c>
    </row>
    <row r="421" spans="1:14" ht="15" customHeight="1" x14ac:dyDescent="0.25">
      <c r="A421" s="64" t="str">
        <f t="shared" si="6"/>
        <v>1.2-23-0-TOU-2 year Fixed</v>
      </c>
      <c r="B421" s="62" t="s">
        <v>13</v>
      </c>
      <c r="C421" s="54">
        <v>23</v>
      </c>
      <c r="D421" s="53" t="s">
        <v>32</v>
      </c>
      <c r="E421" s="53" t="s">
        <v>87</v>
      </c>
      <c r="F421" s="38" t="s">
        <v>88</v>
      </c>
      <c r="G421" s="51">
        <v>1.2</v>
      </c>
      <c r="H421" s="53" t="s">
        <v>33</v>
      </c>
      <c r="I421" s="39">
        <v>0.82</v>
      </c>
      <c r="J421" s="39">
        <v>0.16119999999999998</v>
      </c>
      <c r="K421" s="39">
        <v>0.1298</v>
      </c>
      <c r="L421" s="39">
        <v>0.10250000000000001</v>
      </c>
      <c r="M421" s="55">
        <v>5000</v>
      </c>
      <c r="N421" s="55">
        <v>1000000</v>
      </c>
    </row>
    <row r="422" spans="1:14" ht="15" customHeight="1" x14ac:dyDescent="0.25">
      <c r="A422" s="64" t="str">
        <f t="shared" si="6"/>
        <v>1.3-10-0-TOU-3 year - with APR</v>
      </c>
      <c r="B422" s="62" t="s">
        <v>13</v>
      </c>
      <c r="C422" s="54">
        <v>10</v>
      </c>
      <c r="D422" s="53" t="s">
        <v>14</v>
      </c>
      <c r="E422" s="53" t="s">
        <v>87</v>
      </c>
      <c r="F422" s="38" t="s">
        <v>88</v>
      </c>
      <c r="G422" s="51">
        <v>1.3</v>
      </c>
      <c r="H422" s="53" t="s">
        <v>15</v>
      </c>
      <c r="I422" s="39">
        <v>0.79700000000000004</v>
      </c>
      <c r="J422" s="39">
        <v>0.14899999999999999</v>
      </c>
      <c r="K422" s="39">
        <v>0.11990000000000001</v>
      </c>
      <c r="L422" s="39">
        <v>9.4700000000000006E-2</v>
      </c>
      <c r="M422" s="55">
        <v>5000</v>
      </c>
      <c r="N422" s="55">
        <v>1000000</v>
      </c>
    </row>
    <row r="423" spans="1:14" ht="15" customHeight="1" x14ac:dyDescent="0.25">
      <c r="A423" s="64" t="str">
        <f t="shared" si="6"/>
        <v>1.3-11-0-TOU-3 year - with APR</v>
      </c>
      <c r="B423" s="62" t="s">
        <v>13</v>
      </c>
      <c r="C423" s="54">
        <v>11</v>
      </c>
      <c r="D423" s="53" t="s">
        <v>20</v>
      </c>
      <c r="E423" s="53" t="s">
        <v>87</v>
      </c>
      <c r="F423" s="38" t="s">
        <v>88</v>
      </c>
      <c r="G423" s="51">
        <v>1.3</v>
      </c>
      <c r="H423" s="53" t="s">
        <v>15</v>
      </c>
      <c r="I423" s="39">
        <v>0.77900000000000003</v>
      </c>
      <c r="J423" s="39">
        <v>0.1512</v>
      </c>
      <c r="K423" s="39">
        <v>0.1217</v>
      </c>
      <c r="L423" s="39">
        <v>9.6100000000000005E-2</v>
      </c>
      <c r="M423" s="55">
        <v>5000</v>
      </c>
      <c r="N423" s="55">
        <v>1000000</v>
      </c>
    </row>
    <row r="424" spans="1:14" ht="15" customHeight="1" x14ac:dyDescent="0.25">
      <c r="A424" s="64" t="str">
        <f t="shared" si="6"/>
        <v>1.3-12-0-TOU-3 year - with APR</v>
      </c>
      <c r="B424" s="62" t="s">
        <v>13</v>
      </c>
      <c r="C424" s="54">
        <v>12</v>
      </c>
      <c r="D424" s="53" t="s">
        <v>21</v>
      </c>
      <c r="E424" s="53" t="s">
        <v>87</v>
      </c>
      <c r="F424" s="38" t="s">
        <v>88</v>
      </c>
      <c r="G424" s="51">
        <v>1.3</v>
      </c>
      <c r="H424" s="53" t="s">
        <v>15</v>
      </c>
      <c r="I424" s="39">
        <v>0.81699999999999995</v>
      </c>
      <c r="J424" s="39">
        <v>0.14849999999999999</v>
      </c>
      <c r="K424" s="39">
        <v>0.1196</v>
      </c>
      <c r="L424" s="39">
        <v>9.4399999999999998E-2</v>
      </c>
      <c r="M424" s="55">
        <v>5000</v>
      </c>
      <c r="N424" s="55">
        <v>1000000</v>
      </c>
    </row>
    <row r="425" spans="1:14" ht="15" customHeight="1" x14ac:dyDescent="0.25">
      <c r="A425" s="64" t="str">
        <f t="shared" si="6"/>
        <v>1.3-13-0-TOU-3 year - with APR</v>
      </c>
      <c r="B425" s="62" t="s">
        <v>13</v>
      </c>
      <c r="C425" s="54">
        <v>13</v>
      </c>
      <c r="D425" s="53" t="s">
        <v>22</v>
      </c>
      <c r="E425" s="53" t="s">
        <v>87</v>
      </c>
      <c r="F425" s="38" t="s">
        <v>88</v>
      </c>
      <c r="G425" s="51">
        <v>1.3</v>
      </c>
      <c r="H425" s="53" t="s">
        <v>15</v>
      </c>
      <c r="I425" s="39">
        <v>0.79700000000000004</v>
      </c>
      <c r="J425" s="39">
        <v>0.16059999999999999</v>
      </c>
      <c r="K425" s="39">
        <v>0.1293</v>
      </c>
      <c r="L425" s="39">
        <v>0.1021</v>
      </c>
      <c r="M425" s="55">
        <v>5000</v>
      </c>
      <c r="N425" s="55">
        <v>1000000</v>
      </c>
    </row>
    <row r="426" spans="1:14" ht="15" customHeight="1" x14ac:dyDescent="0.25">
      <c r="A426" s="64" t="str">
        <f t="shared" si="6"/>
        <v>1.3-14-0-TOU-3 year - with APR</v>
      </c>
      <c r="B426" s="62" t="s">
        <v>13</v>
      </c>
      <c r="C426" s="54">
        <v>14</v>
      </c>
      <c r="D426" s="53" t="s">
        <v>23</v>
      </c>
      <c r="E426" s="53" t="s">
        <v>87</v>
      </c>
      <c r="F426" s="38" t="s">
        <v>88</v>
      </c>
      <c r="G426" s="51">
        <v>1.3</v>
      </c>
      <c r="H426" s="53" t="s">
        <v>15</v>
      </c>
      <c r="I426" s="39">
        <v>0.80500000000000005</v>
      </c>
      <c r="J426" s="39">
        <v>0.1522</v>
      </c>
      <c r="K426" s="39">
        <v>0.1225</v>
      </c>
      <c r="L426" s="39">
        <v>9.6700000000000008E-2</v>
      </c>
      <c r="M426" s="55">
        <v>5000</v>
      </c>
      <c r="N426" s="55">
        <v>1000000</v>
      </c>
    </row>
    <row r="427" spans="1:14" ht="15" customHeight="1" x14ac:dyDescent="0.25">
      <c r="A427" s="64" t="str">
        <f t="shared" si="6"/>
        <v>1.3-15-0-TOU-3 year - with APR</v>
      </c>
      <c r="B427" s="62" t="s">
        <v>13</v>
      </c>
      <c r="C427" s="54">
        <v>15</v>
      </c>
      <c r="D427" s="53" t="s">
        <v>24</v>
      </c>
      <c r="E427" s="53" t="s">
        <v>87</v>
      </c>
      <c r="F427" s="38" t="s">
        <v>88</v>
      </c>
      <c r="G427" s="51">
        <v>1.3</v>
      </c>
      <c r="H427" s="53" t="s">
        <v>15</v>
      </c>
      <c r="I427" s="39">
        <v>0.86899999999999999</v>
      </c>
      <c r="J427" s="39">
        <v>0.153</v>
      </c>
      <c r="K427" s="39">
        <v>0.1232</v>
      </c>
      <c r="L427" s="39">
        <v>9.7199999999999995E-2</v>
      </c>
      <c r="M427" s="55">
        <v>5000</v>
      </c>
      <c r="N427" s="55">
        <v>1000000</v>
      </c>
    </row>
    <row r="428" spans="1:14" ht="15" customHeight="1" x14ac:dyDescent="0.25">
      <c r="A428" s="64" t="str">
        <f t="shared" si="6"/>
        <v>1.3-16-0-TOU-3 year - with APR</v>
      </c>
      <c r="B428" s="62" t="s">
        <v>13</v>
      </c>
      <c r="C428" s="54">
        <v>16</v>
      </c>
      <c r="D428" s="53" t="s">
        <v>25</v>
      </c>
      <c r="E428" s="53" t="s">
        <v>87</v>
      </c>
      <c r="F428" s="38" t="s">
        <v>88</v>
      </c>
      <c r="G428" s="51">
        <v>1.3</v>
      </c>
      <c r="H428" s="53" t="s">
        <v>15</v>
      </c>
      <c r="I428" s="39">
        <v>0.65800000000000003</v>
      </c>
      <c r="J428" s="39">
        <v>0.15179999999999999</v>
      </c>
      <c r="K428" s="39">
        <v>0.1222</v>
      </c>
      <c r="L428" s="39">
        <v>9.6500000000000002E-2</v>
      </c>
      <c r="M428" s="55">
        <v>5000</v>
      </c>
      <c r="N428" s="55">
        <v>1000000</v>
      </c>
    </row>
    <row r="429" spans="1:14" ht="15" customHeight="1" x14ac:dyDescent="0.25">
      <c r="A429" s="64" t="str">
        <f t="shared" si="6"/>
        <v>1.3-17-0-TOU-3 year - with APR</v>
      </c>
      <c r="B429" s="62" t="s">
        <v>13</v>
      </c>
      <c r="C429" s="54">
        <v>17</v>
      </c>
      <c r="D429" s="53" t="s">
        <v>26</v>
      </c>
      <c r="E429" s="53" t="s">
        <v>87</v>
      </c>
      <c r="F429" s="38" t="s">
        <v>88</v>
      </c>
      <c r="G429" s="51">
        <v>1.3</v>
      </c>
      <c r="H429" s="53" t="s">
        <v>15</v>
      </c>
      <c r="I429" s="39">
        <v>1.343</v>
      </c>
      <c r="J429" s="39">
        <v>0.17019999999999999</v>
      </c>
      <c r="K429" s="39">
        <v>0.13699999999999998</v>
      </c>
      <c r="L429" s="39">
        <v>0.1082</v>
      </c>
      <c r="M429" s="55">
        <v>5000</v>
      </c>
      <c r="N429" s="55">
        <v>1000000</v>
      </c>
    </row>
    <row r="430" spans="1:14" ht="15" customHeight="1" x14ac:dyDescent="0.25">
      <c r="A430" s="64" t="str">
        <f t="shared" si="6"/>
        <v>1.3-18-0-TOU-3 year - with APR</v>
      </c>
      <c r="B430" s="62" t="s">
        <v>13</v>
      </c>
      <c r="C430" s="54">
        <v>18</v>
      </c>
      <c r="D430" s="53" t="s">
        <v>27</v>
      </c>
      <c r="E430" s="53" t="s">
        <v>87</v>
      </c>
      <c r="F430" s="38" t="s">
        <v>88</v>
      </c>
      <c r="G430" s="51">
        <v>1.3</v>
      </c>
      <c r="H430" s="53" t="s">
        <v>15</v>
      </c>
      <c r="I430" s="39">
        <v>0.81399999999999995</v>
      </c>
      <c r="J430" s="39">
        <v>0.151</v>
      </c>
      <c r="K430" s="39">
        <v>0.1216</v>
      </c>
      <c r="L430" s="39">
        <v>9.6000000000000002E-2</v>
      </c>
      <c r="M430" s="55">
        <v>5000</v>
      </c>
      <c r="N430" s="55">
        <v>1000000</v>
      </c>
    </row>
    <row r="431" spans="1:14" ht="15" customHeight="1" x14ac:dyDescent="0.25">
      <c r="A431" s="64" t="str">
        <f t="shared" si="6"/>
        <v>1.3-19-0-TOU-3 year - with APR</v>
      </c>
      <c r="B431" s="62" t="s">
        <v>13</v>
      </c>
      <c r="C431" s="54">
        <v>19</v>
      </c>
      <c r="D431" s="53" t="s">
        <v>28</v>
      </c>
      <c r="E431" s="53" t="s">
        <v>87</v>
      </c>
      <c r="F431" s="38" t="s">
        <v>88</v>
      </c>
      <c r="G431" s="51">
        <v>1.3</v>
      </c>
      <c r="H431" s="53" t="s">
        <v>15</v>
      </c>
      <c r="I431" s="39">
        <v>0.70399999999999996</v>
      </c>
      <c r="J431" s="39">
        <v>0.15009999999999998</v>
      </c>
      <c r="K431" s="39">
        <v>0.12090000000000001</v>
      </c>
      <c r="L431" s="39">
        <v>9.5399999999999999E-2</v>
      </c>
      <c r="M431" s="55">
        <v>5000</v>
      </c>
      <c r="N431" s="55">
        <v>1000000</v>
      </c>
    </row>
    <row r="432" spans="1:14" ht="15" customHeight="1" x14ac:dyDescent="0.25">
      <c r="A432" s="64" t="str">
        <f t="shared" si="6"/>
        <v>1.3-20-0-TOU-3 year - with APR</v>
      </c>
      <c r="B432" s="62" t="s">
        <v>13</v>
      </c>
      <c r="C432" s="54">
        <v>20</v>
      </c>
      <c r="D432" s="53" t="s">
        <v>29</v>
      </c>
      <c r="E432" s="53" t="s">
        <v>87</v>
      </c>
      <c r="F432" s="38" t="s">
        <v>88</v>
      </c>
      <c r="G432" s="51">
        <v>1.3</v>
      </c>
      <c r="H432" s="53" t="s">
        <v>15</v>
      </c>
      <c r="I432" s="39">
        <v>0.748</v>
      </c>
      <c r="J432" s="39">
        <v>0.14979999999999999</v>
      </c>
      <c r="K432" s="39">
        <v>0.1206</v>
      </c>
      <c r="L432" s="39">
        <v>9.5200000000000007E-2</v>
      </c>
      <c r="M432" s="55">
        <v>5000</v>
      </c>
      <c r="N432" s="55">
        <v>1000000</v>
      </c>
    </row>
    <row r="433" spans="1:14" ht="15" customHeight="1" x14ac:dyDescent="0.25">
      <c r="A433" s="64" t="str">
        <f t="shared" si="6"/>
        <v>1.3-21-0-TOU-3 year - with APR</v>
      </c>
      <c r="B433" s="62" t="s">
        <v>13</v>
      </c>
      <c r="C433" s="54">
        <v>21</v>
      </c>
      <c r="D433" s="53" t="s">
        <v>30</v>
      </c>
      <c r="E433" s="53" t="s">
        <v>87</v>
      </c>
      <c r="F433" s="38" t="s">
        <v>88</v>
      </c>
      <c r="G433" s="51">
        <v>1.3</v>
      </c>
      <c r="H433" s="53" t="s">
        <v>15</v>
      </c>
      <c r="I433" s="39">
        <v>0.83499999999999996</v>
      </c>
      <c r="J433" s="39">
        <v>0.15969999999999998</v>
      </c>
      <c r="K433" s="39">
        <v>0.12859999999999999</v>
      </c>
      <c r="L433" s="39">
        <v>0.10150000000000001</v>
      </c>
      <c r="M433" s="55">
        <v>5000</v>
      </c>
      <c r="N433" s="55">
        <v>1000000</v>
      </c>
    </row>
    <row r="434" spans="1:14" ht="15" customHeight="1" x14ac:dyDescent="0.25">
      <c r="A434" s="64" t="str">
        <f t="shared" si="6"/>
        <v>1.3-22-0-TOU-3 year - with APR</v>
      </c>
      <c r="B434" s="62" t="s">
        <v>13</v>
      </c>
      <c r="C434" s="54">
        <v>22</v>
      </c>
      <c r="D434" s="53" t="s">
        <v>31</v>
      </c>
      <c r="E434" s="53" t="s">
        <v>87</v>
      </c>
      <c r="F434" s="38" t="s">
        <v>88</v>
      </c>
      <c r="G434" s="51">
        <v>1.3</v>
      </c>
      <c r="H434" s="53" t="s">
        <v>15</v>
      </c>
      <c r="I434" s="39">
        <v>0.81799999999999995</v>
      </c>
      <c r="J434" s="39">
        <v>0.1603</v>
      </c>
      <c r="K434" s="39">
        <v>0.12909999999999999</v>
      </c>
      <c r="L434" s="39">
        <v>0.1019</v>
      </c>
      <c r="M434" s="55">
        <v>5000</v>
      </c>
      <c r="N434" s="55">
        <v>1000000</v>
      </c>
    </row>
    <row r="435" spans="1:14" ht="15" customHeight="1" x14ac:dyDescent="0.25">
      <c r="A435" s="64" t="str">
        <f t="shared" si="6"/>
        <v>1.3-23-0-TOU-3 year - with APR</v>
      </c>
      <c r="B435" s="62" t="s">
        <v>13</v>
      </c>
      <c r="C435" s="54">
        <v>23</v>
      </c>
      <c r="D435" s="53" t="s">
        <v>32</v>
      </c>
      <c r="E435" s="53" t="s">
        <v>87</v>
      </c>
      <c r="F435" s="38" t="s">
        <v>88</v>
      </c>
      <c r="G435" s="51">
        <v>1.3</v>
      </c>
      <c r="H435" s="53" t="s">
        <v>15</v>
      </c>
      <c r="I435" s="39">
        <v>0.82</v>
      </c>
      <c r="J435" s="39">
        <v>0.15289999999999998</v>
      </c>
      <c r="K435" s="39">
        <v>0.1231</v>
      </c>
      <c r="L435" s="39">
        <v>9.7200000000000009E-2</v>
      </c>
      <c r="M435" s="55">
        <v>5000</v>
      </c>
      <c r="N435" s="55">
        <v>1000000</v>
      </c>
    </row>
    <row r="436" spans="1:14" ht="15" customHeight="1" x14ac:dyDescent="0.25">
      <c r="A436" s="64" t="str">
        <f t="shared" si="6"/>
        <v>1.3-10-0-TOU-2 year Fixed</v>
      </c>
      <c r="B436" s="62" t="s">
        <v>13</v>
      </c>
      <c r="C436" s="54">
        <v>10</v>
      </c>
      <c r="D436" s="53" t="s">
        <v>14</v>
      </c>
      <c r="E436" s="53" t="s">
        <v>87</v>
      </c>
      <c r="F436" s="38" t="s">
        <v>88</v>
      </c>
      <c r="G436" s="51">
        <v>1.3</v>
      </c>
      <c r="H436" s="53" t="s">
        <v>33</v>
      </c>
      <c r="I436" s="39">
        <v>0.79700000000000004</v>
      </c>
      <c r="J436" s="39">
        <v>0.1583</v>
      </c>
      <c r="K436" s="39">
        <v>0.12739999999999999</v>
      </c>
      <c r="L436" s="39">
        <v>0.10060000000000001</v>
      </c>
      <c r="M436" s="55">
        <v>5000</v>
      </c>
      <c r="N436" s="55">
        <v>1000000</v>
      </c>
    </row>
    <row r="437" spans="1:14" ht="15" customHeight="1" x14ac:dyDescent="0.25">
      <c r="A437" s="64" t="str">
        <f t="shared" si="6"/>
        <v>1.3-11-0-TOU-2 year Fixed</v>
      </c>
      <c r="B437" s="62" t="s">
        <v>13</v>
      </c>
      <c r="C437" s="54">
        <v>11</v>
      </c>
      <c r="D437" s="53" t="s">
        <v>20</v>
      </c>
      <c r="E437" s="53" t="s">
        <v>87</v>
      </c>
      <c r="F437" s="38" t="s">
        <v>88</v>
      </c>
      <c r="G437" s="51">
        <v>1.3</v>
      </c>
      <c r="H437" s="53" t="s">
        <v>33</v>
      </c>
      <c r="I437" s="39">
        <v>0.77900000000000003</v>
      </c>
      <c r="J437" s="39">
        <v>0.16139999999999999</v>
      </c>
      <c r="K437" s="39">
        <v>0.12989999999999999</v>
      </c>
      <c r="L437" s="39">
        <v>0.1026</v>
      </c>
      <c r="M437" s="55">
        <v>5000</v>
      </c>
      <c r="N437" s="55">
        <v>1000000</v>
      </c>
    </row>
    <row r="438" spans="1:14" ht="15" customHeight="1" x14ac:dyDescent="0.25">
      <c r="A438" s="64" t="str">
        <f t="shared" si="6"/>
        <v>1.3-12-0-TOU-2 year Fixed</v>
      </c>
      <c r="B438" s="62" t="s">
        <v>13</v>
      </c>
      <c r="C438" s="54">
        <v>12</v>
      </c>
      <c r="D438" s="53" t="s">
        <v>21</v>
      </c>
      <c r="E438" s="53" t="s">
        <v>87</v>
      </c>
      <c r="F438" s="38" t="s">
        <v>88</v>
      </c>
      <c r="G438" s="51">
        <v>1.3</v>
      </c>
      <c r="H438" s="53" t="s">
        <v>33</v>
      </c>
      <c r="I438" s="39">
        <v>0.81699999999999995</v>
      </c>
      <c r="J438" s="39">
        <v>0.15789999999999998</v>
      </c>
      <c r="K438" s="39">
        <v>0.12719999999999998</v>
      </c>
      <c r="L438" s="39">
        <v>0.1004</v>
      </c>
      <c r="M438" s="55">
        <v>5000</v>
      </c>
      <c r="N438" s="55">
        <v>1000000</v>
      </c>
    </row>
    <row r="439" spans="1:14" ht="15" customHeight="1" x14ac:dyDescent="0.25">
      <c r="A439" s="64" t="str">
        <f t="shared" si="6"/>
        <v>1.3-13-0-TOU-2 year Fixed</v>
      </c>
      <c r="B439" s="62" t="s">
        <v>13</v>
      </c>
      <c r="C439" s="54">
        <v>13</v>
      </c>
      <c r="D439" s="53" t="s">
        <v>22</v>
      </c>
      <c r="E439" s="53" t="s">
        <v>87</v>
      </c>
      <c r="F439" s="38" t="s">
        <v>88</v>
      </c>
      <c r="G439" s="51">
        <v>1.3</v>
      </c>
      <c r="H439" s="53" t="s">
        <v>33</v>
      </c>
      <c r="I439" s="39">
        <v>0.79700000000000004</v>
      </c>
      <c r="J439" s="39">
        <v>0.17099999999999999</v>
      </c>
      <c r="K439" s="39">
        <v>0.13769999999999999</v>
      </c>
      <c r="L439" s="39">
        <v>0.1087</v>
      </c>
      <c r="M439" s="55">
        <v>5000</v>
      </c>
      <c r="N439" s="55">
        <v>1000000</v>
      </c>
    </row>
    <row r="440" spans="1:14" ht="15" customHeight="1" x14ac:dyDescent="0.25">
      <c r="A440" s="64" t="str">
        <f t="shared" si="6"/>
        <v>1.3-14-0-TOU-2 year Fixed</v>
      </c>
      <c r="B440" s="62" t="s">
        <v>13</v>
      </c>
      <c r="C440" s="54">
        <v>14</v>
      </c>
      <c r="D440" s="53" t="s">
        <v>23</v>
      </c>
      <c r="E440" s="53" t="s">
        <v>87</v>
      </c>
      <c r="F440" s="38" t="s">
        <v>88</v>
      </c>
      <c r="G440" s="51">
        <v>1.3</v>
      </c>
      <c r="H440" s="53" t="s">
        <v>33</v>
      </c>
      <c r="I440" s="39">
        <v>0.80500000000000005</v>
      </c>
      <c r="J440" s="39">
        <v>0.16239999999999999</v>
      </c>
      <c r="K440" s="39">
        <v>0.1308</v>
      </c>
      <c r="L440" s="39">
        <v>0.1032</v>
      </c>
      <c r="M440" s="55">
        <v>5000</v>
      </c>
      <c r="N440" s="55">
        <v>1000000</v>
      </c>
    </row>
    <row r="441" spans="1:14" ht="15" customHeight="1" x14ac:dyDescent="0.25">
      <c r="A441" s="64" t="str">
        <f t="shared" si="6"/>
        <v>1.3-15-0-TOU-2 year Fixed</v>
      </c>
      <c r="B441" s="62" t="s">
        <v>13</v>
      </c>
      <c r="C441" s="54">
        <v>15</v>
      </c>
      <c r="D441" s="53" t="s">
        <v>24</v>
      </c>
      <c r="E441" s="53" t="s">
        <v>87</v>
      </c>
      <c r="F441" s="38" t="s">
        <v>88</v>
      </c>
      <c r="G441" s="51">
        <v>1.3</v>
      </c>
      <c r="H441" s="53" t="s">
        <v>33</v>
      </c>
      <c r="I441" s="39">
        <v>0.86899999999999999</v>
      </c>
      <c r="J441" s="39">
        <v>0.16219999999999998</v>
      </c>
      <c r="K441" s="39">
        <v>0.13059999999999999</v>
      </c>
      <c r="L441" s="39">
        <v>0.1031</v>
      </c>
      <c r="M441" s="55">
        <v>5000</v>
      </c>
      <c r="N441" s="55">
        <v>1000000</v>
      </c>
    </row>
    <row r="442" spans="1:14" ht="15" customHeight="1" x14ac:dyDescent="0.25">
      <c r="A442" s="64" t="str">
        <f t="shared" si="6"/>
        <v>1.3-16-0-TOU-2 year Fixed</v>
      </c>
      <c r="B442" s="62" t="s">
        <v>13</v>
      </c>
      <c r="C442" s="54">
        <v>16</v>
      </c>
      <c r="D442" s="53" t="s">
        <v>25</v>
      </c>
      <c r="E442" s="53" t="s">
        <v>87</v>
      </c>
      <c r="F442" s="38" t="s">
        <v>88</v>
      </c>
      <c r="G442" s="51">
        <v>1.3</v>
      </c>
      <c r="H442" s="53" t="s">
        <v>33</v>
      </c>
      <c r="I442" s="39">
        <v>0.65800000000000003</v>
      </c>
      <c r="J442" s="39">
        <v>0.16149999999999998</v>
      </c>
      <c r="K442" s="39">
        <v>0.12999999999999998</v>
      </c>
      <c r="L442" s="39">
        <v>0.1026</v>
      </c>
      <c r="M442" s="55">
        <v>5000</v>
      </c>
      <c r="N442" s="55">
        <v>1000000</v>
      </c>
    </row>
    <row r="443" spans="1:14" ht="15" customHeight="1" x14ac:dyDescent="0.25">
      <c r="A443" s="64" t="str">
        <f t="shared" si="6"/>
        <v>1.3-17-0-TOU-2 year Fixed</v>
      </c>
      <c r="B443" s="62" t="s">
        <v>13</v>
      </c>
      <c r="C443" s="54">
        <v>17</v>
      </c>
      <c r="D443" s="53" t="s">
        <v>26</v>
      </c>
      <c r="E443" s="53" t="s">
        <v>87</v>
      </c>
      <c r="F443" s="38" t="s">
        <v>88</v>
      </c>
      <c r="G443" s="51">
        <v>1.3</v>
      </c>
      <c r="H443" s="53" t="s">
        <v>33</v>
      </c>
      <c r="I443" s="39">
        <v>1.5109999999999999</v>
      </c>
      <c r="J443" s="39">
        <v>0.18049999999999999</v>
      </c>
      <c r="K443" s="39">
        <v>0.14529999999999998</v>
      </c>
      <c r="L443" s="39">
        <v>0.1147</v>
      </c>
      <c r="M443" s="55">
        <v>5000</v>
      </c>
      <c r="N443" s="55">
        <v>1000000</v>
      </c>
    </row>
    <row r="444" spans="1:14" ht="15" customHeight="1" x14ac:dyDescent="0.25">
      <c r="A444" s="64" t="str">
        <f t="shared" si="6"/>
        <v>1.3-18-0-TOU-2 year Fixed</v>
      </c>
      <c r="B444" s="62" t="s">
        <v>13</v>
      </c>
      <c r="C444" s="54">
        <v>18</v>
      </c>
      <c r="D444" s="53" t="s">
        <v>27</v>
      </c>
      <c r="E444" s="53" t="s">
        <v>87</v>
      </c>
      <c r="F444" s="38" t="s">
        <v>88</v>
      </c>
      <c r="G444" s="51">
        <v>1.3</v>
      </c>
      <c r="H444" s="53" t="s">
        <v>33</v>
      </c>
      <c r="I444" s="39">
        <v>0.81399999999999995</v>
      </c>
      <c r="J444" s="39">
        <v>0.16099999999999998</v>
      </c>
      <c r="K444" s="39">
        <v>0.12959999999999999</v>
      </c>
      <c r="L444" s="39">
        <v>0.1023</v>
      </c>
      <c r="M444" s="55">
        <v>5000</v>
      </c>
      <c r="N444" s="55">
        <v>1000000</v>
      </c>
    </row>
    <row r="445" spans="1:14" ht="15" customHeight="1" x14ac:dyDescent="0.25">
      <c r="A445" s="64" t="str">
        <f t="shared" si="6"/>
        <v>1.3-19-0-TOU-2 year Fixed</v>
      </c>
      <c r="B445" s="62" t="s">
        <v>13</v>
      </c>
      <c r="C445" s="54">
        <v>19</v>
      </c>
      <c r="D445" s="53" t="s">
        <v>28</v>
      </c>
      <c r="E445" s="53" t="s">
        <v>87</v>
      </c>
      <c r="F445" s="38" t="s">
        <v>88</v>
      </c>
      <c r="G445" s="51">
        <v>1.3</v>
      </c>
      <c r="H445" s="53" t="s">
        <v>33</v>
      </c>
      <c r="I445" s="39">
        <v>0.70399999999999996</v>
      </c>
      <c r="J445" s="39">
        <v>0.1598</v>
      </c>
      <c r="K445" s="39">
        <v>0.12869999999999998</v>
      </c>
      <c r="L445" s="39">
        <v>0.10160000000000001</v>
      </c>
      <c r="M445" s="55">
        <v>5000</v>
      </c>
      <c r="N445" s="55">
        <v>1000000</v>
      </c>
    </row>
    <row r="446" spans="1:14" ht="15" customHeight="1" x14ac:dyDescent="0.25">
      <c r="A446" s="64" t="str">
        <f t="shared" si="6"/>
        <v>1.3-20-0-TOU-2 year Fixed</v>
      </c>
      <c r="B446" s="62" t="s">
        <v>13</v>
      </c>
      <c r="C446" s="54">
        <v>20</v>
      </c>
      <c r="D446" s="53" t="s">
        <v>29</v>
      </c>
      <c r="E446" s="53" t="s">
        <v>87</v>
      </c>
      <c r="F446" s="38" t="s">
        <v>88</v>
      </c>
      <c r="G446" s="51">
        <v>1.3</v>
      </c>
      <c r="H446" s="53" t="s">
        <v>33</v>
      </c>
      <c r="I446" s="39">
        <v>0.748</v>
      </c>
      <c r="J446" s="39">
        <v>0.15989999999999999</v>
      </c>
      <c r="K446" s="39">
        <v>0.1288</v>
      </c>
      <c r="L446" s="39">
        <v>0.1017</v>
      </c>
      <c r="M446" s="55">
        <v>5000</v>
      </c>
      <c r="N446" s="55">
        <v>1000000</v>
      </c>
    </row>
    <row r="447" spans="1:14" ht="15" customHeight="1" x14ac:dyDescent="0.25">
      <c r="A447" s="64" t="str">
        <f t="shared" si="6"/>
        <v>1.3-21-0-TOU-2 year Fixed</v>
      </c>
      <c r="B447" s="62" t="s">
        <v>13</v>
      </c>
      <c r="C447" s="54">
        <v>21</v>
      </c>
      <c r="D447" s="53" t="s">
        <v>30</v>
      </c>
      <c r="E447" s="53" t="s">
        <v>87</v>
      </c>
      <c r="F447" s="38" t="s">
        <v>88</v>
      </c>
      <c r="G447" s="51">
        <v>1.3</v>
      </c>
      <c r="H447" s="53" t="s">
        <v>33</v>
      </c>
      <c r="I447" s="39">
        <v>0.83499999999999996</v>
      </c>
      <c r="J447" s="39">
        <v>0.1701</v>
      </c>
      <c r="K447" s="39">
        <v>0.13689999999999999</v>
      </c>
      <c r="L447" s="39">
        <v>0.1081</v>
      </c>
      <c r="M447" s="55">
        <v>5000</v>
      </c>
      <c r="N447" s="55">
        <v>1000000</v>
      </c>
    </row>
    <row r="448" spans="1:14" ht="15" customHeight="1" x14ac:dyDescent="0.25">
      <c r="A448" s="64" t="str">
        <f t="shared" si="6"/>
        <v>1.3-22-0-TOU-2 year Fixed</v>
      </c>
      <c r="B448" s="62" t="s">
        <v>13</v>
      </c>
      <c r="C448" s="54">
        <v>22</v>
      </c>
      <c r="D448" s="53" t="s">
        <v>31</v>
      </c>
      <c r="E448" s="53" t="s">
        <v>87</v>
      </c>
      <c r="F448" s="38" t="s">
        <v>88</v>
      </c>
      <c r="G448" s="51">
        <v>1.3</v>
      </c>
      <c r="H448" s="53" t="s">
        <v>33</v>
      </c>
      <c r="I448" s="39">
        <v>0.81799999999999995</v>
      </c>
      <c r="J448" s="39">
        <v>0.17069999999999999</v>
      </c>
      <c r="K448" s="39">
        <v>0.13739999999999999</v>
      </c>
      <c r="L448" s="39">
        <v>0.1085</v>
      </c>
      <c r="M448" s="55">
        <v>5000</v>
      </c>
      <c r="N448" s="55">
        <v>1000000</v>
      </c>
    </row>
    <row r="449" spans="1:14" ht="15" customHeight="1" x14ac:dyDescent="0.25">
      <c r="A449" s="64" t="str">
        <f t="shared" si="6"/>
        <v>1.3-23-0-TOU-2 year Fixed</v>
      </c>
      <c r="B449" s="62" t="s">
        <v>13</v>
      </c>
      <c r="C449" s="54">
        <v>23</v>
      </c>
      <c r="D449" s="53" t="s">
        <v>32</v>
      </c>
      <c r="E449" s="53" t="s">
        <v>87</v>
      </c>
      <c r="F449" s="38" t="s">
        <v>88</v>
      </c>
      <c r="G449" s="51">
        <v>1.3</v>
      </c>
      <c r="H449" s="53" t="s">
        <v>33</v>
      </c>
      <c r="I449" s="39">
        <v>0.82</v>
      </c>
      <c r="J449" s="39">
        <v>0.16239999999999999</v>
      </c>
      <c r="K449" s="39">
        <v>0.1308</v>
      </c>
      <c r="L449" s="39">
        <v>0.1032</v>
      </c>
      <c r="M449" s="55">
        <v>5000</v>
      </c>
      <c r="N449" s="55">
        <v>1000000</v>
      </c>
    </row>
    <row r="450" spans="1:14" ht="15" customHeight="1" x14ac:dyDescent="0.25">
      <c r="A450" s="64" t="str">
        <f t="shared" si="6"/>
        <v>1.4-10-0-TOU-3 year - with APR</v>
      </c>
      <c r="B450" s="63" t="s">
        <v>13</v>
      </c>
      <c r="C450" s="56">
        <v>10</v>
      </c>
      <c r="D450" s="57" t="s">
        <v>14</v>
      </c>
      <c r="E450" s="57" t="s">
        <v>87</v>
      </c>
      <c r="F450" s="38" t="s">
        <v>88</v>
      </c>
      <c r="G450" s="51">
        <v>1.4</v>
      </c>
      <c r="H450" s="57" t="s">
        <v>15</v>
      </c>
      <c r="I450" s="39">
        <v>0.79700000000000004</v>
      </c>
      <c r="J450" s="39">
        <v>0.15009999999999998</v>
      </c>
      <c r="K450" s="39">
        <v>0.12090000000000001</v>
      </c>
      <c r="L450" s="39">
        <v>9.5399999999999999E-2</v>
      </c>
      <c r="M450" s="58">
        <v>5000</v>
      </c>
      <c r="N450" s="58">
        <v>1000000</v>
      </c>
    </row>
    <row r="451" spans="1:14" ht="15" customHeight="1" x14ac:dyDescent="0.25">
      <c r="A451" s="64" t="str">
        <f t="shared" ref="A451:A514" si="7">IF(E451="OP","",CONCATENATE(G451,"-",C451,"-",RIGHT(F451,1),"-",E451,"-",H451))</f>
        <v>1.4-11-0-TOU-3 year - with APR</v>
      </c>
      <c r="B451" s="63" t="s">
        <v>13</v>
      </c>
      <c r="C451" s="56">
        <v>11</v>
      </c>
      <c r="D451" s="57" t="s">
        <v>20</v>
      </c>
      <c r="E451" s="57" t="s">
        <v>87</v>
      </c>
      <c r="F451" s="38" t="s">
        <v>88</v>
      </c>
      <c r="G451" s="51">
        <v>1.4</v>
      </c>
      <c r="H451" s="57" t="s">
        <v>15</v>
      </c>
      <c r="I451" s="39">
        <v>0.77900000000000003</v>
      </c>
      <c r="J451" s="39">
        <v>0.15239999999999998</v>
      </c>
      <c r="K451" s="39">
        <v>0.1227</v>
      </c>
      <c r="L451" s="39">
        <v>9.69E-2</v>
      </c>
      <c r="M451" s="58">
        <v>5000</v>
      </c>
      <c r="N451" s="58">
        <v>1000000</v>
      </c>
    </row>
    <row r="452" spans="1:14" ht="15" customHeight="1" x14ac:dyDescent="0.25">
      <c r="A452" s="64" t="str">
        <f t="shared" si="7"/>
        <v>1.4-12-0-TOU-3 year - with APR</v>
      </c>
      <c r="B452" s="63" t="s">
        <v>13</v>
      </c>
      <c r="C452" s="56">
        <v>12</v>
      </c>
      <c r="D452" s="57" t="s">
        <v>21</v>
      </c>
      <c r="E452" s="57" t="s">
        <v>87</v>
      </c>
      <c r="F452" s="38" t="s">
        <v>88</v>
      </c>
      <c r="G452" s="51">
        <v>1.4</v>
      </c>
      <c r="H452" s="57" t="s">
        <v>15</v>
      </c>
      <c r="I452" s="39">
        <v>0.81699999999999995</v>
      </c>
      <c r="J452" s="39">
        <v>0.1497</v>
      </c>
      <c r="K452" s="39">
        <v>0.1205</v>
      </c>
      <c r="L452" s="39">
        <v>9.5100000000000004E-2</v>
      </c>
      <c r="M452" s="58">
        <v>5000</v>
      </c>
      <c r="N452" s="58">
        <v>1000000</v>
      </c>
    </row>
    <row r="453" spans="1:14" ht="15" customHeight="1" x14ac:dyDescent="0.25">
      <c r="A453" s="64" t="str">
        <f t="shared" si="7"/>
        <v>1.4-13-0-TOU-3 year - with APR</v>
      </c>
      <c r="B453" s="63" t="s">
        <v>13</v>
      </c>
      <c r="C453" s="56">
        <v>13</v>
      </c>
      <c r="D453" s="57" t="s">
        <v>22</v>
      </c>
      <c r="E453" s="57" t="s">
        <v>87</v>
      </c>
      <c r="F453" s="38" t="s">
        <v>88</v>
      </c>
      <c r="G453" s="51">
        <v>1.4</v>
      </c>
      <c r="H453" s="57" t="s">
        <v>15</v>
      </c>
      <c r="I453" s="39">
        <v>0.79700000000000004</v>
      </c>
      <c r="J453" s="39">
        <v>0.1618</v>
      </c>
      <c r="K453" s="39">
        <v>0.1303</v>
      </c>
      <c r="L453" s="39">
        <v>0.10290000000000001</v>
      </c>
      <c r="M453" s="58">
        <v>5000</v>
      </c>
      <c r="N453" s="58">
        <v>1000000</v>
      </c>
    </row>
    <row r="454" spans="1:14" ht="15" customHeight="1" x14ac:dyDescent="0.25">
      <c r="A454" s="64" t="str">
        <f t="shared" si="7"/>
        <v>1.4-14-0-TOU-3 year - with APR</v>
      </c>
      <c r="B454" s="63" t="s">
        <v>13</v>
      </c>
      <c r="C454" s="56">
        <v>14</v>
      </c>
      <c r="D454" s="57" t="s">
        <v>23</v>
      </c>
      <c r="E454" s="57" t="s">
        <v>87</v>
      </c>
      <c r="F454" s="38" t="s">
        <v>88</v>
      </c>
      <c r="G454" s="51">
        <v>1.4</v>
      </c>
      <c r="H454" s="57" t="s">
        <v>15</v>
      </c>
      <c r="I454" s="39">
        <v>0.80500000000000005</v>
      </c>
      <c r="J454" s="39">
        <v>0.15329999999999999</v>
      </c>
      <c r="K454" s="39">
        <v>0.1235</v>
      </c>
      <c r="L454" s="39">
        <v>9.7500000000000003E-2</v>
      </c>
      <c r="M454" s="58">
        <v>5000</v>
      </c>
      <c r="N454" s="58">
        <v>1000000</v>
      </c>
    </row>
    <row r="455" spans="1:14" ht="15" customHeight="1" x14ac:dyDescent="0.25">
      <c r="A455" s="64" t="str">
        <f t="shared" si="7"/>
        <v>1.4-15-0-TOU-3 year - with APR</v>
      </c>
      <c r="B455" s="63" t="s">
        <v>13</v>
      </c>
      <c r="C455" s="56">
        <v>15</v>
      </c>
      <c r="D455" s="57" t="s">
        <v>24</v>
      </c>
      <c r="E455" s="57" t="s">
        <v>87</v>
      </c>
      <c r="F455" s="38" t="s">
        <v>88</v>
      </c>
      <c r="G455" s="51">
        <v>1.4</v>
      </c>
      <c r="H455" s="57" t="s">
        <v>15</v>
      </c>
      <c r="I455" s="39">
        <v>0.86899999999999999</v>
      </c>
      <c r="J455" s="39">
        <v>0.15419999999999998</v>
      </c>
      <c r="K455" s="39">
        <v>0.1241</v>
      </c>
      <c r="L455" s="39">
        <v>9.8000000000000004E-2</v>
      </c>
      <c r="M455" s="58">
        <v>5000</v>
      </c>
      <c r="N455" s="58">
        <v>1000000</v>
      </c>
    </row>
    <row r="456" spans="1:14" ht="15" customHeight="1" x14ac:dyDescent="0.25">
      <c r="A456" s="64" t="str">
        <f t="shared" si="7"/>
        <v>1.4-16-0-TOU-3 year - with APR</v>
      </c>
      <c r="B456" s="63" t="s">
        <v>13</v>
      </c>
      <c r="C456" s="56">
        <v>16</v>
      </c>
      <c r="D456" s="57" t="s">
        <v>25</v>
      </c>
      <c r="E456" s="57" t="s">
        <v>87</v>
      </c>
      <c r="F456" s="38" t="s">
        <v>88</v>
      </c>
      <c r="G456" s="51">
        <v>1.4</v>
      </c>
      <c r="H456" s="57" t="s">
        <v>15</v>
      </c>
      <c r="I456" s="39">
        <v>0.65800000000000003</v>
      </c>
      <c r="J456" s="39">
        <v>0.153</v>
      </c>
      <c r="K456" s="39">
        <v>0.1232</v>
      </c>
      <c r="L456" s="39">
        <v>9.7199999999999995E-2</v>
      </c>
      <c r="M456" s="58">
        <v>5000</v>
      </c>
      <c r="N456" s="58">
        <v>1000000</v>
      </c>
    </row>
    <row r="457" spans="1:14" ht="15" customHeight="1" x14ac:dyDescent="0.25">
      <c r="A457" s="64" t="str">
        <f t="shared" si="7"/>
        <v>1.4-17-0-TOU-3 year - with APR</v>
      </c>
      <c r="B457" s="63" t="s">
        <v>13</v>
      </c>
      <c r="C457" s="56">
        <v>17</v>
      </c>
      <c r="D457" s="57" t="s">
        <v>26</v>
      </c>
      <c r="E457" s="57" t="s">
        <v>87</v>
      </c>
      <c r="F457" s="38" t="s">
        <v>88</v>
      </c>
      <c r="G457" s="51">
        <v>1.4</v>
      </c>
      <c r="H457" s="57" t="s">
        <v>15</v>
      </c>
      <c r="I457" s="39">
        <v>1.343</v>
      </c>
      <c r="J457" s="39">
        <v>0.1714</v>
      </c>
      <c r="K457" s="39">
        <v>0.13799999999999998</v>
      </c>
      <c r="L457" s="39">
        <v>0.1089</v>
      </c>
      <c r="M457" s="58">
        <v>5000</v>
      </c>
      <c r="N457" s="58">
        <v>1000000</v>
      </c>
    </row>
    <row r="458" spans="1:14" ht="15" customHeight="1" x14ac:dyDescent="0.25">
      <c r="A458" s="64" t="str">
        <f t="shared" si="7"/>
        <v>1.4-18-0-TOU-3 year - with APR</v>
      </c>
      <c r="B458" s="63" t="s">
        <v>13</v>
      </c>
      <c r="C458" s="56">
        <v>18</v>
      </c>
      <c r="D458" s="57" t="s">
        <v>27</v>
      </c>
      <c r="E458" s="57" t="s">
        <v>87</v>
      </c>
      <c r="F458" s="38" t="s">
        <v>88</v>
      </c>
      <c r="G458" s="51">
        <v>1.4</v>
      </c>
      <c r="H458" s="57" t="s">
        <v>15</v>
      </c>
      <c r="I458" s="39">
        <v>0.81399999999999995</v>
      </c>
      <c r="J458" s="39">
        <v>0.1522</v>
      </c>
      <c r="K458" s="39">
        <v>0.1225</v>
      </c>
      <c r="L458" s="39">
        <v>9.6700000000000008E-2</v>
      </c>
      <c r="M458" s="58">
        <v>5000</v>
      </c>
      <c r="N458" s="58">
        <v>1000000</v>
      </c>
    </row>
    <row r="459" spans="1:14" ht="15" customHeight="1" x14ac:dyDescent="0.25">
      <c r="A459" s="64" t="str">
        <f t="shared" si="7"/>
        <v>1.4-19-0-TOU-3 year - with APR</v>
      </c>
      <c r="B459" s="63" t="s">
        <v>13</v>
      </c>
      <c r="C459" s="56">
        <v>19</v>
      </c>
      <c r="D459" s="57" t="s">
        <v>28</v>
      </c>
      <c r="E459" s="57" t="s">
        <v>87</v>
      </c>
      <c r="F459" s="38" t="s">
        <v>88</v>
      </c>
      <c r="G459" s="51">
        <v>1.4</v>
      </c>
      <c r="H459" s="57" t="s">
        <v>15</v>
      </c>
      <c r="I459" s="39">
        <v>0.70399999999999996</v>
      </c>
      <c r="J459" s="39">
        <v>0.15129999999999999</v>
      </c>
      <c r="K459" s="39">
        <v>0.12180000000000001</v>
      </c>
      <c r="L459" s="39">
        <v>9.6200000000000008E-2</v>
      </c>
      <c r="M459" s="58">
        <v>5000</v>
      </c>
      <c r="N459" s="58">
        <v>1000000</v>
      </c>
    </row>
    <row r="460" spans="1:14" ht="15" customHeight="1" x14ac:dyDescent="0.25">
      <c r="A460" s="64" t="str">
        <f t="shared" si="7"/>
        <v>1.4-20-0-TOU-3 year - with APR</v>
      </c>
      <c r="B460" s="63" t="s">
        <v>13</v>
      </c>
      <c r="C460" s="56">
        <v>20</v>
      </c>
      <c r="D460" s="57" t="s">
        <v>29</v>
      </c>
      <c r="E460" s="57" t="s">
        <v>87</v>
      </c>
      <c r="F460" s="38" t="s">
        <v>88</v>
      </c>
      <c r="G460" s="51">
        <v>1.4</v>
      </c>
      <c r="H460" s="57" t="s">
        <v>15</v>
      </c>
      <c r="I460" s="39">
        <v>0.748</v>
      </c>
      <c r="J460" s="39">
        <v>0.151</v>
      </c>
      <c r="K460" s="39">
        <v>0.1216</v>
      </c>
      <c r="L460" s="39">
        <v>9.6000000000000002E-2</v>
      </c>
      <c r="M460" s="58">
        <v>5000</v>
      </c>
      <c r="N460" s="58">
        <v>1000000</v>
      </c>
    </row>
    <row r="461" spans="1:14" ht="15" customHeight="1" x14ac:dyDescent="0.25">
      <c r="A461" s="64" t="str">
        <f t="shared" si="7"/>
        <v>1.4-21-0-TOU-3 year - with APR</v>
      </c>
      <c r="B461" s="63" t="s">
        <v>13</v>
      </c>
      <c r="C461" s="56">
        <v>21</v>
      </c>
      <c r="D461" s="57" t="s">
        <v>30</v>
      </c>
      <c r="E461" s="57" t="s">
        <v>87</v>
      </c>
      <c r="F461" s="38" t="s">
        <v>88</v>
      </c>
      <c r="G461" s="51">
        <v>1.4</v>
      </c>
      <c r="H461" s="57" t="s">
        <v>15</v>
      </c>
      <c r="I461" s="39">
        <v>0.83499999999999996</v>
      </c>
      <c r="J461" s="39">
        <v>0.16089999999999999</v>
      </c>
      <c r="K461" s="39">
        <v>0.12949999999999998</v>
      </c>
      <c r="L461" s="39">
        <v>0.1023</v>
      </c>
      <c r="M461" s="58">
        <v>5000</v>
      </c>
      <c r="N461" s="58">
        <v>1000000</v>
      </c>
    </row>
    <row r="462" spans="1:14" ht="15" customHeight="1" x14ac:dyDescent="0.25">
      <c r="A462" s="64" t="str">
        <f t="shared" si="7"/>
        <v>1.4-22-0-TOU-3 year - with APR</v>
      </c>
      <c r="B462" s="63" t="s">
        <v>13</v>
      </c>
      <c r="C462" s="56">
        <v>22</v>
      </c>
      <c r="D462" s="57" t="s">
        <v>31</v>
      </c>
      <c r="E462" s="57" t="s">
        <v>87</v>
      </c>
      <c r="F462" s="38" t="s">
        <v>88</v>
      </c>
      <c r="G462" s="51">
        <v>1.4</v>
      </c>
      <c r="H462" s="57" t="s">
        <v>15</v>
      </c>
      <c r="I462" s="39">
        <v>0.81799999999999995</v>
      </c>
      <c r="J462" s="39">
        <v>0.16149999999999998</v>
      </c>
      <c r="K462" s="39">
        <v>0.12999999999999998</v>
      </c>
      <c r="L462" s="39">
        <v>0.1026</v>
      </c>
      <c r="M462" s="58">
        <v>5000</v>
      </c>
      <c r="N462" s="58">
        <v>1000000</v>
      </c>
    </row>
    <row r="463" spans="1:14" ht="15" customHeight="1" x14ac:dyDescent="0.25">
      <c r="A463" s="64" t="str">
        <f t="shared" si="7"/>
        <v>1.4-23-0-TOU-3 year - with APR</v>
      </c>
      <c r="B463" s="63" t="s">
        <v>13</v>
      </c>
      <c r="C463" s="56">
        <v>23</v>
      </c>
      <c r="D463" s="57" t="s">
        <v>32</v>
      </c>
      <c r="E463" s="57" t="s">
        <v>87</v>
      </c>
      <c r="F463" s="38" t="s">
        <v>88</v>
      </c>
      <c r="G463" s="51">
        <v>1.4</v>
      </c>
      <c r="H463" s="57" t="s">
        <v>15</v>
      </c>
      <c r="I463" s="39">
        <v>0.82</v>
      </c>
      <c r="J463" s="39">
        <v>0.154</v>
      </c>
      <c r="K463" s="39">
        <v>0.124</v>
      </c>
      <c r="L463" s="39">
        <v>9.7900000000000001E-2</v>
      </c>
      <c r="M463" s="58">
        <v>5000</v>
      </c>
      <c r="N463" s="58">
        <v>1000000</v>
      </c>
    </row>
    <row r="464" spans="1:14" ht="15" customHeight="1" x14ac:dyDescent="0.25">
      <c r="A464" s="64" t="str">
        <f t="shared" si="7"/>
        <v>1.4-10-0-TOU-2 year Fixed</v>
      </c>
      <c r="B464" s="63" t="s">
        <v>13</v>
      </c>
      <c r="C464" s="56">
        <v>10</v>
      </c>
      <c r="D464" s="57" t="s">
        <v>14</v>
      </c>
      <c r="E464" s="57" t="s">
        <v>87</v>
      </c>
      <c r="F464" s="38" t="s">
        <v>88</v>
      </c>
      <c r="G464" s="51">
        <v>1.4</v>
      </c>
      <c r="H464" s="57" t="s">
        <v>33</v>
      </c>
      <c r="I464" s="39">
        <v>0.79700000000000004</v>
      </c>
      <c r="J464" s="39">
        <v>0.15949999999999998</v>
      </c>
      <c r="K464" s="39">
        <v>0.12839999999999999</v>
      </c>
      <c r="L464" s="39">
        <v>0.1014</v>
      </c>
      <c r="M464" s="58">
        <v>5000</v>
      </c>
      <c r="N464" s="58">
        <v>1000000</v>
      </c>
    </row>
    <row r="465" spans="1:14" ht="15" customHeight="1" x14ac:dyDescent="0.25">
      <c r="A465" s="64" t="str">
        <f t="shared" si="7"/>
        <v>1.4-11-0-TOU-2 year Fixed</v>
      </c>
      <c r="B465" s="63" t="s">
        <v>13</v>
      </c>
      <c r="C465" s="56">
        <v>11</v>
      </c>
      <c r="D465" s="57" t="s">
        <v>20</v>
      </c>
      <c r="E465" s="57" t="s">
        <v>87</v>
      </c>
      <c r="F465" s="38" t="s">
        <v>88</v>
      </c>
      <c r="G465" s="51">
        <v>1.4</v>
      </c>
      <c r="H465" s="57" t="s">
        <v>33</v>
      </c>
      <c r="I465" s="39">
        <v>0.77900000000000003</v>
      </c>
      <c r="J465" s="39">
        <v>0.16249999999999998</v>
      </c>
      <c r="K465" s="39">
        <v>0.13089999999999999</v>
      </c>
      <c r="L465" s="39">
        <v>0.1033</v>
      </c>
      <c r="M465" s="58">
        <v>5000</v>
      </c>
      <c r="N465" s="58">
        <v>1000000</v>
      </c>
    </row>
    <row r="466" spans="1:14" ht="15" customHeight="1" x14ac:dyDescent="0.25">
      <c r="A466" s="64" t="str">
        <f t="shared" si="7"/>
        <v>1.4-12-0-TOU-2 year Fixed</v>
      </c>
      <c r="B466" s="63" t="s">
        <v>13</v>
      </c>
      <c r="C466" s="56">
        <v>12</v>
      </c>
      <c r="D466" s="57" t="s">
        <v>21</v>
      </c>
      <c r="E466" s="57" t="s">
        <v>87</v>
      </c>
      <c r="F466" s="38" t="s">
        <v>88</v>
      </c>
      <c r="G466" s="51">
        <v>1.4</v>
      </c>
      <c r="H466" s="57" t="s">
        <v>33</v>
      </c>
      <c r="I466" s="39">
        <v>0.81699999999999995</v>
      </c>
      <c r="J466" s="39">
        <v>0.15909999999999999</v>
      </c>
      <c r="K466" s="39">
        <v>0.12809999999999999</v>
      </c>
      <c r="L466" s="39">
        <v>0.1011</v>
      </c>
      <c r="M466" s="58">
        <v>5000</v>
      </c>
      <c r="N466" s="58">
        <v>1000000</v>
      </c>
    </row>
    <row r="467" spans="1:14" ht="15" customHeight="1" x14ac:dyDescent="0.25">
      <c r="A467" s="64" t="str">
        <f t="shared" si="7"/>
        <v>1.4-13-0-TOU-2 year Fixed</v>
      </c>
      <c r="B467" s="63" t="s">
        <v>13</v>
      </c>
      <c r="C467" s="56">
        <v>13</v>
      </c>
      <c r="D467" s="57" t="s">
        <v>22</v>
      </c>
      <c r="E467" s="57" t="s">
        <v>87</v>
      </c>
      <c r="F467" s="38" t="s">
        <v>88</v>
      </c>
      <c r="G467" s="51">
        <v>1.4</v>
      </c>
      <c r="H467" s="57" t="s">
        <v>33</v>
      </c>
      <c r="I467" s="39">
        <v>0.79700000000000004</v>
      </c>
      <c r="J467" s="39">
        <v>0.17219999999999999</v>
      </c>
      <c r="K467" s="39">
        <v>0.13869999999999999</v>
      </c>
      <c r="L467" s="39">
        <v>0.1095</v>
      </c>
      <c r="M467" s="58">
        <v>5000</v>
      </c>
      <c r="N467" s="58">
        <v>1000000</v>
      </c>
    </row>
    <row r="468" spans="1:14" ht="15" customHeight="1" x14ac:dyDescent="0.25">
      <c r="A468" s="64" t="str">
        <f t="shared" si="7"/>
        <v>1.4-14-0-TOU-2 year Fixed</v>
      </c>
      <c r="B468" s="63" t="s">
        <v>13</v>
      </c>
      <c r="C468" s="56">
        <v>14</v>
      </c>
      <c r="D468" s="57" t="s">
        <v>23</v>
      </c>
      <c r="E468" s="57" t="s">
        <v>87</v>
      </c>
      <c r="F468" s="38" t="s">
        <v>88</v>
      </c>
      <c r="G468" s="51">
        <v>1.4</v>
      </c>
      <c r="H468" s="57" t="s">
        <v>33</v>
      </c>
      <c r="I468" s="39">
        <v>0.80500000000000005</v>
      </c>
      <c r="J468" s="39">
        <v>0.1636</v>
      </c>
      <c r="K468" s="39">
        <v>0.13169999999999998</v>
      </c>
      <c r="L468" s="39">
        <v>0.10400000000000001</v>
      </c>
      <c r="M468" s="58">
        <v>5000</v>
      </c>
      <c r="N468" s="58">
        <v>1000000</v>
      </c>
    </row>
    <row r="469" spans="1:14" ht="15" customHeight="1" x14ac:dyDescent="0.25">
      <c r="A469" s="64" t="str">
        <f t="shared" si="7"/>
        <v>1.4-15-0-TOU-2 year Fixed</v>
      </c>
      <c r="B469" s="63" t="s">
        <v>13</v>
      </c>
      <c r="C469" s="56">
        <v>15</v>
      </c>
      <c r="D469" s="57" t="s">
        <v>24</v>
      </c>
      <c r="E469" s="57" t="s">
        <v>87</v>
      </c>
      <c r="F469" s="38" t="s">
        <v>88</v>
      </c>
      <c r="G469" s="51">
        <v>1.4</v>
      </c>
      <c r="H469" s="57" t="s">
        <v>33</v>
      </c>
      <c r="I469" s="39">
        <v>0.86899999999999999</v>
      </c>
      <c r="J469" s="39">
        <v>0.16339999999999999</v>
      </c>
      <c r="K469" s="39">
        <v>0.13149999999999998</v>
      </c>
      <c r="L469" s="39">
        <v>0.1038</v>
      </c>
      <c r="M469" s="58">
        <v>5000</v>
      </c>
      <c r="N469" s="58">
        <v>1000000</v>
      </c>
    </row>
    <row r="470" spans="1:14" ht="15" customHeight="1" x14ac:dyDescent="0.25">
      <c r="A470" s="64" t="str">
        <f t="shared" si="7"/>
        <v>1.4-16-0-TOU-2 year Fixed</v>
      </c>
      <c r="B470" s="63" t="s">
        <v>13</v>
      </c>
      <c r="C470" s="56">
        <v>16</v>
      </c>
      <c r="D470" s="57" t="s">
        <v>25</v>
      </c>
      <c r="E470" s="57" t="s">
        <v>87</v>
      </c>
      <c r="F470" s="38" t="s">
        <v>88</v>
      </c>
      <c r="G470" s="51">
        <v>1.4</v>
      </c>
      <c r="H470" s="57" t="s">
        <v>33</v>
      </c>
      <c r="I470" s="39">
        <v>0.65800000000000003</v>
      </c>
      <c r="J470" s="39">
        <v>0.16269999999999998</v>
      </c>
      <c r="K470" s="39">
        <v>0.13099999999999998</v>
      </c>
      <c r="L470" s="39">
        <v>0.10340000000000001</v>
      </c>
      <c r="M470" s="58">
        <v>5000</v>
      </c>
      <c r="N470" s="58">
        <v>1000000</v>
      </c>
    </row>
    <row r="471" spans="1:14" ht="15" customHeight="1" x14ac:dyDescent="0.25">
      <c r="A471" s="64" t="str">
        <f t="shared" si="7"/>
        <v>1.4-17-0-TOU-2 year Fixed</v>
      </c>
      <c r="B471" s="63" t="s">
        <v>13</v>
      </c>
      <c r="C471" s="56">
        <v>17</v>
      </c>
      <c r="D471" s="57" t="s">
        <v>26</v>
      </c>
      <c r="E471" s="57" t="s">
        <v>87</v>
      </c>
      <c r="F471" s="38" t="s">
        <v>88</v>
      </c>
      <c r="G471" s="51">
        <v>1.4</v>
      </c>
      <c r="H471" s="57" t="s">
        <v>33</v>
      </c>
      <c r="I471" s="39">
        <v>1.5109999999999999</v>
      </c>
      <c r="J471" s="39">
        <v>0.1817</v>
      </c>
      <c r="K471" s="39">
        <v>0.14629999999999999</v>
      </c>
      <c r="L471" s="39">
        <v>0.11550000000000001</v>
      </c>
      <c r="M471" s="58">
        <v>5000</v>
      </c>
      <c r="N471" s="58">
        <v>1000000</v>
      </c>
    </row>
    <row r="472" spans="1:14" ht="15" customHeight="1" x14ac:dyDescent="0.25">
      <c r="A472" s="64" t="str">
        <f t="shared" si="7"/>
        <v>1.4-18-0-TOU-2 year Fixed</v>
      </c>
      <c r="B472" s="63" t="s">
        <v>13</v>
      </c>
      <c r="C472" s="56">
        <v>18</v>
      </c>
      <c r="D472" s="57" t="s">
        <v>27</v>
      </c>
      <c r="E472" s="57" t="s">
        <v>87</v>
      </c>
      <c r="F472" s="38" t="s">
        <v>88</v>
      </c>
      <c r="G472" s="51">
        <v>1.4</v>
      </c>
      <c r="H472" s="57" t="s">
        <v>33</v>
      </c>
      <c r="I472" s="39">
        <v>0.81399999999999995</v>
      </c>
      <c r="J472" s="39">
        <v>0.16219999999999998</v>
      </c>
      <c r="K472" s="39">
        <v>0.13059999999999999</v>
      </c>
      <c r="L472" s="39">
        <v>0.1031</v>
      </c>
      <c r="M472" s="58">
        <v>5000</v>
      </c>
      <c r="N472" s="58">
        <v>1000000</v>
      </c>
    </row>
    <row r="473" spans="1:14" ht="15" customHeight="1" x14ac:dyDescent="0.25">
      <c r="A473" s="64" t="str">
        <f t="shared" si="7"/>
        <v>1.4-19-0-TOU-2 year Fixed</v>
      </c>
      <c r="B473" s="63" t="s">
        <v>13</v>
      </c>
      <c r="C473" s="56">
        <v>19</v>
      </c>
      <c r="D473" s="57" t="s">
        <v>28</v>
      </c>
      <c r="E473" s="57" t="s">
        <v>87</v>
      </c>
      <c r="F473" s="38" t="s">
        <v>88</v>
      </c>
      <c r="G473" s="51">
        <v>1.4</v>
      </c>
      <c r="H473" s="57" t="s">
        <v>33</v>
      </c>
      <c r="I473" s="39">
        <v>0.70399999999999996</v>
      </c>
      <c r="J473" s="39">
        <v>0.16099999999999998</v>
      </c>
      <c r="K473" s="39">
        <v>0.12959999999999999</v>
      </c>
      <c r="L473" s="39">
        <v>0.1023</v>
      </c>
      <c r="M473" s="58">
        <v>5000</v>
      </c>
      <c r="N473" s="58">
        <v>1000000</v>
      </c>
    </row>
    <row r="474" spans="1:14" ht="15" customHeight="1" x14ac:dyDescent="0.25">
      <c r="A474" s="64" t="str">
        <f t="shared" si="7"/>
        <v>1.4-20-0-TOU-2 year Fixed</v>
      </c>
      <c r="B474" s="63" t="s">
        <v>13</v>
      </c>
      <c r="C474" s="56">
        <v>20</v>
      </c>
      <c r="D474" s="57" t="s">
        <v>29</v>
      </c>
      <c r="E474" s="57" t="s">
        <v>87</v>
      </c>
      <c r="F474" s="38" t="s">
        <v>88</v>
      </c>
      <c r="G474" s="51">
        <v>1.4</v>
      </c>
      <c r="H474" s="57" t="s">
        <v>33</v>
      </c>
      <c r="I474" s="39">
        <v>0.748</v>
      </c>
      <c r="J474" s="39">
        <v>0.16109999999999999</v>
      </c>
      <c r="K474" s="39">
        <v>0.12969999999999998</v>
      </c>
      <c r="L474" s="39">
        <v>0.1024</v>
      </c>
      <c r="M474" s="58">
        <v>5000</v>
      </c>
      <c r="N474" s="58">
        <v>1000000</v>
      </c>
    </row>
    <row r="475" spans="1:14" ht="15" customHeight="1" x14ac:dyDescent="0.25">
      <c r="A475" s="64" t="str">
        <f t="shared" si="7"/>
        <v>1.4-21-0-TOU-2 year Fixed</v>
      </c>
      <c r="B475" s="63" t="s">
        <v>13</v>
      </c>
      <c r="C475" s="56">
        <v>21</v>
      </c>
      <c r="D475" s="57" t="s">
        <v>30</v>
      </c>
      <c r="E475" s="57" t="s">
        <v>87</v>
      </c>
      <c r="F475" s="38" t="s">
        <v>88</v>
      </c>
      <c r="G475" s="51">
        <v>1.4</v>
      </c>
      <c r="H475" s="57" t="s">
        <v>33</v>
      </c>
      <c r="I475" s="39">
        <v>0.83499999999999996</v>
      </c>
      <c r="J475" s="39">
        <v>0.17129999999999998</v>
      </c>
      <c r="K475" s="39">
        <v>0.13789999999999999</v>
      </c>
      <c r="L475" s="39">
        <v>0.1089</v>
      </c>
      <c r="M475" s="58">
        <v>5000</v>
      </c>
      <c r="N475" s="58">
        <v>1000000</v>
      </c>
    </row>
    <row r="476" spans="1:14" ht="15" customHeight="1" x14ac:dyDescent="0.25">
      <c r="A476" s="64" t="str">
        <f t="shared" si="7"/>
        <v>1.4-22-0-TOU-2 year Fixed</v>
      </c>
      <c r="B476" s="63" t="s">
        <v>13</v>
      </c>
      <c r="C476" s="56">
        <v>22</v>
      </c>
      <c r="D476" s="57" t="s">
        <v>31</v>
      </c>
      <c r="E476" s="57" t="s">
        <v>87</v>
      </c>
      <c r="F476" s="38" t="s">
        <v>88</v>
      </c>
      <c r="G476" s="51">
        <v>1.4</v>
      </c>
      <c r="H476" s="57" t="s">
        <v>33</v>
      </c>
      <c r="I476" s="39">
        <v>0.81799999999999995</v>
      </c>
      <c r="J476" s="39">
        <v>0.1719</v>
      </c>
      <c r="K476" s="39">
        <v>0.1384</v>
      </c>
      <c r="L476" s="39">
        <v>0.10920000000000001</v>
      </c>
      <c r="M476" s="58">
        <v>5000</v>
      </c>
      <c r="N476" s="58">
        <v>1000000</v>
      </c>
    </row>
    <row r="477" spans="1:14" ht="15" customHeight="1" x14ac:dyDescent="0.25">
      <c r="A477" s="64" t="str">
        <f t="shared" si="7"/>
        <v>1.4-23-0-TOU-2 year Fixed</v>
      </c>
      <c r="B477" s="63" t="s">
        <v>13</v>
      </c>
      <c r="C477" s="56">
        <v>23</v>
      </c>
      <c r="D477" s="57" t="s">
        <v>32</v>
      </c>
      <c r="E477" s="57" t="s">
        <v>87</v>
      </c>
      <c r="F477" s="38" t="s">
        <v>88</v>
      </c>
      <c r="G477" s="51">
        <v>1.4</v>
      </c>
      <c r="H477" s="57" t="s">
        <v>33</v>
      </c>
      <c r="I477" s="39">
        <v>0.82</v>
      </c>
      <c r="J477" s="39">
        <v>0.1636</v>
      </c>
      <c r="K477" s="39">
        <v>0.13169999999999998</v>
      </c>
      <c r="L477" s="39">
        <v>0.10400000000000001</v>
      </c>
      <c r="M477" s="58">
        <v>5000</v>
      </c>
      <c r="N477" s="58">
        <v>1000000</v>
      </c>
    </row>
    <row r="478" spans="1:14" ht="15" customHeight="1" x14ac:dyDescent="0.25">
      <c r="A478" s="64" t="str">
        <f t="shared" si="7"/>
        <v>1.5-10-0-TOU-3 year - with APR</v>
      </c>
      <c r="B478" s="63" t="s">
        <v>13</v>
      </c>
      <c r="C478" s="56">
        <v>10</v>
      </c>
      <c r="D478" s="57" t="s">
        <v>14</v>
      </c>
      <c r="E478" s="57" t="s">
        <v>87</v>
      </c>
      <c r="F478" s="38" t="s">
        <v>88</v>
      </c>
      <c r="G478" s="51">
        <v>1.5</v>
      </c>
      <c r="H478" s="57" t="s">
        <v>15</v>
      </c>
      <c r="I478" s="39">
        <v>0.79700000000000004</v>
      </c>
      <c r="J478" s="39">
        <v>0.15129999999999999</v>
      </c>
      <c r="K478" s="39">
        <v>0.12180000000000001</v>
      </c>
      <c r="L478" s="39">
        <v>9.6200000000000008E-2</v>
      </c>
      <c r="M478" s="58">
        <v>5000</v>
      </c>
      <c r="N478" s="58">
        <v>1000000</v>
      </c>
    </row>
    <row r="479" spans="1:14" ht="15" customHeight="1" x14ac:dyDescent="0.25">
      <c r="A479" s="64" t="str">
        <f t="shared" si="7"/>
        <v>1.5-11-0-TOU-3 year - with APR</v>
      </c>
      <c r="B479" s="63" t="s">
        <v>13</v>
      </c>
      <c r="C479" s="56">
        <v>11</v>
      </c>
      <c r="D479" s="57" t="s">
        <v>20</v>
      </c>
      <c r="E479" s="57" t="s">
        <v>87</v>
      </c>
      <c r="F479" s="38" t="s">
        <v>88</v>
      </c>
      <c r="G479" s="51">
        <v>1.5</v>
      </c>
      <c r="H479" s="57" t="s">
        <v>15</v>
      </c>
      <c r="I479" s="39">
        <v>0.77900000000000003</v>
      </c>
      <c r="J479" s="39">
        <v>0.15359999999999999</v>
      </c>
      <c r="K479" s="39">
        <v>0.1236</v>
      </c>
      <c r="L479" s="39">
        <v>9.7600000000000006E-2</v>
      </c>
      <c r="M479" s="58">
        <v>5000</v>
      </c>
      <c r="N479" s="58">
        <v>1000000</v>
      </c>
    </row>
    <row r="480" spans="1:14" ht="15" customHeight="1" x14ac:dyDescent="0.25">
      <c r="A480" s="64" t="str">
        <f t="shared" si="7"/>
        <v>1.5-12-0-TOU-3 year - with APR</v>
      </c>
      <c r="B480" s="63" t="s">
        <v>13</v>
      </c>
      <c r="C480" s="56">
        <v>12</v>
      </c>
      <c r="D480" s="57" t="s">
        <v>21</v>
      </c>
      <c r="E480" s="57" t="s">
        <v>87</v>
      </c>
      <c r="F480" s="38" t="s">
        <v>88</v>
      </c>
      <c r="G480" s="51">
        <v>1.5</v>
      </c>
      <c r="H480" s="57" t="s">
        <v>15</v>
      </c>
      <c r="I480" s="39">
        <v>0.81699999999999995</v>
      </c>
      <c r="J480" s="39">
        <v>0.15089999999999998</v>
      </c>
      <c r="K480" s="39">
        <v>0.1215</v>
      </c>
      <c r="L480" s="39">
        <v>9.5899999999999999E-2</v>
      </c>
      <c r="M480" s="58">
        <v>5000</v>
      </c>
      <c r="N480" s="58">
        <v>1000000</v>
      </c>
    </row>
    <row r="481" spans="1:14" ht="15" customHeight="1" x14ac:dyDescent="0.25">
      <c r="A481" s="64" t="str">
        <f t="shared" si="7"/>
        <v>1.5-13-0-TOU-3 year - with APR</v>
      </c>
      <c r="B481" s="63" t="s">
        <v>13</v>
      </c>
      <c r="C481" s="56">
        <v>13</v>
      </c>
      <c r="D481" s="57" t="s">
        <v>22</v>
      </c>
      <c r="E481" s="57" t="s">
        <v>87</v>
      </c>
      <c r="F481" s="38" t="s">
        <v>88</v>
      </c>
      <c r="G481" s="51">
        <v>1.5</v>
      </c>
      <c r="H481" s="57" t="s">
        <v>15</v>
      </c>
      <c r="I481" s="39">
        <v>0.79700000000000004</v>
      </c>
      <c r="J481" s="39">
        <v>0.16299999999999998</v>
      </c>
      <c r="K481" s="39">
        <v>0.13119999999999998</v>
      </c>
      <c r="L481" s="39">
        <v>0.1036</v>
      </c>
      <c r="M481" s="58">
        <v>5000</v>
      </c>
      <c r="N481" s="58">
        <v>1000000</v>
      </c>
    </row>
    <row r="482" spans="1:14" ht="15" customHeight="1" x14ac:dyDescent="0.25">
      <c r="A482" s="64" t="str">
        <f t="shared" si="7"/>
        <v>1.5-14-0-TOU-3 year - with APR</v>
      </c>
      <c r="B482" s="63" t="s">
        <v>13</v>
      </c>
      <c r="C482" s="56">
        <v>14</v>
      </c>
      <c r="D482" s="57" t="s">
        <v>23</v>
      </c>
      <c r="E482" s="57" t="s">
        <v>87</v>
      </c>
      <c r="F482" s="38" t="s">
        <v>88</v>
      </c>
      <c r="G482" s="51">
        <v>1.5</v>
      </c>
      <c r="H482" s="57" t="s">
        <v>15</v>
      </c>
      <c r="I482" s="39">
        <v>0.80500000000000005</v>
      </c>
      <c r="J482" s="39">
        <v>0.1545</v>
      </c>
      <c r="K482" s="39">
        <v>0.1244</v>
      </c>
      <c r="L482" s="39">
        <v>9.820000000000001E-2</v>
      </c>
      <c r="M482" s="58">
        <v>5000</v>
      </c>
      <c r="N482" s="58">
        <v>1000000</v>
      </c>
    </row>
    <row r="483" spans="1:14" ht="15" customHeight="1" x14ac:dyDescent="0.25">
      <c r="A483" s="64" t="str">
        <f t="shared" si="7"/>
        <v>1.5-15-0-TOU-3 year - with APR</v>
      </c>
      <c r="B483" s="63" t="s">
        <v>13</v>
      </c>
      <c r="C483" s="56">
        <v>15</v>
      </c>
      <c r="D483" s="57" t="s">
        <v>24</v>
      </c>
      <c r="E483" s="57" t="s">
        <v>87</v>
      </c>
      <c r="F483" s="38" t="s">
        <v>88</v>
      </c>
      <c r="G483" s="51">
        <v>1.5</v>
      </c>
      <c r="H483" s="57" t="s">
        <v>15</v>
      </c>
      <c r="I483" s="39">
        <v>0.86899999999999999</v>
      </c>
      <c r="J483" s="39">
        <v>0.15529999999999999</v>
      </c>
      <c r="K483" s="39">
        <v>0.12509999999999999</v>
      </c>
      <c r="L483" s="39">
        <v>9.8699999999999996E-2</v>
      </c>
      <c r="M483" s="58">
        <v>5000</v>
      </c>
      <c r="N483" s="58">
        <v>1000000</v>
      </c>
    </row>
    <row r="484" spans="1:14" ht="15" customHeight="1" x14ac:dyDescent="0.25">
      <c r="A484" s="64" t="str">
        <f t="shared" si="7"/>
        <v>1.5-16-0-TOU-3 year - with APR</v>
      </c>
      <c r="B484" s="63" t="s">
        <v>13</v>
      </c>
      <c r="C484" s="56">
        <v>16</v>
      </c>
      <c r="D484" s="57" t="s">
        <v>25</v>
      </c>
      <c r="E484" s="57" t="s">
        <v>87</v>
      </c>
      <c r="F484" s="38" t="s">
        <v>88</v>
      </c>
      <c r="G484" s="51">
        <v>1.5</v>
      </c>
      <c r="H484" s="57" t="s">
        <v>15</v>
      </c>
      <c r="I484" s="39">
        <v>0.65800000000000003</v>
      </c>
      <c r="J484" s="39">
        <v>0.15419999999999998</v>
      </c>
      <c r="K484" s="39">
        <v>0.1241</v>
      </c>
      <c r="L484" s="39">
        <v>9.8000000000000004E-2</v>
      </c>
      <c r="M484" s="58">
        <v>5000</v>
      </c>
      <c r="N484" s="58">
        <v>1000000</v>
      </c>
    </row>
    <row r="485" spans="1:14" ht="15" customHeight="1" x14ac:dyDescent="0.25">
      <c r="A485" s="64" t="str">
        <f t="shared" si="7"/>
        <v>1.5-17-0-TOU-3 year - with APR</v>
      </c>
      <c r="B485" s="63" t="s">
        <v>13</v>
      </c>
      <c r="C485" s="56">
        <v>17</v>
      </c>
      <c r="D485" s="57" t="s">
        <v>26</v>
      </c>
      <c r="E485" s="57" t="s">
        <v>87</v>
      </c>
      <c r="F485" s="38" t="s">
        <v>88</v>
      </c>
      <c r="G485" s="51">
        <v>1.5</v>
      </c>
      <c r="H485" s="57" t="s">
        <v>15</v>
      </c>
      <c r="I485" s="39">
        <v>1.343</v>
      </c>
      <c r="J485" s="39">
        <v>0.17259999999999998</v>
      </c>
      <c r="K485" s="39">
        <v>0.1389</v>
      </c>
      <c r="L485" s="39">
        <v>0.10970000000000001</v>
      </c>
      <c r="M485" s="58">
        <v>5000</v>
      </c>
      <c r="N485" s="58">
        <v>1000000</v>
      </c>
    </row>
    <row r="486" spans="1:14" ht="15" customHeight="1" x14ac:dyDescent="0.25">
      <c r="A486" s="64" t="str">
        <f t="shared" si="7"/>
        <v>1.5-18-0-TOU-3 year - with APR</v>
      </c>
      <c r="B486" s="63" t="s">
        <v>13</v>
      </c>
      <c r="C486" s="56">
        <v>18</v>
      </c>
      <c r="D486" s="57" t="s">
        <v>27</v>
      </c>
      <c r="E486" s="57" t="s">
        <v>87</v>
      </c>
      <c r="F486" s="38" t="s">
        <v>88</v>
      </c>
      <c r="G486" s="51">
        <v>1.5</v>
      </c>
      <c r="H486" s="57" t="s">
        <v>15</v>
      </c>
      <c r="I486" s="39">
        <v>0.81399999999999995</v>
      </c>
      <c r="J486" s="39">
        <v>0.15329999999999999</v>
      </c>
      <c r="K486" s="39">
        <v>0.1235</v>
      </c>
      <c r="L486" s="39">
        <v>9.7500000000000003E-2</v>
      </c>
      <c r="M486" s="58">
        <v>5000</v>
      </c>
      <c r="N486" s="58">
        <v>1000000</v>
      </c>
    </row>
    <row r="487" spans="1:14" ht="15" customHeight="1" x14ac:dyDescent="0.25">
      <c r="A487" s="64" t="str">
        <f t="shared" si="7"/>
        <v>1.5-19-0-TOU-3 year - with APR</v>
      </c>
      <c r="B487" s="63" t="s">
        <v>13</v>
      </c>
      <c r="C487" s="56">
        <v>19</v>
      </c>
      <c r="D487" s="57" t="s">
        <v>28</v>
      </c>
      <c r="E487" s="57" t="s">
        <v>87</v>
      </c>
      <c r="F487" s="38" t="s">
        <v>88</v>
      </c>
      <c r="G487" s="51">
        <v>1.5</v>
      </c>
      <c r="H487" s="57" t="s">
        <v>15</v>
      </c>
      <c r="I487" s="39">
        <v>0.70399999999999996</v>
      </c>
      <c r="J487" s="39">
        <v>0.1525</v>
      </c>
      <c r="K487" s="39">
        <v>0.12280000000000001</v>
      </c>
      <c r="L487" s="39">
        <v>9.69E-2</v>
      </c>
      <c r="M487" s="58">
        <v>5000</v>
      </c>
      <c r="N487" s="58">
        <v>1000000</v>
      </c>
    </row>
    <row r="488" spans="1:14" ht="15" customHeight="1" x14ac:dyDescent="0.25">
      <c r="A488" s="64" t="str">
        <f t="shared" si="7"/>
        <v>1.5-20-0-TOU-3 year - with APR</v>
      </c>
      <c r="B488" s="63" t="s">
        <v>13</v>
      </c>
      <c r="C488" s="56">
        <v>20</v>
      </c>
      <c r="D488" s="57" t="s">
        <v>29</v>
      </c>
      <c r="E488" s="57" t="s">
        <v>87</v>
      </c>
      <c r="F488" s="38" t="s">
        <v>88</v>
      </c>
      <c r="G488" s="51">
        <v>1.5</v>
      </c>
      <c r="H488" s="57" t="s">
        <v>15</v>
      </c>
      <c r="I488" s="39">
        <v>0.748</v>
      </c>
      <c r="J488" s="39">
        <v>0.1522</v>
      </c>
      <c r="K488" s="39">
        <v>0.1225</v>
      </c>
      <c r="L488" s="39">
        <v>9.6700000000000008E-2</v>
      </c>
      <c r="M488" s="58">
        <v>5000</v>
      </c>
      <c r="N488" s="58">
        <v>1000000</v>
      </c>
    </row>
    <row r="489" spans="1:14" ht="15" customHeight="1" x14ac:dyDescent="0.25">
      <c r="A489" s="64" t="str">
        <f t="shared" si="7"/>
        <v>1.5-21-0-TOU-3 year - with APR</v>
      </c>
      <c r="B489" s="63" t="s">
        <v>13</v>
      </c>
      <c r="C489" s="56">
        <v>21</v>
      </c>
      <c r="D489" s="57" t="s">
        <v>30</v>
      </c>
      <c r="E489" s="57" t="s">
        <v>87</v>
      </c>
      <c r="F489" s="38" t="s">
        <v>88</v>
      </c>
      <c r="G489" s="51">
        <v>1.5</v>
      </c>
      <c r="H489" s="57" t="s">
        <v>15</v>
      </c>
      <c r="I489" s="39">
        <v>0.83499999999999996</v>
      </c>
      <c r="J489" s="39">
        <v>0.16209999999999999</v>
      </c>
      <c r="K489" s="39">
        <v>0.13049999999999998</v>
      </c>
      <c r="L489" s="39">
        <v>0.10300000000000001</v>
      </c>
      <c r="M489" s="58">
        <v>5000</v>
      </c>
      <c r="N489" s="58">
        <v>1000000</v>
      </c>
    </row>
    <row r="490" spans="1:14" ht="15" customHeight="1" x14ac:dyDescent="0.25">
      <c r="A490" s="64" t="str">
        <f t="shared" si="7"/>
        <v>1.5-22-0-TOU-3 year - with APR</v>
      </c>
      <c r="B490" s="63" t="s">
        <v>13</v>
      </c>
      <c r="C490" s="56">
        <v>22</v>
      </c>
      <c r="D490" s="57" t="s">
        <v>31</v>
      </c>
      <c r="E490" s="57" t="s">
        <v>87</v>
      </c>
      <c r="F490" s="38" t="s">
        <v>88</v>
      </c>
      <c r="G490" s="51">
        <v>1.5</v>
      </c>
      <c r="H490" s="57" t="s">
        <v>15</v>
      </c>
      <c r="I490" s="39">
        <v>0.81799999999999995</v>
      </c>
      <c r="J490" s="39">
        <v>0.16269999999999998</v>
      </c>
      <c r="K490" s="39">
        <v>0.13099999999999998</v>
      </c>
      <c r="L490" s="39">
        <v>0.10340000000000001</v>
      </c>
      <c r="M490" s="58">
        <v>5000</v>
      </c>
      <c r="N490" s="58">
        <v>1000000</v>
      </c>
    </row>
    <row r="491" spans="1:14" ht="15" customHeight="1" x14ac:dyDescent="0.25">
      <c r="A491" s="64" t="str">
        <f t="shared" si="7"/>
        <v>1.5-23-0-TOU-3 year - with APR</v>
      </c>
      <c r="B491" s="63" t="s">
        <v>13</v>
      </c>
      <c r="C491" s="56">
        <v>23</v>
      </c>
      <c r="D491" s="57" t="s">
        <v>32</v>
      </c>
      <c r="E491" s="57" t="s">
        <v>87</v>
      </c>
      <c r="F491" s="38" t="s">
        <v>88</v>
      </c>
      <c r="G491" s="51">
        <v>1.5</v>
      </c>
      <c r="H491" s="57" t="s">
        <v>15</v>
      </c>
      <c r="I491" s="39">
        <v>0.82</v>
      </c>
      <c r="J491" s="39">
        <v>0.15519999999999998</v>
      </c>
      <c r="K491" s="39">
        <v>0.125</v>
      </c>
      <c r="L491" s="39">
        <v>9.8699999999999996E-2</v>
      </c>
      <c r="M491" s="58">
        <v>5000</v>
      </c>
      <c r="N491" s="58">
        <v>1000000</v>
      </c>
    </row>
    <row r="492" spans="1:14" ht="15" customHeight="1" x14ac:dyDescent="0.25">
      <c r="A492" s="64" t="str">
        <f t="shared" si="7"/>
        <v>1.5-10-0-TOU-2 year Fixed</v>
      </c>
      <c r="B492" s="63" t="s">
        <v>13</v>
      </c>
      <c r="C492" s="56">
        <v>10</v>
      </c>
      <c r="D492" s="57" t="s">
        <v>14</v>
      </c>
      <c r="E492" s="57" t="s">
        <v>87</v>
      </c>
      <c r="F492" s="38" t="s">
        <v>88</v>
      </c>
      <c r="G492" s="51">
        <v>1.5</v>
      </c>
      <c r="H492" s="57" t="s">
        <v>33</v>
      </c>
      <c r="I492" s="39">
        <v>0.79700000000000004</v>
      </c>
      <c r="J492" s="39">
        <v>0.16059999999999999</v>
      </c>
      <c r="K492" s="39">
        <v>0.1293</v>
      </c>
      <c r="L492" s="39">
        <v>0.1021</v>
      </c>
      <c r="M492" s="58">
        <v>5000</v>
      </c>
      <c r="N492" s="58">
        <v>1000000</v>
      </c>
    </row>
    <row r="493" spans="1:14" ht="15" customHeight="1" x14ac:dyDescent="0.25">
      <c r="A493" s="64" t="str">
        <f t="shared" si="7"/>
        <v>1.5-11-0-TOU-2 year Fixed</v>
      </c>
      <c r="B493" s="63" t="s">
        <v>13</v>
      </c>
      <c r="C493" s="56">
        <v>11</v>
      </c>
      <c r="D493" s="57" t="s">
        <v>20</v>
      </c>
      <c r="E493" s="57" t="s">
        <v>87</v>
      </c>
      <c r="F493" s="38" t="s">
        <v>88</v>
      </c>
      <c r="G493" s="51">
        <v>1.5</v>
      </c>
      <c r="H493" s="57" t="s">
        <v>33</v>
      </c>
      <c r="I493" s="39">
        <v>0.77900000000000003</v>
      </c>
      <c r="J493" s="39">
        <v>0.16369999999999998</v>
      </c>
      <c r="K493" s="39">
        <v>0.1318</v>
      </c>
      <c r="L493" s="39">
        <v>0.1041</v>
      </c>
      <c r="M493" s="58">
        <v>5000</v>
      </c>
      <c r="N493" s="58">
        <v>1000000</v>
      </c>
    </row>
    <row r="494" spans="1:14" ht="15" customHeight="1" x14ac:dyDescent="0.25">
      <c r="A494" s="64" t="str">
        <f t="shared" si="7"/>
        <v>1.5-12-0-TOU-2 year Fixed</v>
      </c>
      <c r="B494" s="63" t="s">
        <v>13</v>
      </c>
      <c r="C494" s="56">
        <v>12</v>
      </c>
      <c r="D494" s="57" t="s">
        <v>21</v>
      </c>
      <c r="E494" s="57" t="s">
        <v>87</v>
      </c>
      <c r="F494" s="38" t="s">
        <v>88</v>
      </c>
      <c r="G494" s="51">
        <v>1.5</v>
      </c>
      <c r="H494" s="57" t="s">
        <v>33</v>
      </c>
      <c r="I494" s="39">
        <v>0.81699999999999995</v>
      </c>
      <c r="J494" s="39">
        <v>0.1603</v>
      </c>
      <c r="K494" s="39">
        <v>0.12909999999999999</v>
      </c>
      <c r="L494" s="39">
        <v>0.1019</v>
      </c>
      <c r="M494" s="58">
        <v>5000</v>
      </c>
      <c r="N494" s="58">
        <v>1000000</v>
      </c>
    </row>
    <row r="495" spans="1:14" ht="15" customHeight="1" x14ac:dyDescent="0.25">
      <c r="A495" s="64" t="str">
        <f t="shared" si="7"/>
        <v>1.5-13-0-TOU-2 year Fixed</v>
      </c>
      <c r="B495" s="63" t="s">
        <v>13</v>
      </c>
      <c r="C495" s="56">
        <v>13</v>
      </c>
      <c r="D495" s="57" t="s">
        <v>22</v>
      </c>
      <c r="E495" s="57" t="s">
        <v>87</v>
      </c>
      <c r="F495" s="38" t="s">
        <v>88</v>
      </c>
      <c r="G495" s="51">
        <v>1.5</v>
      </c>
      <c r="H495" s="57" t="s">
        <v>33</v>
      </c>
      <c r="I495" s="39">
        <v>0.79700000000000004</v>
      </c>
      <c r="J495" s="39">
        <v>0.1734</v>
      </c>
      <c r="K495" s="39">
        <v>0.1396</v>
      </c>
      <c r="L495" s="39">
        <v>0.11020000000000001</v>
      </c>
      <c r="M495" s="58">
        <v>5000</v>
      </c>
      <c r="N495" s="58">
        <v>1000000</v>
      </c>
    </row>
    <row r="496" spans="1:14" ht="15" customHeight="1" x14ac:dyDescent="0.25">
      <c r="A496" s="64" t="str">
        <f t="shared" si="7"/>
        <v>1.5-14-0-TOU-2 year Fixed</v>
      </c>
      <c r="B496" s="63" t="s">
        <v>13</v>
      </c>
      <c r="C496" s="56">
        <v>14</v>
      </c>
      <c r="D496" s="57" t="s">
        <v>23</v>
      </c>
      <c r="E496" s="57" t="s">
        <v>87</v>
      </c>
      <c r="F496" s="38" t="s">
        <v>88</v>
      </c>
      <c r="G496" s="51">
        <v>1.5</v>
      </c>
      <c r="H496" s="57" t="s">
        <v>33</v>
      </c>
      <c r="I496" s="39">
        <v>0.80500000000000005</v>
      </c>
      <c r="J496" s="39">
        <v>0.1648</v>
      </c>
      <c r="K496" s="39">
        <v>0.13269999999999998</v>
      </c>
      <c r="L496" s="39">
        <v>0.1047</v>
      </c>
      <c r="M496" s="58">
        <v>5000</v>
      </c>
      <c r="N496" s="58">
        <v>1000000</v>
      </c>
    </row>
    <row r="497" spans="1:14" ht="15" customHeight="1" x14ac:dyDescent="0.25">
      <c r="A497" s="64" t="str">
        <f t="shared" si="7"/>
        <v>1.5-15-0-TOU-2 year Fixed</v>
      </c>
      <c r="B497" s="63" t="s">
        <v>13</v>
      </c>
      <c r="C497" s="56">
        <v>15</v>
      </c>
      <c r="D497" s="57" t="s">
        <v>24</v>
      </c>
      <c r="E497" s="57" t="s">
        <v>87</v>
      </c>
      <c r="F497" s="38" t="s">
        <v>88</v>
      </c>
      <c r="G497" s="51">
        <v>1.5</v>
      </c>
      <c r="H497" s="57" t="s">
        <v>33</v>
      </c>
      <c r="I497" s="39">
        <v>0.86899999999999999</v>
      </c>
      <c r="J497" s="39">
        <v>0.16449999999999998</v>
      </c>
      <c r="K497" s="39">
        <v>0.13249999999999998</v>
      </c>
      <c r="L497" s="39">
        <v>0.1046</v>
      </c>
      <c r="M497" s="58">
        <v>5000</v>
      </c>
      <c r="N497" s="58">
        <v>1000000</v>
      </c>
    </row>
    <row r="498" spans="1:14" ht="15" customHeight="1" x14ac:dyDescent="0.25">
      <c r="A498" s="64" t="str">
        <f t="shared" si="7"/>
        <v>1.5-16-0-TOU-2 year Fixed</v>
      </c>
      <c r="B498" s="63" t="s">
        <v>13</v>
      </c>
      <c r="C498" s="56">
        <v>16</v>
      </c>
      <c r="D498" s="57" t="s">
        <v>25</v>
      </c>
      <c r="E498" s="57" t="s">
        <v>87</v>
      </c>
      <c r="F498" s="38" t="s">
        <v>88</v>
      </c>
      <c r="G498" s="51">
        <v>1.5</v>
      </c>
      <c r="H498" s="57" t="s">
        <v>33</v>
      </c>
      <c r="I498" s="39">
        <v>0.65800000000000003</v>
      </c>
      <c r="J498" s="39">
        <v>0.1638</v>
      </c>
      <c r="K498" s="39">
        <v>0.13189999999999999</v>
      </c>
      <c r="L498" s="39">
        <v>0.1041</v>
      </c>
      <c r="M498" s="58">
        <v>5000</v>
      </c>
      <c r="N498" s="58">
        <v>1000000</v>
      </c>
    </row>
    <row r="499" spans="1:14" ht="15" customHeight="1" x14ac:dyDescent="0.25">
      <c r="A499" s="64" t="str">
        <f t="shared" si="7"/>
        <v>1.5-17-0-TOU-2 year Fixed</v>
      </c>
      <c r="B499" s="63" t="s">
        <v>13</v>
      </c>
      <c r="C499" s="56">
        <v>17</v>
      </c>
      <c r="D499" s="57" t="s">
        <v>26</v>
      </c>
      <c r="E499" s="57" t="s">
        <v>87</v>
      </c>
      <c r="F499" s="38" t="s">
        <v>88</v>
      </c>
      <c r="G499" s="51">
        <v>1.5</v>
      </c>
      <c r="H499" s="57" t="s">
        <v>33</v>
      </c>
      <c r="I499" s="39">
        <v>1.5109999999999999</v>
      </c>
      <c r="J499" s="39">
        <v>0.18279999999999999</v>
      </c>
      <c r="K499" s="39">
        <v>0.1472</v>
      </c>
      <c r="L499" s="39">
        <v>0.1162</v>
      </c>
      <c r="M499" s="58">
        <v>5000</v>
      </c>
      <c r="N499" s="58">
        <v>1000000</v>
      </c>
    </row>
    <row r="500" spans="1:14" ht="15" customHeight="1" x14ac:dyDescent="0.25">
      <c r="A500" s="64" t="str">
        <f t="shared" si="7"/>
        <v>1.5-18-0-TOU-2 year Fixed</v>
      </c>
      <c r="B500" s="63" t="s">
        <v>13</v>
      </c>
      <c r="C500" s="56">
        <v>18</v>
      </c>
      <c r="D500" s="57" t="s">
        <v>27</v>
      </c>
      <c r="E500" s="57" t="s">
        <v>87</v>
      </c>
      <c r="F500" s="38" t="s">
        <v>88</v>
      </c>
      <c r="G500" s="51">
        <v>1.5</v>
      </c>
      <c r="H500" s="57" t="s">
        <v>33</v>
      </c>
      <c r="I500" s="39">
        <v>0.81399999999999995</v>
      </c>
      <c r="J500" s="39">
        <v>0.16339999999999999</v>
      </c>
      <c r="K500" s="39">
        <v>0.13149999999999998</v>
      </c>
      <c r="L500" s="39">
        <v>0.1038</v>
      </c>
      <c r="M500" s="58">
        <v>5000</v>
      </c>
      <c r="N500" s="58">
        <v>1000000</v>
      </c>
    </row>
    <row r="501" spans="1:14" ht="15" customHeight="1" x14ac:dyDescent="0.25">
      <c r="A501" s="64" t="str">
        <f t="shared" si="7"/>
        <v>1.5-19-0-TOU-2 year Fixed</v>
      </c>
      <c r="B501" s="63" t="s">
        <v>13</v>
      </c>
      <c r="C501" s="56">
        <v>19</v>
      </c>
      <c r="D501" s="57" t="s">
        <v>28</v>
      </c>
      <c r="E501" s="57" t="s">
        <v>87</v>
      </c>
      <c r="F501" s="38" t="s">
        <v>88</v>
      </c>
      <c r="G501" s="51">
        <v>1.5</v>
      </c>
      <c r="H501" s="57" t="s">
        <v>33</v>
      </c>
      <c r="I501" s="39">
        <v>0.70399999999999996</v>
      </c>
      <c r="J501" s="39">
        <v>0.16219999999999998</v>
      </c>
      <c r="K501" s="39">
        <v>0.13059999999999999</v>
      </c>
      <c r="L501" s="39">
        <v>0.1031</v>
      </c>
      <c r="M501" s="58">
        <v>5000</v>
      </c>
      <c r="N501" s="58">
        <v>1000000</v>
      </c>
    </row>
    <row r="502" spans="1:14" ht="15" customHeight="1" x14ac:dyDescent="0.25">
      <c r="A502" s="64" t="str">
        <f t="shared" si="7"/>
        <v>1.5-20-0-TOU-2 year Fixed</v>
      </c>
      <c r="B502" s="63" t="s">
        <v>13</v>
      </c>
      <c r="C502" s="56">
        <v>20</v>
      </c>
      <c r="D502" s="57" t="s">
        <v>29</v>
      </c>
      <c r="E502" s="57" t="s">
        <v>87</v>
      </c>
      <c r="F502" s="38" t="s">
        <v>88</v>
      </c>
      <c r="G502" s="51">
        <v>1.5</v>
      </c>
      <c r="H502" s="57" t="s">
        <v>33</v>
      </c>
      <c r="I502" s="39">
        <v>0.748</v>
      </c>
      <c r="J502" s="39">
        <v>0.1623</v>
      </c>
      <c r="K502" s="39">
        <v>0.13069999999999998</v>
      </c>
      <c r="L502" s="39">
        <v>0.1032</v>
      </c>
      <c r="M502" s="58">
        <v>5000</v>
      </c>
      <c r="N502" s="58">
        <v>1000000</v>
      </c>
    </row>
    <row r="503" spans="1:14" ht="15" customHeight="1" x14ac:dyDescent="0.25">
      <c r="A503" s="64" t="str">
        <f t="shared" si="7"/>
        <v>1.5-21-0-TOU-2 year Fixed</v>
      </c>
      <c r="B503" s="63" t="s">
        <v>13</v>
      </c>
      <c r="C503" s="56">
        <v>21</v>
      </c>
      <c r="D503" s="57" t="s">
        <v>30</v>
      </c>
      <c r="E503" s="57" t="s">
        <v>87</v>
      </c>
      <c r="F503" s="38" t="s">
        <v>88</v>
      </c>
      <c r="G503" s="51">
        <v>1.5</v>
      </c>
      <c r="H503" s="57" t="s">
        <v>33</v>
      </c>
      <c r="I503" s="39">
        <v>0.83499999999999996</v>
      </c>
      <c r="J503" s="39">
        <v>0.1724</v>
      </c>
      <c r="K503" s="39">
        <v>0.13879999999999998</v>
      </c>
      <c r="L503" s="39">
        <v>0.1096</v>
      </c>
      <c r="M503" s="58">
        <v>5000</v>
      </c>
      <c r="N503" s="58">
        <v>1000000</v>
      </c>
    </row>
    <row r="504" spans="1:14" ht="15" customHeight="1" x14ac:dyDescent="0.25">
      <c r="A504" s="64" t="str">
        <f t="shared" si="7"/>
        <v>1.5-22-0-TOU-2 year Fixed</v>
      </c>
      <c r="B504" s="63" t="s">
        <v>13</v>
      </c>
      <c r="C504" s="56">
        <v>22</v>
      </c>
      <c r="D504" s="57" t="s">
        <v>31</v>
      </c>
      <c r="E504" s="57" t="s">
        <v>87</v>
      </c>
      <c r="F504" s="38" t="s">
        <v>88</v>
      </c>
      <c r="G504" s="51">
        <v>1.5</v>
      </c>
      <c r="H504" s="57" t="s">
        <v>33</v>
      </c>
      <c r="I504" s="39">
        <v>0.81799999999999995</v>
      </c>
      <c r="J504" s="39">
        <v>0.17299999999999999</v>
      </c>
      <c r="K504" s="39">
        <v>0.13929999999999998</v>
      </c>
      <c r="L504" s="39">
        <v>0.11</v>
      </c>
      <c r="M504" s="58">
        <v>5000</v>
      </c>
      <c r="N504" s="58">
        <v>1000000</v>
      </c>
    </row>
    <row r="505" spans="1:14" ht="15" customHeight="1" x14ac:dyDescent="0.25">
      <c r="A505" s="64" t="str">
        <f t="shared" si="7"/>
        <v>1.5-23-0-TOU-2 year Fixed</v>
      </c>
      <c r="B505" s="63" t="s">
        <v>13</v>
      </c>
      <c r="C505" s="56">
        <v>23</v>
      </c>
      <c r="D505" s="57" t="s">
        <v>32</v>
      </c>
      <c r="E505" s="57" t="s">
        <v>87</v>
      </c>
      <c r="F505" s="38" t="s">
        <v>88</v>
      </c>
      <c r="G505" s="51">
        <v>1.5</v>
      </c>
      <c r="H505" s="57" t="s">
        <v>33</v>
      </c>
      <c r="I505" s="39">
        <v>0.82</v>
      </c>
      <c r="J505" s="39">
        <v>0.1648</v>
      </c>
      <c r="K505" s="39">
        <v>0.13269999999999998</v>
      </c>
      <c r="L505" s="39">
        <v>0.1047</v>
      </c>
      <c r="M505" s="58">
        <v>5000</v>
      </c>
      <c r="N505" s="58">
        <v>1000000</v>
      </c>
    </row>
    <row r="506" spans="1:14" ht="15" customHeight="1" x14ac:dyDescent="0.25">
      <c r="A506" s="64" t="str">
        <f t="shared" si="7"/>
        <v>1.6-10-0-TOU-3 year - with APR</v>
      </c>
      <c r="B506" s="63" t="s">
        <v>13</v>
      </c>
      <c r="C506" s="56">
        <v>10</v>
      </c>
      <c r="D506" s="57" t="s">
        <v>14</v>
      </c>
      <c r="E506" s="57" t="s">
        <v>87</v>
      </c>
      <c r="F506" s="38" t="s">
        <v>88</v>
      </c>
      <c r="G506" s="51">
        <v>1.6</v>
      </c>
      <c r="H506" s="57" t="s">
        <v>15</v>
      </c>
      <c r="I506" s="39">
        <v>0.79700000000000004</v>
      </c>
      <c r="J506" s="39">
        <v>0.1525</v>
      </c>
      <c r="K506" s="39">
        <v>0.12280000000000001</v>
      </c>
      <c r="L506" s="39">
        <v>9.69E-2</v>
      </c>
      <c r="M506" s="58">
        <v>5000</v>
      </c>
      <c r="N506" s="58">
        <v>1000000</v>
      </c>
    </row>
    <row r="507" spans="1:14" ht="15" customHeight="1" x14ac:dyDescent="0.25">
      <c r="A507" s="64" t="str">
        <f t="shared" si="7"/>
        <v>1.6-11-0-TOU-3 year - with APR</v>
      </c>
      <c r="B507" s="63" t="s">
        <v>13</v>
      </c>
      <c r="C507" s="56">
        <v>11</v>
      </c>
      <c r="D507" s="57" t="s">
        <v>20</v>
      </c>
      <c r="E507" s="57" t="s">
        <v>87</v>
      </c>
      <c r="F507" s="38" t="s">
        <v>88</v>
      </c>
      <c r="G507" s="51">
        <v>1.6</v>
      </c>
      <c r="H507" s="57" t="s">
        <v>15</v>
      </c>
      <c r="I507" s="39">
        <v>0.77900000000000003</v>
      </c>
      <c r="J507" s="39">
        <v>0.15469999999999998</v>
      </c>
      <c r="K507" s="39">
        <v>0.1246</v>
      </c>
      <c r="L507" s="39">
        <v>9.8400000000000001E-2</v>
      </c>
      <c r="M507" s="58">
        <v>5000</v>
      </c>
      <c r="N507" s="58">
        <v>1000000</v>
      </c>
    </row>
    <row r="508" spans="1:14" ht="15" customHeight="1" x14ac:dyDescent="0.25">
      <c r="A508" s="64" t="str">
        <f t="shared" si="7"/>
        <v>1.6-12-0-TOU-3 year - with APR</v>
      </c>
      <c r="B508" s="63" t="s">
        <v>13</v>
      </c>
      <c r="C508" s="56">
        <v>12</v>
      </c>
      <c r="D508" s="57" t="s">
        <v>21</v>
      </c>
      <c r="E508" s="57" t="s">
        <v>87</v>
      </c>
      <c r="F508" s="38" t="s">
        <v>88</v>
      </c>
      <c r="G508" s="51">
        <v>1.6</v>
      </c>
      <c r="H508" s="57" t="s">
        <v>15</v>
      </c>
      <c r="I508" s="39">
        <v>0.81699999999999995</v>
      </c>
      <c r="J508" s="39">
        <v>0.152</v>
      </c>
      <c r="K508" s="39">
        <v>0.12240000000000001</v>
      </c>
      <c r="L508" s="39">
        <v>9.6600000000000005E-2</v>
      </c>
      <c r="M508" s="58">
        <v>5000</v>
      </c>
      <c r="N508" s="58">
        <v>1000000</v>
      </c>
    </row>
    <row r="509" spans="1:14" ht="15" customHeight="1" x14ac:dyDescent="0.25">
      <c r="A509" s="64" t="str">
        <f t="shared" si="7"/>
        <v>1.6-13-0-TOU-3 year - with APR</v>
      </c>
      <c r="B509" s="63" t="s">
        <v>13</v>
      </c>
      <c r="C509" s="56">
        <v>13</v>
      </c>
      <c r="D509" s="57" t="s">
        <v>22</v>
      </c>
      <c r="E509" s="57" t="s">
        <v>87</v>
      </c>
      <c r="F509" s="38" t="s">
        <v>88</v>
      </c>
      <c r="G509" s="51">
        <v>1.6</v>
      </c>
      <c r="H509" s="57" t="s">
        <v>15</v>
      </c>
      <c r="I509" s="39">
        <v>0.79700000000000004</v>
      </c>
      <c r="J509" s="39">
        <v>0.16419999999999998</v>
      </c>
      <c r="K509" s="39">
        <v>0.13219999999999998</v>
      </c>
      <c r="L509" s="39">
        <v>0.10440000000000001</v>
      </c>
      <c r="M509" s="58">
        <v>5000</v>
      </c>
      <c r="N509" s="58">
        <v>1000000</v>
      </c>
    </row>
    <row r="510" spans="1:14" ht="15" customHeight="1" x14ac:dyDescent="0.25">
      <c r="A510" s="64" t="str">
        <f t="shared" si="7"/>
        <v>1.6-14-0-TOU-3 year - with APR</v>
      </c>
      <c r="B510" s="63" t="s">
        <v>13</v>
      </c>
      <c r="C510" s="56">
        <v>14</v>
      </c>
      <c r="D510" s="57" t="s">
        <v>23</v>
      </c>
      <c r="E510" s="57" t="s">
        <v>87</v>
      </c>
      <c r="F510" s="38" t="s">
        <v>88</v>
      </c>
      <c r="G510" s="51">
        <v>1.6</v>
      </c>
      <c r="H510" s="57" t="s">
        <v>15</v>
      </c>
      <c r="I510" s="39">
        <v>0.80500000000000005</v>
      </c>
      <c r="J510" s="39">
        <v>0.15569999999999998</v>
      </c>
      <c r="K510" s="39">
        <v>0.12539999999999998</v>
      </c>
      <c r="L510" s="39">
        <v>9.9000000000000005E-2</v>
      </c>
      <c r="M510" s="58">
        <v>5000</v>
      </c>
      <c r="N510" s="58">
        <v>1000000</v>
      </c>
    </row>
    <row r="511" spans="1:14" ht="15" customHeight="1" x14ac:dyDescent="0.25">
      <c r="A511" s="64" t="str">
        <f t="shared" si="7"/>
        <v>1.6-15-0-TOU-3 year - with APR</v>
      </c>
      <c r="B511" s="63" t="s">
        <v>13</v>
      </c>
      <c r="C511" s="56">
        <v>15</v>
      </c>
      <c r="D511" s="57" t="s">
        <v>24</v>
      </c>
      <c r="E511" s="57" t="s">
        <v>87</v>
      </c>
      <c r="F511" s="38" t="s">
        <v>88</v>
      </c>
      <c r="G511" s="51">
        <v>1.6</v>
      </c>
      <c r="H511" s="57" t="s">
        <v>15</v>
      </c>
      <c r="I511" s="39">
        <v>0.86899999999999999</v>
      </c>
      <c r="J511" s="39">
        <v>0.1565</v>
      </c>
      <c r="K511" s="39">
        <v>0.126</v>
      </c>
      <c r="L511" s="39">
        <v>9.9500000000000005E-2</v>
      </c>
      <c r="M511" s="58">
        <v>5000</v>
      </c>
      <c r="N511" s="58">
        <v>1000000</v>
      </c>
    </row>
    <row r="512" spans="1:14" ht="15" customHeight="1" x14ac:dyDescent="0.25">
      <c r="A512" s="64" t="str">
        <f t="shared" si="7"/>
        <v>1.6-16-0-TOU-3 year - with APR</v>
      </c>
      <c r="B512" s="63" t="s">
        <v>13</v>
      </c>
      <c r="C512" s="56">
        <v>16</v>
      </c>
      <c r="D512" s="57" t="s">
        <v>25</v>
      </c>
      <c r="E512" s="57" t="s">
        <v>87</v>
      </c>
      <c r="F512" s="38" t="s">
        <v>88</v>
      </c>
      <c r="G512" s="51">
        <v>1.6</v>
      </c>
      <c r="H512" s="57" t="s">
        <v>15</v>
      </c>
      <c r="I512" s="39">
        <v>0.65800000000000003</v>
      </c>
      <c r="J512" s="39">
        <v>0.15529999999999999</v>
      </c>
      <c r="K512" s="39">
        <v>0.12509999999999999</v>
      </c>
      <c r="L512" s="39">
        <v>9.8699999999999996E-2</v>
      </c>
      <c r="M512" s="58">
        <v>5000</v>
      </c>
      <c r="N512" s="58">
        <v>1000000</v>
      </c>
    </row>
    <row r="513" spans="1:14" ht="15" customHeight="1" x14ac:dyDescent="0.25">
      <c r="A513" s="64" t="str">
        <f t="shared" si="7"/>
        <v>1.6-17-0-TOU-3 year - with APR</v>
      </c>
      <c r="B513" s="63" t="s">
        <v>13</v>
      </c>
      <c r="C513" s="56">
        <v>17</v>
      </c>
      <c r="D513" s="57" t="s">
        <v>26</v>
      </c>
      <c r="E513" s="57" t="s">
        <v>87</v>
      </c>
      <c r="F513" s="38" t="s">
        <v>88</v>
      </c>
      <c r="G513" s="51">
        <v>1.6</v>
      </c>
      <c r="H513" s="57" t="s">
        <v>15</v>
      </c>
      <c r="I513" s="39">
        <v>1.343</v>
      </c>
      <c r="J513" s="39">
        <v>0.17369999999999999</v>
      </c>
      <c r="K513" s="39">
        <v>0.1399</v>
      </c>
      <c r="L513" s="39">
        <v>0.1104</v>
      </c>
      <c r="M513" s="58">
        <v>5000</v>
      </c>
      <c r="N513" s="58">
        <v>1000000</v>
      </c>
    </row>
    <row r="514" spans="1:14" ht="15" customHeight="1" x14ac:dyDescent="0.25">
      <c r="A514" s="64" t="str">
        <f t="shared" si="7"/>
        <v>1.6-18-0-TOU-3 year - with APR</v>
      </c>
      <c r="B514" s="63" t="s">
        <v>13</v>
      </c>
      <c r="C514" s="56">
        <v>18</v>
      </c>
      <c r="D514" s="57" t="s">
        <v>27</v>
      </c>
      <c r="E514" s="57" t="s">
        <v>87</v>
      </c>
      <c r="F514" s="38" t="s">
        <v>88</v>
      </c>
      <c r="G514" s="51">
        <v>1.6</v>
      </c>
      <c r="H514" s="57" t="s">
        <v>15</v>
      </c>
      <c r="I514" s="39">
        <v>0.81399999999999995</v>
      </c>
      <c r="J514" s="39">
        <v>0.1545</v>
      </c>
      <c r="K514" s="39">
        <v>0.1244</v>
      </c>
      <c r="L514" s="39">
        <v>9.820000000000001E-2</v>
      </c>
      <c r="M514" s="58">
        <v>5000</v>
      </c>
      <c r="N514" s="58">
        <v>1000000</v>
      </c>
    </row>
    <row r="515" spans="1:14" ht="15" customHeight="1" x14ac:dyDescent="0.25">
      <c r="A515" s="64" t="str">
        <f t="shared" ref="A515:A578" si="8">IF(E515="OP","",CONCATENATE(G515,"-",C515,"-",RIGHT(F515,1),"-",E515,"-",H515))</f>
        <v>1.6-19-0-TOU-3 year - with APR</v>
      </c>
      <c r="B515" s="63" t="s">
        <v>13</v>
      </c>
      <c r="C515" s="56">
        <v>19</v>
      </c>
      <c r="D515" s="57" t="s">
        <v>28</v>
      </c>
      <c r="E515" s="57" t="s">
        <v>87</v>
      </c>
      <c r="F515" s="38" t="s">
        <v>88</v>
      </c>
      <c r="G515" s="51">
        <v>1.6</v>
      </c>
      <c r="H515" s="57" t="s">
        <v>15</v>
      </c>
      <c r="I515" s="39">
        <v>0.70399999999999996</v>
      </c>
      <c r="J515" s="39">
        <v>0.15369999999999998</v>
      </c>
      <c r="K515" s="39">
        <v>0.1237</v>
      </c>
      <c r="L515" s="39">
        <v>9.7700000000000009E-2</v>
      </c>
      <c r="M515" s="58">
        <v>5000</v>
      </c>
      <c r="N515" s="58">
        <v>1000000</v>
      </c>
    </row>
    <row r="516" spans="1:14" ht="15" customHeight="1" x14ac:dyDescent="0.25">
      <c r="A516" s="64" t="str">
        <f t="shared" si="8"/>
        <v>1.6-20-0-TOU-3 year - with APR</v>
      </c>
      <c r="B516" s="63" t="s">
        <v>13</v>
      </c>
      <c r="C516" s="56">
        <v>20</v>
      </c>
      <c r="D516" s="57" t="s">
        <v>29</v>
      </c>
      <c r="E516" s="57" t="s">
        <v>87</v>
      </c>
      <c r="F516" s="38" t="s">
        <v>88</v>
      </c>
      <c r="G516" s="51">
        <v>1.6</v>
      </c>
      <c r="H516" s="57" t="s">
        <v>15</v>
      </c>
      <c r="I516" s="39">
        <v>0.748</v>
      </c>
      <c r="J516" s="39">
        <v>0.15329999999999999</v>
      </c>
      <c r="K516" s="39">
        <v>0.1235</v>
      </c>
      <c r="L516" s="39">
        <v>9.7500000000000003E-2</v>
      </c>
      <c r="M516" s="58">
        <v>5000</v>
      </c>
      <c r="N516" s="58">
        <v>1000000</v>
      </c>
    </row>
    <row r="517" spans="1:14" ht="15" customHeight="1" x14ac:dyDescent="0.25">
      <c r="A517" s="64" t="str">
        <f t="shared" si="8"/>
        <v>1.6-21-0-TOU-3 year - with APR</v>
      </c>
      <c r="B517" s="63" t="s">
        <v>13</v>
      </c>
      <c r="C517" s="56">
        <v>21</v>
      </c>
      <c r="D517" s="57" t="s">
        <v>30</v>
      </c>
      <c r="E517" s="57" t="s">
        <v>87</v>
      </c>
      <c r="F517" s="38" t="s">
        <v>88</v>
      </c>
      <c r="G517" s="51">
        <v>1.6</v>
      </c>
      <c r="H517" s="57" t="s">
        <v>15</v>
      </c>
      <c r="I517" s="39">
        <v>0.83499999999999996</v>
      </c>
      <c r="J517" s="39">
        <v>0.16319999999999998</v>
      </c>
      <c r="K517" s="39">
        <v>0.13139999999999999</v>
      </c>
      <c r="L517" s="39">
        <v>0.1038</v>
      </c>
      <c r="M517" s="58">
        <v>5000</v>
      </c>
      <c r="N517" s="58">
        <v>1000000</v>
      </c>
    </row>
    <row r="518" spans="1:14" ht="15" customHeight="1" x14ac:dyDescent="0.25">
      <c r="A518" s="64" t="str">
        <f t="shared" si="8"/>
        <v>1.6-22-0-TOU-3 year - with APR</v>
      </c>
      <c r="B518" s="63" t="s">
        <v>13</v>
      </c>
      <c r="C518" s="56">
        <v>22</v>
      </c>
      <c r="D518" s="57" t="s">
        <v>31</v>
      </c>
      <c r="E518" s="57" t="s">
        <v>87</v>
      </c>
      <c r="F518" s="38" t="s">
        <v>88</v>
      </c>
      <c r="G518" s="51">
        <v>1.6</v>
      </c>
      <c r="H518" s="57" t="s">
        <v>15</v>
      </c>
      <c r="I518" s="39">
        <v>0.81799999999999995</v>
      </c>
      <c r="J518" s="39">
        <v>0.1638</v>
      </c>
      <c r="K518" s="39">
        <v>0.13189999999999999</v>
      </c>
      <c r="L518" s="39">
        <v>0.1041</v>
      </c>
      <c r="M518" s="58">
        <v>5000</v>
      </c>
      <c r="N518" s="58">
        <v>1000000</v>
      </c>
    </row>
    <row r="519" spans="1:14" ht="15" customHeight="1" x14ac:dyDescent="0.25">
      <c r="A519" s="64" t="str">
        <f t="shared" si="8"/>
        <v>1.6-23-0-TOU-3 year - with APR</v>
      </c>
      <c r="B519" s="63" t="s">
        <v>13</v>
      </c>
      <c r="C519" s="56">
        <v>23</v>
      </c>
      <c r="D519" s="57" t="s">
        <v>32</v>
      </c>
      <c r="E519" s="57" t="s">
        <v>87</v>
      </c>
      <c r="F519" s="38" t="s">
        <v>88</v>
      </c>
      <c r="G519" s="51">
        <v>1.6</v>
      </c>
      <c r="H519" s="57" t="s">
        <v>15</v>
      </c>
      <c r="I519" s="39">
        <v>0.82</v>
      </c>
      <c r="J519" s="39">
        <v>0.15639999999999998</v>
      </c>
      <c r="K519" s="39">
        <v>0.12589999999999998</v>
      </c>
      <c r="L519" s="39">
        <v>9.9400000000000002E-2</v>
      </c>
      <c r="M519" s="58">
        <v>5000</v>
      </c>
      <c r="N519" s="58">
        <v>1000000</v>
      </c>
    </row>
    <row r="520" spans="1:14" ht="15" customHeight="1" x14ac:dyDescent="0.25">
      <c r="A520" s="64" t="str">
        <f t="shared" si="8"/>
        <v>1.6-10-0-TOU-2 year Fixed</v>
      </c>
      <c r="B520" s="63" t="s">
        <v>13</v>
      </c>
      <c r="C520" s="56">
        <v>10</v>
      </c>
      <c r="D520" s="57" t="s">
        <v>14</v>
      </c>
      <c r="E520" s="57" t="s">
        <v>87</v>
      </c>
      <c r="F520" s="38" t="s">
        <v>88</v>
      </c>
      <c r="G520" s="51">
        <v>1.6</v>
      </c>
      <c r="H520" s="57" t="s">
        <v>33</v>
      </c>
      <c r="I520" s="39">
        <v>0.79700000000000004</v>
      </c>
      <c r="J520" s="39">
        <v>0.1618</v>
      </c>
      <c r="K520" s="39">
        <v>0.1303</v>
      </c>
      <c r="L520" s="39">
        <v>0.10290000000000001</v>
      </c>
      <c r="M520" s="58">
        <v>5000</v>
      </c>
      <c r="N520" s="58">
        <v>1000000</v>
      </c>
    </row>
    <row r="521" spans="1:14" ht="15" customHeight="1" x14ac:dyDescent="0.25">
      <c r="A521" s="64" t="str">
        <f t="shared" si="8"/>
        <v>1.6-11-0-TOU-2 year Fixed</v>
      </c>
      <c r="B521" s="63" t="s">
        <v>13</v>
      </c>
      <c r="C521" s="56">
        <v>11</v>
      </c>
      <c r="D521" s="57" t="s">
        <v>20</v>
      </c>
      <c r="E521" s="57" t="s">
        <v>87</v>
      </c>
      <c r="F521" s="38" t="s">
        <v>88</v>
      </c>
      <c r="G521" s="51">
        <v>1.6</v>
      </c>
      <c r="H521" s="57" t="s">
        <v>33</v>
      </c>
      <c r="I521" s="39">
        <v>0.77900000000000003</v>
      </c>
      <c r="J521" s="39">
        <v>0.16489999999999999</v>
      </c>
      <c r="K521" s="39">
        <v>0.1328</v>
      </c>
      <c r="L521" s="39">
        <v>0.1048</v>
      </c>
      <c r="M521" s="58">
        <v>5000</v>
      </c>
      <c r="N521" s="58">
        <v>1000000</v>
      </c>
    </row>
    <row r="522" spans="1:14" ht="15" customHeight="1" x14ac:dyDescent="0.25">
      <c r="A522" s="64" t="str">
        <f t="shared" si="8"/>
        <v>1.6-12-0-TOU-2 year Fixed</v>
      </c>
      <c r="B522" s="63" t="s">
        <v>13</v>
      </c>
      <c r="C522" s="56">
        <v>12</v>
      </c>
      <c r="D522" s="57" t="s">
        <v>21</v>
      </c>
      <c r="E522" s="57" t="s">
        <v>87</v>
      </c>
      <c r="F522" s="38" t="s">
        <v>88</v>
      </c>
      <c r="G522" s="51">
        <v>1.6</v>
      </c>
      <c r="H522" s="57" t="s">
        <v>33</v>
      </c>
      <c r="I522" s="39">
        <v>0.81699999999999995</v>
      </c>
      <c r="J522" s="39">
        <v>0.16149999999999998</v>
      </c>
      <c r="K522" s="39">
        <v>0.12999999999999998</v>
      </c>
      <c r="L522" s="39">
        <v>0.1026</v>
      </c>
      <c r="M522" s="58">
        <v>5000</v>
      </c>
      <c r="N522" s="58">
        <v>1000000</v>
      </c>
    </row>
    <row r="523" spans="1:14" ht="15" customHeight="1" x14ac:dyDescent="0.25">
      <c r="A523" s="64" t="str">
        <f t="shared" si="8"/>
        <v>1.6-13-0-TOU-2 year Fixed</v>
      </c>
      <c r="B523" s="63" t="s">
        <v>13</v>
      </c>
      <c r="C523" s="56">
        <v>13</v>
      </c>
      <c r="D523" s="57" t="s">
        <v>22</v>
      </c>
      <c r="E523" s="57" t="s">
        <v>87</v>
      </c>
      <c r="F523" s="38" t="s">
        <v>88</v>
      </c>
      <c r="G523" s="51">
        <v>1.6</v>
      </c>
      <c r="H523" s="57" t="s">
        <v>33</v>
      </c>
      <c r="I523" s="39">
        <v>0.79700000000000004</v>
      </c>
      <c r="J523" s="39">
        <v>0.17459999999999998</v>
      </c>
      <c r="K523" s="39">
        <v>0.1406</v>
      </c>
      <c r="L523" s="39">
        <v>0.111</v>
      </c>
      <c r="M523" s="58">
        <v>5000</v>
      </c>
      <c r="N523" s="58">
        <v>1000000</v>
      </c>
    </row>
    <row r="524" spans="1:14" ht="15" customHeight="1" x14ac:dyDescent="0.25">
      <c r="A524" s="64" t="str">
        <f t="shared" si="8"/>
        <v>1.6-14-0-TOU-2 year Fixed</v>
      </c>
      <c r="B524" s="63" t="s">
        <v>13</v>
      </c>
      <c r="C524" s="56">
        <v>14</v>
      </c>
      <c r="D524" s="57" t="s">
        <v>23</v>
      </c>
      <c r="E524" s="57" t="s">
        <v>87</v>
      </c>
      <c r="F524" s="38" t="s">
        <v>88</v>
      </c>
      <c r="G524" s="51">
        <v>1.6</v>
      </c>
      <c r="H524" s="57" t="s">
        <v>33</v>
      </c>
      <c r="I524" s="39">
        <v>0.80500000000000005</v>
      </c>
      <c r="J524" s="39">
        <v>0.16599999999999998</v>
      </c>
      <c r="K524" s="39">
        <v>0.1336</v>
      </c>
      <c r="L524" s="39">
        <v>0.1055</v>
      </c>
      <c r="M524" s="58">
        <v>5000</v>
      </c>
      <c r="N524" s="58">
        <v>1000000</v>
      </c>
    </row>
    <row r="525" spans="1:14" ht="15" customHeight="1" x14ac:dyDescent="0.25">
      <c r="A525" s="64" t="str">
        <f t="shared" si="8"/>
        <v>1.6-15-0-TOU-2 year Fixed</v>
      </c>
      <c r="B525" s="63" t="s">
        <v>13</v>
      </c>
      <c r="C525" s="56">
        <v>15</v>
      </c>
      <c r="D525" s="57" t="s">
        <v>24</v>
      </c>
      <c r="E525" s="57" t="s">
        <v>87</v>
      </c>
      <c r="F525" s="38" t="s">
        <v>88</v>
      </c>
      <c r="G525" s="51">
        <v>1.6</v>
      </c>
      <c r="H525" s="57" t="s">
        <v>33</v>
      </c>
      <c r="I525" s="39">
        <v>0.86899999999999999</v>
      </c>
      <c r="J525" s="39">
        <v>0.16569999999999999</v>
      </c>
      <c r="K525" s="39">
        <v>0.13339999999999999</v>
      </c>
      <c r="L525" s="39">
        <v>0.1053</v>
      </c>
      <c r="M525" s="58">
        <v>5000</v>
      </c>
      <c r="N525" s="58">
        <v>1000000</v>
      </c>
    </row>
    <row r="526" spans="1:14" ht="15" customHeight="1" x14ac:dyDescent="0.25">
      <c r="A526" s="64" t="str">
        <f t="shared" si="8"/>
        <v>1.6-16-0-TOU-2 year Fixed</v>
      </c>
      <c r="B526" s="63" t="s">
        <v>13</v>
      </c>
      <c r="C526" s="56">
        <v>16</v>
      </c>
      <c r="D526" s="57" t="s">
        <v>25</v>
      </c>
      <c r="E526" s="57" t="s">
        <v>87</v>
      </c>
      <c r="F526" s="38" t="s">
        <v>88</v>
      </c>
      <c r="G526" s="51">
        <v>1.6</v>
      </c>
      <c r="H526" s="57" t="s">
        <v>33</v>
      </c>
      <c r="I526" s="39">
        <v>0.65800000000000003</v>
      </c>
      <c r="J526" s="39">
        <v>0.16499999999999998</v>
      </c>
      <c r="K526" s="39">
        <v>0.13289999999999999</v>
      </c>
      <c r="L526" s="39">
        <v>0.10490000000000001</v>
      </c>
      <c r="M526" s="58">
        <v>5000</v>
      </c>
      <c r="N526" s="58">
        <v>1000000</v>
      </c>
    </row>
    <row r="527" spans="1:14" ht="15" customHeight="1" x14ac:dyDescent="0.25">
      <c r="A527" s="64" t="str">
        <f t="shared" si="8"/>
        <v>1.6-17-0-TOU-2 year Fixed</v>
      </c>
      <c r="B527" s="63" t="s">
        <v>13</v>
      </c>
      <c r="C527" s="56">
        <v>17</v>
      </c>
      <c r="D527" s="57" t="s">
        <v>26</v>
      </c>
      <c r="E527" s="57" t="s">
        <v>87</v>
      </c>
      <c r="F527" s="38" t="s">
        <v>88</v>
      </c>
      <c r="G527" s="51">
        <v>1.6</v>
      </c>
      <c r="H527" s="57" t="s">
        <v>33</v>
      </c>
      <c r="I527" s="39">
        <v>1.5109999999999999</v>
      </c>
      <c r="J527" s="39">
        <v>0.184</v>
      </c>
      <c r="K527" s="39">
        <v>0.1482</v>
      </c>
      <c r="L527" s="39">
        <v>0.11700000000000001</v>
      </c>
      <c r="M527" s="58">
        <v>5000</v>
      </c>
      <c r="N527" s="58">
        <v>1000000</v>
      </c>
    </row>
    <row r="528" spans="1:14" ht="15" customHeight="1" x14ac:dyDescent="0.25">
      <c r="A528" s="64" t="str">
        <f t="shared" si="8"/>
        <v>1.6-18-0-TOU-2 year Fixed</v>
      </c>
      <c r="B528" s="63" t="s">
        <v>13</v>
      </c>
      <c r="C528" s="56">
        <v>18</v>
      </c>
      <c r="D528" s="57" t="s">
        <v>27</v>
      </c>
      <c r="E528" s="57" t="s">
        <v>87</v>
      </c>
      <c r="F528" s="38" t="s">
        <v>88</v>
      </c>
      <c r="G528" s="51">
        <v>1.6</v>
      </c>
      <c r="H528" s="57" t="s">
        <v>33</v>
      </c>
      <c r="I528" s="39">
        <v>0.81399999999999995</v>
      </c>
      <c r="J528" s="39">
        <v>0.16449999999999998</v>
      </c>
      <c r="K528" s="39">
        <v>0.13249999999999998</v>
      </c>
      <c r="L528" s="39">
        <v>0.1046</v>
      </c>
      <c r="M528" s="58">
        <v>5000</v>
      </c>
      <c r="N528" s="58">
        <v>1000000</v>
      </c>
    </row>
    <row r="529" spans="1:14" ht="15" customHeight="1" x14ac:dyDescent="0.25">
      <c r="A529" s="64" t="str">
        <f t="shared" si="8"/>
        <v>1.6-19-0-TOU-2 year Fixed</v>
      </c>
      <c r="B529" s="63" t="s">
        <v>13</v>
      </c>
      <c r="C529" s="56">
        <v>19</v>
      </c>
      <c r="D529" s="57" t="s">
        <v>28</v>
      </c>
      <c r="E529" s="57" t="s">
        <v>87</v>
      </c>
      <c r="F529" s="38" t="s">
        <v>88</v>
      </c>
      <c r="G529" s="51">
        <v>1.6</v>
      </c>
      <c r="H529" s="57" t="s">
        <v>33</v>
      </c>
      <c r="I529" s="39">
        <v>0.70399999999999996</v>
      </c>
      <c r="J529" s="39">
        <v>0.16339999999999999</v>
      </c>
      <c r="K529" s="39">
        <v>0.13149999999999998</v>
      </c>
      <c r="L529" s="39">
        <v>0.1038</v>
      </c>
      <c r="M529" s="58">
        <v>5000</v>
      </c>
      <c r="N529" s="58">
        <v>1000000</v>
      </c>
    </row>
    <row r="530" spans="1:14" ht="15" customHeight="1" x14ac:dyDescent="0.25">
      <c r="A530" s="64" t="str">
        <f t="shared" si="8"/>
        <v>1.6-20-0-TOU-2 year Fixed</v>
      </c>
      <c r="B530" s="63" t="s">
        <v>13</v>
      </c>
      <c r="C530" s="56">
        <v>20</v>
      </c>
      <c r="D530" s="57" t="s">
        <v>29</v>
      </c>
      <c r="E530" s="57" t="s">
        <v>87</v>
      </c>
      <c r="F530" s="38" t="s">
        <v>88</v>
      </c>
      <c r="G530" s="51">
        <v>1.6</v>
      </c>
      <c r="H530" s="57" t="s">
        <v>33</v>
      </c>
      <c r="I530" s="39">
        <v>0.748</v>
      </c>
      <c r="J530" s="39">
        <v>0.16349999999999998</v>
      </c>
      <c r="K530" s="39">
        <v>0.13159999999999999</v>
      </c>
      <c r="L530" s="39">
        <v>0.10390000000000001</v>
      </c>
      <c r="M530" s="58">
        <v>5000</v>
      </c>
      <c r="N530" s="58">
        <v>1000000</v>
      </c>
    </row>
    <row r="531" spans="1:14" ht="15" customHeight="1" x14ac:dyDescent="0.25">
      <c r="A531" s="64" t="str">
        <f t="shared" si="8"/>
        <v>1.6-21-0-TOU-2 year Fixed</v>
      </c>
      <c r="B531" s="63" t="s">
        <v>13</v>
      </c>
      <c r="C531" s="56">
        <v>21</v>
      </c>
      <c r="D531" s="57" t="s">
        <v>30</v>
      </c>
      <c r="E531" s="57" t="s">
        <v>87</v>
      </c>
      <c r="F531" s="38" t="s">
        <v>88</v>
      </c>
      <c r="G531" s="51">
        <v>1.6</v>
      </c>
      <c r="H531" s="57" t="s">
        <v>33</v>
      </c>
      <c r="I531" s="39">
        <v>0.83499999999999996</v>
      </c>
      <c r="J531" s="39">
        <v>0.17359999999999998</v>
      </c>
      <c r="K531" s="39">
        <v>0.13979999999999998</v>
      </c>
      <c r="L531" s="39">
        <v>0.1104</v>
      </c>
      <c r="M531" s="58">
        <v>5000</v>
      </c>
      <c r="N531" s="58">
        <v>1000000</v>
      </c>
    </row>
    <row r="532" spans="1:14" ht="15" customHeight="1" x14ac:dyDescent="0.25">
      <c r="A532" s="64" t="str">
        <f t="shared" si="8"/>
        <v>1.6-22-0-TOU-2 year Fixed</v>
      </c>
      <c r="B532" s="63" t="s">
        <v>13</v>
      </c>
      <c r="C532" s="56">
        <v>22</v>
      </c>
      <c r="D532" s="57" t="s">
        <v>31</v>
      </c>
      <c r="E532" s="57" t="s">
        <v>87</v>
      </c>
      <c r="F532" s="38" t="s">
        <v>88</v>
      </c>
      <c r="G532" s="51">
        <v>1.6</v>
      </c>
      <c r="H532" s="57" t="s">
        <v>33</v>
      </c>
      <c r="I532" s="39">
        <v>0.81799999999999995</v>
      </c>
      <c r="J532" s="39">
        <v>0.17419999999999999</v>
      </c>
      <c r="K532" s="39">
        <v>0.14029999999999998</v>
      </c>
      <c r="L532" s="39">
        <v>0.11070000000000001</v>
      </c>
      <c r="M532" s="58">
        <v>5000</v>
      </c>
      <c r="N532" s="58">
        <v>1000000</v>
      </c>
    </row>
    <row r="533" spans="1:14" ht="15" customHeight="1" x14ac:dyDescent="0.25">
      <c r="A533" s="64" t="str">
        <f t="shared" si="8"/>
        <v>1.6-23-0-TOU-2 year Fixed</v>
      </c>
      <c r="B533" s="63" t="s">
        <v>13</v>
      </c>
      <c r="C533" s="56">
        <v>23</v>
      </c>
      <c r="D533" s="57" t="s">
        <v>32</v>
      </c>
      <c r="E533" s="57" t="s">
        <v>87</v>
      </c>
      <c r="F533" s="38" t="s">
        <v>88</v>
      </c>
      <c r="G533" s="51">
        <v>1.6</v>
      </c>
      <c r="H533" s="57" t="s">
        <v>33</v>
      </c>
      <c r="I533" s="39">
        <v>0.82</v>
      </c>
      <c r="J533" s="39">
        <v>0.16599999999999998</v>
      </c>
      <c r="K533" s="39">
        <v>0.1336</v>
      </c>
      <c r="L533" s="39">
        <v>0.1055</v>
      </c>
      <c r="M533" s="58">
        <v>5000</v>
      </c>
      <c r="N533" s="58">
        <v>1000000</v>
      </c>
    </row>
    <row r="534" spans="1:14" ht="15" customHeight="1" x14ac:dyDescent="0.25">
      <c r="A534" s="64" t="str">
        <f t="shared" si="8"/>
        <v>1.7-10-0-TOU-3 year - with APR</v>
      </c>
      <c r="B534" s="63" t="s">
        <v>13</v>
      </c>
      <c r="C534" s="56">
        <v>10</v>
      </c>
      <c r="D534" s="57" t="s">
        <v>14</v>
      </c>
      <c r="E534" s="57" t="s">
        <v>87</v>
      </c>
      <c r="F534" s="38" t="s">
        <v>88</v>
      </c>
      <c r="G534" s="51">
        <v>1.7</v>
      </c>
      <c r="H534" s="57" t="s">
        <v>15</v>
      </c>
      <c r="I534" s="39">
        <v>0.79700000000000004</v>
      </c>
      <c r="J534" s="39">
        <v>0.15369999999999998</v>
      </c>
      <c r="K534" s="39">
        <v>0.1237</v>
      </c>
      <c r="L534" s="39">
        <v>9.7700000000000009E-2</v>
      </c>
      <c r="M534" s="58">
        <v>5000</v>
      </c>
      <c r="N534" s="58">
        <v>1000000</v>
      </c>
    </row>
    <row r="535" spans="1:14" ht="15" customHeight="1" x14ac:dyDescent="0.25">
      <c r="A535" s="64" t="str">
        <f t="shared" si="8"/>
        <v>1.7-11-0-TOU-3 year - with APR</v>
      </c>
      <c r="B535" s="63" t="s">
        <v>13</v>
      </c>
      <c r="C535" s="56">
        <v>11</v>
      </c>
      <c r="D535" s="57" t="s">
        <v>20</v>
      </c>
      <c r="E535" s="57" t="s">
        <v>87</v>
      </c>
      <c r="F535" s="38" t="s">
        <v>88</v>
      </c>
      <c r="G535" s="51">
        <v>1.7</v>
      </c>
      <c r="H535" s="57" t="s">
        <v>15</v>
      </c>
      <c r="I535" s="39">
        <v>0.77900000000000003</v>
      </c>
      <c r="J535" s="39">
        <v>0.15589999999999998</v>
      </c>
      <c r="K535" s="39">
        <v>0.1255</v>
      </c>
      <c r="L535" s="39">
        <v>9.9100000000000008E-2</v>
      </c>
      <c r="M535" s="58">
        <v>5000</v>
      </c>
      <c r="N535" s="58">
        <v>1000000</v>
      </c>
    </row>
    <row r="536" spans="1:14" ht="15" customHeight="1" x14ac:dyDescent="0.25">
      <c r="A536" s="64" t="str">
        <f t="shared" si="8"/>
        <v>1.7-12-0-TOU-3 year - with APR</v>
      </c>
      <c r="B536" s="63" t="s">
        <v>13</v>
      </c>
      <c r="C536" s="56">
        <v>12</v>
      </c>
      <c r="D536" s="57" t="s">
        <v>21</v>
      </c>
      <c r="E536" s="57" t="s">
        <v>87</v>
      </c>
      <c r="F536" s="38" t="s">
        <v>88</v>
      </c>
      <c r="G536" s="51">
        <v>1.7</v>
      </c>
      <c r="H536" s="57" t="s">
        <v>15</v>
      </c>
      <c r="I536" s="39">
        <v>0.81699999999999995</v>
      </c>
      <c r="J536" s="39">
        <v>0.1532</v>
      </c>
      <c r="K536" s="39">
        <v>0.12340000000000001</v>
      </c>
      <c r="L536" s="39">
        <v>9.74E-2</v>
      </c>
      <c r="M536" s="58">
        <v>5000</v>
      </c>
      <c r="N536" s="58">
        <v>1000000</v>
      </c>
    </row>
    <row r="537" spans="1:14" ht="15" customHeight="1" x14ac:dyDescent="0.25">
      <c r="A537" s="64" t="str">
        <f t="shared" si="8"/>
        <v>1.7-13-0-TOU-3 year - with APR</v>
      </c>
      <c r="B537" s="63" t="s">
        <v>13</v>
      </c>
      <c r="C537" s="56">
        <v>13</v>
      </c>
      <c r="D537" s="57" t="s">
        <v>22</v>
      </c>
      <c r="E537" s="57" t="s">
        <v>87</v>
      </c>
      <c r="F537" s="38" t="s">
        <v>88</v>
      </c>
      <c r="G537" s="51">
        <v>1.7</v>
      </c>
      <c r="H537" s="57" t="s">
        <v>15</v>
      </c>
      <c r="I537" s="39">
        <v>0.79700000000000004</v>
      </c>
      <c r="J537" s="39">
        <v>0.16539999999999999</v>
      </c>
      <c r="K537" s="39">
        <v>0.1331</v>
      </c>
      <c r="L537" s="39">
        <v>0.1051</v>
      </c>
      <c r="M537" s="58">
        <v>5000</v>
      </c>
      <c r="N537" s="58">
        <v>1000000</v>
      </c>
    </row>
    <row r="538" spans="1:14" ht="15" customHeight="1" x14ac:dyDescent="0.25">
      <c r="A538" s="64" t="str">
        <f t="shared" si="8"/>
        <v>1.7-14-0-TOU-3 year - with APR</v>
      </c>
      <c r="B538" s="63" t="s">
        <v>13</v>
      </c>
      <c r="C538" s="56">
        <v>14</v>
      </c>
      <c r="D538" s="57" t="s">
        <v>23</v>
      </c>
      <c r="E538" s="57" t="s">
        <v>87</v>
      </c>
      <c r="F538" s="38" t="s">
        <v>88</v>
      </c>
      <c r="G538" s="51">
        <v>1.7</v>
      </c>
      <c r="H538" s="57" t="s">
        <v>15</v>
      </c>
      <c r="I538" s="39">
        <v>0.80500000000000005</v>
      </c>
      <c r="J538" s="39">
        <v>0.15689999999999998</v>
      </c>
      <c r="K538" s="39">
        <v>0.1263</v>
      </c>
      <c r="L538" s="39">
        <v>9.9699999999999997E-2</v>
      </c>
      <c r="M538" s="58">
        <v>5000</v>
      </c>
      <c r="N538" s="58">
        <v>1000000</v>
      </c>
    </row>
    <row r="539" spans="1:14" ht="15" customHeight="1" x14ac:dyDescent="0.25">
      <c r="A539" s="64" t="str">
        <f t="shared" si="8"/>
        <v>1.7-15-0-TOU-3 year - with APR</v>
      </c>
      <c r="B539" s="63" t="s">
        <v>13</v>
      </c>
      <c r="C539" s="56">
        <v>15</v>
      </c>
      <c r="D539" s="57" t="s">
        <v>24</v>
      </c>
      <c r="E539" s="57" t="s">
        <v>87</v>
      </c>
      <c r="F539" s="38" t="s">
        <v>88</v>
      </c>
      <c r="G539" s="51">
        <v>1.7</v>
      </c>
      <c r="H539" s="57" t="s">
        <v>15</v>
      </c>
      <c r="I539" s="39">
        <v>0.86899999999999999</v>
      </c>
      <c r="J539" s="39">
        <v>0.15769999999999998</v>
      </c>
      <c r="K539" s="39">
        <v>0.127</v>
      </c>
      <c r="L539" s="39">
        <v>0.1002</v>
      </c>
      <c r="M539" s="58">
        <v>5000</v>
      </c>
      <c r="N539" s="58">
        <v>1000000</v>
      </c>
    </row>
    <row r="540" spans="1:14" ht="15" customHeight="1" x14ac:dyDescent="0.25">
      <c r="A540" s="64" t="str">
        <f t="shared" si="8"/>
        <v>1.7-16-0-TOU-3 year - with APR</v>
      </c>
      <c r="B540" s="63" t="s">
        <v>13</v>
      </c>
      <c r="C540" s="56">
        <v>16</v>
      </c>
      <c r="D540" s="57" t="s">
        <v>25</v>
      </c>
      <c r="E540" s="57" t="s">
        <v>87</v>
      </c>
      <c r="F540" s="38" t="s">
        <v>88</v>
      </c>
      <c r="G540" s="51">
        <v>1.7</v>
      </c>
      <c r="H540" s="57" t="s">
        <v>15</v>
      </c>
      <c r="I540" s="39">
        <v>0.65800000000000003</v>
      </c>
      <c r="J540" s="39">
        <v>0.1565</v>
      </c>
      <c r="K540" s="39">
        <v>0.126</v>
      </c>
      <c r="L540" s="39">
        <v>9.9500000000000005E-2</v>
      </c>
      <c r="M540" s="58">
        <v>5000</v>
      </c>
      <c r="N540" s="58">
        <v>1000000</v>
      </c>
    </row>
    <row r="541" spans="1:14" ht="15" customHeight="1" x14ac:dyDescent="0.25">
      <c r="A541" s="64" t="str">
        <f t="shared" si="8"/>
        <v>1.7-17-0-TOU-3 year - with APR</v>
      </c>
      <c r="B541" s="63" t="s">
        <v>13</v>
      </c>
      <c r="C541" s="56">
        <v>17</v>
      </c>
      <c r="D541" s="57" t="s">
        <v>26</v>
      </c>
      <c r="E541" s="57" t="s">
        <v>87</v>
      </c>
      <c r="F541" s="38" t="s">
        <v>88</v>
      </c>
      <c r="G541" s="51">
        <v>1.7</v>
      </c>
      <c r="H541" s="57" t="s">
        <v>15</v>
      </c>
      <c r="I541" s="39">
        <v>1.343</v>
      </c>
      <c r="J541" s="39">
        <v>0.1749</v>
      </c>
      <c r="K541" s="39">
        <v>0.14079999999999998</v>
      </c>
      <c r="L541" s="39">
        <v>0.11120000000000001</v>
      </c>
      <c r="M541" s="58">
        <v>5000</v>
      </c>
      <c r="N541" s="58">
        <v>1000000</v>
      </c>
    </row>
    <row r="542" spans="1:14" ht="15" customHeight="1" x14ac:dyDescent="0.25">
      <c r="A542" s="64" t="str">
        <f t="shared" si="8"/>
        <v>1.7-18-0-TOU-3 year - with APR</v>
      </c>
      <c r="B542" s="63" t="s">
        <v>13</v>
      </c>
      <c r="C542" s="56">
        <v>18</v>
      </c>
      <c r="D542" s="57" t="s">
        <v>27</v>
      </c>
      <c r="E542" s="57" t="s">
        <v>87</v>
      </c>
      <c r="F542" s="38" t="s">
        <v>88</v>
      </c>
      <c r="G542" s="51">
        <v>1.7</v>
      </c>
      <c r="H542" s="57" t="s">
        <v>15</v>
      </c>
      <c r="I542" s="39">
        <v>0.81399999999999995</v>
      </c>
      <c r="J542" s="39">
        <v>0.15569999999999998</v>
      </c>
      <c r="K542" s="39">
        <v>0.12539999999999998</v>
      </c>
      <c r="L542" s="39">
        <v>9.9000000000000005E-2</v>
      </c>
      <c r="M542" s="58">
        <v>5000</v>
      </c>
      <c r="N542" s="58">
        <v>1000000</v>
      </c>
    </row>
    <row r="543" spans="1:14" ht="15" customHeight="1" x14ac:dyDescent="0.25">
      <c r="A543" s="64" t="str">
        <f t="shared" si="8"/>
        <v>1.7-19-0-TOU-3 year - with APR</v>
      </c>
      <c r="B543" s="63" t="s">
        <v>13</v>
      </c>
      <c r="C543" s="56">
        <v>19</v>
      </c>
      <c r="D543" s="57" t="s">
        <v>28</v>
      </c>
      <c r="E543" s="57" t="s">
        <v>87</v>
      </c>
      <c r="F543" s="38" t="s">
        <v>88</v>
      </c>
      <c r="G543" s="51">
        <v>1.7</v>
      </c>
      <c r="H543" s="57" t="s">
        <v>15</v>
      </c>
      <c r="I543" s="39">
        <v>0.70399999999999996</v>
      </c>
      <c r="J543" s="39">
        <v>0.15489999999999998</v>
      </c>
      <c r="K543" s="39">
        <v>0.12470000000000001</v>
      </c>
      <c r="L543" s="39">
        <v>9.8400000000000001E-2</v>
      </c>
      <c r="M543" s="58">
        <v>5000</v>
      </c>
      <c r="N543" s="58">
        <v>1000000</v>
      </c>
    </row>
    <row r="544" spans="1:14" ht="15" customHeight="1" x14ac:dyDescent="0.25">
      <c r="A544" s="64" t="str">
        <f t="shared" si="8"/>
        <v>1.7-20-0-TOU-3 year - with APR</v>
      </c>
      <c r="B544" s="63" t="s">
        <v>13</v>
      </c>
      <c r="C544" s="56">
        <v>20</v>
      </c>
      <c r="D544" s="57" t="s">
        <v>29</v>
      </c>
      <c r="E544" s="57" t="s">
        <v>87</v>
      </c>
      <c r="F544" s="38" t="s">
        <v>88</v>
      </c>
      <c r="G544" s="51">
        <v>1.7</v>
      </c>
      <c r="H544" s="57" t="s">
        <v>15</v>
      </c>
      <c r="I544" s="39">
        <v>0.748</v>
      </c>
      <c r="J544" s="39">
        <v>0.1545</v>
      </c>
      <c r="K544" s="39">
        <v>0.1244</v>
      </c>
      <c r="L544" s="39">
        <v>9.820000000000001E-2</v>
      </c>
      <c r="M544" s="58">
        <v>5000</v>
      </c>
      <c r="N544" s="58">
        <v>1000000</v>
      </c>
    </row>
    <row r="545" spans="1:14" ht="15" customHeight="1" x14ac:dyDescent="0.25">
      <c r="A545" s="64" t="str">
        <f t="shared" si="8"/>
        <v>1.7-21-0-TOU-3 year - with APR</v>
      </c>
      <c r="B545" s="63" t="s">
        <v>13</v>
      </c>
      <c r="C545" s="56">
        <v>21</v>
      </c>
      <c r="D545" s="57" t="s">
        <v>30</v>
      </c>
      <c r="E545" s="57" t="s">
        <v>87</v>
      </c>
      <c r="F545" s="38" t="s">
        <v>88</v>
      </c>
      <c r="G545" s="51">
        <v>1.7</v>
      </c>
      <c r="H545" s="57" t="s">
        <v>15</v>
      </c>
      <c r="I545" s="39">
        <v>0.83499999999999996</v>
      </c>
      <c r="J545" s="39">
        <v>0.16439999999999999</v>
      </c>
      <c r="K545" s="39">
        <v>0.13239999999999999</v>
      </c>
      <c r="L545" s="39">
        <v>0.10450000000000001</v>
      </c>
      <c r="M545" s="58">
        <v>5000</v>
      </c>
      <c r="N545" s="58">
        <v>1000000</v>
      </c>
    </row>
    <row r="546" spans="1:14" ht="15" customHeight="1" x14ac:dyDescent="0.25">
      <c r="A546" s="64" t="str">
        <f t="shared" si="8"/>
        <v>1.7-22-0-TOU-3 year - with APR</v>
      </c>
      <c r="B546" s="63" t="s">
        <v>13</v>
      </c>
      <c r="C546" s="56">
        <v>22</v>
      </c>
      <c r="D546" s="57" t="s">
        <v>31</v>
      </c>
      <c r="E546" s="57" t="s">
        <v>87</v>
      </c>
      <c r="F546" s="38" t="s">
        <v>88</v>
      </c>
      <c r="G546" s="51">
        <v>1.7</v>
      </c>
      <c r="H546" s="57" t="s">
        <v>15</v>
      </c>
      <c r="I546" s="39">
        <v>0.81799999999999995</v>
      </c>
      <c r="J546" s="39">
        <v>0.16499999999999998</v>
      </c>
      <c r="K546" s="39">
        <v>0.13289999999999999</v>
      </c>
      <c r="L546" s="39">
        <v>0.10490000000000001</v>
      </c>
      <c r="M546" s="58">
        <v>5000</v>
      </c>
      <c r="N546" s="58">
        <v>1000000</v>
      </c>
    </row>
    <row r="547" spans="1:14" ht="15" customHeight="1" x14ac:dyDescent="0.25">
      <c r="A547" s="64" t="str">
        <f t="shared" si="8"/>
        <v>1.7-23-0-TOU-3 year - with APR</v>
      </c>
      <c r="B547" s="63" t="s">
        <v>13</v>
      </c>
      <c r="C547" s="56">
        <v>23</v>
      </c>
      <c r="D547" s="57" t="s">
        <v>32</v>
      </c>
      <c r="E547" s="57" t="s">
        <v>87</v>
      </c>
      <c r="F547" s="38" t="s">
        <v>88</v>
      </c>
      <c r="G547" s="51">
        <v>1.7</v>
      </c>
      <c r="H547" s="57" t="s">
        <v>15</v>
      </c>
      <c r="I547" s="39">
        <v>0.82</v>
      </c>
      <c r="J547" s="39">
        <v>0.15759999999999999</v>
      </c>
      <c r="K547" s="39">
        <v>0.12689999999999999</v>
      </c>
      <c r="L547" s="39">
        <v>0.1002</v>
      </c>
      <c r="M547" s="58">
        <v>5000</v>
      </c>
      <c r="N547" s="58">
        <v>1000000</v>
      </c>
    </row>
    <row r="548" spans="1:14" ht="15" customHeight="1" x14ac:dyDescent="0.25">
      <c r="A548" s="64" t="str">
        <f t="shared" si="8"/>
        <v>1.7-10-0-TOU-2 year Fixed</v>
      </c>
      <c r="B548" s="63" t="s">
        <v>13</v>
      </c>
      <c r="C548" s="56">
        <v>10</v>
      </c>
      <c r="D548" s="57" t="s">
        <v>14</v>
      </c>
      <c r="E548" s="57" t="s">
        <v>87</v>
      </c>
      <c r="F548" s="38" t="s">
        <v>88</v>
      </c>
      <c r="G548" s="51">
        <v>1.7</v>
      </c>
      <c r="H548" s="57" t="s">
        <v>33</v>
      </c>
      <c r="I548" s="39">
        <v>0.79700000000000004</v>
      </c>
      <c r="J548" s="39">
        <v>0.16299999999999998</v>
      </c>
      <c r="K548" s="39">
        <v>0.13119999999999998</v>
      </c>
      <c r="L548" s="39">
        <v>0.1036</v>
      </c>
      <c r="M548" s="58">
        <v>5000</v>
      </c>
      <c r="N548" s="58">
        <v>1000000</v>
      </c>
    </row>
    <row r="549" spans="1:14" ht="15" customHeight="1" x14ac:dyDescent="0.25">
      <c r="A549" s="64" t="str">
        <f t="shared" si="8"/>
        <v>1.7-11-0-TOU-2 year Fixed</v>
      </c>
      <c r="B549" s="63" t="s">
        <v>13</v>
      </c>
      <c r="C549" s="56">
        <v>11</v>
      </c>
      <c r="D549" s="57" t="s">
        <v>20</v>
      </c>
      <c r="E549" s="57" t="s">
        <v>87</v>
      </c>
      <c r="F549" s="38" t="s">
        <v>88</v>
      </c>
      <c r="G549" s="51">
        <v>1.7</v>
      </c>
      <c r="H549" s="57" t="s">
        <v>33</v>
      </c>
      <c r="I549" s="39">
        <v>0.77900000000000003</v>
      </c>
      <c r="J549" s="39">
        <v>0.1661</v>
      </c>
      <c r="K549" s="39">
        <v>0.13369999999999999</v>
      </c>
      <c r="L549" s="39">
        <v>0.1056</v>
      </c>
      <c r="M549" s="58">
        <v>5000</v>
      </c>
      <c r="N549" s="58">
        <v>1000000</v>
      </c>
    </row>
    <row r="550" spans="1:14" ht="15" customHeight="1" x14ac:dyDescent="0.25">
      <c r="A550" s="64" t="str">
        <f t="shared" si="8"/>
        <v>1.7-12-0-TOU-2 year Fixed</v>
      </c>
      <c r="B550" s="63" t="s">
        <v>13</v>
      </c>
      <c r="C550" s="56">
        <v>12</v>
      </c>
      <c r="D550" s="57" t="s">
        <v>21</v>
      </c>
      <c r="E550" s="57" t="s">
        <v>87</v>
      </c>
      <c r="F550" s="38" t="s">
        <v>88</v>
      </c>
      <c r="G550" s="51">
        <v>1.7</v>
      </c>
      <c r="H550" s="57" t="s">
        <v>33</v>
      </c>
      <c r="I550" s="39">
        <v>0.81699999999999995</v>
      </c>
      <c r="J550" s="39">
        <v>0.16269999999999998</v>
      </c>
      <c r="K550" s="39">
        <v>0.13099999999999998</v>
      </c>
      <c r="L550" s="39">
        <v>0.10340000000000001</v>
      </c>
      <c r="M550" s="58">
        <v>5000</v>
      </c>
      <c r="N550" s="58">
        <v>1000000</v>
      </c>
    </row>
    <row r="551" spans="1:14" ht="15" customHeight="1" x14ac:dyDescent="0.25">
      <c r="A551" s="64" t="str">
        <f t="shared" si="8"/>
        <v>1.7-13-0-TOU-2 year Fixed</v>
      </c>
      <c r="B551" s="63" t="s">
        <v>13</v>
      </c>
      <c r="C551" s="56">
        <v>13</v>
      </c>
      <c r="D551" s="57" t="s">
        <v>22</v>
      </c>
      <c r="E551" s="57" t="s">
        <v>87</v>
      </c>
      <c r="F551" s="38" t="s">
        <v>88</v>
      </c>
      <c r="G551" s="51">
        <v>1.7</v>
      </c>
      <c r="H551" s="57" t="s">
        <v>33</v>
      </c>
      <c r="I551" s="39">
        <v>0.79700000000000004</v>
      </c>
      <c r="J551" s="39">
        <v>0.17579999999999998</v>
      </c>
      <c r="K551" s="39">
        <v>0.14149999999999999</v>
      </c>
      <c r="L551" s="39">
        <v>0.11170000000000001</v>
      </c>
      <c r="M551" s="58">
        <v>5000</v>
      </c>
      <c r="N551" s="58">
        <v>1000000</v>
      </c>
    </row>
    <row r="552" spans="1:14" ht="15" customHeight="1" x14ac:dyDescent="0.25">
      <c r="A552" s="64" t="str">
        <f t="shared" si="8"/>
        <v>1.7-14-0-TOU-2 year Fixed</v>
      </c>
      <c r="B552" s="63" t="s">
        <v>13</v>
      </c>
      <c r="C552" s="56">
        <v>14</v>
      </c>
      <c r="D552" s="57" t="s">
        <v>23</v>
      </c>
      <c r="E552" s="57" t="s">
        <v>87</v>
      </c>
      <c r="F552" s="38" t="s">
        <v>88</v>
      </c>
      <c r="G552" s="51">
        <v>1.7</v>
      </c>
      <c r="H552" s="57" t="s">
        <v>33</v>
      </c>
      <c r="I552" s="39">
        <v>0.80500000000000005</v>
      </c>
      <c r="J552" s="39">
        <v>0.1671</v>
      </c>
      <c r="K552" s="39">
        <v>0.1346</v>
      </c>
      <c r="L552" s="39">
        <v>0.1062</v>
      </c>
      <c r="M552" s="58">
        <v>5000</v>
      </c>
      <c r="N552" s="58">
        <v>1000000</v>
      </c>
    </row>
    <row r="553" spans="1:14" ht="15" customHeight="1" x14ac:dyDescent="0.25">
      <c r="A553" s="64" t="str">
        <f t="shared" si="8"/>
        <v>1.7-15-0-TOU-2 year Fixed</v>
      </c>
      <c r="B553" s="63" t="s">
        <v>13</v>
      </c>
      <c r="C553" s="56">
        <v>15</v>
      </c>
      <c r="D553" s="57" t="s">
        <v>24</v>
      </c>
      <c r="E553" s="57" t="s">
        <v>87</v>
      </c>
      <c r="F553" s="38" t="s">
        <v>88</v>
      </c>
      <c r="G553" s="51">
        <v>1.7</v>
      </c>
      <c r="H553" s="57" t="s">
        <v>33</v>
      </c>
      <c r="I553" s="39">
        <v>0.86899999999999999</v>
      </c>
      <c r="J553" s="39">
        <v>0.16689999999999999</v>
      </c>
      <c r="K553" s="39">
        <v>0.13439999999999999</v>
      </c>
      <c r="L553" s="39">
        <v>0.1061</v>
      </c>
      <c r="M553" s="58">
        <v>5000</v>
      </c>
      <c r="N553" s="58">
        <v>1000000</v>
      </c>
    </row>
    <row r="554" spans="1:14" ht="15" customHeight="1" x14ac:dyDescent="0.25">
      <c r="A554" s="64" t="str">
        <f t="shared" si="8"/>
        <v>1.7-16-0-TOU-2 year Fixed</v>
      </c>
      <c r="B554" s="63" t="s">
        <v>13</v>
      </c>
      <c r="C554" s="56">
        <v>16</v>
      </c>
      <c r="D554" s="57" t="s">
        <v>25</v>
      </c>
      <c r="E554" s="57" t="s">
        <v>87</v>
      </c>
      <c r="F554" s="38" t="s">
        <v>88</v>
      </c>
      <c r="G554" s="51">
        <v>1.7</v>
      </c>
      <c r="H554" s="57" t="s">
        <v>33</v>
      </c>
      <c r="I554" s="39">
        <v>0.65800000000000003</v>
      </c>
      <c r="J554" s="39">
        <v>0.16619999999999999</v>
      </c>
      <c r="K554" s="39">
        <v>0.1338</v>
      </c>
      <c r="L554" s="39">
        <v>0.1056</v>
      </c>
      <c r="M554" s="58">
        <v>5000</v>
      </c>
      <c r="N554" s="58">
        <v>1000000</v>
      </c>
    </row>
    <row r="555" spans="1:14" ht="15" customHeight="1" x14ac:dyDescent="0.25">
      <c r="A555" s="64" t="str">
        <f t="shared" si="8"/>
        <v>1.7-17-0-TOU-2 year Fixed</v>
      </c>
      <c r="B555" s="63" t="s">
        <v>13</v>
      </c>
      <c r="C555" s="56">
        <v>17</v>
      </c>
      <c r="D555" s="57" t="s">
        <v>26</v>
      </c>
      <c r="E555" s="57" t="s">
        <v>87</v>
      </c>
      <c r="F555" s="38" t="s">
        <v>88</v>
      </c>
      <c r="G555" s="51">
        <v>1.7</v>
      </c>
      <c r="H555" s="57" t="s">
        <v>33</v>
      </c>
      <c r="I555" s="39">
        <v>1.5109999999999999</v>
      </c>
      <c r="J555" s="39">
        <v>0.18519999999999998</v>
      </c>
      <c r="K555" s="39">
        <v>0.14909999999999998</v>
      </c>
      <c r="L555" s="39">
        <v>0.1177</v>
      </c>
      <c r="M555" s="58">
        <v>5000</v>
      </c>
      <c r="N555" s="58">
        <v>1000000</v>
      </c>
    </row>
    <row r="556" spans="1:14" ht="15" customHeight="1" x14ac:dyDescent="0.25">
      <c r="A556" s="64" t="str">
        <f t="shared" si="8"/>
        <v>1.7-18-0-TOU-2 year Fixed</v>
      </c>
      <c r="B556" s="63" t="s">
        <v>13</v>
      </c>
      <c r="C556" s="56">
        <v>18</v>
      </c>
      <c r="D556" s="57" t="s">
        <v>27</v>
      </c>
      <c r="E556" s="57" t="s">
        <v>87</v>
      </c>
      <c r="F556" s="38" t="s">
        <v>88</v>
      </c>
      <c r="G556" s="51">
        <v>1.7</v>
      </c>
      <c r="H556" s="57" t="s">
        <v>33</v>
      </c>
      <c r="I556" s="39">
        <v>0.81399999999999995</v>
      </c>
      <c r="J556" s="39">
        <v>0.16569999999999999</v>
      </c>
      <c r="K556" s="39">
        <v>0.13339999999999999</v>
      </c>
      <c r="L556" s="39">
        <v>0.1053</v>
      </c>
      <c r="M556" s="58">
        <v>5000</v>
      </c>
      <c r="N556" s="58">
        <v>1000000</v>
      </c>
    </row>
    <row r="557" spans="1:14" ht="15" customHeight="1" x14ac:dyDescent="0.25">
      <c r="A557" s="64" t="str">
        <f t="shared" si="8"/>
        <v>1.7-19-0-TOU-2 year Fixed</v>
      </c>
      <c r="B557" s="63" t="s">
        <v>13</v>
      </c>
      <c r="C557" s="56">
        <v>19</v>
      </c>
      <c r="D557" s="57" t="s">
        <v>28</v>
      </c>
      <c r="E557" s="57" t="s">
        <v>87</v>
      </c>
      <c r="F557" s="38" t="s">
        <v>88</v>
      </c>
      <c r="G557" s="51">
        <v>1.7</v>
      </c>
      <c r="H557" s="57" t="s">
        <v>33</v>
      </c>
      <c r="I557" s="39">
        <v>0.70399999999999996</v>
      </c>
      <c r="J557" s="39">
        <v>0.16449999999999998</v>
      </c>
      <c r="K557" s="39">
        <v>0.13249999999999998</v>
      </c>
      <c r="L557" s="39">
        <v>0.1046</v>
      </c>
      <c r="M557" s="58">
        <v>5000</v>
      </c>
      <c r="N557" s="58">
        <v>1000000</v>
      </c>
    </row>
    <row r="558" spans="1:14" ht="15" customHeight="1" x14ac:dyDescent="0.25">
      <c r="A558" s="64" t="str">
        <f t="shared" si="8"/>
        <v>1.7-20-0-TOU-2 year Fixed</v>
      </c>
      <c r="B558" s="63" t="s">
        <v>13</v>
      </c>
      <c r="C558" s="56">
        <v>20</v>
      </c>
      <c r="D558" s="57" t="s">
        <v>29</v>
      </c>
      <c r="E558" s="57" t="s">
        <v>87</v>
      </c>
      <c r="F558" s="38" t="s">
        <v>88</v>
      </c>
      <c r="G558" s="51">
        <v>1.7</v>
      </c>
      <c r="H558" s="57" t="s">
        <v>33</v>
      </c>
      <c r="I558" s="39">
        <v>0.748</v>
      </c>
      <c r="J558" s="39">
        <v>0.16469999999999999</v>
      </c>
      <c r="K558" s="39">
        <v>0.1326</v>
      </c>
      <c r="L558" s="39">
        <v>0.1047</v>
      </c>
      <c r="M558" s="58">
        <v>5000</v>
      </c>
      <c r="N558" s="58">
        <v>1000000</v>
      </c>
    </row>
    <row r="559" spans="1:14" ht="15" customHeight="1" x14ac:dyDescent="0.25">
      <c r="A559" s="64" t="str">
        <f t="shared" si="8"/>
        <v>1.7-21-0-TOU-2 year Fixed</v>
      </c>
      <c r="B559" s="63" t="s">
        <v>13</v>
      </c>
      <c r="C559" s="56">
        <v>21</v>
      </c>
      <c r="D559" s="57" t="s">
        <v>30</v>
      </c>
      <c r="E559" s="57" t="s">
        <v>87</v>
      </c>
      <c r="F559" s="38" t="s">
        <v>88</v>
      </c>
      <c r="G559" s="51">
        <v>1.7</v>
      </c>
      <c r="H559" s="57" t="s">
        <v>33</v>
      </c>
      <c r="I559" s="39">
        <v>0.83499999999999996</v>
      </c>
      <c r="J559" s="39">
        <v>0.17479999999999998</v>
      </c>
      <c r="K559" s="39">
        <v>0.14069999999999999</v>
      </c>
      <c r="L559" s="39">
        <v>0.1111</v>
      </c>
      <c r="M559" s="58">
        <v>5000</v>
      </c>
      <c r="N559" s="58">
        <v>1000000</v>
      </c>
    </row>
    <row r="560" spans="1:14" ht="15" customHeight="1" x14ac:dyDescent="0.25">
      <c r="A560" s="64" t="str">
        <f t="shared" si="8"/>
        <v>1.7-22-0-TOU-2 year Fixed</v>
      </c>
      <c r="B560" s="63" t="s">
        <v>13</v>
      </c>
      <c r="C560" s="56">
        <v>22</v>
      </c>
      <c r="D560" s="57" t="s">
        <v>31</v>
      </c>
      <c r="E560" s="57" t="s">
        <v>87</v>
      </c>
      <c r="F560" s="38" t="s">
        <v>88</v>
      </c>
      <c r="G560" s="51">
        <v>1.7</v>
      </c>
      <c r="H560" s="57" t="s">
        <v>33</v>
      </c>
      <c r="I560" s="39">
        <v>0.81799999999999995</v>
      </c>
      <c r="J560" s="39">
        <v>0.1754</v>
      </c>
      <c r="K560" s="39">
        <v>0.14119999999999999</v>
      </c>
      <c r="L560" s="39">
        <v>0.1115</v>
      </c>
      <c r="M560" s="58">
        <v>5000</v>
      </c>
      <c r="N560" s="58">
        <v>1000000</v>
      </c>
    </row>
    <row r="561" spans="1:14" ht="15" customHeight="1" x14ac:dyDescent="0.25">
      <c r="A561" s="64" t="str">
        <f t="shared" si="8"/>
        <v>1.7-23-0-TOU-2 year Fixed</v>
      </c>
      <c r="B561" s="63" t="s">
        <v>13</v>
      </c>
      <c r="C561" s="56">
        <v>23</v>
      </c>
      <c r="D561" s="57" t="s">
        <v>32</v>
      </c>
      <c r="E561" s="57" t="s">
        <v>87</v>
      </c>
      <c r="F561" s="38" t="s">
        <v>88</v>
      </c>
      <c r="G561" s="51">
        <v>1.7</v>
      </c>
      <c r="H561" s="57" t="s">
        <v>33</v>
      </c>
      <c r="I561" s="39">
        <v>0.82</v>
      </c>
      <c r="J561" s="39">
        <v>0.1671</v>
      </c>
      <c r="K561" s="39">
        <v>0.1346</v>
      </c>
      <c r="L561" s="39">
        <v>0.1062</v>
      </c>
      <c r="M561" s="58">
        <v>5000</v>
      </c>
      <c r="N561" s="58">
        <v>1000000</v>
      </c>
    </row>
    <row r="562" spans="1:14" ht="15" customHeight="1" x14ac:dyDescent="0.25">
      <c r="A562" s="64" t="str">
        <f t="shared" si="8"/>
        <v>1.8-10-0-TOU-3 year - with APR</v>
      </c>
      <c r="B562" s="63" t="s">
        <v>13</v>
      </c>
      <c r="C562" s="56">
        <v>10</v>
      </c>
      <c r="D562" s="57" t="s">
        <v>14</v>
      </c>
      <c r="E562" s="57" t="s">
        <v>87</v>
      </c>
      <c r="F562" s="38" t="s">
        <v>88</v>
      </c>
      <c r="G562" s="51">
        <v>1.8</v>
      </c>
      <c r="H562" s="57" t="s">
        <v>15</v>
      </c>
      <c r="I562" s="39">
        <v>0.79700000000000004</v>
      </c>
      <c r="J562" s="39">
        <v>0.15489999999999998</v>
      </c>
      <c r="K562" s="39">
        <v>0.12470000000000001</v>
      </c>
      <c r="L562" s="39">
        <v>9.8400000000000001E-2</v>
      </c>
      <c r="M562" s="58">
        <v>5000</v>
      </c>
      <c r="N562" s="58">
        <v>1000000</v>
      </c>
    </row>
    <row r="563" spans="1:14" ht="15" customHeight="1" x14ac:dyDescent="0.25">
      <c r="A563" s="64" t="str">
        <f t="shared" si="8"/>
        <v>1.8-11-0-TOU-3 year - with APR</v>
      </c>
      <c r="B563" s="63" t="s">
        <v>13</v>
      </c>
      <c r="C563" s="56">
        <v>11</v>
      </c>
      <c r="D563" s="57" t="s">
        <v>20</v>
      </c>
      <c r="E563" s="57" t="s">
        <v>87</v>
      </c>
      <c r="F563" s="38" t="s">
        <v>88</v>
      </c>
      <c r="G563" s="51">
        <v>1.8</v>
      </c>
      <c r="H563" s="57" t="s">
        <v>15</v>
      </c>
      <c r="I563" s="39">
        <v>0.77900000000000003</v>
      </c>
      <c r="J563" s="39">
        <v>0.15709999999999999</v>
      </c>
      <c r="K563" s="39">
        <v>0.1265</v>
      </c>
      <c r="L563" s="39">
        <v>9.9900000000000003E-2</v>
      </c>
      <c r="M563" s="58">
        <v>5000</v>
      </c>
      <c r="N563" s="58">
        <v>1000000</v>
      </c>
    </row>
    <row r="564" spans="1:14" ht="15" customHeight="1" x14ac:dyDescent="0.25">
      <c r="A564" s="64" t="str">
        <f t="shared" si="8"/>
        <v>1.8-12-0-TOU-3 year - with APR</v>
      </c>
      <c r="B564" s="63" t="s">
        <v>13</v>
      </c>
      <c r="C564" s="56">
        <v>12</v>
      </c>
      <c r="D564" s="57" t="s">
        <v>21</v>
      </c>
      <c r="E564" s="57" t="s">
        <v>87</v>
      </c>
      <c r="F564" s="38" t="s">
        <v>88</v>
      </c>
      <c r="G564" s="51">
        <v>1.8</v>
      </c>
      <c r="H564" s="57" t="s">
        <v>15</v>
      </c>
      <c r="I564" s="39">
        <v>0.81699999999999995</v>
      </c>
      <c r="J564" s="39">
        <v>0.15439999999999998</v>
      </c>
      <c r="K564" s="39">
        <v>0.12430000000000001</v>
      </c>
      <c r="L564" s="39">
        <v>9.8100000000000007E-2</v>
      </c>
      <c r="M564" s="58">
        <v>5000</v>
      </c>
      <c r="N564" s="58">
        <v>1000000</v>
      </c>
    </row>
    <row r="565" spans="1:14" ht="15" customHeight="1" x14ac:dyDescent="0.25">
      <c r="A565" s="64" t="str">
        <f t="shared" si="8"/>
        <v>1.8-13-0-TOU-3 year - with APR</v>
      </c>
      <c r="B565" s="63" t="s">
        <v>13</v>
      </c>
      <c r="C565" s="56">
        <v>13</v>
      </c>
      <c r="D565" s="57" t="s">
        <v>22</v>
      </c>
      <c r="E565" s="57" t="s">
        <v>87</v>
      </c>
      <c r="F565" s="38" t="s">
        <v>88</v>
      </c>
      <c r="G565" s="51">
        <v>1.8</v>
      </c>
      <c r="H565" s="57" t="s">
        <v>15</v>
      </c>
      <c r="I565" s="39">
        <v>0.79700000000000004</v>
      </c>
      <c r="J565" s="39">
        <v>0.16649999999999998</v>
      </c>
      <c r="K565" s="39">
        <v>0.1341</v>
      </c>
      <c r="L565" s="39">
        <v>0.10590000000000001</v>
      </c>
      <c r="M565" s="58">
        <v>5000</v>
      </c>
      <c r="N565" s="58">
        <v>1000000</v>
      </c>
    </row>
    <row r="566" spans="1:14" ht="15" customHeight="1" x14ac:dyDescent="0.25">
      <c r="A566" s="64" t="str">
        <f t="shared" si="8"/>
        <v>1.8-14-0-TOU-3 year - with APR</v>
      </c>
      <c r="B566" s="63" t="s">
        <v>13</v>
      </c>
      <c r="C566" s="56">
        <v>14</v>
      </c>
      <c r="D566" s="57" t="s">
        <v>23</v>
      </c>
      <c r="E566" s="57" t="s">
        <v>87</v>
      </c>
      <c r="F566" s="38" t="s">
        <v>88</v>
      </c>
      <c r="G566" s="51">
        <v>1.8</v>
      </c>
      <c r="H566" s="57" t="s">
        <v>15</v>
      </c>
      <c r="I566" s="39">
        <v>0.80500000000000005</v>
      </c>
      <c r="J566" s="39">
        <v>0.15809999999999999</v>
      </c>
      <c r="K566" s="39">
        <v>0.1273</v>
      </c>
      <c r="L566" s="39">
        <v>0.10050000000000001</v>
      </c>
      <c r="M566" s="58">
        <v>5000</v>
      </c>
      <c r="N566" s="58">
        <v>1000000</v>
      </c>
    </row>
    <row r="567" spans="1:14" ht="15" customHeight="1" x14ac:dyDescent="0.25">
      <c r="A567" s="64" t="str">
        <f t="shared" si="8"/>
        <v>1.8-15-0-TOU-3 year - with APR</v>
      </c>
      <c r="B567" s="63" t="s">
        <v>13</v>
      </c>
      <c r="C567" s="56">
        <v>15</v>
      </c>
      <c r="D567" s="57" t="s">
        <v>24</v>
      </c>
      <c r="E567" s="57" t="s">
        <v>87</v>
      </c>
      <c r="F567" s="38" t="s">
        <v>88</v>
      </c>
      <c r="G567" s="51">
        <v>1.8</v>
      </c>
      <c r="H567" s="57" t="s">
        <v>15</v>
      </c>
      <c r="I567" s="39">
        <v>0.86899999999999999</v>
      </c>
      <c r="J567" s="39">
        <v>0.15889999999999999</v>
      </c>
      <c r="K567" s="39">
        <v>0.12789999999999999</v>
      </c>
      <c r="L567" s="39">
        <v>0.10100000000000001</v>
      </c>
      <c r="M567" s="58">
        <v>5000</v>
      </c>
      <c r="N567" s="58">
        <v>1000000</v>
      </c>
    </row>
    <row r="568" spans="1:14" ht="15" customHeight="1" x14ac:dyDescent="0.25">
      <c r="A568" s="64" t="str">
        <f t="shared" si="8"/>
        <v>1.8-16-0-TOU-3 year - with APR</v>
      </c>
      <c r="B568" s="63" t="s">
        <v>13</v>
      </c>
      <c r="C568" s="56">
        <v>16</v>
      </c>
      <c r="D568" s="57" t="s">
        <v>25</v>
      </c>
      <c r="E568" s="57" t="s">
        <v>87</v>
      </c>
      <c r="F568" s="38" t="s">
        <v>88</v>
      </c>
      <c r="G568" s="51">
        <v>1.8</v>
      </c>
      <c r="H568" s="57" t="s">
        <v>15</v>
      </c>
      <c r="I568" s="39">
        <v>0.65800000000000003</v>
      </c>
      <c r="J568" s="39">
        <v>0.15769999999999998</v>
      </c>
      <c r="K568" s="39">
        <v>0.127</v>
      </c>
      <c r="L568" s="39">
        <v>0.1002</v>
      </c>
      <c r="M568" s="58">
        <v>5000</v>
      </c>
      <c r="N568" s="58">
        <v>1000000</v>
      </c>
    </row>
    <row r="569" spans="1:14" ht="15" customHeight="1" x14ac:dyDescent="0.25">
      <c r="A569" s="64" t="str">
        <f t="shared" si="8"/>
        <v>1.8-17-0-TOU-3 year - with APR</v>
      </c>
      <c r="B569" s="63" t="s">
        <v>13</v>
      </c>
      <c r="C569" s="56">
        <v>17</v>
      </c>
      <c r="D569" s="57" t="s">
        <v>26</v>
      </c>
      <c r="E569" s="57" t="s">
        <v>87</v>
      </c>
      <c r="F569" s="38" t="s">
        <v>88</v>
      </c>
      <c r="G569" s="51">
        <v>1.8</v>
      </c>
      <c r="H569" s="57" t="s">
        <v>15</v>
      </c>
      <c r="I569" s="39">
        <v>1.343</v>
      </c>
      <c r="J569" s="39">
        <v>0.17609999999999998</v>
      </c>
      <c r="K569" s="39">
        <v>0.14179999999999998</v>
      </c>
      <c r="L569" s="39">
        <v>0.1119</v>
      </c>
      <c r="M569" s="58">
        <v>5000</v>
      </c>
      <c r="N569" s="58">
        <v>1000000</v>
      </c>
    </row>
    <row r="570" spans="1:14" ht="15" customHeight="1" x14ac:dyDescent="0.25">
      <c r="A570" s="64" t="str">
        <f t="shared" si="8"/>
        <v>1.8-18-0-TOU-3 year - with APR</v>
      </c>
      <c r="B570" s="63" t="s">
        <v>13</v>
      </c>
      <c r="C570" s="56">
        <v>18</v>
      </c>
      <c r="D570" s="57" t="s">
        <v>27</v>
      </c>
      <c r="E570" s="57" t="s">
        <v>87</v>
      </c>
      <c r="F570" s="38" t="s">
        <v>88</v>
      </c>
      <c r="G570" s="51">
        <v>1.8</v>
      </c>
      <c r="H570" s="57" t="s">
        <v>15</v>
      </c>
      <c r="I570" s="39">
        <v>0.81399999999999995</v>
      </c>
      <c r="J570" s="39">
        <v>0.15689999999999998</v>
      </c>
      <c r="K570" s="39">
        <v>0.1263</v>
      </c>
      <c r="L570" s="39">
        <v>9.9699999999999997E-2</v>
      </c>
      <c r="M570" s="58">
        <v>5000</v>
      </c>
      <c r="N570" s="58">
        <v>1000000</v>
      </c>
    </row>
    <row r="571" spans="1:14" ht="15" customHeight="1" x14ac:dyDescent="0.25">
      <c r="A571" s="64" t="str">
        <f t="shared" si="8"/>
        <v>1.8-19-0-TOU-3 year - with APR</v>
      </c>
      <c r="B571" s="63" t="s">
        <v>13</v>
      </c>
      <c r="C571" s="56">
        <v>19</v>
      </c>
      <c r="D571" s="57" t="s">
        <v>28</v>
      </c>
      <c r="E571" s="57" t="s">
        <v>87</v>
      </c>
      <c r="F571" s="38" t="s">
        <v>88</v>
      </c>
      <c r="G571" s="51">
        <v>1.8</v>
      </c>
      <c r="H571" s="57" t="s">
        <v>15</v>
      </c>
      <c r="I571" s="39">
        <v>0.70399999999999996</v>
      </c>
      <c r="J571" s="39">
        <v>0.156</v>
      </c>
      <c r="K571" s="39">
        <v>0.12559999999999999</v>
      </c>
      <c r="L571" s="39">
        <v>9.9199999999999997E-2</v>
      </c>
      <c r="M571" s="58">
        <v>5000</v>
      </c>
      <c r="N571" s="58">
        <v>1000000</v>
      </c>
    </row>
    <row r="572" spans="1:14" ht="15" customHeight="1" x14ac:dyDescent="0.25">
      <c r="A572" s="64" t="str">
        <f t="shared" si="8"/>
        <v>1.8-20-0-TOU-3 year - with APR</v>
      </c>
      <c r="B572" s="63" t="s">
        <v>13</v>
      </c>
      <c r="C572" s="56">
        <v>20</v>
      </c>
      <c r="D572" s="57" t="s">
        <v>29</v>
      </c>
      <c r="E572" s="57" t="s">
        <v>87</v>
      </c>
      <c r="F572" s="38" t="s">
        <v>88</v>
      </c>
      <c r="G572" s="51">
        <v>1.8</v>
      </c>
      <c r="H572" s="57" t="s">
        <v>15</v>
      </c>
      <c r="I572" s="39">
        <v>0.748</v>
      </c>
      <c r="J572" s="39">
        <v>0.15569999999999998</v>
      </c>
      <c r="K572" s="39">
        <v>0.12539999999999998</v>
      </c>
      <c r="L572" s="39">
        <v>9.9000000000000005E-2</v>
      </c>
      <c r="M572" s="58">
        <v>5000</v>
      </c>
      <c r="N572" s="58">
        <v>1000000</v>
      </c>
    </row>
    <row r="573" spans="1:14" ht="15" customHeight="1" x14ac:dyDescent="0.25">
      <c r="A573" s="64" t="str">
        <f t="shared" si="8"/>
        <v>1.8-21-0-TOU-3 year - with APR</v>
      </c>
      <c r="B573" s="63" t="s">
        <v>13</v>
      </c>
      <c r="C573" s="56">
        <v>21</v>
      </c>
      <c r="D573" s="57" t="s">
        <v>30</v>
      </c>
      <c r="E573" s="57" t="s">
        <v>87</v>
      </c>
      <c r="F573" s="38" t="s">
        <v>88</v>
      </c>
      <c r="G573" s="51">
        <v>1.8</v>
      </c>
      <c r="H573" s="57" t="s">
        <v>15</v>
      </c>
      <c r="I573" s="39">
        <v>0.83499999999999996</v>
      </c>
      <c r="J573" s="39">
        <v>0.1656</v>
      </c>
      <c r="K573" s="39">
        <v>0.1333</v>
      </c>
      <c r="L573" s="39">
        <v>0.1053</v>
      </c>
      <c r="M573" s="58">
        <v>5000</v>
      </c>
      <c r="N573" s="58">
        <v>1000000</v>
      </c>
    </row>
    <row r="574" spans="1:14" ht="15" customHeight="1" x14ac:dyDescent="0.25">
      <c r="A574" s="64" t="str">
        <f t="shared" si="8"/>
        <v>1.8-22-0-TOU-3 year - with APR</v>
      </c>
      <c r="B574" s="63" t="s">
        <v>13</v>
      </c>
      <c r="C574" s="56">
        <v>22</v>
      </c>
      <c r="D574" s="57" t="s">
        <v>31</v>
      </c>
      <c r="E574" s="57" t="s">
        <v>87</v>
      </c>
      <c r="F574" s="38" t="s">
        <v>88</v>
      </c>
      <c r="G574" s="51">
        <v>1.8</v>
      </c>
      <c r="H574" s="57" t="s">
        <v>15</v>
      </c>
      <c r="I574" s="39">
        <v>0.81799999999999995</v>
      </c>
      <c r="J574" s="39">
        <v>0.16619999999999999</v>
      </c>
      <c r="K574" s="39">
        <v>0.1338</v>
      </c>
      <c r="L574" s="39">
        <v>0.1056</v>
      </c>
      <c r="M574" s="58">
        <v>5000</v>
      </c>
      <c r="N574" s="58">
        <v>1000000</v>
      </c>
    </row>
    <row r="575" spans="1:14" ht="15" customHeight="1" x14ac:dyDescent="0.25">
      <c r="A575" s="64" t="str">
        <f t="shared" si="8"/>
        <v>1.8-23-0-TOU-3 year - with APR</v>
      </c>
      <c r="B575" s="63" t="s">
        <v>13</v>
      </c>
      <c r="C575" s="56">
        <v>23</v>
      </c>
      <c r="D575" s="57" t="s">
        <v>32</v>
      </c>
      <c r="E575" s="57" t="s">
        <v>87</v>
      </c>
      <c r="F575" s="38" t="s">
        <v>88</v>
      </c>
      <c r="G575" s="51">
        <v>1.8</v>
      </c>
      <c r="H575" s="57" t="s">
        <v>15</v>
      </c>
      <c r="I575" s="39">
        <v>0.82</v>
      </c>
      <c r="J575" s="39">
        <v>0.1588</v>
      </c>
      <c r="K575" s="39">
        <v>0.1278</v>
      </c>
      <c r="L575" s="39">
        <v>0.1009</v>
      </c>
      <c r="M575" s="58">
        <v>5000</v>
      </c>
      <c r="N575" s="58">
        <v>1000000</v>
      </c>
    </row>
    <row r="576" spans="1:14" ht="15" customHeight="1" x14ac:dyDescent="0.25">
      <c r="A576" s="64" t="str">
        <f t="shared" si="8"/>
        <v>1.8-10-0-TOU-2 year Fixed</v>
      </c>
      <c r="B576" s="63" t="s">
        <v>13</v>
      </c>
      <c r="C576" s="56">
        <v>10</v>
      </c>
      <c r="D576" s="57" t="s">
        <v>14</v>
      </c>
      <c r="E576" s="57" t="s">
        <v>87</v>
      </c>
      <c r="F576" s="38" t="s">
        <v>88</v>
      </c>
      <c r="G576" s="51">
        <v>1.8</v>
      </c>
      <c r="H576" s="57" t="s">
        <v>33</v>
      </c>
      <c r="I576" s="39">
        <v>0.79700000000000004</v>
      </c>
      <c r="J576" s="39">
        <v>0.16419999999999998</v>
      </c>
      <c r="K576" s="39">
        <v>0.13219999999999998</v>
      </c>
      <c r="L576" s="39">
        <v>0.10440000000000001</v>
      </c>
      <c r="M576" s="58">
        <v>5000</v>
      </c>
      <c r="N576" s="58">
        <v>1000000</v>
      </c>
    </row>
    <row r="577" spans="1:14" ht="15" customHeight="1" x14ac:dyDescent="0.25">
      <c r="A577" s="64" t="str">
        <f t="shared" si="8"/>
        <v>1.8-11-0-TOU-2 year Fixed</v>
      </c>
      <c r="B577" s="63" t="s">
        <v>13</v>
      </c>
      <c r="C577" s="56">
        <v>11</v>
      </c>
      <c r="D577" s="57" t="s">
        <v>20</v>
      </c>
      <c r="E577" s="57" t="s">
        <v>87</v>
      </c>
      <c r="F577" s="38" t="s">
        <v>88</v>
      </c>
      <c r="G577" s="51">
        <v>1.8</v>
      </c>
      <c r="H577" s="57" t="s">
        <v>33</v>
      </c>
      <c r="I577" s="39">
        <v>0.77900000000000003</v>
      </c>
      <c r="J577" s="39">
        <v>0.16729999999999998</v>
      </c>
      <c r="K577" s="39">
        <v>0.13469999999999999</v>
      </c>
      <c r="L577" s="39">
        <v>0.10630000000000001</v>
      </c>
      <c r="M577" s="58">
        <v>5000</v>
      </c>
      <c r="N577" s="58">
        <v>1000000</v>
      </c>
    </row>
    <row r="578" spans="1:14" ht="15" customHeight="1" x14ac:dyDescent="0.25">
      <c r="A578" s="64" t="str">
        <f t="shared" si="8"/>
        <v>1.8-12-0-TOU-2 year Fixed</v>
      </c>
      <c r="B578" s="63" t="s">
        <v>13</v>
      </c>
      <c r="C578" s="56">
        <v>12</v>
      </c>
      <c r="D578" s="57" t="s">
        <v>21</v>
      </c>
      <c r="E578" s="57" t="s">
        <v>87</v>
      </c>
      <c r="F578" s="38" t="s">
        <v>88</v>
      </c>
      <c r="G578" s="51">
        <v>1.8</v>
      </c>
      <c r="H578" s="57" t="s">
        <v>33</v>
      </c>
      <c r="I578" s="39">
        <v>0.81699999999999995</v>
      </c>
      <c r="J578" s="39">
        <v>0.1638</v>
      </c>
      <c r="K578" s="39">
        <v>0.13189999999999999</v>
      </c>
      <c r="L578" s="39">
        <v>0.1041</v>
      </c>
      <c r="M578" s="58">
        <v>5000</v>
      </c>
      <c r="N578" s="58">
        <v>1000000</v>
      </c>
    </row>
    <row r="579" spans="1:14" ht="15" customHeight="1" x14ac:dyDescent="0.25">
      <c r="A579" s="64" t="str">
        <f t="shared" ref="A579:A642" si="9">IF(E579="OP","",CONCATENATE(G579,"-",C579,"-",RIGHT(F579,1),"-",E579,"-",H579))</f>
        <v>1.8-13-0-TOU-2 year Fixed</v>
      </c>
      <c r="B579" s="63" t="s">
        <v>13</v>
      </c>
      <c r="C579" s="56">
        <v>13</v>
      </c>
      <c r="D579" s="57" t="s">
        <v>22</v>
      </c>
      <c r="E579" s="57" t="s">
        <v>87</v>
      </c>
      <c r="F579" s="38" t="s">
        <v>88</v>
      </c>
      <c r="G579" s="51">
        <v>1.8</v>
      </c>
      <c r="H579" s="57" t="s">
        <v>33</v>
      </c>
      <c r="I579" s="39">
        <v>0.79700000000000004</v>
      </c>
      <c r="J579" s="39">
        <v>0.1769</v>
      </c>
      <c r="K579" s="39">
        <v>0.14249999999999999</v>
      </c>
      <c r="L579" s="39">
        <v>0.1125</v>
      </c>
      <c r="M579" s="58">
        <v>5000</v>
      </c>
      <c r="N579" s="58">
        <v>1000000</v>
      </c>
    </row>
    <row r="580" spans="1:14" ht="15" customHeight="1" x14ac:dyDescent="0.25">
      <c r="A580" s="64" t="str">
        <f t="shared" si="9"/>
        <v>1.8-14-0-TOU-2 year Fixed</v>
      </c>
      <c r="B580" s="63" t="s">
        <v>13</v>
      </c>
      <c r="C580" s="56">
        <v>14</v>
      </c>
      <c r="D580" s="57" t="s">
        <v>23</v>
      </c>
      <c r="E580" s="57" t="s">
        <v>87</v>
      </c>
      <c r="F580" s="38" t="s">
        <v>88</v>
      </c>
      <c r="G580" s="51">
        <v>1.8</v>
      </c>
      <c r="H580" s="57" t="s">
        <v>33</v>
      </c>
      <c r="I580" s="39">
        <v>0.80500000000000005</v>
      </c>
      <c r="J580" s="39">
        <v>0.16829999999999998</v>
      </c>
      <c r="K580" s="39">
        <v>0.13549999999999998</v>
      </c>
      <c r="L580" s="39">
        <v>0.107</v>
      </c>
      <c r="M580" s="58">
        <v>5000</v>
      </c>
      <c r="N580" s="58">
        <v>1000000</v>
      </c>
    </row>
    <row r="581" spans="1:14" ht="15" customHeight="1" x14ac:dyDescent="0.25">
      <c r="A581" s="64" t="str">
        <f t="shared" si="9"/>
        <v>1.8-15-0-TOU-2 year Fixed</v>
      </c>
      <c r="B581" s="63" t="s">
        <v>13</v>
      </c>
      <c r="C581" s="56">
        <v>15</v>
      </c>
      <c r="D581" s="57" t="s">
        <v>24</v>
      </c>
      <c r="E581" s="57" t="s">
        <v>87</v>
      </c>
      <c r="F581" s="38" t="s">
        <v>88</v>
      </c>
      <c r="G581" s="51">
        <v>1.8</v>
      </c>
      <c r="H581" s="57" t="s">
        <v>33</v>
      </c>
      <c r="I581" s="39">
        <v>0.86899999999999999</v>
      </c>
      <c r="J581" s="39">
        <v>0.1681</v>
      </c>
      <c r="K581" s="39">
        <v>0.13529999999999998</v>
      </c>
      <c r="L581" s="39">
        <v>0.10680000000000001</v>
      </c>
      <c r="M581" s="58">
        <v>5000</v>
      </c>
      <c r="N581" s="58">
        <v>1000000</v>
      </c>
    </row>
    <row r="582" spans="1:14" ht="15" customHeight="1" x14ac:dyDescent="0.25">
      <c r="A582" s="64" t="str">
        <f t="shared" si="9"/>
        <v>1.8-16-0-TOU-2 year Fixed</v>
      </c>
      <c r="B582" s="63" t="s">
        <v>13</v>
      </c>
      <c r="C582" s="56">
        <v>16</v>
      </c>
      <c r="D582" s="57" t="s">
        <v>25</v>
      </c>
      <c r="E582" s="57" t="s">
        <v>87</v>
      </c>
      <c r="F582" s="38" t="s">
        <v>88</v>
      </c>
      <c r="G582" s="51">
        <v>1.8</v>
      </c>
      <c r="H582" s="57" t="s">
        <v>33</v>
      </c>
      <c r="I582" s="39">
        <v>0.65800000000000003</v>
      </c>
      <c r="J582" s="39">
        <v>0.16739999999999999</v>
      </c>
      <c r="K582" s="39">
        <v>0.13479999999999998</v>
      </c>
      <c r="L582" s="39">
        <v>0.10640000000000001</v>
      </c>
      <c r="M582" s="58">
        <v>5000</v>
      </c>
      <c r="N582" s="58">
        <v>1000000</v>
      </c>
    </row>
    <row r="583" spans="1:14" ht="15" customHeight="1" x14ac:dyDescent="0.25">
      <c r="A583" s="64" t="str">
        <f t="shared" si="9"/>
        <v>1.8-17-0-TOU-2 year Fixed</v>
      </c>
      <c r="B583" s="63" t="s">
        <v>13</v>
      </c>
      <c r="C583" s="56">
        <v>17</v>
      </c>
      <c r="D583" s="57" t="s">
        <v>26</v>
      </c>
      <c r="E583" s="57" t="s">
        <v>87</v>
      </c>
      <c r="F583" s="38" t="s">
        <v>88</v>
      </c>
      <c r="G583" s="51">
        <v>1.8</v>
      </c>
      <c r="H583" s="57" t="s">
        <v>33</v>
      </c>
      <c r="I583" s="39">
        <v>1.5109999999999999</v>
      </c>
      <c r="J583" s="39">
        <v>0.18639999999999998</v>
      </c>
      <c r="K583" s="39">
        <v>0.15009999999999998</v>
      </c>
      <c r="L583" s="39">
        <v>0.11850000000000001</v>
      </c>
      <c r="M583" s="58">
        <v>5000</v>
      </c>
      <c r="N583" s="58">
        <v>1000000</v>
      </c>
    </row>
    <row r="584" spans="1:14" ht="15" customHeight="1" x14ac:dyDescent="0.25">
      <c r="A584" s="64" t="str">
        <f t="shared" si="9"/>
        <v>1.8-18-0-TOU-2 year Fixed</v>
      </c>
      <c r="B584" s="63" t="s">
        <v>13</v>
      </c>
      <c r="C584" s="56">
        <v>18</v>
      </c>
      <c r="D584" s="57" t="s">
        <v>27</v>
      </c>
      <c r="E584" s="57" t="s">
        <v>87</v>
      </c>
      <c r="F584" s="38" t="s">
        <v>88</v>
      </c>
      <c r="G584" s="51">
        <v>1.8</v>
      </c>
      <c r="H584" s="57" t="s">
        <v>33</v>
      </c>
      <c r="I584" s="39">
        <v>0.81399999999999995</v>
      </c>
      <c r="J584" s="39">
        <v>0.16689999999999999</v>
      </c>
      <c r="K584" s="39">
        <v>0.13439999999999999</v>
      </c>
      <c r="L584" s="39">
        <v>0.1061</v>
      </c>
      <c r="M584" s="58">
        <v>5000</v>
      </c>
      <c r="N584" s="58">
        <v>1000000</v>
      </c>
    </row>
    <row r="585" spans="1:14" ht="15" customHeight="1" x14ac:dyDescent="0.25">
      <c r="A585" s="64" t="str">
        <f t="shared" si="9"/>
        <v>1.8-19-0-TOU-2 year Fixed</v>
      </c>
      <c r="B585" s="63" t="s">
        <v>13</v>
      </c>
      <c r="C585" s="56">
        <v>19</v>
      </c>
      <c r="D585" s="57" t="s">
        <v>28</v>
      </c>
      <c r="E585" s="57" t="s">
        <v>87</v>
      </c>
      <c r="F585" s="38" t="s">
        <v>88</v>
      </c>
      <c r="G585" s="51">
        <v>1.8</v>
      </c>
      <c r="H585" s="57" t="s">
        <v>33</v>
      </c>
      <c r="I585" s="39">
        <v>0.70399999999999996</v>
      </c>
      <c r="J585" s="39">
        <v>0.16569999999999999</v>
      </c>
      <c r="K585" s="39">
        <v>0.13339999999999999</v>
      </c>
      <c r="L585" s="39">
        <v>0.1053</v>
      </c>
      <c r="M585" s="58">
        <v>5000</v>
      </c>
      <c r="N585" s="58">
        <v>1000000</v>
      </c>
    </row>
    <row r="586" spans="1:14" ht="15" customHeight="1" x14ac:dyDescent="0.25">
      <c r="A586" s="64" t="str">
        <f t="shared" si="9"/>
        <v>1.8-20-0-TOU-2 year Fixed</v>
      </c>
      <c r="B586" s="63" t="s">
        <v>13</v>
      </c>
      <c r="C586" s="56">
        <v>20</v>
      </c>
      <c r="D586" s="57" t="s">
        <v>29</v>
      </c>
      <c r="E586" s="57" t="s">
        <v>87</v>
      </c>
      <c r="F586" s="38" t="s">
        <v>88</v>
      </c>
      <c r="G586" s="51">
        <v>1.8</v>
      </c>
      <c r="H586" s="57" t="s">
        <v>33</v>
      </c>
      <c r="I586" s="39">
        <v>0.748</v>
      </c>
      <c r="J586" s="39">
        <v>0.16579999999999998</v>
      </c>
      <c r="K586" s="39">
        <v>0.13349999999999998</v>
      </c>
      <c r="L586" s="39">
        <v>0.10540000000000001</v>
      </c>
      <c r="M586" s="58">
        <v>5000</v>
      </c>
      <c r="N586" s="58">
        <v>1000000</v>
      </c>
    </row>
    <row r="587" spans="1:14" ht="15" customHeight="1" x14ac:dyDescent="0.25">
      <c r="A587" s="64" t="str">
        <f t="shared" si="9"/>
        <v>1.8-21-0-TOU-2 year Fixed</v>
      </c>
      <c r="B587" s="63" t="s">
        <v>13</v>
      </c>
      <c r="C587" s="56">
        <v>21</v>
      </c>
      <c r="D587" s="57" t="s">
        <v>30</v>
      </c>
      <c r="E587" s="57" t="s">
        <v>87</v>
      </c>
      <c r="F587" s="38" t="s">
        <v>88</v>
      </c>
      <c r="G587" s="51">
        <v>1.8</v>
      </c>
      <c r="H587" s="57" t="s">
        <v>33</v>
      </c>
      <c r="I587" s="39">
        <v>0.83499999999999996</v>
      </c>
      <c r="J587" s="39">
        <v>0.17599999999999999</v>
      </c>
      <c r="K587" s="39">
        <v>0.14169999999999999</v>
      </c>
      <c r="L587" s="39">
        <v>0.1119</v>
      </c>
      <c r="M587" s="58">
        <v>5000</v>
      </c>
      <c r="N587" s="58">
        <v>1000000</v>
      </c>
    </row>
    <row r="588" spans="1:14" ht="15" customHeight="1" x14ac:dyDescent="0.25">
      <c r="A588" s="64" t="str">
        <f t="shared" si="9"/>
        <v>1.8-22-0-TOU-2 year Fixed</v>
      </c>
      <c r="B588" s="63" t="s">
        <v>13</v>
      </c>
      <c r="C588" s="56">
        <v>22</v>
      </c>
      <c r="D588" s="57" t="s">
        <v>31</v>
      </c>
      <c r="E588" s="57" t="s">
        <v>87</v>
      </c>
      <c r="F588" s="38" t="s">
        <v>88</v>
      </c>
      <c r="G588" s="51">
        <v>1.8</v>
      </c>
      <c r="H588" s="57" t="s">
        <v>33</v>
      </c>
      <c r="I588" s="39">
        <v>0.81799999999999995</v>
      </c>
      <c r="J588" s="39">
        <v>0.17659999999999998</v>
      </c>
      <c r="K588" s="39">
        <v>0.14219999999999999</v>
      </c>
      <c r="L588" s="39">
        <v>0.11219999999999999</v>
      </c>
      <c r="M588" s="58">
        <v>5000</v>
      </c>
      <c r="N588" s="58">
        <v>1000000</v>
      </c>
    </row>
    <row r="589" spans="1:14" ht="15" customHeight="1" x14ac:dyDescent="0.25">
      <c r="A589" s="64" t="str">
        <f t="shared" si="9"/>
        <v>1.8-23-0-TOU-2 year Fixed</v>
      </c>
      <c r="B589" s="63" t="s">
        <v>13</v>
      </c>
      <c r="C589" s="56">
        <v>23</v>
      </c>
      <c r="D589" s="57" t="s">
        <v>32</v>
      </c>
      <c r="E589" s="57" t="s">
        <v>87</v>
      </c>
      <c r="F589" s="38" t="s">
        <v>88</v>
      </c>
      <c r="G589" s="51">
        <v>1.8</v>
      </c>
      <c r="H589" s="57" t="s">
        <v>33</v>
      </c>
      <c r="I589" s="39">
        <v>0.82</v>
      </c>
      <c r="J589" s="39">
        <v>0.16829999999999998</v>
      </c>
      <c r="K589" s="39">
        <v>0.13549999999999998</v>
      </c>
      <c r="L589" s="39">
        <v>0.107</v>
      </c>
      <c r="M589" s="58">
        <v>5000</v>
      </c>
      <c r="N589" s="58">
        <v>1000000</v>
      </c>
    </row>
    <row r="590" spans="1:14" ht="15" customHeight="1" x14ac:dyDescent="0.25">
      <c r="A590" s="64" t="str">
        <f t="shared" si="9"/>
        <v>1.9-10-0-TOU-3 year - with APR</v>
      </c>
      <c r="B590" s="63" t="s">
        <v>13</v>
      </c>
      <c r="C590" s="56">
        <v>10</v>
      </c>
      <c r="D590" s="57" t="s">
        <v>14</v>
      </c>
      <c r="E590" s="57" t="s">
        <v>87</v>
      </c>
      <c r="F590" s="38" t="s">
        <v>88</v>
      </c>
      <c r="G590" s="51">
        <v>1.9</v>
      </c>
      <c r="H590" s="57" t="s">
        <v>15</v>
      </c>
      <c r="I590" s="39">
        <v>0.79700000000000004</v>
      </c>
      <c r="J590" s="39">
        <v>0.156</v>
      </c>
      <c r="K590" s="39">
        <v>0.12559999999999999</v>
      </c>
      <c r="L590" s="39">
        <v>9.9199999999999997E-2</v>
      </c>
      <c r="M590" s="58">
        <v>5000</v>
      </c>
      <c r="N590" s="58">
        <v>1000000</v>
      </c>
    </row>
    <row r="591" spans="1:14" ht="15" customHeight="1" x14ac:dyDescent="0.25">
      <c r="A591" s="64" t="str">
        <f t="shared" si="9"/>
        <v>1.9-11-0-TOU-3 year - with APR</v>
      </c>
      <c r="B591" s="63" t="s">
        <v>13</v>
      </c>
      <c r="C591" s="56">
        <v>11</v>
      </c>
      <c r="D591" s="57" t="s">
        <v>20</v>
      </c>
      <c r="E591" s="57" t="s">
        <v>87</v>
      </c>
      <c r="F591" s="38" t="s">
        <v>88</v>
      </c>
      <c r="G591" s="51">
        <v>1.9</v>
      </c>
      <c r="H591" s="57" t="s">
        <v>15</v>
      </c>
      <c r="I591" s="39">
        <v>0.77900000000000003</v>
      </c>
      <c r="J591" s="39">
        <v>0.1583</v>
      </c>
      <c r="K591" s="39">
        <v>0.12739999999999999</v>
      </c>
      <c r="L591" s="39">
        <v>0.10060000000000001</v>
      </c>
      <c r="M591" s="58">
        <v>5000</v>
      </c>
      <c r="N591" s="58">
        <v>1000000</v>
      </c>
    </row>
    <row r="592" spans="1:14" ht="15" customHeight="1" x14ac:dyDescent="0.25">
      <c r="A592" s="64" t="str">
        <f t="shared" si="9"/>
        <v>1.9-12-0-TOU-3 year - with APR</v>
      </c>
      <c r="B592" s="63" t="s">
        <v>13</v>
      </c>
      <c r="C592" s="56">
        <v>12</v>
      </c>
      <c r="D592" s="57" t="s">
        <v>21</v>
      </c>
      <c r="E592" s="57" t="s">
        <v>87</v>
      </c>
      <c r="F592" s="38" t="s">
        <v>88</v>
      </c>
      <c r="G592" s="51">
        <v>1.9</v>
      </c>
      <c r="H592" s="57" t="s">
        <v>15</v>
      </c>
      <c r="I592" s="39">
        <v>0.81699999999999995</v>
      </c>
      <c r="J592" s="39">
        <v>0.15559999999999999</v>
      </c>
      <c r="K592" s="39">
        <v>0.12529999999999999</v>
      </c>
      <c r="L592" s="39">
        <v>9.8900000000000002E-2</v>
      </c>
      <c r="M592" s="58">
        <v>5000</v>
      </c>
      <c r="N592" s="58">
        <v>1000000</v>
      </c>
    </row>
    <row r="593" spans="1:14" ht="15" customHeight="1" x14ac:dyDescent="0.25">
      <c r="A593" s="64" t="str">
        <f t="shared" si="9"/>
        <v>1.9-13-0-TOU-3 year - with APR</v>
      </c>
      <c r="B593" s="63" t="s">
        <v>13</v>
      </c>
      <c r="C593" s="56">
        <v>13</v>
      </c>
      <c r="D593" s="57" t="s">
        <v>22</v>
      </c>
      <c r="E593" s="57" t="s">
        <v>87</v>
      </c>
      <c r="F593" s="38" t="s">
        <v>88</v>
      </c>
      <c r="G593" s="51">
        <v>1.9</v>
      </c>
      <c r="H593" s="57" t="s">
        <v>15</v>
      </c>
      <c r="I593" s="39">
        <v>0.79700000000000004</v>
      </c>
      <c r="J593" s="39">
        <v>0.16769999999999999</v>
      </c>
      <c r="K593" s="39">
        <v>0.13499999999999998</v>
      </c>
      <c r="L593" s="39">
        <v>0.1066</v>
      </c>
      <c r="M593" s="58">
        <v>5000</v>
      </c>
      <c r="N593" s="58">
        <v>1000000</v>
      </c>
    </row>
    <row r="594" spans="1:14" ht="15" customHeight="1" x14ac:dyDescent="0.25">
      <c r="A594" s="64" t="str">
        <f t="shared" si="9"/>
        <v>1.9-14-0-TOU-3 year - with APR</v>
      </c>
      <c r="B594" s="63" t="s">
        <v>13</v>
      </c>
      <c r="C594" s="56">
        <v>14</v>
      </c>
      <c r="D594" s="57" t="s">
        <v>23</v>
      </c>
      <c r="E594" s="57" t="s">
        <v>87</v>
      </c>
      <c r="F594" s="38" t="s">
        <v>88</v>
      </c>
      <c r="G594" s="51">
        <v>1.9</v>
      </c>
      <c r="H594" s="57" t="s">
        <v>15</v>
      </c>
      <c r="I594" s="39">
        <v>0.80500000000000005</v>
      </c>
      <c r="J594" s="39">
        <v>0.15919999999999998</v>
      </c>
      <c r="K594" s="39">
        <v>0.12819999999999998</v>
      </c>
      <c r="L594" s="39">
        <v>0.1012</v>
      </c>
      <c r="M594" s="58">
        <v>5000</v>
      </c>
      <c r="N594" s="58">
        <v>1000000</v>
      </c>
    </row>
    <row r="595" spans="1:14" ht="15" customHeight="1" x14ac:dyDescent="0.25">
      <c r="A595" s="64" t="str">
        <f t="shared" si="9"/>
        <v>1.9-15-0-TOU-3 year - with APR</v>
      </c>
      <c r="B595" s="63" t="s">
        <v>13</v>
      </c>
      <c r="C595" s="56">
        <v>15</v>
      </c>
      <c r="D595" s="57" t="s">
        <v>24</v>
      </c>
      <c r="E595" s="57" t="s">
        <v>87</v>
      </c>
      <c r="F595" s="38" t="s">
        <v>88</v>
      </c>
      <c r="G595" s="51">
        <v>1.9</v>
      </c>
      <c r="H595" s="57" t="s">
        <v>15</v>
      </c>
      <c r="I595" s="39">
        <v>0.86899999999999999</v>
      </c>
      <c r="J595" s="39">
        <v>0.16009999999999999</v>
      </c>
      <c r="K595" s="39">
        <v>0.12889999999999999</v>
      </c>
      <c r="L595" s="39">
        <v>0.1017</v>
      </c>
      <c r="M595" s="58">
        <v>5000</v>
      </c>
      <c r="N595" s="58">
        <v>1000000</v>
      </c>
    </row>
    <row r="596" spans="1:14" ht="15" customHeight="1" x14ac:dyDescent="0.25">
      <c r="A596" s="64" t="str">
        <f t="shared" si="9"/>
        <v>1.9-16-0-TOU-3 year - with APR</v>
      </c>
      <c r="B596" s="63" t="s">
        <v>13</v>
      </c>
      <c r="C596" s="56">
        <v>16</v>
      </c>
      <c r="D596" s="57" t="s">
        <v>25</v>
      </c>
      <c r="E596" s="57" t="s">
        <v>87</v>
      </c>
      <c r="F596" s="38" t="s">
        <v>88</v>
      </c>
      <c r="G596" s="51">
        <v>1.9</v>
      </c>
      <c r="H596" s="57" t="s">
        <v>15</v>
      </c>
      <c r="I596" s="39">
        <v>0.65800000000000003</v>
      </c>
      <c r="J596" s="39">
        <v>0.15889999999999999</v>
      </c>
      <c r="K596" s="39">
        <v>0.12789999999999999</v>
      </c>
      <c r="L596" s="39">
        <v>0.10100000000000001</v>
      </c>
      <c r="M596" s="58">
        <v>5000</v>
      </c>
      <c r="N596" s="58">
        <v>1000000</v>
      </c>
    </row>
    <row r="597" spans="1:14" ht="15" customHeight="1" x14ac:dyDescent="0.25">
      <c r="A597" s="64" t="str">
        <f t="shared" si="9"/>
        <v>1.9-17-0-TOU-3 year - with APR</v>
      </c>
      <c r="B597" s="63" t="s">
        <v>13</v>
      </c>
      <c r="C597" s="56">
        <v>17</v>
      </c>
      <c r="D597" s="57" t="s">
        <v>26</v>
      </c>
      <c r="E597" s="57" t="s">
        <v>87</v>
      </c>
      <c r="F597" s="38" t="s">
        <v>88</v>
      </c>
      <c r="G597" s="51">
        <v>1.9</v>
      </c>
      <c r="H597" s="57" t="s">
        <v>15</v>
      </c>
      <c r="I597" s="39">
        <v>1.343</v>
      </c>
      <c r="J597" s="39">
        <v>0.17729999999999999</v>
      </c>
      <c r="K597" s="39">
        <v>0.14269999999999999</v>
      </c>
      <c r="L597" s="39">
        <v>0.11270000000000001</v>
      </c>
      <c r="M597" s="58">
        <v>5000</v>
      </c>
      <c r="N597" s="58">
        <v>1000000</v>
      </c>
    </row>
    <row r="598" spans="1:14" ht="15" customHeight="1" x14ac:dyDescent="0.25">
      <c r="A598" s="64" t="str">
        <f t="shared" si="9"/>
        <v>1.9-18-0-TOU-3 year - with APR</v>
      </c>
      <c r="B598" s="63" t="s">
        <v>13</v>
      </c>
      <c r="C598" s="56">
        <v>18</v>
      </c>
      <c r="D598" s="57" t="s">
        <v>27</v>
      </c>
      <c r="E598" s="57" t="s">
        <v>87</v>
      </c>
      <c r="F598" s="38" t="s">
        <v>88</v>
      </c>
      <c r="G598" s="51">
        <v>1.9</v>
      </c>
      <c r="H598" s="57" t="s">
        <v>15</v>
      </c>
      <c r="I598" s="39">
        <v>0.81399999999999995</v>
      </c>
      <c r="J598" s="39">
        <v>0.15809999999999999</v>
      </c>
      <c r="K598" s="39">
        <v>0.1273</v>
      </c>
      <c r="L598" s="39">
        <v>0.10050000000000001</v>
      </c>
      <c r="M598" s="58">
        <v>5000</v>
      </c>
      <c r="N598" s="58">
        <v>1000000</v>
      </c>
    </row>
    <row r="599" spans="1:14" ht="15" customHeight="1" x14ac:dyDescent="0.25">
      <c r="A599" s="64" t="str">
        <f t="shared" si="9"/>
        <v>1.9-19-0-TOU-3 year - with APR</v>
      </c>
      <c r="B599" s="63" t="s">
        <v>13</v>
      </c>
      <c r="C599" s="56">
        <v>19</v>
      </c>
      <c r="D599" s="57" t="s">
        <v>28</v>
      </c>
      <c r="E599" s="57" t="s">
        <v>87</v>
      </c>
      <c r="F599" s="38" t="s">
        <v>88</v>
      </c>
      <c r="G599" s="51">
        <v>1.9</v>
      </c>
      <c r="H599" s="57" t="s">
        <v>15</v>
      </c>
      <c r="I599" s="39">
        <v>0.70399999999999996</v>
      </c>
      <c r="J599" s="39">
        <v>0.15719999999999998</v>
      </c>
      <c r="K599" s="39">
        <v>0.12659999999999999</v>
      </c>
      <c r="L599" s="39">
        <v>9.9900000000000003E-2</v>
      </c>
      <c r="M599" s="58">
        <v>5000</v>
      </c>
      <c r="N599" s="58">
        <v>1000000</v>
      </c>
    </row>
    <row r="600" spans="1:14" ht="15" customHeight="1" x14ac:dyDescent="0.25">
      <c r="A600" s="64" t="str">
        <f t="shared" si="9"/>
        <v>1.9-20-0-TOU-3 year - with APR</v>
      </c>
      <c r="B600" s="63" t="s">
        <v>13</v>
      </c>
      <c r="C600" s="56">
        <v>20</v>
      </c>
      <c r="D600" s="57" t="s">
        <v>29</v>
      </c>
      <c r="E600" s="57" t="s">
        <v>87</v>
      </c>
      <c r="F600" s="38" t="s">
        <v>88</v>
      </c>
      <c r="G600" s="51">
        <v>1.9</v>
      </c>
      <c r="H600" s="57" t="s">
        <v>15</v>
      </c>
      <c r="I600" s="39">
        <v>0.748</v>
      </c>
      <c r="J600" s="39">
        <v>0.15689999999999998</v>
      </c>
      <c r="K600" s="39">
        <v>0.1263</v>
      </c>
      <c r="L600" s="39">
        <v>9.9699999999999997E-2</v>
      </c>
      <c r="M600" s="58">
        <v>5000</v>
      </c>
      <c r="N600" s="58">
        <v>1000000</v>
      </c>
    </row>
    <row r="601" spans="1:14" ht="15" customHeight="1" x14ac:dyDescent="0.25">
      <c r="A601" s="64" t="str">
        <f t="shared" si="9"/>
        <v>1.9-21-0-TOU-3 year - with APR</v>
      </c>
      <c r="B601" s="63" t="s">
        <v>13</v>
      </c>
      <c r="C601" s="56">
        <v>21</v>
      </c>
      <c r="D601" s="57" t="s">
        <v>30</v>
      </c>
      <c r="E601" s="57" t="s">
        <v>87</v>
      </c>
      <c r="F601" s="38" t="s">
        <v>88</v>
      </c>
      <c r="G601" s="51">
        <v>1.9</v>
      </c>
      <c r="H601" s="57" t="s">
        <v>15</v>
      </c>
      <c r="I601" s="39">
        <v>0.83499999999999996</v>
      </c>
      <c r="J601" s="39">
        <v>0.16679999999999998</v>
      </c>
      <c r="K601" s="39">
        <v>0.1343</v>
      </c>
      <c r="L601" s="39">
        <v>0.106</v>
      </c>
      <c r="M601" s="58">
        <v>5000</v>
      </c>
      <c r="N601" s="58">
        <v>1000000</v>
      </c>
    </row>
    <row r="602" spans="1:14" ht="15" customHeight="1" x14ac:dyDescent="0.25">
      <c r="A602" s="64" t="str">
        <f t="shared" si="9"/>
        <v>1.9-22-0-TOU-3 year - with APR</v>
      </c>
      <c r="B602" s="63" t="s">
        <v>13</v>
      </c>
      <c r="C602" s="56">
        <v>22</v>
      </c>
      <c r="D602" s="57" t="s">
        <v>31</v>
      </c>
      <c r="E602" s="57" t="s">
        <v>87</v>
      </c>
      <c r="F602" s="38" t="s">
        <v>88</v>
      </c>
      <c r="G602" s="51">
        <v>1.9</v>
      </c>
      <c r="H602" s="57" t="s">
        <v>15</v>
      </c>
      <c r="I602" s="39">
        <v>0.81799999999999995</v>
      </c>
      <c r="J602" s="39">
        <v>0.16739999999999999</v>
      </c>
      <c r="K602" s="39">
        <v>0.13479999999999998</v>
      </c>
      <c r="L602" s="39">
        <v>0.10640000000000001</v>
      </c>
      <c r="M602" s="58">
        <v>5000</v>
      </c>
      <c r="N602" s="58">
        <v>1000000</v>
      </c>
    </row>
    <row r="603" spans="1:14" ht="15" customHeight="1" x14ac:dyDescent="0.25">
      <c r="A603" s="64" t="str">
        <f t="shared" si="9"/>
        <v>1.9-23-0-TOU-3 year - with APR</v>
      </c>
      <c r="B603" s="63" t="s">
        <v>13</v>
      </c>
      <c r="C603" s="56">
        <v>23</v>
      </c>
      <c r="D603" s="57" t="s">
        <v>32</v>
      </c>
      <c r="E603" s="57" t="s">
        <v>87</v>
      </c>
      <c r="F603" s="38" t="s">
        <v>88</v>
      </c>
      <c r="G603" s="51">
        <v>1.9</v>
      </c>
      <c r="H603" s="57" t="s">
        <v>15</v>
      </c>
      <c r="I603" s="39">
        <v>0.82</v>
      </c>
      <c r="J603" s="39">
        <v>0.15989999999999999</v>
      </c>
      <c r="K603" s="39">
        <v>0.1288</v>
      </c>
      <c r="L603" s="39">
        <v>0.1017</v>
      </c>
      <c r="M603" s="58">
        <v>5000</v>
      </c>
      <c r="N603" s="58">
        <v>1000000</v>
      </c>
    </row>
    <row r="604" spans="1:14" ht="15" customHeight="1" x14ac:dyDescent="0.25">
      <c r="A604" s="64" t="str">
        <f t="shared" si="9"/>
        <v>1.9-10-0-TOU-2 year Fixed</v>
      </c>
      <c r="B604" s="63" t="s">
        <v>13</v>
      </c>
      <c r="C604" s="56">
        <v>10</v>
      </c>
      <c r="D604" s="57" t="s">
        <v>14</v>
      </c>
      <c r="E604" s="57" t="s">
        <v>87</v>
      </c>
      <c r="F604" s="38" t="s">
        <v>88</v>
      </c>
      <c r="G604" s="51">
        <v>1.9</v>
      </c>
      <c r="H604" s="57" t="s">
        <v>33</v>
      </c>
      <c r="I604" s="39">
        <v>0.79700000000000004</v>
      </c>
      <c r="J604" s="39">
        <v>0.16539999999999999</v>
      </c>
      <c r="K604" s="39">
        <v>0.1331</v>
      </c>
      <c r="L604" s="39">
        <v>0.1051</v>
      </c>
      <c r="M604" s="58">
        <v>5000</v>
      </c>
      <c r="N604" s="58">
        <v>1000000</v>
      </c>
    </row>
    <row r="605" spans="1:14" ht="15" customHeight="1" x14ac:dyDescent="0.25">
      <c r="A605" s="64" t="str">
        <f t="shared" si="9"/>
        <v>1.9-11-0-TOU-2 year Fixed</v>
      </c>
      <c r="B605" s="63" t="s">
        <v>13</v>
      </c>
      <c r="C605" s="56">
        <v>11</v>
      </c>
      <c r="D605" s="57" t="s">
        <v>20</v>
      </c>
      <c r="E605" s="57" t="s">
        <v>87</v>
      </c>
      <c r="F605" s="38" t="s">
        <v>88</v>
      </c>
      <c r="G605" s="51">
        <v>1.9</v>
      </c>
      <c r="H605" s="57" t="s">
        <v>33</v>
      </c>
      <c r="I605" s="39">
        <v>0.77900000000000003</v>
      </c>
      <c r="J605" s="39">
        <v>0.16839999999999999</v>
      </c>
      <c r="K605" s="39">
        <v>0.1356</v>
      </c>
      <c r="L605" s="39">
        <v>0.1071</v>
      </c>
      <c r="M605" s="58">
        <v>5000</v>
      </c>
      <c r="N605" s="58">
        <v>1000000</v>
      </c>
    </row>
    <row r="606" spans="1:14" ht="15" customHeight="1" x14ac:dyDescent="0.25">
      <c r="A606" s="64" t="str">
        <f t="shared" si="9"/>
        <v>1.9-12-0-TOU-2 year Fixed</v>
      </c>
      <c r="B606" s="63" t="s">
        <v>13</v>
      </c>
      <c r="C606" s="56">
        <v>12</v>
      </c>
      <c r="D606" s="57" t="s">
        <v>21</v>
      </c>
      <c r="E606" s="57" t="s">
        <v>87</v>
      </c>
      <c r="F606" s="38" t="s">
        <v>88</v>
      </c>
      <c r="G606" s="51">
        <v>1.9</v>
      </c>
      <c r="H606" s="57" t="s">
        <v>33</v>
      </c>
      <c r="I606" s="39">
        <v>0.81699999999999995</v>
      </c>
      <c r="J606" s="39">
        <v>0.16499999999999998</v>
      </c>
      <c r="K606" s="39">
        <v>0.13289999999999999</v>
      </c>
      <c r="L606" s="39">
        <v>0.10490000000000001</v>
      </c>
      <c r="M606" s="58">
        <v>5000</v>
      </c>
      <c r="N606" s="58">
        <v>1000000</v>
      </c>
    </row>
    <row r="607" spans="1:14" ht="15" customHeight="1" x14ac:dyDescent="0.25">
      <c r="A607" s="64" t="str">
        <f t="shared" si="9"/>
        <v>1.9-13-0-TOU-2 year Fixed</v>
      </c>
      <c r="B607" s="63" t="s">
        <v>13</v>
      </c>
      <c r="C607" s="56">
        <v>13</v>
      </c>
      <c r="D607" s="57" t="s">
        <v>22</v>
      </c>
      <c r="E607" s="57" t="s">
        <v>87</v>
      </c>
      <c r="F607" s="38" t="s">
        <v>88</v>
      </c>
      <c r="G607" s="51">
        <v>1.9</v>
      </c>
      <c r="H607" s="57" t="s">
        <v>33</v>
      </c>
      <c r="I607" s="39">
        <v>0.79700000000000004</v>
      </c>
      <c r="J607" s="39">
        <v>0.17809999999999998</v>
      </c>
      <c r="K607" s="39">
        <v>0.1434</v>
      </c>
      <c r="L607" s="39">
        <v>0.11320000000000001</v>
      </c>
      <c r="M607" s="58">
        <v>5000</v>
      </c>
      <c r="N607" s="58">
        <v>1000000</v>
      </c>
    </row>
    <row r="608" spans="1:14" ht="15" customHeight="1" x14ac:dyDescent="0.25">
      <c r="A608" s="64" t="str">
        <f t="shared" si="9"/>
        <v>1.9-14-0-TOU-2 year Fixed</v>
      </c>
      <c r="B608" s="63" t="s">
        <v>13</v>
      </c>
      <c r="C608" s="56">
        <v>14</v>
      </c>
      <c r="D608" s="57" t="s">
        <v>23</v>
      </c>
      <c r="E608" s="57" t="s">
        <v>87</v>
      </c>
      <c r="F608" s="38" t="s">
        <v>88</v>
      </c>
      <c r="G608" s="51">
        <v>1.9</v>
      </c>
      <c r="H608" s="57" t="s">
        <v>33</v>
      </c>
      <c r="I608" s="39">
        <v>0.80500000000000005</v>
      </c>
      <c r="J608" s="39">
        <v>0.16949999999999998</v>
      </c>
      <c r="K608" s="39">
        <v>0.13649999999999998</v>
      </c>
      <c r="L608" s="39">
        <v>0.1077</v>
      </c>
      <c r="M608" s="58">
        <v>5000</v>
      </c>
      <c r="N608" s="58">
        <v>1000000</v>
      </c>
    </row>
    <row r="609" spans="1:14" ht="15" customHeight="1" x14ac:dyDescent="0.25">
      <c r="A609" s="64" t="str">
        <f t="shared" si="9"/>
        <v>1.9-15-0-TOU-2 year Fixed</v>
      </c>
      <c r="B609" s="63" t="s">
        <v>13</v>
      </c>
      <c r="C609" s="56">
        <v>15</v>
      </c>
      <c r="D609" s="57" t="s">
        <v>24</v>
      </c>
      <c r="E609" s="57" t="s">
        <v>87</v>
      </c>
      <c r="F609" s="38" t="s">
        <v>88</v>
      </c>
      <c r="G609" s="51">
        <v>1.9</v>
      </c>
      <c r="H609" s="57" t="s">
        <v>33</v>
      </c>
      <c r="I609" s="39">
        <v>0.86899999999999999</v>
      </c>
      <c r="J609" s="39">
        <v>0.16929999999999998</v>
      </c>
      <c r="K609" s="39">
        <v>0.13629999999999998</v>
      </c>
      <c r="L609" s="39">
        <v>0.1076</v>
      </c>
      <c r="M609" s="58">
        <v>5000</v>
      </c>
      <c r="N609" s="58">
        <v>1000000</v>
      </c>
    </row>
    <row r="610" spans="1:14" ht="15" customHeight="1" x14ac:dyDescent="0.25">
      <c r="A610" s="64" t="str">
        <f t="shared" si="9"/>
        <v>1.9-16-0-TOU-2 year Fixed</v>
      </c>
      <c r="B610" s="63" t="s">
        <v>13</v>
      </c>
      <c r="C610" s="56">
        <v>16</v>
      </c>
      <c r="D610" s="57" t="s">
        <v>25</v>
      </c>
      <c r="E610" s="57" t="s">
        <v>87</v>
      </c>
      <c r="F610" s="38" t="s">
        <v>88</v>
      </c>
      <c r="G610" s="51">
        <v>1.9</v>
      </c>
      <c r="H610" s="57" t="s">
        <v>33</v>
      </c>
      <c r="I610" s="39">
        <v>0.65800000000000003</v>
      </c>
      <c r="J610" s="39">
        <v>0.1686</v>
      </c>
      <c r="K610" s="39">
        <v>0.13569999999999999</v>
      </c>
      <c r="L610" s="39">
        <v>0.1071</v>
      </c>
      <c r="M610" s="58">
        <v>5000</v>
      </c>
      <c r="N610" s="58">
        <v>1000000</v>
      </c>
    </row>
    <row r="611" spans="1:14" ht="15" customHeight="1" x14ac:dyDescent="0.25">
      <c r="A611" s="64" t="str">
        <f t="shared" si="9"/>
        <v>1.9-17-0-TOU-2 year Fixed</v>
      </c>
      <c r="B611" s="63" t="s">
        <v>13</v>
      </c>
      <c r="C611" s="56">
        <v>17</v>
      </c>
      <c r="D611" s="57" t="s">
        <v>26</v>
      </c>
      <c r="E611" s="57" t="s">
        <v>87</v>
      </c>
      <c r="F611" s="38" t="s">
        <v>88</v>
      </c>
      <c r="G611" s="51">
        <v>1.9</v>
      </c>
      <c r="H611" s="57" t="s">
        <v>33</v>
      </c>
      <c r="I611" s="39">
        <v>1.5109999999999999</v>
      </c>
      <c r="J611" s="39">
        <v>0.18759999999999999</v>
      </c>
      <c r="K611" s="39">
        <v>0.151</v>
      </c>
      <c r="L611" s="39">
        <v>0.1192</v>
      </c>
      <c r="M611" s="58">
        <v>5000</v>
      </c>
      <c r="N611" s="58">
        <v>1000000</v>
      </c>
    </row>
    <row r="612" spans="1:14" ht="15" customHeight="1" x14ac:dyDescent="0.25">
      <c r="A612" s="64" t="str">
        <f t="shared" si="9"/>
        <v>1.9-18-0-TOU-2 year Fixed</v>
      </c>
      <c r="B612" s="63" t="s">
        <v>13</v>
      </c>
      <c r="C612" s="56">
        <v>18</v>
      </c>
      <c r="D612" s="57" t="s">
        <v>27</v>
      </c>
      <c r="E612" s="57" t="s">
        <v>87</v>
      </c>
      <c r="F612" s="38" t="s">
        <v>88</v>
      </c>
      <c r="G612" s="51">
        <v>1.9</v>
      </c>
      <c r="H612" s="57" t="s">
        <v>33</v>
      </c>
      <c r="I612" s="39">
        <v>0.81399999999999995</v>
      </c>
      <c r="J612" s="39">
        <v>0.1681</v>
      </c>
      <c r="K612" s="39">
        <v>0.13529999999999998</v>
      </c>
      <c r="L612" s="39">
        <v>0.10680000000000001</v>
      </c>
      <c r="M612" s="58">
        <v>5000</v>
      </c>
      <c r="N612" s="58">
        <v>1000000</v>
      </c>
    </row>
    <row r="613" spans="1:14" ht="15" customHeight="1" x14ac:dyDescent="0.25">
      <c r="A613" s="64" t="str">
        <f t="shared" si="9"/>
        <v>1.9-19-0-TOU-2 year Fixed</v>
      </c>
      <c r="B613" s="63" t="s">
        <v>13</v>
      </c>
      <c r="C613" s="56">
        <v>19</v>
      </c>
      <c r="D613" s="57" t="s">
        <v>28</v>
      </c>
      <c r="E613" s="57" t="s">
        <v>87</v>
      </c>
      <c r="F613" s="38" t="s">
        <v>88</v>
      </c>
      <c r="G613" s="51">
        <v>1.9</v>
      </c>
      <c r="H613" s="57" t="s">
        <v>33</v>
      </c>
      <c r="I613" s="39">
        <v>0.70399999999999996</v>
      </c>
      <c r="J613" s="39">
        <v>0.16689999999999999</v>
      </c>
      <c r="K613" s="39">
        <v>0.13439999999999999</v>
      </c>
      <c r="L613" s="39">
        <v>0.1061</v>
      </c>
      <c r="M613" s="58">
        <v>5000</v>
      </c>
      <c r="N613" s="58">
        <v>1000000</v>
      </c>
    </row>
    <row r="614" spans="1:14" ht="15" customHeight="1" x14ac:dyDescent="0.25">
      <c r="A614" s="64" t="str">
        <f t="shared" si="9"/>
        <v>1.9-20-0-TOU-2 year Fixed</v>
      </c>
      <c r="B614" s="63" t="s">
        <v>13</v>
      </c>
      <c r="C614" s="56">
        <v>20</v>
      </c>
      <c r="D614" s="57" t="s">
        <v>29</v>
      </c>
      <c r="E614" s="57" t="s">
        <v>87</v>
      </c>
      <c r="F614" s="38" t="s">
        <v>88</v>
      </c>
      <c r="G614" s="51">
        <v>1.9</v>
      </c>
      <c r="H614" s="57" t="s">
        <v>33</v>
      </c>
      <c r="I614" s="39">
        <v>0.748</v>
      </c>
      <c r="J614" s="39">
        <v>0.16699999999999998</v>
      </c>
      <c r="K614" s="39">
        <v>0.13449999999999998</v>
      </c>
      <c r="L614" s="39">
        <v>0.1062</v>
      </c>
      <c r="M614" s="58">
        <v>5000</v>
      </c>
      <c r="N614" s="58">
        <v>1000000</v>
      </c>
    </row>
    <row r="615" spans="1:14" ht="15" customHeight="1" x14ac:dyDescent="0.25">
      <c r="A615" s="64" t="str">
        <f t="shared" si="9"/>
        <v>1.9-21-0-TOU-2 year Fixed</v>
      </c>
      <c r="B615" s="63" t="s">
        <v>13</v>
      </c>
      <c r="C615" s="56">
        <v>21</v>
      </c>
      <c r="D615" s="57" t="s">
        <v>30</v>
      </c>
      <c r="E615" s="57" t="s">
        <v>87</v>
      </c>
      <c r="F615" s="38" t="s">
        <v>88</v>
      </c>
      <c r="G615" s="51">
        <v>1.9</v>
      </c>
      <c r="H615" s="57" t="s">
        <v>33</v>
      </c>
      <c r="I615" s="39">
        <v>0.83499999999999996</v>
      </c>
      <c r="J615" s="39">
        <v>0.1772</v>
      </c>
      <c r="K615" s="39">
        <v>0.14259999999999998</v>
      </c>
      <c r="L615" s="39">
        <v>0.11260000000000001</v>
      </c>
      <c r="M615" s="58">
        <v>5000</v>
      </c>
      <c r="N615" s="58">
        <v>1000000</v>
      </c>
    </row>
    <row r="616" spans="1:14" ht="15" customHeight="1" x14ac:dyDescent="0.25">
      <c r="A616" s="64" t="str">
        <f t="shared" si="9"/>
        <v>1.9-22-0-TOU-2 year Fixed</v>
      </c>
      <c r="B616" s="63" t="s">
        <v>13</v>
      </c>
      <c r="C616" s="56">
        <v>22</v>
      </c>
      <c r="D616" s="57" t="s">
        <v>31</v>
      </c>
      <c r="E616" s="57" t="s">
        <v>87</v>
      </c>
      <c r="F616" s="38" t="s">
        <v>88</v>
      </c>
      <c r="G616" s="51">
        <v>1.9</v>
      </c>
      <c r="H616" s="57" t="s">
        <v>33</v>
      </c>
      <c r="I616" s="39">
        <v>0.81799999999999995</v>
      </c>
      <c r="J616" s="39">
        <v>0.17779999999999999</v>
      </c>
      <c r="K616" s="39">
        <v>0.14309999999999998</v>
      </c>
      <c r="L616" s="39">
        <v>0.113</v>
      </c>
      <c r="M616" s="58">
        <v>5000</v>
      </c>
      <c r="N616" s="58">
        <v>1000000</v>
      </c>
    </row>
    <row r="617" spans="1:14" ht="15" customHeight="1" x14ac:dyDescent="0.25">
      <c r="A617" s="64" t="str">
        <f t="shared" si="9"/>
        <v>1.9-23-0-TOU-2 year Fixed</v>
      </c>
      <c r="B617" s="63" t="s">
        <v>13</v>
      </c>
      <c r="C617" s="56">
        <v>23</v>
      </c>
      <c r="D617" s="57" t="s">
        <v>32</v>
      </c>
      <c r="E617" s="57" t="s">
        <v>87</v>
      </c>
      <c r="F617" s="38" t="s">
        <v>88</v>
      </c>
      <c r="G617" s="51">
        <v>1.9</v>
      </c>
      <c r="H617" s="57" t="s">
        <v>33</v>
      </c>
      <c r="I617" s="39">
        <v>0.82</v>
      </c>
      <c r="J617" s="39">
        <v>0.16949999999999998</v>
      </c>
      <c r="K617" s="39">
        <v>0.13649999999999998</v>
      </c>
      <c r="L617" s="39">
        <v>0.1077</v>
      </c>
      <c r="M617" s="58">
        <v>5000</v>
      </c>
      <c r="N617" s="58">
        <v>1000000</v>
      </c>
    </row>
    <row r="618" spans="1:14" ht="15" customHeight="1" x14ac:dyDescent="0.25">
      <c r="A618" s="64" t="str">
        <f t="shared" si="9"/>
        <v>2-10-0-TOU-3 year - with APR</v>
      </c>
      <c r="B618" s="63" t="s">
        <v>13</v>
      </c>
      <c r="C618" s="56">
        <v>10</v>
      </c>
      <c r="D618" s="57" t="s">
        <v>14</v>
      </c>
      <c r="E618" s="57" t="s">
        <v>87</v>
      </c>
      <c r="F618" s="38" t="s">
        <v>88</v>
      </c>
      <c r="G618" s="51">
        <v>2</v>
      </c>
      <c r="H618" s="57" t="s">
        <v>15</v>
      </c>
      <c r="I618" s="39">
        <v>0.79700000000000004</v>
      </c>
      <c r="J618" s="39">
        <v>0.15719999999999998</v>
      </c>
      <c r="K618" s="39">
        <v>0.12659999999999999</v>
      </c>
      <c r="L618" s="39">
        <v>9.9900000000000003E-2</v>
      </c>
      <c r="M618" s="58">
        <v>5000</v>
      </c>
      <c r="N618" s="58">
        <v>1000000</v>
      </c>
    </row>
    <row r="619" spans="1:14" ht="15" customHeight="1" x14ac:dyDescent="0.25">
      <c r="A619" s="64" t="str">
        <f t="shared" si="9"/>
        <v>2-11-0-TOU-3 year - with APR</v>
      </c>
      <c r="B619" s="63" t="s">
        <v>13</v>
      </c>
      <c r="C619" s="56">
        <v>11</v>
      </c>
      <c r="D619" s="57" t="s">
        <v>20</v>
      </c>
      <c r="E619" s="57" t="s">
        <v>87</v>
      </c>
      <c r="F619" s="38" t="s">
        <v>88</v>
      </c>
      <c r="G619" s="51">
        <v>2</v>
      </c>
      <c r="H619" s="57" t="s">
        <v>15</v>
      </c>
      <c r="I619" s="39">
        <v>0.77900000000000003</v>
      </c>
      <c r="J619" s="39">
        <v>0.15949999999999998</v>
      </c>
      <c r="K619" s="39">
        <v>0.12839999999999999</v>
      </c>
      <c r="L619" s="39">
        <v>0.1014</v>
      </c>
      <c r="M619" s="58">
        <v>5000</v>
      </c>
      <c r="N619" s="58">
        <v>1000000</v>
      </c>
    </row>
    <row r="620" spans="1:14" ht="15" customHeight="1" x14ac:dyDescent="0.25">
      <c r="A620" s="64" t="str">
        <f t="shared" si="9"/>
        <v>2-12-0-TOU-3 year - with APR</v>
      </c>
      <c r="B620" s="63" t="s">
        <v>13</v>
      </c>
      <c r="C620" s="56">
        <v>12</v>
      </c>
      <c r="D620" s="57" t="s">
        <v>21</v>
      </c>
      <c r="E620" s="57" t="s">
        <v>87</v>
      </c>
      <c r="F620" s="38" t="s">
        <v>88</v>
      </c>
      <c r="G620" s="51">
        <v>2</v>
      </c>
      <c r="H620" s="57" t="s">
        <v>15</v>
      </c>
      <c r="I620" s="39">
        <v>0.81699999999999995</v>
      </c>
      <c r="J620" s="39">
        <v>0.15679999999999999</v>
      </c>
      <c r="K620" s="39">
        <v>0.12619999999999998</v>
      </c>
      <c r="L620" s="39">
        <v>9.9599999999999994E-2</v>
      </c>
      <c r="M620" s="58">
        <v>5000</v>
      </c>
      <c r="N620" s="58">
        <v>1000000</v>
      </c>
    </row>
    <row r="621" spans="1:14" ht="15" customHeight="1" x14ac:dyDescent="0.25">
      <c r="A621" s="64" t="str">
        <f t="shared" si="9"/>
        <v>2-13-0-TOU-3 year - with APR</v>
      </c>
      <c r="B621" s="63" t="s">
        <v>13</v>
      </c>
      <c r="C621" s="56">
        <v>13</v>
      </c>
      <c r="D621" s="57" t="s">
        <v>22</v>
      </c>
      <c r="E621" s="57" t="s">
        <v>87</v>
      </c>
      <c r="F621" s="38" t="s">
        <v>88</v>
      </c>
      <c r="G621" s="51">
        <v>2</v>
      </c>
      <c r="H621" s="57" t="s">
        <v>15</v>
      </c>
      <c r="I621" s="39">
        <v>0.79700000000000004</v>
      </c>
      <c r="J621" s="39">
        <v>0.16889999999999999</v>
      </c>
      <c r="K621" s="39">
        <v>0.13599999999999998</v>
      </c>
      <c r="L621" s="39">
        <v>0.10740000000000001</v>
      </c>
      <c r="M621" s="58">
        <v>5000</v>
      </c>
      <c r="N621" s="58">
        <v>1000000</v>
      </c>
    </row>
    <row r="622" spans="1:14" ht="15" customHeight="1" x14ac:dyDescent="0.25">
      <c r="A622" s="64" t="str">
        <f t="shared" si="9"/>
        <v>2-14-0-TOU-3 year - with APR</v>
      </c>
      <c r="B622" s="63" t="s">
        <v>13</v>
      </c>
      <c r="C622" s="56">
        <v>14</v>
      </c>
      <c r="D622" s="57" t="s">
        <v>23</v>
      </c>
      <c r="E622" s="57" t="s">
        <v>87</v>
      </c>
      <c r="F622" s="38" t="s">
        <v>88</v>
      </c>
      <c r="G622" s="51">
        <v>2</v>
      </c>
      <c r="H622" s="57" t="s">
        <v>15</v>
      </c>
      <c r="I622" s="39">
        <v>0.80500000000000005</v>
      </c>
      <c r="J622" s="39">
        <v>0.16039999999999999</v>
      </c>
      <c r="K622" s="39">
        <v>0.12919999999999998</v>
      </c>
      <c r="L622" s="39">
        <v>0.10200000000000001</v>
      </c>
      <c r="M622" s="58">
        <v>5000</v>
      </c>
      <c r="N622" s="58">
        <v>1000000</v>
      </c>
    </row>
    <row r="623" spans="1:14" ht="15" customHeight="1" x14ac:dyDescent="0.25">
      <c r="A623" s="64" t="str">
        <f t="shared" si="9"/>
        <v>2-15-0-TOU-3 year - with APR</v>
      </c>
      <c r="B623" s="63" t="s">
        <v>13</v>
      </c>
      <c r="C623" s="56">
        <v>15</v>
      </c>
      <c r="D623" s="57" t="s">
        <v>24</v>
      </c>
      <c r="E623" s="57" t="s">
        <v>87</v>
      </c>
      <c r="F623" s="38" t="s">
        <v>88</v>
      </c>
      <c r="G623" s="51">
        <v>2</v>
      </c>
      <c r="H623" s="57" t="s">
        <v>15</v>
      </c>
      <c r="I623" s="39">
        <v>0.86899999999999999</v>
      </c>
      <c r="J623" s="39">
        <v>0.16119999999999998</v>
      </c>
      <c r="K623" s="39">
        <v>0.1298</v>
      </c>
      <c r="L623" s="39">
        <v>0.10250000000000001</v>
      </c>
      <c r="M623" s="58">
        <v>5000</v>
      </c>
      <c r="N623" s="58">
        <v>1000000</v>
      </c>
    </row>
    <row r="624" spans="1:14" ht="15" customHeight="1" x14ac:dyDescent="0.25">
      <c r="A624" s="64" t="str">
        <f t="shared" si="9"/>
        <v>2-16-0-TOU-3 year - with APR</v>
      </c>
      <c r="B624" s="63" t="s">
        <v>13</v>
      </c>
      <c r="C624" s="56">
        <v>16</v>
      </c>
      <c r="D624" s="57" t="s">
        <v>25</v>
      </c>
      <c r="E624" s="57" t="s">
        <v>87</v>
      </c>
      <c r="F624" s="38" t="s">
        <v>88</v>
      </c>
      <c r="G624" s="51">
        <v>2</v>
      </c>
      <c r="H624" s="57" t="s">
        <v>15</v>
      </c>
      <c r="I624" s="39">
        <v>0.65800000000000003</v>
      </c>
      <c r="J624" s="39">
        <v>0.16009999999999999</v>
      </c>
      <c r="K624" s="39">
        <v>0.12889999999999999</v>
      </c>
      <c r="L624" s="39">
        <v>0.1017</v>
      </c>
      <c r="M624" s="58">
        <v>5000</v>
      </c>
      <c r="N624" s="58">
        <v>1000000</v>
      </c>
    </row>
    <row r="625" spans="1:14" ht="15" customHeight="1" x14ac:dyDescent="0.25">
      <c r="A625" s="64" t="str">
        <f t="shared" si="9"/>
        <v>2-17-0-TOU-3 year - with APR</v>
      </c>
      <c r="B625" s="63" t="s">
        <v>13</v>
      </c>
      <c r="C625" s="56">
        <v>17</v>
      </c>
      <c r="D625" s="57" t="s">
        <v>26</v>
      </c>
      <c r="E625" s="57" t="s">
        <v>87</v>
      </c>
      <c r="F625" s="38" t="s">
        <v>88</v>
      </c>
      <c r="G625" s="51">
        <v>2</v>
      </c>
      <c r="H625" s="57" t="s">
        <v>15</v>
      </c>
      <c r="I625" s="39">
        <v>1.343</v>
      </c>
      <c r="J625" s="39">
        <v>0.17849999999999999</v>
      </c>
      <c r="K625" s="39">
        <v>0.14369999999999999</v>
      </c>
      <c r="L625" s="39">
        <v>0.1134</v>
      </c>
      <c r="M625" s="58">
        <v>5000</v>
      </c>
      <c r="N625" s="58">
        <v>1000000</v>
      </c>
    </row>
    <row r="626" spans="1:14" ht="15" customHeight="1" x14ac:dyDescent="0.25">
      <c r="A626" s="64" t="str">
        <f t="shared" si="9"/>
        <v>2-18-0-TOU-3 year - with APR</v>
      </c>
      <c r="B626" s="63" t="s">
        <v>13</v>
      </c>
      <c r="C626" s="56">
        <v>18</v>
      </c>
      <c r="D626" s="57" t="s">
        <v>27</v>
      </c>
      <c r="E626" s="57" t="s">
        <v>87</v>
      </c>
      <c r="F626" s="38" t="s">
        <v>88</v>
      </c>
      <c r="G626" s="51">
        <v>2</v>
      </c>
      <c r="H626" s="57" t="s">
        <v>15</v>
      </c>
      <c r="I626" s="39">
        <v>0.81399999999999995</v>
      </c>
      <c r="J626" s="39">
        <v>0.15919999999999998</v>
      </c>
      <c r="K626" s="39">
        <v>0.12819999999999998</v>
      </c>
      <c r="L626" s="39">
        <v>0.1012</v>
      </c>
      <c r="M626" s="58">
        <v>5000</v>
      </c>
      <c r="N626" s="58">
        <v>1000000</v>
      </c>
    </row>
    <row r="627" spans="1:14" ht="15" customHeight="1" x14ac:dyDescent="0.25">
      <c r="A627" s="64" t="str">
        <f t="shared" si="9"/>
        <v>2-19-0-TOU-3 year - with APR</v>
      </c>
      <c r="B627" s="63" t="s">
        <v>13</v>
      </c>
      <c r="C627" s="56">
        <v>19</v>
      </c>
      <c r="D627" s="57" t="s">
        <v>28</v>
      </c>
      <c r="E627" s="57" t="s">
        <v>87</v>
      </c>
      <c r="F627" s="38" t="s">
        <v>88</v>
      </c>
      <c r="G627" s="51">
        <v>2</v>
      </c>
      <c r="H627" s="57" t="s">
        <v>15</v>
      </c>
      <c r="I627" s="39">
        <v>0.70399999999999996</v>
      </c>
      <c r="J627" s="39">
        <v>0.15839999999999999</v>
      </c>
      <c r="K627" s="39">
        <v>0.1275</v>
      </c>
      <c r="L627" s="39">
        <v>0.1007</v>
      </c>
      <c r="M627" s="58">
        <v>5000</v>
      </c>
      <c r="N627" s="58">
        <v>1000000</v>
      </c>
    </row>
    <row r="628" spans="1:14" ht="15" customHeight="1" x14ac:dyDescent="0.25">
      <c r="A628" s="64" t="str">
        <f t="shared" si="9"/>
        <v>2-20-0-TOU-3 year - with APR</v>
      </c>
      <c r="B628" s="63" t="s">
        <v>13</v>
      </c>
      <c r="C628" s="56">
        <v>20</v>
      </c>
      <c r="D628" s="57" t="s">
        <v>29</v>
      </c>
      <c r="E628" s="57" t="s">
        <v>87</v>
      </c>
      <c r="F628" s="38" t="s">
        <v>88</v>
      </c>
      <c r="G628" s="51">
        <v>2</v>
      </c>
      <c r="H628" s="57" t="s">
        <v>15</v>
      </c>
      <c r="I628" s="39">
        <v>0.748</v>
      </c>
      <c r="J628" s="39">
        <v>0.15809999999999999</v>
      </c>
      <c r="K628" s="39">
        <v>0.1273</v>
      </c>
      <c r="L628" s="39">
        <v>0.10050000000000001</v>
      </c>
      <c r="M628" s="58">
        <v>5000</v>
      </c>
      <c r="N628" s="58">
        <v>1000000</v>
      </c>
    </row>
    <row r="629" spans="1:14" ht="15" customHeight="1" x14ac:dyDescent="0.25">
      <c r="A629" s="64" t="str">
        <f t="shared" si="9"/>
        <v>2-21-0-TOU-3 year - with APR</v>
      </c>
      <c r="B629" s="63" t="s">
        <v>13</v>
      </c>
      <c r="C629" s="56">
        <v>21</v>
      </c>
      <c r="D629" s="57" t="s">
        <v>30</v>
      </c>
      <c r="E629" s="57" t="s">
        <v>87</v>
      </c>
      <c r="F629" s="38" t="s">
        <v>88</v>
      </c>
      <c r="G629" s="51">
        <v>2</v>
      </c>
      <c r="H629" s="57" t="s">
        <v>15</v>
      </c>
      <c r="I629" s="39">
        <v>0.83499999999999996</v>
      </c>
      <c r="J629" s="39">
        <v>0.16799999999999998</v>
      </c>
      <c r="K629" s="39">
        <v>0.13519999999999999</v>
      </c>
      <c r="L629" s="39">
        <v>0.10680000000000001</v>
      </c>
      <c r="M629" s="58">
        <v>5000</v>
      </c>
      <c r="N629" s="58">
        <v>1000000</v>
      </c>
    </row>
    <row r="630" spans="1:14" ht="15" customHeight="1" x14ac:dyDescent="0.25">
      <c r="A630" s="64" t="str">
        <f t="shared" si="9"/>
        <v>2-22-0-TOU-3 year - with APR</v>
      </c>
      <c r="B630" s="63" t="s">
        <v>13</v>
      </c>
      <c r="C630" s="56">
        <v>22</v>
      </c>
      <c r="D630" s="57" t="s">
        <v>31</v>
      </c>
      <c r="E630" s="57" t="s">
        <v>87</v>
      </c>
      <c r="F630" s="38" t="s">
        <v>88</v>
      </c>
      <c r="G630" s="51">
        <v>2</v>
      </c>
      <c r="H630" s="57" t="s">
        <v>15</v>
      </c>
      <c r="I630" s="39">
        <v>0.81799999999999995</v>
      </c>
      <c r="J630" s="39">
        <v>0.1686</v>
      </c>
      <c r="K630" s="39">
        <v>0.13569999999999999</v>
      </c>
      <c r="L630" s="39">
        <v>0.1071</v>
      </c>
      <c r="M630" s="58">
        <v>5000</v>
      </c>
      <c r="N630" s="58">
        <v>1000000</v>
      </c>
    </row>
    <row r="631" spans="1:14" ht="15" customHeight="1" x14ac:dyDescent="0.25">
      <c r="A631" s="64" t="str">
        <f t="shared" si="9"/>
        <v>2-23-0-TOU-3 year - with APR</v>
      </c>
      <c r="B631" s="63" t="s">
        <v>13</v>
      </c>
      <c r="C631" s="56">
        <v>23</v>
      </c>
      <c r="D631" s="57" t="s">
        <v>32</v>
      </c>
      <c r="E631" s="57" t="s">
        <v>87</v>
      </c>
      <c r="F631" s="38" t="s">
        <v>88</v>
      </c>
      <c r="G631" s="51">
        <v>2</v>
      </c>
      <c r="H631" s="57" t="s">
        <v>15</v>
      </c>
      <c r="I631" s="39">
        <v>0.82</v>
      </c>
      <c r="J631" s="39">
        <v>0.16109999999999999</v>
      </c>
      <c r="K631" s="39">
        <v>0.12969999999999998</v>
      </c>
      <c r="L631" s="39">
        <v>0.1024</v>
      </c>
      <c r="M631" s="58">
        <v>5000</v>
      </c>
      <c r="N631" s="58">
        <v>1000000</v>
      </c>
    </row>
    <row r="632" spans="1:14" ht="15" customHeight="1" x14ac:dyDescent="0.25">
      <c r="A632" s="64" t="str">
        <f t="shared" si="9"/>
        <v>2-10-0-TOU-2 year Fixed</v>
      </c>
      <c r="B632" s="63" t="s">
        <v>13</v>
      </c>
      <c r="C632" s="56">
        <v>10</v>
      </c>
      <c r="D632" s="57" t="s">
        <v>14</v>
      </c>
      <c r="E632" s="57" t="s">
        <v>87</v>
      </c>
      <c r="F632" s="38" t="s">
        <v>88</v>
      </c>
      <c r="G632" s="51">
        <v>2</v>
      </c>
      <c r="H632" s="57" t="s">
        <v>33</v>
      </c>
      <c r="I632" s="39">
        <v>0.79700000000000004</v>
      </c>
      <c r="J632" s="39">
        <v>0.16649999999999998</v>
      </c>
      <c r="K632" s="39">
        <v>0.1341</v>
      </c>
      <c r="L632" s="39">
        <v>0.10590000000000001</v>
      </c>
      <c r="M632" s="58">
        <v>5000</v>
      </c>
      <c r="N632" s="58">
        <v>1000000</v>
      </c>
    </row>
    <row r="633" spans="1:14" ht="15" customHeight="1" x14ac:dyDescent="0.25">
      <c r="A633" s="64" t="str">
        <f t="shared" si="9"/>
        <v>2-11-0-TOU-2 year Fixed</v>
      </c>
      <c r="B633" s="63" t="s">
        <v>13</v>
      </c>
      <c r="C633" s="56">
        <v>11</v>
      </c>
      <c r="D633" s="57" t="s">
        <v>20</v>
      </c>
      <c r="E633" s="57" t="s">
        <v>87</v>
      </c>
      <c r="F633" s="38" t="s">
        <v>88</v>
      </c>
      <c r="G633" s="51">
        <v>2</v>
      </c>
      <c r="H633" s="57" t="s">
        <v>33</v>
      </c>
      <c r="I633" s="39">
        <v>0.77900000000000003</v>
      </c>
      <c r="J633" s="39">
        <v>0.1696</v>
      </c>
      <c r="K633" s="39">
        <v>0.1366</v>
      </c>
      <c r="L633" s="39">
        <v>0.10780000000000001</v>
      </c>
      <c r="M633" s="58">
        <v>5000</v>
      </c>
      <c r="N633" s="58">
        <v>1000000</v>
      </c>
    </row>
    <row r="634" spans="1:14" ht="15" customHeight="1" x14ac:dyDescent="0.25">
      <c r="A634" s="64" t="str">
        <f t="shared" si="9"/>
        <v>2-12-0-TOU-2 year Fixed</v>
      </c>
      <c r="B634" s="63" t="s">
        <v>13</v>
      </c>
      <c r="C634" s="56">
        <v>12</v>
      </c>
      <c r="D634" s="57" t="s">
        <v>21</v>
      </c>
      <c r="E634" s="57" t="s">
        <v>87</v>
      </c>
      <c r="F634" s="38" t="s">
        <v>88</v>
      </c>
      <c r="G634" s="51">
        <v>2</v>
      </c>
      <c r="H634" s="57" t="s">
        <v>33</v>
      </c>
      <c r="I634" s="39">
        <v>0.81699999999999995</v>
      </c>
      <c r="J634" s="39">
        <v>0.16619999999999999</v>
      </c>
      <c r="K634" s="39">
        <v>0.1338</v>
      </c>
      <c r="L634" s="39">
        <v>0.1056</v>
      </c>
      <c r="M634" s="58">
        <v>5000</v>
      </c>
      <c r="N634" s="58">
        <v>1000000</v>
      </c>
    </row>
    <row r="635" spans="1:14" ht="15" customHeight="1" x14ac:dyDescent="0.25">
      <c r="A635" s="64" t="str">
        <f t="shared" si="9"/>
        <v>2-13-0-TOU-2 year Fixed</v>
      </c>
      <c r="B635" s="63" t="s">
        <v>13</v>
      </c>
      <c r="C635" s="56">
        <v>13</v>
      </c>
      <c r="D635" s="57" t="s">
        <v>22</v>
      </c>
      <c r="E635" s="57" t="s">
        <v>87</v>
      </c>
      <c r="F635" s="38" t="s">
        <v>88</v>
      </c>
      <c r="G635" s="51">
        <v>2</v>
      </c>
      <c r="H635" s="57" t="s">
        <v>33</v>
      </c>
      <c r="I635" s="39">
        <v>0.79700000000000004</v>
      </c>
      <c r="J635" s="39">
        <v>0.17929999999999999</v>
      </c>
      <c r="K635" s="39">
        <v>0.1444</v>
      </c>
      <c r="L635" s="39">
        <v>0.114</v>
      </c>
      <c r="M635" s="58">
        <v>5000</v>
      </c>
      <c r="N635" s="58">
        <v>1000000</v>
      </c>
    </row>
    <row r="636" spans="1:14" ht="15" customHeight="1" x14ac:dyDescent="0.25">
      <c r="A636" s="64" t="str">
        <f t="shared" si="9"/>
        <v>2-14-0-TOU-2 year Fixed</v>
      </c>
      <c r="B636" s="63" t="s">
        <v>13</v>
      </c>
      <c r="C636" s="56">
        <v>14</v>
      </c>
      <c r="D636" s="57" t="s">
        <v>23</v>
      </c>
      <c r="E636" s="57" t="s">
        <v>87</v>
      </c>
      <c r="F636" s="38" t="s">
        <v>88</v>
      </c>
      <c r="G636" s="51">
        <v>2</v>
      </c>
      <c r="H636" s="57" t="s">
        <v>33</v>
      </c>
      <c r="I636" s="39">
        <v>0.80500000000000005</v>
      </c>
      <c r="J636" s="39">
        <v>0.17069999999999999</v>
      </c>
      <c r="K636" s="39">
        <v>0.13739999999999999</v>
      </c>
      <c r="L636" s="39">
        <v>0.1085</v>
      </c>
      <c r="M636" s="58">
        <v>5000</v>
      </c>
      <c r="N636" s="58">
        <v>1000000</v>
      </c>
    </row>
    <row r="637" spans="1:14" ht="15" customHeight="1" x14ac:dyDescent="0.25">
      <c r="A637" s="64" t="str">
        <f t="shared" si="9"/>
        <v>2-15-0-TOU-2 year Fixed</v>
      </c>
      <c r="B637" s="63" t="s">
        <v>13</v>
      </c>
      <c r="C637" s="56">
        <v>15</v>
      </c>
      <c r="D637" s="57" t="s">
        <v>24</v>
      </c>
      <c r="E637" s="57" t="s">
        <v>87</v>
      </c>
      <c r="F637" s="38" t="s">
        <v>88</v>
      </c>
      <c r="G637" s="51">
        <v>2</v>
      </c>
      <c r="H637" s="57" t="s">
        <v>33</v>
      </c>
      <c r="I637" s="39">
        <v>0.86899999999999999</v>
      </c>
      <c r="J637" s="39">
        <v>0.1704</v>
      </c>
      <c r="K637" s="39">
        <v>0.13719999999999999</v>
      </c>
      <c r="L637" s="39">
        <v>0.10829999999999999</v>
      </c>
      <c r="M637" s="58">
        <v>5000</v>
      </c>
      <c r="N637" s="58">
        <v>1000000</v>
      </c>
    </row>
    <row r="638" spans="1:14" ht="15" customHeight="1" x14ac:dyDescent="0.25">
      <c r="A638" s="64" t="str">
        <f t="shared" si="9"/>
        <v>2-16-0-TOU-2 year Fixed</v>
      </c>
      <c r="B638" s="63" t="s">
        <v>13</v>
      </c>
      <c r="C638" s="56">
        <v>16</v>
      </c>
      <c r="D638" s="57" t="s">
        <v>25</v>
      </c>
      <c r="E638" s="57" t="s">
        <v>87</v>
      </c>
      <c r="F638" s="38" t="s">
        <v>88</v>
      </c>
      <c r="G638" s="51">
        <v>2</v>
      </c>
      <c r="H638" s="57" t="s">
        <v>33</v>
      </c>
      <c r="I638" s="39">
        <v>0.65800000000000003</v>
      </c>
      <c r="J638" s="39">
        <v>0.16969999999999999</v>
      </c>
      <c r="K638" s="39">
        <v>0.13669999999999999</v>
      </c>
      <c r="L638" s="39">
        <v>0.10790000000000001</v>
      </c>
      <c r="M638" s="58">
        <v>5000</v>
      </c>
      <c r="N638" s="58">
        <v>1000000</v>
      </c>
    </row>
    <row r="639" spans="1:14" ht="15" customHeight="1" x14ac:dyDescent="0.25">
      <c r="A639" s="64" t="str">
        <f t="shared" si="9"/>
        <v>2-17-0-TOU-2 year Fixed</v>
      </c>
      <c r="B639" s="63" t="s">
        <v>13</v>
      </c>
      <c r="C639" s="56">
        <v>17</v>
      </c>
      <c r="D639" s="57" t="s">
        <v>26</v>
      </c>
      <c r="E639" s="57" t="s">
        <v>87</v>
      </c>
      <c r="F639" s="38" t="s">
        <v>88</v>
      </c>
      <c r="G639" s="51">
        <v>2</v>
      </c>
      <c r="H639" s="57" t="s">
        <v>33</v>
      </c>
      <c r="I639" s="39">
        <v>1.5109999999999999</v>
      </c>
      <c r="J639" s="39">
        <v>0.18869999999999998</v>
      </c>
      <c r="K639" s="39">
        <v>0.152</v>
      </c>
      <c r="L639" s="39">
        <v>0.12000000000000001</v>
      </c>
      <c r="M639" s="58">
        <v>5000</v>
      </c>
      <c r="N639" s="58">
        <v>1000000</v>
      </c>
    </row>
    <row r="640" spans="1:14" ht="15" customHeight="1" x14ac:dyDescent="0.25">
      <c r="A640" s="64" t="str">
        <f t="shared" si="9"/>
        <v>2-18-0-TOU-2 year Fixed</v>
      </c>
      <c r="B640" s="63" t="s">
        <v>13</v>
      </c>
      <c r="C640" s="56">
        <v>18</v>
      </c>
      <c r="D640" s="57" t="s">
        <v>27</v>
      </c>
      <c r="E640" s="57" t="s">
        <v>87</v>
      </c>
      <c r="F640" s="38" t="s">
        <v>88</v>
      </c>
      <c r="G640" s="51">
        <v>2</v>
      </c>
      <c r="H640" s="57" t="s">
        <v>33</v>
      </c>
      <c r="I640" s="39">
        <v>0.81399999999999995</v>
      </c>
      <c r="J640" s="39">
        <v>0.16929999999999998</v>
      </c>
      <c r="K640" s="39">
        <v>0.13629999999999998</v>
      </c>
      <c r="L640" s="39">
        <v>0.1076</v>
      </c>
      <c r="M640" s="58">
        <v>5000</v>
      </c>
      <c r="N640" s="58">
        <v>1000000</v>
      </c>
    </row>
    <row r="641" spans="1:14" ht="15" customHeight="1" x14ac:dyDescent="0.25">
      <c r="A641" s="64" t="str">
        <f t="shared" si="9"/>
        <v>2-19-0-TOU-2 year Fixed</v>
      </c>
      <c r="B641" s="63" t="s">
        <v>13</v>
      </c>
      <c r="C641" s="56">
        <v>19</v>
      </c>
      <c r="D641" s="57" t="s">
        <v>28</v>
      </c>
      <c r="E641" s="57" t="s">
        <v>87</v>
      </c>
      <c r="F641" s="38" t="s">
        <v>88</v>
      </c>
      <c r="G641" s="51">
        <v>2</v>
      </c>
      <c r="H641" s="57" t="s">
        <v>33</v>
      </c>
      <c r="I641" s="39">
        <v>0.70399999999999996</v>
      </c>
      <c r="J641" s="39">
        <v>0.1681</v>
      </c>
      <c r="K641" s="39">
        <v>0.13529999999999998</v>
      </c>
      <c r="L641" s="39">
        <v>0.10680000000000001</v>
      </c>
      <c r="M641" s="58">
        <v>5000</v>
      </c>
      <c r="N641" s="58">
        <v>1000000</v>
      </c>
    </row>
    <row r="642" spans="1:14" ht="15" customHeight="1" x14ac:dyDescent="0.25">
      <c r="A642" s="64" t="str">
        <f t="shared" si="9"/>
        <v>2-20-0-TOU-2 year Fixed</v>
      </c>
      <c r="B642" s="63" t="s">
        <v>13</v>
      </c>
      <c r="C642" s="56">
        <v>20</v>
      </c>
      <c r="D642" s="57" t="s">
        <v>29</v>
      </c>
      <c r="E642" s="57" t="s">
        <v>87</v>
      </c>
      <c r="F642" s="38" t="s">
        <v>88</v>
      </c>
      <c r="G642" s="51">
        <v>2</v>
      </c>
      <c r="H642" s="57" t="s">
        <v>33</v>
      </c>
      <c r="I642" s="39">
        <v>0.748</v>
      </c>
      <c r="J642" s="39">
        <v>0.16819999999999999</v>
      </c>
      <c r="K642" s="39">
        <v>0.13539999999999999</v>
      </c>
      <c r="L642" s="39">
        <v>0.10690000000000001</v>
      </c>
      <c r="M642" s="58">
        <v>5000</v>
      </c>
      <c r="N642" s="58">
        <v>1000000</v>
      </c>
    </row>
    <row r="643" spans="1:14" ht="15" customHeight="1" x14ac:dyDescent="0.25">
      <c r="A643" s="64" t="str">
        <f t="shared" ref="A643:A706" si="10">IF(E643="OP","",CONCATENATE(G643,"-",C643,"-",RIGHT(F643,1),"-",E643,"-",H643))</f>
        <v>2-21-0-TOU-2 year Fixed</v>
      </c>
      <c r="B643" s="63" t="s">
        <v>13</v>
      </c>
      <c r="C643" s="56">
        <v>21</v>
      </c>
      <c r="D643" s="57" t="s">
        <v>30</v>
      </c>
      <c r="E643" s="57" t="s">
        <v>87</v>
      </c>
      <c r="F643" s="38" t="s">
        <v>88</v>
      </c>
      <c r="G643" s="51">
        <v>2</v>
      </c>
      <c r="H643" s="57" t="s">
        <v>33</v>
      </c>
      <c r="I643" s="39">
        <v>0.83499999999999996</v>
      </c>
      <c r="J643" s="39">
        <v>0.17829999999999999</v>
      </c>
      <c r="K643" s="39">
        <v>0.14359999999999998</v>
      </c>
      <c r="L643" s="39">
        <v>0.1134</v>
      </c>
      <c r="M643" s="58">
        <v>5000</v>
      </c>
      <c r="N643" s="58">
        <v>1000000</v>
      </c>
    </row>
    <row r="644" spans="1:14" ht="15" customHeight="1" x14ac:dyDescent="0.25">
      <c r="A644" s="64" t="str">
        <f t="shared" si="10"/>
        <v>2-22-0-TOU-2 year Fixed</v>
      </c>
      <c r="B644" s="63" t="s">
        <v>13</v>
      </c>
      <c r="C644" s="56">
        <v>22</v>
      </c>
      <c r="D644" s="57" t="s">
        <v>31</v>
      </c>
      <c r="E644" s="57" t="s">
        <v>87</v>
      </c>
      <c r="F644" s="38" t="s">
        <v>88</v>
      </c>
      <c r="G644" s="51">
        <v>2</v>
      </c>
      <c r="H644" s="57" t="s">
        <v>33</v>
      </c>
      <c r="I644" s="39">
        <v>0.81799999999999995</v>
      </c>
      <c r="J644" s="39">
        <v>0.17889999999999998</v>
      </c>
      <c r="K644" s="39">
        <v>0.14409999999999998</v>
      </c>
      <c r="L644" s="39">
        <v>0.1137</v>
      </c>
      <c r="M644" s="58">
        <v>5000</v>
      </c>
      <c r="N644" s="58">
        <v>1000000</v>
      </c>
    </row>
    <row r="645" spans="1:14" ht="15" customHeight="1" x14ac:dyDescent="0.25">
      <c r="A645" s="64" t="str">
        <f t="shared" si="10"/>
        <v>2-23-0-TOU-2 year Fixed</v>
      </c>
      <c r="B645" s="63" t="s">
        <v>13</v>
      </c>
      <c r="C645" s="56">
        <v>23</v>
      </c>
      <c r="D645" s="57" t="s">
        <v>32</v>
      </c>
      <c r="E645" s="57" t="s">
        <v>87</v>
      </c>
      <c r="F645" s="38" t="s">
        <v>88</v>
      </c>
      <c r="G645" s="51">
        <v>2</v>
      </c>
      <c r="H645" s="57" t="s">
        <v>33</v>
      </c>
      <c r="I645" s="39">
        <v>0.82</v>
      </c>
      <c r="J645" s="39">
        <v>0.17069999999999999</v>
      </c>
      <c r="K645" s="39">
        <v>0.13739999999999999</v>
      </c>
      <c r="L645" s="39">
        <v>0.1085</v>
      </c>
      <c r="M645" s="58">
        <v>5000</v>
      </c>
      <c r="N645" s="58">
        <v>1000000</v>
      </c>
    </row>
    <row r="646" spans="1:14" ht="15" customHeight="1" x14ac:dyDescent="0.25">
      <c r="A646" s="64" t="str">
        <f t="shared" si="10"/>
        <v>0.1-10-0-TOU-2 year Reward</v>
      </c>
      <c r="B646" s="63" t="s">
        <v>13</v>
      </c>
      <c r="C646" s="56">
        <v>10</v>
      </c>
      <c r="D646" s="57" t="s">
        <v>14</v>
      </c>
      <c r="E646" s="57" t="s">
        <v>87</v>
      </c>
      <c r="F646" s="38" t="s">
        <v>88</v>
      </c>
      <c r="G646" s="51">
        <v>0.1</v>
      </c>
      <c r="H646" s="57" t="s">
        <v>68</v>
      </c>
      <c r="I646" s="39">
        <v>0.877</v>
      </c>
      <c r="J646" s="39">
        <v>0.1512</v>
      </c>
      <c r="K646" s="39">
        <v>0.1217</v>
      </c>
      <c r="L646" s="39">
        <v>9.6100000000000005E-2</v>
      </c>
      <c r="M646" s="58">
        <v>5000</v>
      </c>
      <c r="N646" s="58">
        <v>1000000</v>
      </c>
    </row>
    <row r="647" spans="1:14" ht="15" customHeight="1" x14ac:dyDescent="0.25">
      <c r="A647" s="64" t="str">
        <f t="shared" si="10"/>
        <v>0.1-11-0-TOU-2 year Reward</v>
      </c>
      <c r="B647" s="63" t="s">
        <v>13</v>
      </c>
      <c r="C647" s="56">
        <v>11</v>
      </c>
      <c r="D647" s="57" t="s">
        <v>20</v>
      </c>
      <c r="E647" s="57" t="s">
        <v>87</v>
      </c>
      <c r="F647" s="38" t="s">
        <v>88</v>
      </c>
      <c r="G647" s="51">
        <v>0.1</v>
      </c>
      <c r="H647" s="57" t="s">
        <v>68</v>
      </c>
      <c r="I647" s="39">
        <v>0.85699999999999998</v>
      </c>
      <c r="J647" s="39">
        <v>0.15429999999999999</v>
      </c>
      <c r="K647" s="39">
        <v>0.1242</v>
      </c>
      <c r="L647" s="39">
        <v>9.8100000000000007E-2</v>
      </c>
      <c r="M647" s="58">
        <v>5000</v>
      </c>
      <c r="N647" s="58">
        <v>1000000</v>
      </c>
    </row>
    <row r="648" spans="1:14" ht="15" customHeight="1" x14ac:dyDescent="0.25">
      <c r="A648" s="64" t="str">
        <f t="shared" si="10"/>
        <v>0.1-12-0-TOU-2 year Reward</v>
      </c>
      <c r="B648" s="63" t="s">
        <v>13</v>
      </c>
      <c r="C648" s="56">
        <v>12</v>
      </c>
      <c r="D648" s="57" t="s">
        <v>21</v>
      </c>
      <c r="E648" s="57" t="s">
        <v>87</v>
      </c>
      <c r="F648" s="38" t="s">
        <v>88</v>
      </c>
      <c r="G648" s="51">
        <v>0.1</v>
      </c>
      <c r="H648" s="57" t="s">
        <v>68</v>
      </c>
      <c r="I648" s="39">
        <v>0.89900000000000002</v>
      </c>
      <c r="J648" s="39">
        <v>0.15089999999999998</v>
      </c>
      <c r="K648" s="39">
        <v>0.1215</v>
      </c>
      <c r="L648" s="39">
        <v>9.5899999999999999E-2</v>
      </c>
      <c r="M648" s="58">
        <v>5000</v>
      </c>
      <c r="N648" s="58">
        <v>1000000</v>
      </c>
    </row>
    <row r="649" spans="1:14" ht="15" customHeight="1" x14ac:dyDescent="0.25">
      <c r="A649" s="64" t="str">
        <f t="shared" si="10"/>
        <v>0.1-13-0-TOU-2 year Reward</v>
      </c>
      <c r="B649" s="63" t="s">
        <v>13</v>
      </c>
      <c r="C649" s="56">
        <v>13</v>
      </c>
      <c r="D649" s="57" t="s">
        <v>22</v>
      </c>
      <c r="E649" s="57" t="s">
        <v>87</v>
      </c>
      <c r="F649" s="38" t="s">
        <v>88</v>
      </c>
      <c r="G649" s="51">
        <v>0.1</v>
      </c>
      <c r="H649" s="57" t="s">
        <v>68</v>
      </c>
      <c r="I649" s="39">
        <v>0.877</v>
      </c>
      <c r="J649" s="39">
        <v>0.16399999999999998</v>
      </c>
      <c r="K649" s="39">
        <v>0.13199999999999998</v>
      </c>
      <c r="L649" s="39">
        <v>0.1042</v>
      </c>
      <c r="M649" s="58">
        <v>5000</v>
      </c>
      <c r="N649" s="58">
        <v>1000000</v>
      </c>
    </row>
    <row r="650" spans="1:14" ht="15" customHeight="1" x14ac:dyDescent="0.25">
      <c r="A650" s="64" t="str">
        <f t="shared" si="10"/>
        <v>0.1-14-0-TOU-2 year Reward</v>
      </c>
      <c r="B650" s="63" t="s">
        <v>13</v>
      </c>
      <c r="C650" s="56">
        <v>14</v>
      </c>
      <c r="D650" s="57" t="s">
        <v>23</v>
      </c>
      <c r="E650" s="57" t="s">
        <v>87</v>
      </c>
      <c r="F650" s="38" t="s">
        <v>88</v>
      </c>
      <c r="G650" s="51">
        <v>0.1</v>
      </c>
      <c r="H650" s="57" t="s">
        <v>68</v>
      </c>
      <c r="I650" s="39">
        <v>0.88600000000000001</v>
      </c>
      <c r="J650" s="39">
        <v>0.15529999999999999</v>
      </c>
      <c r="K650" s="39">
        <v>0.12509999999999999</v>
      </c>
      <c r="L650" s="39">
        <v>9.8699999999999996E-2</v>
      </c>
      <c r="M650" s="58">
        <v>5000</v>
      </c>
      <c r="N650" s="58">
        <v>1000000</v>
      </c>
    </row>
    <row r="651" spans="1:14" ht="15" customHeight="1" x14ac:dyDescent="0.25">
      <c r="A651" s="64" t="str">
        <f t="shared" si="10"/>
        <v>0.1-15-0-TOU-2 year Reward</v>
      </c>
      <c r="B651" s="63" t="s">
        <v>13</v>
      </c>
      <c r="C651" s="56">
        <v>15</v>
      </c>
      <c r="D651" s="57" t="s">
        <v>24</v>
      </c>
      <c r="E651" s="57" t="s">
        <v>87</v>
      </c>
      <c r="F651" s="38" t="s">
        <v>88</v>
      </c>
      <c r="G651" s="51">
        <v>0.1</v>
      </c>
      <c r="H651" s="57" t="s">
        <v>68</v>
      </c>
      <c r="I651" s="39">
        <v>0.95599999999999996</v>
      </c>
      <c r="J651" s="39">
        <v>0.15509999999999999</v>
      </c>
      <c r="K651" s="39">
        <v>0.1249</v>
      </c>
      <c r="L651" s="39">
        <v>9.8600000000000007E-2</v>
      </c>
      <c r="M651" s="58">
        <v>5000</v>
      </c>
      <c r="N651" s="58">
        <v>1000000</v>
      </c>
    </row>
    <row r="652" spans="1:14" ht="15" customHeight="1" x14ac:dyDescent="0.25">
      <c r="A652" s="64" t="str">
        <f t="shared" si="10"/>
        <v>0.1-16-0-TOU-2 year Reward</v>
      </c>
      <c r="B652" s="63" t="s">
        <v>13</v>
      </c>
      <c r="C652" s="56">
        <v>16</v>
      </c>
      <c r="D652" s="57" t="s">
        <v>25</v>
      </c>
      <c r="E652" s="57" t="s">
        <v>87</v>
      </c>
      <c r="F652" s="38" t="s">
        <v>88</v>
      </c>
      <c r="G652" s="51">
        <v>0.1</v>
      </c>
      <c r="H652" s="57" t="s">
        <v>68</v>
      </c>
      <c r="I652" s="39">
        <v>0.72399999999999998</v>
      </c>
      <c r="J652" s="39">
        <v>0.15439999999999998</v>
      </c>
      <c r="K652" s="39">
        <v>0.12430000000000001</v>
      </c>
      <c r="L652" s="39">
        <v>9.8100000000000007E-2</v>
      </c>
      <c r="M652" s="58">
        <v>5000</v>
      </c>
      <c r="N652" s="58">
        <v>1000000</v>
      </c>
    </row>
    <row r="653" spans="1:14" ht="15" customHeight="1" x14ac:dyDescent="0.25">
      <c r="A653" s="64" t="str">
        <f t="shared" si="10"/>
        <v>0.1-17-0-TOU-2 year Reward</v>
      </c>
      <c r="B653" s="63" t="s">
        <v>13</v>
      </c>
      <c r="C653" s="56">
        <v>17</v>
      </c>
      <c r="D653" s="57" t="s">
        <v>26</v>
      </c>
      <c r="E653" s="57" t="s">
        <v>87</v>
      </c>
      <c r="F653" s="38" t="s">
        <v>88</v>
      </c>
      <c r="G653" s="51">
        <v>0.1</v>
      </c>
      <c r="H653" s="57" t="s">
        <v>68</v>
      </c>
      <c r="I653" s="39">
        <v>1.6619999999999999</v>
      </c>
      <c r="J653" s="39">
        <v>0.1734</v>
      </c>
      <c r="K653" s="39">
        <v>0.1396</v>
      </c>
      <c r="L653" s="39">
        <v>0.11020000000000001</v>
      </c>
      <c r="M653" s="58">
        <v>5000</v>
      </c>
      <c r="N653" s="58">
        <v>1000000</v>
      </c>
    </row>
    <row r="654" spans="1:14" ht="15" customHeight="1" x14ac:dyDescent="0.25">
      <c r="A654" s="64" t="str">
        <f t="shared" si="10"/>
        <v>0.1-18-0-TOU-2 year Reward</v>
      </c>
      <c r="B654" s="63" t="s">
        <v>13</v>
      </c>
      <c r="C654" s="56">
        <v>18</v>
      </c>
      <c r="D654" s="57" t="s">
        <v>27</v>
      </c>
      <c r="E654" s="57" t="s">
        <v>87</v>
      </c>
      <c r="F654" s="38" t="s">
        <v>88</v>
      </c>
      <c r="G654" s="51">
        <v>0.1</v>
      </c>
      <c r="H654" s="57" t="s">
        <v>68</v>
      </c>
      <c r="I654" s="39">
        <v>0.89500000000000002</v>
      </c>
      <c r="J654" s="39">
        <v>0.15389999999999998</v>
      </c>
      <c r="K654" s="39">
        <v>0.1239</v>
      </c>
      <c r="L654" s="39">
        <v>9.7799999999999998E-2</v>
      </c>
      <c r="M654" s="58">
        <v>5000</v>
      </c>
      <c r="N654" s="58">
        <v>1000000</v>
      </c>
    </row>
    <row r="655" spans="1:14" ht="15" customHeight="1" x14ac:dyDescent="0.25">
      <c r="A655" s="64" t="str">
        <f t="shared" si="10"/>
        <v>0.1-19-0-TOU-2 year Reward</v>
      </c>
      <c r="B655" s="63" t="s">
        <v>13</v>
      </c>
      <c r="C655" s="56">
        <v>19</v>
      </c>
      <c r="D655" s="57" t="s">
        <v>28</v>
      </c>
      <c r="E655" s="57" t="s">
        <v>87</v>
      </c>
      <c r="F655" s="38" t="s">
        <v>88</v>
      </c>
      <c r="G655" s="51">
        <v>0.1</v>
      </c>
      <c r="H655" s="57" t="s">
        <v>68</v>
      </c>
      <c r="I655" s="39">
        <v>0.77400000000000002</v>
      </c>
      <c r="J655" s="39">
        <v>0.1527</v>
      </c>
      <c r="K655" s="39">
        <v>0.123</v>
      </c>
      <c r="L655" s="39">
        <v>9.7100000000000006E-2</v>
      </c>
      <c r="M655" s="58">
        <v>5000</v>
      </c>
      <c r="N655" s="58">
        <v>1000000</v>
      </c>
    </row>
    <row r="656" spans="1:14" ht="15" customHeight="1" x14ac:dyDescent="0.25">
      <c r="A656" s="64" t="str">
        <f t="shared" si="10"/>
        <v>0.1-20-0-TOU-2 year Reward</v>
      </c>
      <c r="B656" s="63" t="s">
        <v>13</v>
      </c>
      <c r="C656" s="56">
        <v>20</v>
      </c>
      <c r="D656" s="57" t="s">
        <v>29</v>
      </c>
      <c r="E656" s="57" t="s">
        <v>87</v>
      </c>
      <c r="F656" s="38" t="s">
        <v>88</v>
      </c>
      <c r="G656" s="51">
        <v>0.1</v>
      </c>
      <c r="H656" s="57" t="s">
        <v>68</v>
      </c>
      <c r="I656" s="39">
        <v>0.82299999999999995</v>
      </c>
      <c r="J656" s="39">
        <v>0.15289999999999998</v>
      </c>
      <c r="K656" s="39">
        <v>0.1231</v>
      </c>
      <c r="L656" s="39">
        <v>9.7200000000000009E-2</v>
      </c>
      <c r="M656" s="58">
        <v>5000</v>
      </c>
      <c r="N656" s="58">
        <v>1000000</v>
      </c>
    </row>
    <row r="657" spans="1:14" ht="15" customHeight="1" x14ac:dyDescent="0.25">
      <c r="A657" s="64" t="str">
        <f t="shared" si="10"/>
        <v>0.1-21-0-TOU-2 year Reward</v>
      </c>
      <c r="B657" s="63" t="s">
        <v>13</v>
      </c>
      <c r="C657" s="56">
        <v>21</v>
      </c>
      <c r="D657" s="57" t="s">
        <v>30</v>
      </c>
      <c r="E657" s="57" t="s">
        <v>87</v>
      </c>
      <c r="F657" s="38" t="s">
        <v>88</v>
      </c>
      <c r="G657" s="51">
        <v>0.1</v>
      </c>
      <c r="H657" s="57" t="s">
        <v>68</v>
      </c>
      <c r="I657" s="39">
        <v>0.91900000000000004</v>
      </c>
      <c r="J657" s="39">
        <v>0.16299999999999998</v>
      </c>
      <c r="K657" s="39">
        <v>0.13119999999999998</v>
      </c>
      <c r="L657" s="39">
        <v>0.1036</v>
      </c>
      <c r="M657" s="58">
        <v>5000</v>
      </c>
      <c r="N657" s="58">
        <v>1000000</v>
      </c>
    </row>
    <row r="658" spans="1:14" ht="15" customHeight="1" x14ac:dyDescent="0.25">
      <c r="A658" s="64" t="str">
        <f t="shared" si="10"/>
        <v>0.1-22-0-TOU-2 year Reward</v>
      </c>
      <c r="B658" s="63" t="s">
        <v>13</v>
      </c>
      <c r="C658" s="56">
        <v>22</v>
      </c>
      <c r="D658" s="57" t="s">
        <v>31</v>
      </c>
      <c r="E658" s="57" t="s">
        <v>87</v>
      </c>
      <c r="F658" s="38" t="s">
        <v>88</v>
      </c>
      <c r="G658" s="51">
        <v>0.1</v>
      </c>
      <c r="H658" s="57" t="s">
        <v>68</v>
      </c>
      <c r="I658" s="39">
        <v>0.9</v>
      </c>
      <c r="J658" s="39">
        <v>0.1636</v>
      </c>
      <c r="K658" s="39">
        <v>0.13169999999999998</v>
      </c>
      <c r="L658" s="39">
        <v>0.10400000000000001</v>
      </c>
      <c r="M658" s="58">
        <v>5000</v>
      </c>
      <c r="N658" s="58">
        <v>1000000</v>
      </c>
    </row>
    <row r="659" spans="1:14" ht="15" customHeight="1" x14ac:dyDescent="0.25">
      <c r="A659" s="64" t="str">
        <f t="shared" si="10"/>
        <v>0.1-23-0-TOU-2 year Reward</v>
      </c>
      <c r="B659" s="63" t="s">
        <v>13</v>
      </c>
      <c r="C659" s="56">
        <v>23</v>
      </c>
      <c r="D659" s="57" t="s">
        <v>32</v>
      </c>
      <c r="E659" s="57" t="s">
        <v>87</v>
      </c>
      <c r="F659" s="38" t="s">
        <v>88</v>
      </c>
      <c r="G659" s="51">
        <v>0.1</v>
      </c>
      <c r="H659" s="57" t="s">
        <v>68</v>
      </c>
      <c r="I659" s="39">
        <v>0.90200000000000002</v>
      </c>
      <c r="J659" s="39">
        <v>0.15529999999999999</v>
      </c>
      <c r="K659" s="39">
        <v>0.12509999999999999</v>
      </c>
      <c r="L659" s="39">
        <v>9.8699999999999996E-2</v>
      </c>
      <c r="M659" s="58">
        <v>5000</v>
      </c>
      <c r="N659" s="58">
        <v>1000000</v>
      </c>
    </row>
    <row r="660" spans="1:14" ht="15" customHeight="1" x14ac:dyDescent="0.25">
      <c r="A660" s="64" t="str">
        <f t="shared" si="10"/>
        <v>0.2-10-0-TOU-2 year Reward</v>
      </c>
      <c r="B660" s="63" t="s">
        <v>13</v>
      </c>
      <c r="C660" s="56">
        <v>10</v>
      </c>
      <c r="D660" s="57" t="s">
        <v>14</v>
      </c>
      <c r="E660" s="57" t="s">
        <v>87</v>
      </c>
      <c r="F660" s="38" t="s">
        <v>88</v>
      </c>
      <c r="G660" s="51">
        <v>0.2</v>
      </c>
      <c r="H660" s="57" t="s">
        <v>68</v>
      </c>
      <c r="I660" s="39">
        <v>0.877</v>
      </c>
      <c r="J660" s="39">
        <v>0.15239999999999998</v>
      </c>
      <c r="K660" s="39">
        <v>0.1227</v>
      </c>
      <c r="L660" s="39">
        <v>9.69E-2</v>
      </c>
      <c r="M660" s="58">
        <v>5000</v>
      </c>
      <c r="N660" s="58">
        <v>1000000</v>
      </c>
    </row>
    <row r="661" spans="1:14" ht="15" customHeight="1" x14ac:dyDescent="0.25">
      <c r="A661" s="64" t="str">
        <f t="shared" si="10"/>
        <v>0.2-11-0-TOU-2 year Reward</v>
      </c>
      <c r="B661" s="63" t="s">
        <v>13</v>
      </c>
      <c r="C661" s="56">
        <v>11</v>
      </c>
      <c r="D661" s="57" t="s">
        <v>20</v>
      </c>
      <c r="E661" s="57" t="s">
        <v>87</v>
      </c>
      <c r="F661" s="38" t="s">
        <v>88</v>
      </c>
      <c r="G661" s="51">
        <v>0.2</v>
      </c>
      <c r="H661" s="57" t="s">
        <v>68</v>
      </c>
      <c r="I661" s="39">
        <v>0.85699999999999998</v>
      </c>
      <c r="J661" s="39">
        <v>0.1555</v>
      </c>
      <c r="K661" s="39">
        <v>0.12519999999999998</v>
      </c>
      <c r="L661" s="39">
        <v>9.8799999999999999E-2</v>
      </c>
      <c r="M661" s="58">
        <v>5000</v>
      </c>
      <c r="N661" s="58">
        <v>1000000</v>
      </c>
    </row>
    <row r="662" spans="1:14" ht="15" customHeight="1" x14ac:dyDescent="0.25">
      <c r="A662" s="64" t="str">
        <f t="shared" si="10"/>
        <v>0.2-12-0-TOU-2 year Reward</v>
      </c>
      <c r="B662" s="63" t="s">
        <v>13</v>
      </c>
      <c r="C662" s="56">
        <v>12</v>
      </c>
      <c r="D662" s="57" t="s">
        <v>21</v>
      </c>
      <c r="E662" s="57" t="s">
        <v>87</v>
      </c>
      <c r="F662" s="38" t="s">
        <v>88</v>
      </c>
      <c r="G662" s="51">
        <v>0.2</v>
      </c>
      <c r="H662" s="57" t="s">
        <v>68</v>
      </c>
      <c r="I662" s="39">
        <v>0.89900000000000002</v>
      </c>
      <c r="J662" s="39">
        <v>0.152</v>
      </c>
      <c r="K662" s="39">
        <v>0.12240000000000001</v>
      </c>
      <c r="L662" s="39">
        <v>9.6600000000000005E-2</v>
      </c>
      <c r="M662" s="58">
        <v>5000</v>
      </c>
      <c r="N662" s="58">
        <v>1000000</v>
      </c>
    </row>
    <row r="663" spans="1:14" ht="15" customHeight="1" x14ac:dyDescent="0.25">
      <c r="A663" s="64" t="str">
        <f t="shared" si="10"/>
        <v>0.2-13-0-TOU-2 year Reward</v>
      </c>
      <c r="B663" s="63" t="s">
        <v>13</v>
      </c>
      <c r="C663" s="56">
        <v>13</v>
      </c>
      <c r="D663" s="57" t="s">
        <v>22</v>
      </c>
      <c r="E663" s="57" t="s">
        <v>87</v>
      </c>
      <c r="F663" s="38" t="s">
        <v>88</v>
      </c>
      <c r="G663" s="51">
        <v>0.2</v>
      </c>
      <c r="H663" s="57" t="s">
        <v>68</v>
      </c>
      <c r="I663" s="39">
        <v>0.877</v>
      </c>
      <c r="J663" s="39">
        <v>0.1651</v>
      </c>
      <c r="K663" s="39">
        <v>0.13299999999999998</v>
      </c>
      <c r="L663" s="39">
        <v>0.105</v>
      </c>
      <c r="M663" s="58">
        <v>5000</v>
      </c>
      <c r="N663" s="58">
        <v>1000000</v>
      </c>
    </row>
    <row r="664" spans="1:14" ht="15" customHeight="1" x14ac:dyDescent="0.25">
      <c r="A664" s="64" t="str">
        <f t="shared" si="10"/>
        <v>0.2-14-0-TOU-2 year Reward</v>
      </c>
      <c r="B664" s="63" t="s">
        <v>13</v>
      </c>
      <c r="C664" s="56">
        <v>14</v>
      </c>
      <c r="D664" s="57" t="s">
        <v>23</v>
      </c>
      <c r="E664" s="57" t="s">
        <v>87</v>
      </c>
      <c r="F664" s="38" t="s">
        <v>88</v>
      </c>
      <c r="G664" s="51">
        <v>0.2</v>
      </c>
      <c r="H664" s="57" t="s">
        <v>68</v>
      </c>
      <c r="I664" s="39">
        <v>0.88600000000000001</v>
      </c>
      <c r="J664" s="39">
        <v>0.1565</v>
      </c>
      <c r="K664" s="39">
        <v>0.126</v>
      </c>
      <c r="L664" s="39">
        <v>9.9500000000000005E-2</v>
      </c>
      <c r="M664" s="58">
        <v>5000</v>
      </c>
      <c r="N664" s="58">
        <v>1000000</v>
      </c>
    </row>
    <row r="665" spans="1:14" ht="15" customHeight="1" x14ac:dyDescent="0.25">
      <c r="A665" s="64" t="str">
        <f t="shared" si="10"/>
        <v>0.2-15-0-TOU-2 year Reward</v>
      </c>
      <c r="B665" s="63" t="s">
        <v>13</v>
      </c>
      <c r="C665" s="56">
        <v>15</v>
      </c>
      <c r="D665" s="57" t="s">
        <v>24</v>
      </c>
      <c r="E665" s="57" t="s">
        <v>87</v>
      </c>
      <c r="F665" s="38" t="s">
        <v>88</v>
      </c>
      <c r="G665" s="51">
        <v>0.2</v>
      </c>
      <c r="H665" s="57" t="s">
        <v>68</v>
      </c>
      <c r="I665" s="39">
        <v>0.95599999999999996</v>
      </c>
      <c r="J665" s="39">
        <v>0.15629999999999999</v>
      </c>
      <c r="K665" s="39">
        <v>0.1258</v>
      </c>
      <c r="L665" s="39">
        <v>9.9299999999999999E-2</v>
      </c>
      <c r="M665" s="58">
        <v>5000</v>
      </c>
      <c r="N665" s="58">
        <v>1000000</v>
      </c>
    </row>
    <row r="666" spans="1:14" ht="15" customHeight="1" x14ac:dyDescent="0.25">
      <c r="A666" s="64" t="str">
        <f t="shared" si="10"/>
        <v>0.2-16-0-TOU-2 year Reward</v>
      </c>
      <c r="B666" s="63" t="s">
        <v>13</v>
      </c>
      <c r="C666" s="56">
        <v>16</v>
      </c>
      <c r="D666" s="57" t="s">
        <v>25</v>
      </c>
      <c r="E666" s="57" t="s">
        <v>87</v>
      </c>
      <c r="F666" s="38" t="s">
        <v>88</v>
      </c>
      <c r="G666" s="51">
        <v>0.2</v>
      </c>
      <c r="H666" s="57" t="s">
        <v>68</v>
      </c>
      <c r="I666" s="39">
        <v>0.72399999999999998</v>
      </c>
      <c r="J666" s="39">
        <v>0.15559999999999999</v>
      </c>
      <c r="K666" s="39">
        <v>0.12529999999999999</v>
      </c>
      <c r="L666" s="39">
        <v>9.8900000000000002E-2</v>
      </c>
      <c r="M666" s="58">
        <v>5000</v>
      </c>
      <c r="N666" s="58">
        <v>1000000</v>
      </c>
    </row>
    <row r="667" spans="1:14" ht="15" customHeight="1" x14ac:dyDescent="0.25">
      <c r="A667" s="64" t="str">
        <f t="shared" si="10"/>
        <v>0.2-17-0-TOU-2 year Reward</v>
      </c>
      <c r="B667" s="63" t="s">
        <v>13</v>
      </c>
      <c r="C667" s="56">
        <v>17</v>
      </c>
      <c r="D667" s="57" t="s">
        <v>26</v>
      </c>
      <c r="E667" s="57" t="s">
        <v>87</v>
      </c>
      <c r="F667" s="38" t="s">
        <v>88</v>
      </c>
      <c r="G667" s="51">
        <v>0.2</v>
      </c>
      <c r="H667" s="57" t="s">
        <v>68</v>
      </c>
      <c r="I667" s="39">
        <v>1.6619999999999999</v>
      </c>
      <c r="J667" s="39">
        <v>0.17459999999999998</v>
      </c>
      <c r="K667" s="39">
        <v>0.1406</v>
      </c>
      <c r="L667" s="39">
        <v>0.111</v>
      </c>
      <c r="M667" s="58">
        <v>5000</v>
      </c>
      <c r="N667" s="58">
        <v>1000000</v>
      </c>
    </row>
    <row r="668" spans="1:14" ht="15" customHeight="1" x14ac:dyDescent="0.25">
      <c r="A668" s="64" t="str">
        <f t="shared" si="10"/>
        <v>0.2-18-0-TOU-2 year Reward</v>
      </c>
      <c r="B668" s="63" t="s">
        <v>13</v>
      </c>
      <c r="C668" s="56">
        <v>18</v>
      </c>
      <c r="D668" s="57" t="s">
        <v>27</v>
      </c>
      <c r="E668" s="57" t="s">
        <v>87</v>
      </c>
      <c r="F668" s="38" t="s">
        <v>88</v>
      </c>
      <c r="G668" s="51">
        <v>0.2</v>
      </c>
      <c r="H668" s="57" t="s">
        <v>68</v>
      </c>
      <c r="I668" s="39">
        <v>0.89500000000000002</v>
      </c>
      <c r="J668" s="39">
        <v>0.15509999999999999</v>
      </c>
      <c r="K668" s="39">
        <v>0.1249</v>
      </c>
      <c r="L668" s="39">
        <v>9.8600000000000007E-2</v>
      </c>
      <c r="M668" s="58">
        <v>5000</v>
      </c>
      <c r="N668" s="58">
        <v>1000000</v>
      </c>
    </row>
    <row r="669" spans="1:14" ht="15" customHeight="1" x14ac:dyDescent="0.25">
      <c r="A669" s="64" t="str">
        <f t="shared" si="10"/>
        <v>0.2-19-0-TOU-2 year Reward</v>
      </c>
      <c r="B669" s="63" t="s">
        <v>13</v>
      </c>
      <c r="C669" s="56">
        <v>19</v>
      </c>
      <c r="D669" s="57" t="s">
        <v>28</v>
      </c>
      <c r="E669" s="57" t="s">
        <v>87</v>
      </c>
      <c r="F669" s="38" t="s">
        <v>88</v>
      </c>
      <c r="G669" s="51">
        <v>0.2</v>
      </c>
      <c r="H669" s="57" t="s">
        <v>68</v>
      </c>
      <c r="I669" s="39">
        <v>0.77400000000000002</v>
      </c>
      <c r="J669" s="39">
        <v>0.15389999999999998</v>
      </c>
      <c r="K669" s="39">
        <v>0.1239</v>
      </c>
      <c r="L669" s="39">
        <v>9.7799999999999998E-2</v>
      </c>
      <c r="M669" s="58">
        <v>5000</v>
      </c>
      <c r="N669" s="58">
        <v>1000000</v>
      </c>
    </row>
    <row r="670" spans="1:14" ht="15" customHeight="1" x14ac:dyDescent="0.25">
      <c r="A670" s="64" t="str">
        <f t="shared" si="10"/>
        <v>0.2-20-0-TOU-2 year Reward</v>
      </c>
      <c r="B670" s="63" t="s">
        <v>13</v>
      </c>
      <c r="C670" s="56">
        <v>20</v>
      </c>
      <c r="D670" s="57" t="s">
        <v>29</v>
      </c>
      <c r="E670" s="57" t="s">
        <v>87</v>
      </c>
      <c r="F670" s="38" t="s">
        <v>88</v>
      </c>
      <c r="G670" s="51">
        <v>0.2</v>
      </c>
      <c r="H670" s="57" t="s">
        <v>68</v>
      </c>
      <c r="I670" s="39">
        <v>0.82299999999999995</v>
      </c>
      <c r="J670" s="39">
        <v>0.154</v>
      </c>
      <c r="K670" s="39">
        <v>0.124</v>
      </c>
      <c r="L670" s="39">
        <v>9.7900000000000001E-2</v>
      </c>
      <c r="M670" s="58">
        <v>5000</v>
      </c>
      <c r="N670" s="58">
        <v>1000000</v>
      </c>
    </row>
    <row r="671" spans="1:14" ht="15" customHeight="1" x14ac:dyDescent="0.25">
      <c r="A671" s="64" t="str">
        <f t="shared" si="10"/>
        <v>0.2-21-0-TOU-2 year Reward</v>
      </c>
      <c r="B671" s="63" t="s">
        <v>13</v>
      </c>
      <c r="C671" s="56">
        <v>21</v>
      </c>
      <c r="D671" s="57" t="s">
        <v>30</v>
      </c>
      <c r="E671" s="57" t="s">
        <v>87</v>
      </c>
      <c r="F671" s="38" t="s">
        <v>88</v>
      </c>
      <c r="G671" s="51">
        <v>0.2</v>
      </c>
      <c r="H671" s="57" t="s">
        <v>68</v>
      </c>
      <c r="I671" s="39">
        <v>0.91900000000000004</v>
      </c>
      <c r="J671" s="39">
        <v>0.16419999999999998</v>
      </c>
      <c r="K671" s="39">
        <v>0.13219999999999998</v>
      </c>
      <c r="L671" s="39">
        <v>0.10440000000000001</v>
      </c>
      <c r="M671" s="58">
        <v>5000</v>
      </c>
      <c r="N671" s="58">
        <v>1000000</v>
      </c>
    </row>
    <row r="672" spans="1:14" ht="15" customHeight="1" x14ac:dyDescent="0.25">
      <c r="A672" s="64" t="str">
        <f t="shared" si="10"/>
        <v>0.2-22-0-TOU-2 year Reward</v>
      </c>
      <c r="B672" s="63" t="s">
        <v>13</v>
      </c>
      <c r="C672" s="56">
        <v>22</v>
      </c>
      <c r="D672" s="57" t="s">
        <v>31</v>
      </c>
      <c r="E672" s="57" t="s">
        <v>87</v>
      </c>
      <c r="F672" s="38" t="s">
        <v>88</v>
      </c>
      <c r="G672" s="51">
        <v>0.2</v>
      </c>
      <c r="H672" s="57" t="s">
        <v>68</v>
      </c>
      <c r="I672" s="39">
        <v>0.9</v>
      </c>
      <c r="J672" s="39">
        <v>0.1648</v>
      </c>
      <c r="K672" s="39">
        <v>0.13269999999999998</v>
      </c>
      <c r="L672" s="39">
        <v>0.1047</v>
      </c>
      <c r="M672" s="58">
        <v>5000</v>
      </c>
      <c r="N672" s="58">
        <v>1000000</v>
      </c>
    </row>
    <row r="673" spans="1:14" ht="15" customHeight="1" x14ac:dyDescent="0.25">
      <c r="A673" s="64" t="str">
        <f t="shared" si="10"/>
        <v>0.2-23-0-TOU-2 year Reward</v>
      </c>
      <c r="B673" s="63" t="s">
        <v>13</v>
      </c>
      <c r="C673" s="56">
        <v>23</v>
      </c>
      <c r="D673" s="57" t="s">
        <v>32</v>
      </c>
      <c r="E673" s="57" t="s">
        <v>87</v>
      </c>
      <c r="F673" s="38" t="s">
        <v>88</v>
      </c>
      <c r="G673" s="51">
        <v>0.2</v>
      </c>
      <c r="H673" s="57" t="s">
        <v>68</v>
      </c>
      <c r="I673" s="39">
        <v>0.90200000000000002</v>
      </c>
      <c r="J673" s="39">
        <v>0.1565</v>
      </c>
      <c r="K673" s="39">
        <v>0.126</v>
      </c>
      <c r="L673" s="39">
        <v>9.9500000000000005E-2</v>
      </c>
      <c r="M673" s="58">
        <v>5000</v>
      </c>
      <c r="N673" s="58">
        <v>1000000</v>
      </c>
    </row>
    <row r="674" spans="1:14" ht="15" customHeight="1" x14ac:dyDescent="0.25">
      <c r="A674" s="64" t="str">
        <f t="shared" si="10"/>
        <v>0.3-10-0-TOU-2 year Reward</v>
      </c>
      <c r="B674" s="63" t="s">
        <v>13</v>
      </c>
      <c r="C674" s="56">
        <v>10</v>
      </c>
      <c r="D674" s="57" t="s">
        <v>14</v>
      </c>
      <c r="E674" s="57" t="s">
        <v>87</v>
      </c>
      <c r="F674" s="38" t="s">
        <v>88</v>
      </c>
      <c r="G674" s="51">
        <v>0.3</v>
      </c>
      <c r="H674" s="57" t="s">
        <v>68</v>
      </c>
      <c r="I674" s="39">
        <v>0.877</v>
      </c>
      <c r="J674" s="39">
        <v>0.15359999999999999</v>
      </c>
      <c r="K674" s="39">
        <v>0.1236</v>
      </c>
      <c r="L674" s="39">
        <v>9.7600000000000006E-2</v>
      </c>
      <c r="M674" s="58">
        <v>5000</v>
      </c>
      <c r="N674" s="58">
        <v>1000000</v>
      </c>
    </row>
    <row r="675" spans="1:14" ht="15" customHeight="1" x14ac:dyDescent="0.25">
      <c r="A675" s="64" t="str">
        <f t="shared" si="10"/>
        <v>0.3-11-0-TOU-2 year Reward</v>
      </c>
      <c r="B675" s="63" t="s">
        <v>13</v>
      </c>
      <c r="C675" s="56">
        <v>11</v>
      </c>
      <c r="D675" s="57" t="s">
        <v>20</v>
      </c>
      <c r="E675" s="57" t="s">
        <v>87</v>
      </c>
      <c r="F675" s="38" t="s">
        <v>88</v>
      </c>
      <c r="G675" s="51">
        <v>0.3</v>
      </c>
      <c r="H675" s="57" t="s">
        <v>68</v>
      </c>
      <c r="I675" s="39">
        <v>0.85699999999999998</v>
      </c>
      <c r="J675" s="39">
        <v>0.15659999999999999</v>
      </c>
      <c r="K675" s="39">
        <v>0.12609999999999999</v>
      </c>
      <c r="L675" s="39">
        <v>9.9600000000000008E-2</v>
      </c>
      <c r="M675" s="58">
        <v>5000</v>
      </c>
      <c r="N675" s="58">
        <v>1000000</v>
      </c>
    </row>
    <row r="676" spans="1:14" ht="15" customHeight="1" x14ac:dyDescent="0.25">
      <c r="A676" s="64" t="str">
        <f t="shared" si="10"/>
        <v>0.3-12-0-TOU-2 year Reward</v>
      </c>
      <c r="B676" s="63" t="s">
        <v>13</v>
      </c>
      <c r="C676" s="56">
        <v>12</v>
      </c>
      <c r="D676" s="57" t="s">
        <v>21</v>
      </c>
      <c r="E676" s="57" t="s">
        <v>87</v>
      </c>
      <c r="F676" s="38" t="s">
        <v>88</v>
      </c>
      <c r="G676" s="51">
        <v>0.3</v>
      </c>
      <c r="H676" s="57" t="s">
        <v>68</v>
      </c>
      <c r="I676" s="39">
        <v>0.89900000000000002</v>
      </c>
      <c r="J676" s="39">
        <v>0.1532</v>
      </c>
      <c r="K676" s="39">
        <v>0.12340000000000001</v>
      </c>
      <c r="L676" s="39">
        <v>9.74E-2</v>
      </c>
      <c r="M676" s="58">
        <v>5000</v>
      </c>
      <c r="N676" s="58">
        <v>1000000</v>
      </c>
    </row>
    <row r="677" spans="1:14" ht="15" customHeight="1" x14ac:dyDescent="0.25">
      <c r="A677" s="64" t="str">
        <f t="shared" si="10"/>
        <v>0.3-13-0-TOU-2 year Reward</v>
      </c>
      <c r="B677" s="63" t="s">
        <v>13</v>
      </c>
      <c r="C677" s="56">
        <v>13</v>
      </c>
      <c r="D677" s="57" t="s">
        <v>22</v>
      </c>
      <c r="E677" s="57" t="s">
        <v>87</v>
      </c>
      <c r="F677" s="38" t="s">
        <v>88</v>
      </c>
      <c r="G677" s="51">
        <v>0.3</v>
      </c>
      <c r="H677" s="57" t="s">
        <v>68</v>
      </c>
      <c r="I677" s="39">
        <v>0.877</v>
      </c>
      <c r="J677" s="39">
        <v>0.16629999999999998</v>
      </c>
      <c r="K677" s="39">
        <v>0.13389999999999999</v>
      </c>
      <c r="L677" s="39">
        <v>0.1057</v>
      </c>
      <c r="M677" s="58">
        <v>5000</v>
      </c>
      <c r="N677" s="58">
        <v>1000000</v>
      </c>
    </row>
    <row r="678" spans="1:14" ht="15" customHeight="1" x14ac:dyDescent="0.25">
      <c r="A678" s="64" t="str">
        <f t="shared" si="10"/>
        <v>0.3-14-0-TOU-2 year Reward</v>
      </c>
      <c r="B678" s="63" t="s">
        <v>13</v>
      </c>
      <c r="C678" s="56">
        <v>14</v>
      </c>
      <c r="D678" s="57" t="s">
        <v>23</v>
      </c>
      <c r="E678" s="57" t="s">
        <v>87</v>
      </c>
      <c r="F678" s="38" t="s">
        <v>88</v>
      </c>
      <c r="G678" s="51">
        <v>0.3</v>
      </c>
      <c r="H678" s="57" t="s">
        <v>68</v>
      </c>
      <c r="I678" s="39">
        <v>0.88600000000000001</v>
      </c>
      <c r="J678" s="39">
        <v>0.15769999999999998</v>
      </c>
      <c r="K678" s="39">
        <v>0.127</v>
      </c>
      <c r="L678" s="39">
        <v>0.1002</v>
      </c>
      <c r="M678" s="58">
        <v>5000</v>
      </c>
      <c r="N678" s="58">
        <v>1000000</v>
      </c>
    </row>
    <row r="679" spans="1:14" ht="15" customHeight="1" x14ac:dyDescent="0.25">
      <c r="A679" s="64" t="str">
        <f t="shared" si="10"/>
        <v>0.3-15-0-TOU-2 year Reward</v>
      </c>
      <c r="B679" s="63" t="s">
        <v>13</v>
      </c>
      <c r="C679" s="56">
        <v>15</v>
      </c>
      <c r="D679" s="57" t="s">
        <v>24</v>
      </c>
      <c r="E679" s="57" t="s">
        <v>87</v>
      </c>
      <c r="F679" s="38" t="s">
        <v>88</v>
      </c>
      <c r="G679" s="51">
        <v>0.3</v>
      </c>
      <c r="H679" s="57" t="s">
        <v>68</v>
      </c>
      <c r="I679" s="39">
        <v>0.95599999999999996</v>
      </c>
      <c r="J679" s="39">
        <v>0.1575</v>
      </c>
      <c r="K679" s="39">
        <v>0.1268</v>
      </c>
      <c r="L679" s="39">
        <v>0.10010000000000001</v>
      </c>
      <c r="M679" s="58">
        <v>5000</v>
      </c>
      <c r="N679" s="58">
        <v>1000000</v>
      </c>
    </row>
    <row r="680" spans="1:14" ht="15" customHeight="1" x14ac:dyDescent="0.25">
      <c r="A680" s="64" t="str">
        <f t="shared" si="10"/>
        <v>0.3-16-0-TOU-2 year Reward</v>
      </c>
      <c r="B680" s="63" t="s">
        <v>13</v>
      </c>
      <c r="C680" s="56">
        <v>16</v>
      </c>
      <c r="D680" s="57" t="s">
        <v>25</v>
      </c>
      <c r="E680" s="57" t="s">
        <v>87</v>
      </c>
      <c r="F680" s="38" t="s">
        <v>88</v>
      </c>
      <c r="G680" s="51">
        <v>0.3</v>
      </c>
      <c r="H680" s="57" t="s">
        <v>68</v>
      </c>
      <c r="I680" s="39">
        <v>0.72399999999999998</v>
      </c>
      <c r="J680" s="39">
        <v>0.15679999999999999</v>
      </c>
      <c r="K680" s="39">
        <v>0.12619999999999998</v>
      </c>
      <c r="L680" s="39">
        <v>9.9599999999999994E-2</v>
      </c>
      <c r="M680" s="58">
        <v>5000</v>
      </c>
      <c r="N680" s="58">
        <v>1000000</v>
      </c>
    </row>
    <row r="681" spans="1:14" ht="15" customHeight="1" x14ac:dyDescent="0.25">
      <c r="A681" s="64" t="str">
        <f t="shared" si="10"/>
        <v>0.3-17-0-TOU-2 year Reward</v>
      </c>
      <c r="B681" s="63" t="s">
        <v>13</v>
      </c>
      <c r="C681" s="56">
        <v>17</v>
      </c>
      <c r="D681" s="57" t="s">
        <v>26</v>
      </c>
      <c r="E681" s="57" t="s">
        <v>87</v>
      </c>
      <c r="F681" s="38" t="s">
        <v>88</v>
      </c>
      <c r="G681" s="51">
        <v>0.3</v>
      </c>
      <c r="H681" s="57" t="s">
        <v>68</v>
      </c>
      <c r="I681" s="39">
        <v>1.6619999999999999</v>
      </c>
      <c r="J681" s="39">
        <v>0.17579999999999998</v>
      </c>
      <c r="K681" s="39">
        <v>0.14149999999999999</v>
      </c>
      <c r="L681" s="39">
        <v>0.11170000000000001</v>
      </c>
      <c r="M681" s="58">
        <v>5000</v>
      </c>
      <c r="N681" s="58">
        <v>1000000</v>
      </c>
    </row>
    <row r="682" spans="1:14" ht="15" customHeight="1" x14ac:dyDescent="0.25">
      <c r="A682" s="64" t="str">
        <f t="shared" si="10"/>
        <v>0.3-18-0-TOU-2 year Reward</v>
      </c>
      <c r="B682" s="63" t="s">
        <v>13</v>
      </c>
      <c r="C682" s="56">
        <v>18</v>
      </c>
      <c r="D682" s="57" t="s">
        <v>27</v>
      </c>
      <c r="E682" s="57" t="s">
        <v>87</v>
      </c>
      <c r="F682" s="38" t="s">
        <v>88</v>
      </c>
      <c r="G682" s="51">
        <v>0.3</v>
      </c>
      <c r="H682" s="57" t="s">
        <v>68</v>
      </c>
      <c r="I682" s="39">
        <v>0.89500000000000002</v>
      </c>
      <c r="J682" s="39">
        <v>0.15629999999999999</v>
      </c>
      <c r="K682" s="39">
        <v>0.1258</v>
      </c>
      <c r="L682" s="39">
        <v>9.9299999999999999E-2</v>
      </c>
      <c r="M682" s="58">
        <v>5000</v>
      </c>
      <c r="N682" s="58">
        <v>1000000</v>
      </c>
    </row>
    <row r="683" spans="1:14" ht="15" customHeight="1" x14ac:dyDescent="0.25">
      <c r="A683" s="64" t="str">
        <f t="shared" si="10"/>
        <v>0.3-19-0-TOU-2 year Reward</v>
      </c>
      <c r="B683" s="63" t="s">
        <v>13</v>
      </c>
      <c r="C683" s="56">
        <v>19</v>
      </c>
      <c r="D683" s="57" t="s">
        <v>28</v>
      </c>
      <c r="E683" s="57" t="s">
        <v>87</v>
      </c>
      <c r="F683" s="38" t="s">
        <v>88</v>
      </c>
      <c r="G683" s="51">
        <v>0.3</v>
      </c>
      <c r="H683" s="57" t="s">
        <v>68</v>
      </c>
      <c r="I683" s="39">
        <v>0.77400000000000002</v>
      </c>
      <c r="J683" s="39">
        <v>0.15509999999999999</v>
      </c>
      <c r="K683" s="39">
        <v>0.1249</v>
      </c>
      <c r="L683" s="39">
        <v>9.8600000000000007E-2</v>
      </c>
      <c r="M683" s="58">
        <v>5000</v>
      </c>
      <c r="N683" s="58">
        <v>1000000</v>
      </c>
    </row>
    <row r="684" spans="1:14" ht="15" customHeight="1" x14ac:dyDescent="0.25">
      <c r="A684" s="64" t="str">
        <f t="shared" si="10"/>
        <v>0.3-20-0-TOU-2 year Reward</v>
      </c>
      <c r="B684" s="63" t="s">
        <v>13</v>
      </c>
      <c r="C684" s="56">
        <v>20</v>
      </c>
      <c r="D684" s="57" t="s">
        <v>29</v>
      </c>
      <c r="E684" s="57" t="s">
        <v>87</v>
      </c>
      <c r="F684" s="38" t="s">
        <v>88</v>
      </c>
      <c r="G684" s="51">
        <v>0.3</v>
      </c>
      <c r="H684" s="57" t="s">
        <v>68</v>
      </c>
      <c r="I684" s="39">
        <v>0.82299999999999995</v>
      </c>
      <c r="J684" s="39">
        <v>0.15519999999999998</v>
      </c>
      <c r="K684" s="39">
        <v>0.125</v>
      </c>
      <c r="L684" s="39">
        <v>9.8699999999999996E-2</v>
      </c>
      <c r="M684" s="58">
        <v>5000</v>
      </c>
      <c r="N684" s="58">
        <v>1000000</v>
      </c>
    </row>
    <row r="685" spans="1:14" ht="15" customHeight="1" x14ac:dyDescent="0.25">
      <c r="A685" s="64" t="str">
        <f t="shared" si="10"/>
        <v>0.3-21-0-TOU-2 year Reward</v>
      </c>
      <c r="B685" s="63" t="s">
        <v>13</v>
      </c>
      <c r="C685" s="56">
        <v>21</v>
      </c>
      <c r="D685" s="57" t="s">
        <v>30</v>
      </c>
      <c r="E685" s="57" t="s">
        <v>87</v>
      </c>
      <c r="F685" s="38" t="s">
        <v>88</v>
      </c>
      <c r="G685" s="51">
        <v>0.3</v>
      </c>
      <c r="H685" s="57" t="s">
        <v>68</v>
      </c>
      <c r="I685" s="39">
        <v>0.91900000000000004</v>
      </c>
      <c r="J685" s="39">
        <v>0.16539999999999999</v>
      </c>
      <c r="K685" s="39">
        <v>0.1331</v>
      </c>
      <c r="L685" s="39">
        <v>0.1051</v>
      </c>
      <c r="M685" s="58">
        <v>5000</v>
      </c>
      <c r="N685" s="58">
        <v>1000000</v>
      </c>
    </row>
    <row r="686" spans="1:14" ht="15" customHeight="1" x14ac:dyDescent="0.25">
      <c r="A686" s="64" t="str">
        <f t="shared" si="10"/>
        <v>0.3-22-0-TOU-2 year Reward</v>
      </c>
      <c r="B686" s="63" t="s">
        <v>13</v>
      </c>
      <c r="C686" s="56">
        <v>22</v>
      </c>
      <c r="D686" s="57" t="s">
        <v>31</v>
      </c>
      <c r="E686" s="57" t="s">
        <v>87</v>
      </c>
      <c r="F686" s="38" t="s">
        <v>88</v>
      </c>
      <c r="G686" s="51">
        <v>0.3</v>
      </c>
      <c r="H686" s="57" t="s">
        <v>68</v>
      </c>
      <c r="I686" s="39">
        <v>0.9</v>
      </c>
      <c r="J686" s="39">
        <v>0.16599999999999998</v>
      </c>
      <c r="K686" s="39">
        <v>0.1336</v>
      </c>
      <c r="L686" s="39">
        <v>0.1055</v>
      </c>
      <c r="M686" s="58">
        <v>5000</v>
      </c>
      <c r="N686" s="58">
        <v>1000000</v>
      </c>
    </row>
    <row r="687" spans="1:14" ht="15" customHeight="1" x14ac:dyDescent="0.25">
      <c r="A687" s="64" t="str">
        <f t="shared" si="10"/>
        <v>0.3-23-0-TOU-2 year Reward</v>
      </c>
      <c r="B687" s="63" t="s">
        <v>13</v>
      </c>
      <c r="C687" s="56">
        <v>23</v>
      </c>
      <c r="D687" s="57" t="s">
        <v>32</v>
      </c>
      <c r="E687" s="57" t="s">
        <v>87</v>
      </c>
      <c r="F687" s="38" t="s">
        <v>88</v>
      </c>
      <c r="G687" s="51">
        <v>0.3</v>
      </c>
      <c r="H687" s="57" t="s">
        <v>68</v>
      </c>
      <c r="I687" s="39">
        <v>0.90200000000000002</v>
      </c>
      <c r="J687" s="39">
        <v>0.15769999999999998</v>
      </c>
      <c r="K687" s="39">
        <v>0.127</v>
      </c>
      <c r="L687" s="39">
        <v>0.1002</v>
      </c>
      <c r="M687" s="58">
        <v>5000</v>
      </c>
      <c r="N687" s="58">
        <v>1000000</v>
      </c>
    </row>
    <row r="688" spans="1:14" ht="15" customHeight="1" x14ac:dyDescent="0.25">
      <c r="A688" s="64" t="str">
        <f t="shared" si="10"/>
        <v>0.4-10-0-TOU-2 year Reward</v>
      </c>
      <c r="B688" s="63" t="s">
        <v>13</v>
      </c>
      <c r="C688" s="56">
        <v>10</v>
      </c>
      <c r="D688" s="57" t="s">
        <v>14</v>
      </c>
      <c r="E688" s="57" t="s">
        <v>87</v>
      </c>
      <c r="F688" s="38" t="s">
        <v>88</v>
      </c>
      <c r="G688" s="51">
        <v>0.4</v>
      </c>
      <c r="H688" s="57" t="s">
        <v>68</v>
      </c>
      <c r="I688" s="39">
        <v>0.877</v>
      </c>
      <c r="J688" s="39">
        <v>0.15469999999999998</v>
      </c>
      <c r="K688" s="39">
        <v>0.1246</v>
      </c>
      <c r="L688" s="39">
        <v>9.8400000000000001E-2</v>
      </c>
      <c r="M688" s="58">
        <v>5000</v>
      </c>
      <c r="N688" s="58">
        <v>1000000</v>
      </c>
    </row>
    <row r="689" spans="1:14" ht="15" customHeight="1" x14ac:dyDescent="0.25">
      <c r="A689" s="64" t="str">
        <f t="shared" si="10"/>
        <v>0.4-11-0-TOU-2 year Reward</v>
      </c>
      <c r="B689" s="63" t="s">
        <v>13</v>
      </c>
      <c r="C689" s="56">
        <v>11</v>
      </c>
      <c r="D689" s="57" t="s">
        <v>20</v>
      </c>
      <c r="E689" s="57" t="s">
        <v>87</v>
      </c>
      <c r="F689" s="38" t="s">
        <v>88</v>
      </c>
      <c r="G689" s="51">
        <v>0.4</v>
      </c>
      <c r="H689" s="57" t="s">
        <v>68</v>
      </c>
      <c r="I689" s="39">
        <v>0.85699999999999998</v>
      </c>
      <c r="J689" s="39">
        <v>0.1578</v>
      </c>
      <c r="K689" s="39">
        <v>0.12709999999999999</v>
      </c>
      <c r="L689" s="39">
        <v>0.1003</v>
      </c>
      <c r="M689" s="58">
        <v>5000</v>
      </c>
      <c r="N689" s="58">
        <v>1000000</v>
      </c>
    </row>
    <row r="690" spans="1:14" ht="15" customHeight="1" x14ac:dyDescent="0.25">
      <c r="A690" s="64" t="str">
        <f t="shared" si="10"/>
        <v>0.4-12-0-TOU-2 year Reward</v>
      </c>
      <c r="B690" s="63" t="s">
        <v>13</v>
      </c>
      <c r="C690" s="56">
        <v>12</v>
      </c>
      <c r="D690" s="57" t="s">
        <v>21</v>
      </c>
      <c r="E690" s="57" t="s">
        <v>87</v>
      </c>
      <c r="F690" s="38" t="s">
        <v>88</v>
      </c>
      <c r="G690" s="51">
        <v>0.4</v>
      </c>
      <c r="H690" s="57" t="s">
        <v>68</v>
      </c>
      <c r="I690" s="39">
        <v>0.89900000000000002</v>
      </c>
      <c r="J690" s="39">
        <v>0.15439999999999998</v>
      </c>
      <c r="K690" s="39">
        <v>0.12430000000000001</v>
      </c>
      <c r="L690" s="39">
        <v>9.8100000000000007E-2</v>
      </c>
      <c r="M690" s="58">
        <v>5000</v>
      </c>
      <c r="N690" s="58">
        <v>1000000</v>
      </c>
    </row>
    <row r="691" spans="1:14" ht="15" customHeight="1" x14ac:dyDescent="0.25">
      <c r="A691" s="64" t="str">
        <f t="shared" si="10"/>
        <v>0.4-13-0-TOU-2 year Reward</v>
      </c>
      <c r="B691" s="63" t="s">
        <v>13</v>
      </c>
      <c r="C691" s="56">
        <v>13</v>
      </c>
      <c r="D691" s="57" t="s">
        <v>22</v>
      </c>
      <c r="E691" s="57" t="s">
        <v>87</v>
      </c>
      <c r="F691" s="38" t="s">
        <v>88</v>
      </c>
      <c r="G691" s="51">
        <v>0.4</v>
      </c>
      <c r="H691" s="57" t="s">
        <v>68</v>
      </c>
      <c r="I691" s="39">
        <v>0.877</v>
      </c>
      <c r="J691" s="39">
        <v>0.16749999999999998</v>
      </c>
      <c r="K691" s="39">
        <v>0.13489999999999999</v>
      </c>
      <c r="L691" s="39">
        <v>0.1065</v>
      </c>
      <c r="M691" s="58">
        <v>5000</v>
      </c>
      <c r="N691" s="58">
        <v>1000000</v>
      </c>
    </row>
    <row r="692" spans="1:14" ht="15" customHeight="1" x14ac:dyDescent="0.25">
      <c r="A692" s="64" t="str">
        <f t="shared" si="10"/>
        <v>0.4-14-0-TOU-2 year Reward</v>
      </c>
      <c r="B692" s="63" t="s">
        <v>13</v>
      </c>
      <c r="C692" s="56">
        <v>14</v>
      </c>
      <c r="D692" s="57" t="s">
        <v>23</v>
      </c>
      <c r="E692" s="57" t="s">
        <v>87</v>
      </c>
      <c r="F692" s="38" t="s">
        <v>88</v>
      </c>
      <c r="G692" s="51">
        <v>0.4</v>
      </c>
      <c r="H692" s="57" t="s">
        <v>68</v>
      </c>
      <c r="I692" s="39">
        <v>0.88600000000000001</v>
      </c>
      <c r="J692" s="39">
        <v>0.15889999999999999</v>
      </c>
      <c r="K692" s="39">
        <v>0.12789999999999999</v>
      </c>
      <c r="L692" s="39">
        <v>0.10100000000000001</v>
      </c>
      <c r="M692" s="58">
        <v>5000</v>
      </c>
      <c r="N692" s="58">
        <v>1000000</v>
      </c>
    </row>
    <row r="693" spans="1:14" ht="15" customHeight="1" x14ac:dyDescent="0.25">
      <c r="A693" s="64" t="str">
        <f t="shared" si="10"/>
        <v>0.4-15-0-TOU-2 year Reward</v>
      </c>
      <c r="B693" s="63" t="s">
        <v>13</v>
      </c>
      <c r="C693" s="56">
        <v>15</v>
      </c>
      <c r="D693" s="57" t="s">
        <v>24</v>
      </c>
      <c r="E693" s="57" t="s">
        <v>87</v>
      </c>
      <c r="F693" s="38" t="s">
        <v>88</v>
      </c>
      <c r="G693" s="51">
        <v>0.4</v>
      </c>
      <c r="H693" s="57" t="s">
        <v>68</v>
      </c>
      <c r="I693" s="39">
        <v>0.95599999999999996</v>
      </c>
      <c r="J693" s="39">
        <v>0.15859999999999999</v>
      </c>
      <c r="K693" s="39">
        <v>0.12769999999999998</v>
      </c>
      <c r="L693" s="39">
        <v>0.1008</v>
      </c>
      <c r="M693" s="58">
        <v>5000</v>
      </c>
      <c r="N693" s="58">
        <v>1000000</v>
      </c>
    </row>
    <row r="694" spans="1:14" ht="15" customHeight="1" x14ac:dyDescent="0.25">
      <c r="A694" s="64" t="str">
        <f t="shared" si="10"/>
        <v>0.4-16-0-TOU-2 year Reward</v>
      </c>
      <c r="B694" s="63" t="s">
        <v>13</v>
      </c>
      <c r="C694" s="56">
        <v>16</v>
      </c>
      <c r="D694" s="57" t="s">
        <v>25</v>
      </c>
      <c r="E694" s="57" t="s">
        <v>87</v>
      </c>
      <c r="F694" s="38" t="s">
        <v>88</v>
      </c>
      <c r="G694" s="51">
        <v>0.4</v>
      </c>
      <c r="H694" s="57" t="s">
        <v>68</v>
      </c>
      <c r="I694" s="39">
        <v>0.72399999999999998</v>
      </c>
      <c r="J694" s="39">
        <v>0.15789999999999998</v>
      </c>
      <c r="K694" s="39">
        <v>0.12719999999999998</v>
      </c>
      <c r="L694" s="39">
        <v>0.1004</v>
      </c>
      <c r="M694" s="58">
        <v>5000</v>
      </c>
      <c r="N694" s="58">
        <v>1000000</v>
      </c>
    </row>
    <row r="695" spans="1:14" ht="15" customHeight="1" x14ac:dyDescent="0.25">
      <c r="A695" s="64" t="str">
        <f t="shared" si="10"/>
        <v>0.4-17-0-TOU-2 year Reward</v>
      </c>
      <c r="B695" s="63" t="s">
        <v>13</v>
      </c>
      <c r="C695" s="56">
        <v>17</v>
      </c>
      <c r="D695" s="57" t="s">
        <v>26</v>
      </c>
      <c r="E695" s="57" t="s">
        <v>87</v>
      </c>
      <c r="F695" s="38" t="s">
        <v>88</v>
      </c>
      <c r="G695" s="51">
        <v>0.4</v>
      </c>
      <c r="H695" s="57" t="s">
        <v>68</v>
      </c>
      <c r="I695" s="39">
        <v>1.6619999999999999</v>
      </c>
      <c r="J695" s="39">
        <v>0.1769</v>
      </c>
      <c r="K695" s="39">
        <v>0.14249999999999999</v>
      </c>
      <c r="L695" s="39">
        <v>0.1125</v>
      </c>
      <c r="M695" s="58">
        <v>5000</v>
      </c>
      <c r="N695" s="58">
        <v>1000000</v>
      </c>
    </row>
    <row r="696" spans="1:14" ht="15" customHeight="1" x14ac:dyDescent="0.25">
      <c r="A696" s="64" t="str">
        <f t="shared" si="10"/>
        <v>0.4-18-0-TOU-2 year Reward</v>
      </c>
      <c r="B696" s="63" t="s">
        <v>13</v>
      </c>
      <c r="C696" s="56">
        <v>18</v>
      </c>
      <c r="D696" s="57" t="s">
        <v>27</v>
      </c>
      <c r="E696" s="57" t="s">
        <v>87</v>
      </c>
      <c r="F696" s="38" t="s">
        <v>88</v>
      </c>
      <c r="G696" s="51">
        <v>0.4</v>
      </c>
      <c r="H696" s="57" t="s">
        <v>68</v>
      </c>
      <c r="I696" s="39">
        <v>0.89500000000000002</v>
      </c>
      <c r="J696" s="39">
        <v>0.1575</v>
      </c>
      <c r="K696" s="39">
        <v>0.1268</v>
      </c>
      <c r="L696" s="39">
        <v>0.10010000000000001</v>
      </c>
      <c r="M696" s="58">
        <v>5000</v>
      </c>
      <c r="N696" s="58">
        <v>1000000</v>
      </c>
    </row>
    <row r="697" spans="1:14" ht="15" customHeight="1" x14ac:dyDescent="0.25">
      <c r="A697" s="64" t="str">
        <f t="shared" si="10"/>
        <v>0.4-19-0-TOU-2 year Reward</v>
      </c>
      <c r="B697" s="63" t="s">
        <v>13</v>
      </c>
      <c r="C697" s="56">
        <v>19</v>
      </c>
      <c r="D697" s="57" t="s">
        <v>28</v>
      </c>
      <c r="E697" s="57" t="s">
        <v>87</v>
      </c>
      <c r="F697" s="38" t="s">
        <v>88</v>
      </c>
      <c r="G697" s="51">
        <v>0.4</v>
      </c>
      <c r="H697" s="57" t="s">
        <v>68</v>
      </c>
      <c r="I697" s="39">
        <v>0.77400000000000002</v>
      </c>
      <c r="J697" s="39">
        <v>0.15629999999999999</v>
      </c>
      <c r="K697" s="39">
        <v>0.1258</v>
      </c>
      <c r="L697" s="39">
        <v>9.9299999999999999E-2</v>
      </c>
      <c r="M697" s="58">
        <v>5000</v>
      </c>
      <c r="N697" s="58">
        <v>1000000</v>
      </c>
    </row>
    <row r="698" spans="1:14" ht="15" customHeight="1" x14ac:dyDescent="0.25">
      <c r="A698" s="64" t="str">
        <f t="shared" si="10"/>
        <v>0.4-20-0-TOU-2 year Reward</v>
      </c>
      <c r="B698" s="63" t="s">
        <v>13</v>
      </c>
      <c r="C698" s="56">
        <v>20</v>
      </c>
      <c r="D698" s="57" t="s">
        <v>29</v>
      </c>
      <c r="E698" s="57" t="s">
        <v>87</v>
      </c>
      <c r="F698" s="38" t="s">
        <v>88</v>
      </c>
      <c r="G698" s="51">
        <v>0.4</v>
      </c>
      <c r="H698" s="57" t="s">
        <v>68</v>
      </c>
      <c r="I698" s="39">
        <v>0.82299999999999995</v>
      </c>
      <c r="J698" s="39">
        <v>0.15639999999999998</v>
      </c>
      <c r="K698" s="39">
        <v>0.12589999999999998</v>
      </c>
      <c r="L698" s="39">
        <v>9.9400000000000002E-2</v>
      </c>
      <c r="M698" s="58">
        <v>5000</v>
      </c>
      <c r="N698" s="58">
        <v>1000000</v>
      </c>
    </row>
    <row r="699" spans="1:14" ht="15" customHeight="1" x14ac:dyDescent="0.25">
      <c r="A699" s="64" t="str">
        <f t="shared" si="10"/>
        <v>0.4-21-0-TOU-2 year Reward</v>
      </c>
      <c r="B699" s="63" t="s">
        <v>13</v>
      </c>
      <c r="C699" s="56">
        <v>21</v>
      </c>
      <c r="D699" s="57" t="s">
        <v>30</v>
      </c>
      <c r="E699" s="57" t="s">
        <v>87</v>
      </c>
      <c r="F699" s="38" t="s">
        <v>88</v>
      </c>
      <c r="G699" s="51">
        <v>0.4</v>
      </c>
      <c r="H699" s="57" t="s">
        <v>68</v>
      </c>
      <c r="I699" s="39">
        <v>0.91900000000000004</v>
      </c>
      <c r="J699" s="39">
        <v>0.16649999999999998</v>
      </c>
      <c r="K699" s="39">
        <v>0.1341</v>
      </c>
      <c r="L699" s="39">
        <v>0.10590000000000001</v>
      </c>
      <c r="M699" s="58">
        <v>5000</v>
      </c>
      <c r="N699" s="58">
        <v>1000000</v>
      </c>
    </row>
    <row r="700" spans="1:14" ht="15" customHeight="1" x14ac:dyDescent="0.25">
      <c r="A700" s="64" t="str">
        <f t="shared" si="10"/>
        <v>0.4-22-0-TOU-2 year Reward</v>
      </c>
      <c r="B700" s="63" t="s">
        <v>13</v>
      </c>
      <c r="C700" s="56">
        <v>22</v>
      </c>
      <c r="D700" s="57" t="s">
        <v>31</v>
      </c>
      <c r="E700" s="57" t="s">
        <v>87</v>
      </c>
      <c r="F700" s="38" t="s">
        <v>88</v>
      </c>
      <c r="G700" s="51">
        <v>0.4</v>
      </c>
      <c r="H700" s="57" t="s">
        <v>68</v>
      </c>
      <c r="I700" s="39">
        <v>0.9</v>
      </c>
      <c r="J700" s="39">
        <v>0.1671</v>
      </c>
      <c r="K700" s="39">
        <v>0.1346</v>
      </c>
      <c r="L700" s="39">
        <v>0.1062</v>
      </c>
      <c r="M700" s="58">
        <v>5000</v>
      </c>
      <c r="N700" s="58">
        <v>1000000</v>
      </c>
    </row>
    <row r="701" spans="1:14" ht="15" customHeight="1" x14ac:dyDescent="0.25">
      <c r="A701" s="64" t="str">
        <f t="shared" si="10"/>
        <v>0.4-23-0-TOU-2 year Reward</v>
      </c>
      <c r="B701" s="63" t="s">
        <v>13</v>
      </c>
      <c r="C701" s="56">
        <v>23</v>
      </c>
      <c r="D701" s="57" t="s">
        <v>32</v>
      </c>
      <c r="E701" s="57" t="s">
        <v>87</v>
      </c>
      <c r="F701" s="38" t="s">
        <v>88</v>
      </c>
      <c r="G701" s="51">
        <v>0.4</v>
      </c>
      <c r="H701" s="57" t="s">
        <v>68</v>
      </c>
      <c r="I701" s="39">
        <v>0.90200000000000002</v>
      </c>
      <c r="J701" s="39">
        <v>0.15889999999999999</v>
      </c>
      <c r="K701" s="39">
        <v>0.12789999999999999</v>
      </c>
      <c r="L701" s="39">
        <v>0.10100000000000001</v>
      </c>
      <c r="M701" s="58">
        <v>5000</v>
      </c>
      <c r="N701" s="58">
        <v>1000000</v>
      </c>
    </row>
    <row r="702" spans="1:14" ht="15" customHeight="1" x14ac:dyDescent="0.25">
      <c r="A702" s="64" t="str">
        <f t="shared" si="10"/>
        <v>0.5-10-0-TOU-2 year Reward</v>
      </c>
      <c r="B702" s="63" t="s">
        <v>13</v>
      </c>
      <c r="C702" s="56">
        <v>10</v>
      </c>
      <c r="D702" s="57" t="s">
        <v>14</v>
      </c>
      <c r="E702" s="57" t="s">
        <v>87</v>
      </c>
      <c r="F702" s="38" t="s">
        <v>88</v>
      </c>
      <c r="G702" s="51">
        <v>0.5</v>
      </c>
      <c r="H702" s="57" t="s">
        <v>68</v>
      </c>
      <c r="I702" s="39">
        <v>0.877</v>
      </c>
      <c r="J702" s="39">
        <v>0.15589999999999998</v>
      </c>
      <c r="K702" s="39">
        <v>0.1255</v>
      </c>
      <c r="L702" s="39">
        <v>9.9100000000000008E-2</v>
      </c>
      <c r="M702" s="58">
        <v>5000</v>
      </c>
      <c r="N702" s="58">
        <v>1000000</v>
      </c>
    </row>
    <row r="703" spans="1:14" ht="15" customHeight="1" x14ac:dyDescent="0.25">
      <c r="A703" s="64" t="str">
        <f t="shared" si="10"/>
        <v>0.5-11-0-TOU-2 year Reward</v>
      </c>
      <c r="B703" s="63" t="s">
        <v>13</v>
      </c>
      <c r="C703" s="56">
        <v>11</v>
      </c>
      <c r="D703" s="57" t="s">
        <v>20</v>
      </c>
      <c r="E703" s="57" t="s">
        <v>87</v>
      </c>
      <c r="F703" s="38" t="s">
        <v>88</v>
      </c>
      <c r="G703" s="51">
        <v>0.5</v>
      </c>
      <c r="H703" s="57" t="s">
        <v>68</v>
      </c>
      <c r="I703" s="39">
        <v>0.85699999999999998</v>
      </c>
      <c r="J703" s="39">
        <v>0.159</v>
      </c>
      <c r="K703" s="39">
        <v>0.128</v>
      </c>
      <c r="L703" s="39">
        <v>0.10110000000000001</v>
      </c>
      <c r="M703" s="58">
        <v>5000</v>
      </c>
      <c r="N703" s="58">
        <v>1000000</v>
      </c>
    </row>
    <row r="704" spans="1:14" ht="15" customHeight="1" x14ac:dyDescent="0.25">
      <c r="A704" s="64" t="str">
        <f t="shared" si="10"/>
        <v>0.5-12-0-TOU-2 year Reward</v>
      </c>
      <c r="B704" s="63" t="s">
        <v>13</v>
      </c>
      <c r="C704" s="56">
        <v>12</v>
      </c>
      <c r="D704" s="57" t="s">
        <v>21</v>
      </c>
      <c r="E704" s="57" t="s">
        <v>87</v>
      </c>
      <c r="F704" s="38" t="s">
        <v>88</v>
      </c>
      <c r="G704" s="51">
        <v>0.5</v>
      </c>
      <c r="H704" s="57" t="s">
        <v>68</v>
      </c>
      <c r="I704" s="39">
        <v>0.89900000000000002</v>
      </c>
      <c r="J704" s="39">
        <v>0.15559999999999999</v>
      </c>
      <c r="K704" s="39">
        <v>0.12529999999999999</v>
      </c>
      <c r="L704" s="39">
        <v>9.8900000000000002E-2</v>
      </c>
      <c r="M704" s="58">
        <v>5000</v>
      </c>
      <c r="N704" s="58">
        <v>1000000</v>
      </c>
    </row>
    <row r="705" spans="1:14" ht="15" customHeight="1" x14ac:dyDescent="0.25">
      <c r="A705" s="64" t="str">
        <f t="shared" si="10"/>
        <v>0.5-13-0-TOU-2 year Reward</v>
      </c>
      <c r="B705" s="63" t="s">
        <v>13</v>
      </c>
      <c r="C705" s="56">
        <v>13</v>
      </c>
      <c r="D705" s="57" t="s">
        <v>22</v>
      </c>
      <c r="E705" s="57" t="s">
        <v>87</v>
      </c>
      <c r="F705" s="38" t="s">
        <v>88</v>
      </c>
      <c r="G705" s="51">
        <v>0.5</v>
      </c>
      <c r="H705" s="57" t="s">
        <v>68</v>
      </c>
      <c r="I705" s="39">
        <v>0.877</v>
      </c>
      <c r="J705" s="39">
        <v>0.16869999999999999</v>
      </c>
      <c r="K705" s="39">
        <v>0.13579999999999998</v>
      </c>
      <c r="L705" s="39">
        <v>0.1072</v>
      </c>
      <c r="M705" s="58">
        <v>5000</v>
      </c>
      <c r="N705" s="58">
        <v>1000000</v>
      </c>
    </row>
    <row r="706" spans="1:14" ht="15" customHeight="1" x14ac:dyDescent="0.25">
      <c r="A706" s="64" t="str">
        <f t="shared" si="10"/>
        <v>0.5-14-0-TOU-2 year Reward</v>
      </c>
      <c r="B706" s="63" t="s">
        <v>13</v>
      </c>
      <c r="C706" s="56">
        <v>14</v>
      </c>
      <c r="D706" s="57" t="s">
        <v>23</v>
      </c>
      <c r="E706" s="57" t="s">
        <v>87</v>
      </c>
      <c r="F706" s="38" t="s">
        <v>88</v>
      </c>
      <c r="G706" s="51">
        <v>0.5</v>
      </c>
      <c r="H706" s="57" t="s">
        <v>68</v>
      </c>
      <c r="I706" s="39">
        <v>0.88600000000000001</v>
      </c>
      <c r="J706" s="39">
        <v>0.16009999999999999</v>
      </c>
      <c r="K706" s="39">
        <v>0.12889999999999999</v>
      </c>
      <c r="L706" s="39">
        <v>0.1017</v>
      </c>
      <c r="M706" s="58">
        <v>5000</v>
      </c>
      <c r="N706" s="58">
        <v>1000000</v>
      </c>
    </row>
    <row r="707" spans="1:14" ht="15" customHeight="1" x14ac:dyDescent="0.25">
      <c r="A707" s="64" t="str">
        <f t="shared" ref="A707:A770" si="11">IF(E707="OP","",CONCATENATE(G707,"-",C707,"-",RIGHT(F707,1),"-",E707,"-",H707))</f>
        <v>0.5-15-0-TOU-2 year Reward</v>
      </c>
      <c r="B707" s="63" t="s">
        <v>13</v>
      </c>
      <c r="C707" s="56">
        <v>15</v>
      </c>
      <c r="D707" s="57" t="s">
        <v>24</v>
      </c>
      <c r="E707" s="57" t="s">
        <v>87</v>
      </c>
      <c r="F707" s="38" t="s">
        <v>88</v>
      </c>
      <c r="G707" s="51">
        <v>0.5</v>
      </c>
      <c r="H707" s="57" t="s">
        <v>68</v>
      </c>
      <c r="I707" s="39">
        <v>0.95599999999999996</v>
      </c>
      <c r="J707" s="39">
        <v>0.1598</v>
      </c>
      <c r="K707" s="39">
        <v>0.12869999999999998</v>
      </c>
      <c r="L707" s="39">
        <v>0.10160000000000001</v>
      </c>
      <c r="M707" s="58">
        <v>5000</v>
      </c>
      <c r="N707" s="58">
        <v>1000000</v>
      </c>
    </row>
    <row r="708" spans="1:14" ht="15" customHeight="1" x14ac:dyDescent="0.25">
      <c r="A708" s="64" t="str">
        <f t="shared" si="11"/>
        <v>0.5-16-0-TOU-2 year Reward</v>
      </c>
      <c r="B708" s="63" t="s">
        <v>13</v>
      </c>
      <c r="C708" s="56">
        <v>16</v>
      </c>
      <c r="D708" s="57" t="s">
        <v>25</v>
      </c>
      <c r="E708" s="57" t="s">
        <v>87</v>
      </c>
      <c r="F708" s="38" t="s">
        <v>88</v>
      </c>
      <c r="G708" s="51">
        <v>0.5</v>
      </c>
      <c r="H708" s="57" t="s">
        <v>68</v>
      </c>
      <c r="I708" s="39">
        <v>0.72399999999999998</v>
      </c>
      <c r="J708" s="39">
        <v>0.15909999999999999</v>
      </c>
      <c r="K708" s="39">
        <v>0.12809999999999999</v>
      </c>
      <c r="L708" s="39">
        <v>0.1011</v>
      </c>
      <c r="M708" s="58">
        <v>5000</v>
      </c>
      <c r="N708" s="58">
        <v>1000000</v>
      </c>
    </row>
    <row r="709" spans="1:14" ht="15" customHeight="1" x14ac:dyDescent="0.25">
      <c r="A709" s="64" t="str">
        <f t="shared" si="11"/>
        <v>0.5-17-0-TOU-2 year Reward</v>
      </c>
      <c r="B709" s="63" t="s">
        <v>13</v>
      </c>
      <c r="C709" s="56">
        <v>17</v>
      </c>
      <c r="D709" s="57" t="s">
        <v>26</v>
      </c>
      <c r="E709" s="57" t="s">
        <v>87</v>
      </c>
      <c r="F709" s="38" t="s">
        <v>88</v>
      </c>
      <c r="G709" s="51">
        <v>0.5</v>
      </c>
      <c r="H709" s="57" t="s">
        <v>68</v>
      </c>
      <c r="I709" s="39">
        <v>1.6619999999999999</v>
      </c>
      <c r="J709" s="39">
        <v>0.17809999999999998</v>
      </c>
      <c r="K709" s="39">
        <v>0.1434</v>
      </c>
      <c r="L709" s="39">
        <v>0.11320000000000001</v>
      </c>
      <c r="M709" s="58">
        <v>5000</v>
      </c>
      <c r="N709" s="58">
        <v>1000000</v>
      </c>
    </row>
    <row r="710" spans="1:14" ht="15" customHeight="1" x14ac:dyDescent="0.25">
      <c r="A710" s="64" t="str">
        <f t="shared" si="11"/>
        <v>0.5-18-0-TOU-2 year Reward</v>
      </c>
      <c r="B710" s="63" t="s">
        <v>13</v>
      </c>
      <c r="C710" s="56">
        <v>18</v>
      </c>
      <c r="D710" s="57" t="s">
        <v>27</v>
      </c>
      <c r="E710" s="57" t="s">
        <v>87</v>
      </c>
      <c r="F710" s="38" t="s">
        <v>88</v>
      </c>
      <c r="G710" s="51">
        <v>0.5</v>
      </c>
      <c r="H710" s="57" t="s">
        <v>68</v>
      </c>
      <c r="I710" s="39">
        <v>0.89500000000000002</v>
      </c>
      <c r="J710" s="39">
        <v>0.15859999999999999</v>
      </c>
      <c r="K710" s="39">
        <v>0.12769999999999998</v>
      </c>
      <c r="L710" s="39">
        <v>0.1008</v>
      </c>
      <c r="M710" s="58">
        <v>5000</v>
      </c>
      <c r="N710" s="58">
        <v>1000000</v>
      </c>
    </row>
    <row r="711" spans="1:14" ht="15" customHeight="1" x14ac:dyDescent="0.25">
      <c r="A711" s="64" t="str">
        <f t="shared" si="11"/>
        <v>0.5-19-0-TOU-2 year Reward</v>
      </c>
      <c r="B711" s="63" t="s">
        <v>13</v>
      </c>
      <c r="C711" s="56">
        <v>19</v>
      </c>
      <c r="D711" s="57" t="s">
        <v>28</v>
      </c>
      <c r="E711" s="57" t="s">
        <v>87</v>
      </c>
      <c r="F711" s="38" t="s">
        <v>88</v>
      </c>
      <c r="G711" s="51">
        <v>0.5</v>
      </c>
      <c r="H711" s="57" t="s">
        <v>68</v>
      </c>
      <c r="I711" s="39">
        <v>0.77400000000000002</v>
      </c>
      <c r="J711" s="39">
        <v>0.1575</v>
      </c>
      <c r="K711" s="39">
        <v>0.1268</v>
      </c>
      <c r="L711" s="39">
        <v>0.10010000000000001</v>
      </c>
      <c r="M711" s="58">
        <v>5000</v>
      </c>
      <c r="N711" s="58">
        <v>1000000</v>
      </c>
    </row>
    <row r="712" spans="1:14" ht="15" customHeight="1" x14ac:dyDescent="0.25">
      <c r="A712" s="64" t="str">
        <f t="shared" si="11"/>
        <v>0.5-20-0-TOU-2 year Reward</v>
      </c>
      <c r="B712" s="63" t="s">
        <v>13</v>
      </c>
      <c r="C712" s="56">
        <v>20</v>
      </c>
      <c r="D712" s="57" t="s">
        <v>29</v>
      </c>
      <c r="E712" s="57" t="s">
        <v>87</v>
      </c>
      <c r="F712" s="38" t="s">
        <v>88</v>
      </c>
      <c r="G712" s="51">
        <v>0.5</v>
      </c>
      <c r="H712" s="57" t="s">
        <v>68</v>
      </c>
      <c r="I712" s="39">
        <v>0.82299999999999995</v>
      </c>
      <c r="J712" s="39">
        <v>0.15759999999999999</v>
      </c>
      <c r="K712" s="39">
        <v>0.12689999999999999</v>
      </c>
      <c r="L712" s="39">
        <v>0.1002</v>
      </c>
      <c r="M712" s="58">
        <v>5000</v>
      </c>
      <c r="N712" s="58">
        <v>1000000</v>
      </c>
    </row>
    <row r="713" spans="1:14" ht="15" customHeight="1" x14ac:dyDescent="0.25">
      <c r="A713" s="64" t="str">
        <f t="shared" si="11"/>
        <v>0.5-21-0-TOU-2 year Reward</v>
      </c>
      <c r="B713" s="63" t="s">
        <v>13</v>
      </c>
      <c r="C713" s="56">
        <v>21</v>
      </c>
      <c r="D713" s="57" t="s">
        <v>30</v>
      </c>
      <c r="E713" s="57" t="s">
        <v>87</v>
      </c>
      <c r="F713" s="38" t="s">
        <v>88</v>
      </c>
      <c r="G713" s="51">
        <v>0.5</v>
      </c>
      <c r="H713" s="57" t="s">
        <v>68</v>
      </c>
      <c r="I713" s="39">
        <v>0.91900000000000004</v>
      </c>
      <c r="J713" s="39">
        <v>0.16769999999999999</v>
      </c>
      <c r="K713" s="39">
        <v>0.13499999999999998</v>
      </c>
      <c r="L713" s="39">
        <v>0.1066</v>
      </c>
      <c r="M713" s="58">
        <v>5000</v>
      </c>
      <c r="N713" s="58">
        <v>1000000</v>
      </c>
    </row>
    <row r="714" spans="1:14" ht="15" customHeight="1" x14ac:dyDescent="0.25">
      <c r="A714" s="64" t="str">
        <f t="shared" si="11"/>
        <v>0.5-22-0-TOU-2 year Reward</v>
      </c>
      <c r="B714" s="63" t="s">
        <v>13</v>
      </c>
      <c r="C714" s="56">
        <v>22</v>
      </c>
      <c r="D714" s="57" t="s">
        <v>31</v>
      </c>
      <c r="E714" s="57" t="s">
        <v>87</v>
      </c>
      <c r="F714" s="38" t="s">
        <v>88</v>
      </c>
      <c r="G714" s="51">
        <v>0.5</v>
      </c>
      <c r="H714" s="57" t="s">
        <v>68</v>
      </c>
      <c r="I714" s="39">
        <v>0.9</v>
      </c>
      <c r="J714" s="39">
        <v>0.16829999999999998</v>
      </c>
      <c r="K714" s="39">
        <v>0.13549999999999998</v>
      </c>
      <c r="L714" s="39">
        <v>0.107</v>
      </c>
      <c r="M714" s="58">
        <v>5000</v>
      </c>
      <c r="N714" s="58">
        <v>1000000</v>
      </c>
    </row>
    <row r="715" spans="1:14" ht="15" customHeight="1" x14ac:dyDescent="0.25">
      <c r="A715" s="64" t="str">
        <f t="shared" si="11"/>
        <v>0.5-23-0-TOU-2 year Reward</v>
      </c>
      <c r="B715" s="63" t="s">
        <v>13</v>
      </c>
      <c r="C715" s="56">
        <v>23</v>
      </c>
      <c r="D715" s="57" t="s">
        <v>32</v>
      </c>
      <c r="E715" s="57" t="s">
        <v>87</v>
      </c>
      <c r="F715" s="38" t="s">
        <v>88</v>
      </c>
      <c r="G715" s="51">
        <v>0.5</v>
      </c>
      <c r="H715" s="57" t="s">
        <v>68</v>
      </c>
      <c r="I715" s="39">
        <v>0.90200000000000002</v>
      </c>
      <c r="J715" s="39">
        <v>0.16009999999999999</v>
      </c>
      <c r="K715" s="39">
        <v>0.12889999999999999</v>
      </c>
      <c r="L715" s="39">
        <v>0.1017</v>
      </c>
      <c r="M715" s="58">
        <v>5000</v>
      </c>
      <c r="N715" s="58">
        <v>1000000</v>
      </c>
    </row>
    <row r="716" spans="1:14" ht="15" customHeight="1" x14ac:dyDescent="0.25">
      <c r="A716" s="64" t="str">
        <f t="shared" si="11"/>
        <v>0.6-10-0-TOU-2 year Reward</v>
      </c>
      <c r="B716" s="63" t="s">
        <v>13</v>
      </c>
      <c r="C716" s="56">
        <v>10</v>
      </c>
      <c r="D716" s="57" t="s">
        <v>14</v>
      </c>
      <c r="E716" s="57" t="s">
        <v>87</v>
      </c>
      <c r="F716" s="38" t="s">
        <v>88</v>
      </c>
      <c r="G716" s="51">
        <v>0.6</v>
      </c>
      <c r="H716" s="57" t="s">
        <v>68</v>
      </c>
      <c r="I716" s="39">
        <v>0.877</v>
      </c>
      <c r="J716" s="39">
        <v>0.15709999999999999</v>
      </c>
      <c r="K716" s="39">
        <v>0.1265</v>
      </c>
      <c r="L716" s="39">
        <v>9.9900000000000003E-2</v>
      </c>
      <c r="M716" s="58">
        <v>5000</v>
      </c>
      <c r="N716" s="58">
        <v>1000000</v>
      </c>
    </row>
    <row r="717" spans="1:14" ht="15" customHeight="1" x14ac:dyDescent="0.25">
      <c r="A717" s="64" t="str">
        <f t="shared" si="11"/>
        <v>0.6-11-0-TOU-2 year Reward</v>
      </c>
      <c r="B717" s="63" t="s">
        <v>13</v>
      </c>
      <c r="C717" s="56">
        <v>11</v>
      </c>
      <c r="D717" s="57" t="s">
        <v>20</v>
      </c>
      <c r="E717" s="57" t="s">
        <v>87</v>
      </c>
      <c r="F717" s="38" t="s">
        <v>88</v>
      </c>
      <c r="G717" s="51">
        <v>0.6</v>
      </c>
      <c r="H717" s="57" t="s">
        <v>68</v>
      </c>
      <c r="I717" s="39">
        <v>0.85699999999999998</v>
      </c>
      <c r="J717" s="39">
        <v>0.16019999999999998</v>
      </c>
      <c r="K717" s="39">
        <v>0.12899999999999998</v>
      </c>
      <c r="L717" s="39">
        <v>0.1018</v>
      </c>
      <c r="M717" s="58">
        <v>5000</v>
      </c>
      <c r="N717" s="58">
        <v>1000000</v>
      </c>
    </row>
    <row r="718" spans="1:14" ht="15" customHeight="1" x14ac:dyDescent="0.25">
      <c r="A718" s="64" t="str">
        <f t="shared" si="11"/>
        <v>0.6-12-0-TOU-2 year Reward</v>
      </c>
      <c r="B718" s="63" t="s">
        <v>13</v>
      </c>
      <c r="C718" s="56">
        <v>12</v>
      </c>
      <c r="D718" s="57" t="s">
        <v>21</v>
      </c>
      <c r="E718" s="57" t="s">
        <v>87</v>
      </c>
      <c r="F718" s="38" t="s">
        <v>88</v>
      </c>
      <c r="G718" s="51">
        <v>0.6</v>
      </c>
      <c r="H718" s="57" t="s">
        <v>68</v>
      </c>
      <c r="I718" s="39">
        <v>0.89900000000000002</v>
      </c>
      <c r="J718" s="39">
        <v>0.15679999999999999</v>
      </c>
      <c r="K718" s="39">
        <v>0.12619999999999998</v>
      </c>
      <c r="L718" s="39">
        <v>9.9599999999999994E-2</v>
      </c>
      <c r="M718" s="58">
        <v>5000</v>
      </c>
      <c r="N718" s="58">
        <v>1000000</v>
      </c>
    </row>
    <row r="719" spans="1:14" ht="15" customHeight="1" x14ac:dyDescent="0.25">
      <c r="A719" s="64" t="str">
        <f t="shared" si="11"/>
        <v>0.6-13-0-TOU-2 year Reward</v>
      </c>
      <c r="B719" s="63" t="s">
        <v>13</v>
      </c>
      <c r="C719" s="56">
        <v>13</v>
      </c>
      <c r="D719" s="57" t="s">
        <v>22</v>
      </c>
      <c r="E719" s="57" t="s">
        <v>87</v>
      </c>
      <c r="F719" s="38" t="s">
        <v>88</v>
      </c>
      <c r="G719" s="51">
        <v>0.6</v>
      </c>
      <c r="H719" s="57" t="s">
        <v>68</v>
      </c>
      <c r="I719" s="39">
        <v>0.877</v>
      </c>
      <c r="J719" s="39">
        <v>0.1699</v>
      </c>
      <c r="K719" s="39">
        <v>0.13679999999999998</v>
      </c>
      <c r="L719" s="39">
        <v>0.108</v>
      </c>
      <c r="M719" s="58">
        <v>5000</v>
      </c>
      <c r="N719" s="58">
        <v>1000000</v>
      </c>
    </row>
    <row r="720" spans="1:14" ht="15" customHeight="1" x14ac:dyDescent="0.25">
      <c r="A720" s="64" t="str">
        <f t="shared" si="11"/>
        <v>0.6-14-0-TOU-2 year Reward</v>
      </c>
      <c r="B720" s="63" t="s">
        <v>13</v>
      </c>
      <c r="C720" s="56">
        <v>14</v>
      </c>
      <c r="D720" s="57" t="s">
        <v>23</v>
      </c>
      <c r="E720" s="57" t="s">
        <v>87</v>
      </c>
      <c r="F720" s="38" t="s">
        <v>88</v>
      </c>
      <c r="G720" s="51">
        <v>0.6</v>
      </c>
      <c r="H720" s="57" t="s">
        <v>68</v>
      </c>
      <c r="I720" s="39">
        <v>0.88600000000000001</v>
      </c>
      <c r="J720" s="39">
        <v>0.16119999999999998</v>
      </c>
      <c r="K720" s="39">
        <v>0.1298</v>
      </c>
      <c r="L720" s="39">
        <v>0.10250000000000001</v>
      </c>
      <c r="M720" s="58">
        <v>5000</v>
      </c>
      <c r="N720" s="58">
        <v>1000000</v>
      </c>
    </row>
    <row r="721" spans="1:14" ht="15" customHeight="1" x14ac:dyDescent="0.25">
      <c r="A721" s="64" t="str">
        <f t="shared" si="11"/>
        <v>0.6-15-0-TOU-2 year Reward</v>
      </c>
      <c r="B721" s="63" t="s">
        <v>13</v>
      </c>
      <c r="C721" s="56">
        <v>15</v>
      </c>
      <c r="D721" s="57" t="s">
        <v>24</v>
      </c>
      <c r="E721" s="57" t="s">
        <v>87</v>
      </c>
      <c r="F721" s="38" t="s">
        <v>88</v>
      </c>
      <c r="G721" s="51">
        <v>0.6</v>
      </c>
      <c r="H721" s="57" t="s">
        <v>68</v>
      </c>
      <c r="I721" s="39">
        <v>0.95599999999999996</v>
      </c>
      <c r="J721" s="39">
        <v>0.16099999999999998</v>
      </c>
      <c r="K721" s="39">
        <v>0.12959999999999999</v>
      </c>
      <c r="L721" s="39">
        <v>0.1023</v>
      </c>
      <c r="M721" s="58">
        <v>5000</v>
      </c>
      <c r="N721" s="58">
        <v>1000000</v>
      </c>
    </row>
    <row r="722" spans="1:14" ht="15" customHeight="1" x14ac:dyDescent="0.25">
      <c r="A722" s="64" t="str">
        <f t="shared" si="11"/>
        <v>0.6-16-0-TOU-2 year Reward</v>
      </c>
      <c r="B722" s="63" t="s">
        <v>13</v>
      </c>
      <c r="C722" s="56">
        <v>16</v>
      </c>
      <c r="D722" s="57" t="s">
        <v>25</v>
      </c>
      <c r="E722" s="57" t="s">
        <v>87</v>
      </c>
      <c r="F722" s="38" t="s">
        <v>88</v>
      </c>
      <c r="G722" s="51">
        <v>0.6</v>
      </c>
      <c r="H722" s="57" t="s">
        <v>68</v>
      </c>
      <c r="I722" s="39">
        <v>0.72399999999999998</v>
      </c>
      <c r="J722" s="39">
        <v>0.1603</v>
      </c>
      <c r="K722" s="39">
        <v>0.12909999999999999</v>
      </c>
      <c r="L722" s="39">
        <v>0.1019</v>
      </c>
      <c r="M722" s="58">
        <v>5000</v>
      </c>
      <c r="N722" s="58">
        <v>1000000</v>
      </c>
    </row>
    <row r="723" spans="1:14" ht="15" customHeight="1" x14ac:dyDescent="0.25">
      <c r="A723" s="64" t="str">
        <f t="shared" si="11"/>
        <v>0.6-17-0-TOU-2 year Reward</v>
      </c>
      <c r="B723" s="63" t="s">
        <v>13</v>
      </c>
      <c r="C723" s="56">
        <v>17</v>
      </c>
      <c r="D723" s="57" t="s">
        <v>26</v>
      </c>
      <c r="E723" s="57" t="s">
        <v>87</v>
      </c>
      <c r="F723" s="38" t="s">
        <v>88</v>
      </c>
      <c r="G723" s="51">
        <v>0.6</v>
      </c>
      <c r="H723" s="57" t="s">
        <v>68</v>
      </c>
      <c r="I723" s="39">
        <v>1.6619999999999999</v>
      </c>
      <c r="J723" s="39">
        <v>0.17929999999999999</v>
      </c>
      <c r="K723" s="39">
        <v>0.1444</v>
      </c>
      <c r="L723" s="39">
        <v>0.114</v>
      </c>
      <c r="M723" s="58">
        <v>5000</v>
      </c>
      <c r="N723" s="58">
        <v>1000000</v>
      </c>
    </row>
    <row r="724" spans="1:14" ht="15" customHeight="1" x14ac:dyDescent="0.25">
      <c r="A724" s="64" t="str">
        <f t="shared" si="11"/>
        <v>0.6-18-0-TOU-2 year Reward</v>
      </c>
      <c r="B724" s="63" t="s">
        <v>13</v>
      </c>
      <c r="C724" s="56">
        <v>18</v>
      </c>
      <c r="D724" s="57" t="s">
        <v>27</v>
      </c>
      <c r="E724" s="57" t="s">
        <v>87</v>
      </c>
      <c r="F724" s="38" t="s">
        <v>88</v>
      </c>
      <c r="G724" s="51">
        <v>0.6</v>
      </c>
      <c r="H724" s="57" t="s">
        <v>68</v>
      </c>
      <c r="I724" s="39">
        <v>0.89500000000000002</v>
      </c>
      <c r="J724" s="39">
        <v>0.1598</v>
      </c>
      <c r="K724" s="39">
        <v>0.12869999999999998</v>
      </c>
      <c r="L724" s="39">
        <v>0.10160000000000001</v>
      </c>
      <c r="M724" s="58">
        <v>5000</v>
      </c>
      <c r="N724" s="58">
        <v>1000000</v>
      </c>
    </row>
    <row r="725" spans="1:14" ht="15" customHeight="1" x14ac:dyDescent="0.25">
      <c r="A725" s="64" t="str">
        <f t="shared" si="11"/>
        <v>0.6-19-0-TOU-2 year Reward</v>
      </c>
      <c r="B725" s="63" t="s">
        <v>13</v>
      </c>
      <c r="C725" s="56">
        <v>19</v>
      </c>
      <c r="D725" s="57" t="s">
        <v>28</v>
      </c>
      <c r="E725" s="57" t="s">
        <v>87</v>
      </c>
      <c r="F725" s="38" t="s">
        <v>88</v>
      </c>
      <c r="G725" s="51">
        <v>0.6</v>
      </c>
      <c r="H725" s="57" t="s">
        <v>68</v>
      </c>
      <c r="I725" s="39">
        <v>0.77400000000000002</v>
      </c>
      <c r="J725" s="39">
        <v>0.15859999999999999</v>
      </c>
      <c r="K725" s="39">
        <v>0.12769999999999998</v>
      </c>
      <c r="L725" s="39">
        <v>0.1008</v>
      </c>
      <c r="M725" s="58">
        <v>5000</v>
      </c>
      <c r="N725" s="58">
        <v>1000000</v>
      </c>
    </row>
    <row r="726" spans="1:14" ht="15" customHeight="1" x14ac:dyDescent="0.25">
      <c r="A726" s="64" t="str">
        <f t="shared" si="11"/>
        <v>0.6-20-0-TOU-2 year Reward</v>
      </c>
      <c r="B726" s="63" t="s">
        <v>13</v>
      </c>
      <c r="C726" s="56">
        <v>20</v>
      </c>
      <c r="D726" s="57" t="s">
        <v>29</v>
      </c>
      <c r="E726" s="57" t="s">
        <v>87</v>
      </c>
      <c r="F726" s="38" t="s">
        <v>88</v>
      </c>
      <c r="G726" s="51">
        <v>0.6</v>
      </c>
      <c r="H726" s="57" t="s">
        <v>68</v>
      </c>
      <c r="I726" s="39">
        <v>0.82299999999999995</v>
      </c>
      <c r="J726" s="39">
        <v>0.1588</v>
      </c>
      <c r="K726" s="39">
        <v>0.1278</v>
      </c>
      <c r="L726" s="39">
        <v>0.1009</v>
      </c>
      <c r="M726" s="58">
        <v>5000</v>
      </c>
      <c r="N726" s="58">
        <v>1000000</v>
      </c>
    </row>
    <row r="727" spans="1:14" ht="15" customHeight="1" x14ac:dyDescent="0.25">
      <c r="A727" s="64" t="str">
        <f t="shared" si="11"/>
        <v>0.6-21-0-TOU-2 year Reward</v>
      </c>
      <c r="B727" s="63" t="s">
        <v>13</v>
      </c>
      <c r="C727" s="56">
        <v>21</v>
      </c>
      <c r="D727" s="57" t="s">
        <v>30</v>
      </c>
      <c r="E727" s="57" t="s">
        <v>87</v>
      </c>
      <c r="F727" s="38" t="s">
        <v>88</v>
      </c>
      <c r="G727" s="51">
        <v>0.6</v>
      </c>
      <c r="H727" s="57" t="s">
        <v>68</v>
      </c>
      <c r="I727" s="39">
        <v>0.91900000000000004</v>
      </c>
      <c r="J727" s="39">
        <v>0.16889999999999999</v>
      </c>
      <c r="K727" s="39">
        <v>0.13599999999999998</v>
      </c>
      <c r="L727" s="39">
        <v>0.10740000000000001</v>
      </c>
      <c r="M727" s="58">
        <v>5000</v>
      </c>
      <c r="N727" s="58">
        <v>1000000</v>
      </c>
    </row>
    <row r="728" spans="1:14" ht="15" customHeight="1" x14ac:dyDescent="0.25">
      <c r="A728" s="64" t="str">
        <f t="shared" si="11"/>
        <v>0.6-22-0-TOU-2 year Reward</v>
      </c>
      <c r="B728" s="63" t="s">
        <v>13</v>
      </c>
      <c r="C728" s="56">
        <v>22</v>
      </c>
      <c r="D728" s="57" t="s">
        <v>31</v>
      </c>
      <c r="E728" s="57" t="s">
        <v>87</v>
      </c>
      <c r="F728" s="38" t="s">
        <v>88</v>
      </c>
      <c r="G728" s="51">
        <v>0.6</v>
      </c>
      <c r="H728" s="57" t="s">
        <v>68</v>
      </c>
      <c r="I728" s="39">
        <v>0.9</v>
      </c>
      <c r="J728" s="39">
        <v>0.16949999999999998</v>
      </c>
      <c r="K728" s="39">
        <v>0.13649999999999998</v>
      </c>
      <c r="L728" s="39">
        <v>0.1077</v>
      </c>
      <c r="M728" s="58">
        <v>5000</v>
      </c>
      <c r="N728" s="58">
        <v>1000000</v>
      </c>
    </row>
    <row r="729" spans="1:14" ht="15" customHeight="1" x14ac:dyDescent="0.25">
      <c r="A729" s="64" t="str">
        <f t="shared" si="11"/>
        <v>0.6-23-0-TOU-2 year Reward</v>
      </c>
      <c r="B729" s="63" t="s">
        <v>13</v>
      </c>
      <c r="C729" s="56">
        <v>23</v>
      </c>
      <c r="D729" s="57" t="s">
        <v>32</v>
      </c>
      <c r="E729" s="57" t="s">
        <v>87</v>
      </c>
      <c r="F729" s="38" t="s">
        <v>88</v>
      </c>
      <c r="G729" s="51">
        <v>0.6</v>
      </c>
      <c r="H729" s="57" t="s">
        <v>68</v>
      </c>
      <c r="I729" s="39">
        <v>0.90200000000000002</v>
      </c>
      <c r="J729" s="39">
        <v>0.16119999999999998</v>
      </c>
      <c r="K729" s="39">
        <v>0.1298</v>
      </c>
      <c r="L729" s="39">
        <v>0.10250000000000001</v>
      </c>
      <c r="M729" s="58">
        <v>5000</v>
      </c>
      <c r="N729" s="58">
        <v>1000000</v>
      </c>
    </row>
    <row r="730" spans="1:14" ht="15" customHeight="1" x14ac:dyDescent="0.25">
      <c r="A730" s="64" t="str">
        <f t="shared" si="11"/>
        <v>0.7-10-0-TOU-2 year Reward</v>
      </c>
      <c r="B730" s="63" t="s">
        <v>13</v>
      </c>
      <c r="C730" s="56">
        <v>10</v>
      </c>
      <c r="D730" s="57" t="s">
        <v>14</v>
      </c>
      <c r="E730" s="57" t="s">
        <v>87</v>
      </c>
      <c r="F730" s="38" t="s">
        <v>88</v>
      </c>
      <c r="G730" s="51">
        <v>0.7</v>
      </c>
      <c r="H730" s="57" t="s">
        <v>68</v>
      </c>
      <c r="I730" s="39">
        <v>0.877</v>
      </c>
      <c r="J730" s="39">
        <v>0.1583</v>
      </c>
      <c r="K730" s="39">
        <v>0.12739999999999999</v>
      </c>
      <c r="L730" s="39">
        <v>0.10060000000000001</v>
      </c>
      <c r="M730" s="58">
        <v>5000</v>
      </c>
      <c r="N730" s="58">
        <v>1000000</v>
      </c>
    </row>
    <row r="731" spans="1:14" ht="15" customHeight="1" x14ac:dyDescent="0.25">
      <c r="A731" s="64" t="str">
        <f t="shared" si="11"/>
        <v>0.7-11-0-TOU-2 year Reward</v>
      </c>
      <c r="B731" s="63" t="s">
        <v>13</v>
      </c>
      <c r="C731" s="56">
        <v>11</v>
      </c>
      <c r="D731" s="57" t="s">
        <v>20</v>
      </c>
      <c r="E731" s="57" t="s">
        <v>87</v>
      </c>
      <c r="F731" s="38" t="s">
        <v>88</v>
      </c>
      <c r="G731" s="51">
        <v>0.7</v>
      </c>
      <c r="H731" s="57" t="s">
        <v>68</v>
      </c>
      <c r="I731" s="39">
        <v>0.85699999999999998</v>
      </c>
      <c r="J731" s="39">
        <v>0.16139999999999999</v>
      </c>
      <c r="K731" s="39">
        <v>0.12989999999999999</v>
      </c>
      <c r="L731" s="39">
        <v>0.1026</v>
      </c>
      <c r="M731" s="58">
        <v>5000</v>
      </c>
      <c r="N731" s="58">
        <v>1000000</v>
      </c>
    </row>
    <row r="732" spans="1:14" ht="15" customHeight="1" x14ac:dyDescent="0.25">
      <c r="A732" s="64" t="str">
        <f t="shared" si="11"/>
        <v>0.7-12-0-TOU-2 year Reward</v>
      </c>
      <c r="B732" s="63" t="s">
        <v>13</v>
      </c>
      <c r="C732" s="56">
        <v>12</v>
      </c>
      <c r="D732" s="57" t="s">
        <v>21</v>
      </c>
      <c r="E732" s="57" t="s">
        <v>87</v>
      </c>
      <c r="F732" s="38" t="s">
        <v>88</v>
      </c>
      <c r="G732" s="51">
        <v>0.7</v>
      </c>
      <c r="H732" s="57" t="s">
        <v>68</v>
      </c>
      <c r="I732" s="39">
        <v>0.89900000000000002</v>
      </c>
      <c r="J732" s="39">
        <v>0.15789999999999998</v>
      </c>
      <c r="K732" s="39">
        <v>0.12719999999999998</v>
      </c>
      <c r="L732" s="39">
        <v>0.1004</v>
      </c>
      <c r="M732" s="58">
        <v>5000</v>
      </c>
      <c r="N732" s="58">
        <v>1000000</v>
      </c>
    </row>
    <row r="733" spans="1:14" ht="15" customHeight="1" x14ac:dyDescent="0.25">
      <c r="A733" s="64" t="str">
        <f t="shared" si="11"/>
        <v>0.7-13-0-TOU-2 year Reward</v>
      </c>
      <c r="B733" s="63" t="s">
        <v>13</v>
      </c>
      <c r="C733" s="56">
        <v>13</v>
      </c>
      <c r="D733" s="57" t="s">
        <v>22</v>
      </c>
      <c r="E733" s="57" t="s">
        <v>87</v>
      </c>
      <c r="F733" s="38" t="s">
        <v>88</v>
      </c>
      <c r="G733" s="51">
        <v>0.7</v>
      </c>
      <c r="H733" s="57" t="s">
        <v>68</v>
      </c>
      <c r="I733" s="39">
        <v>0.877</v>
      </c>
      <c r="J733" s="39">
        <v>0.17099999999999999</v>
      </c>
      <c r="K733" s="39">
        <v>0.13769999999999999</v>
      </c>
      <c r="L733" s="39">
        <v>0.1087</v>
      </c>
      <c r="M733" s="58">
        <v>5000</v>
      </c>
      <c r="N733" s="58">
        <v>1000000</v>
      </c>
    </row>
    <row r="734" spans="1:14" ht="15" customHeight="1" x14ac:dyDescent="0.25">
      <c r="A734" s="64" t="str">
        <f t="shared" si="11"/>
        <v>0.7-14-0-TOU-2 year Reward</v>
      </c>
      <c r="B734" s="63" t="s">
        <v>13</v>
      </c>
      <c r="C734" s="56">
        <v>14</v>
      </c>
      <c r="D734" s="57" t="s">
        <v>23</v>
      </c>
      <c r="E734" s="57" t="s">
        <v>87</v>
      </c>
      <c r="F734" s="38" t="s">
        <v>88</v>
      </c>
      <c r="G734" s="51">
        <v>0.7</v>
      </c>
      <c r="H734" s="57" t="s">
        <v>68</v>
      </c>
      <c r="I734" s="39">
        <v>0.88600000000000001</v>
      </c>
      <c r="J734" s="39">
        <v>0.16239999999999999</v>
      </c>
      <c r="K734" s="39">
        <v>0.1308</v>
      </c>
      <c r="L734" s="39">
        <v>0.1032</v>
      </c>
      <c r="M734" s="58">
        <v>5000</v>
      </c>
      <c r="N734" s="58">
        <v>1000000</v>
      </c>
    </row>
    <row r="735" spans="1:14" ht="15" customHeight="1" x14ac:dyDescent="0.25">
      <c r="A735" s="64" t="str">
        <f t="shared" si="11"/>
        <v>0.7-15-0-TOU-2 year Reward</v>
      </c>
      <c r="B735" s="63" t="s">
        <v>13</v>
      </c>
      <c r="C735" s="56">
        <v>15</v>
      </c>
      <c r="D735" s="57" t="s">
        <v>24</v>
      </c>
      <c r="E735" s="57" t="s">
        <v>87</v>
      </c>
      <c r="F735" s="38" t="s">
        <v>88</v>
      </c>
      <c r="G735" s="51">
        <v>0.7</v>
      </c>
      <c r="H735" s="57" t="s">
        <v>68</v>
      </c>
      <c r="I735" s="39">
        <v>0.95599999999999996</v>
      </c>
      <c r="J735" s="39">
        <v>0.16219999999999998</v>
      </c>
      <c r="K735" s="39">
        <v>0.13059999999999999</v>
      </c>
      <c r="L735" s="39">
        <v>0.1031</v>
      </c>
      <c r="M735" s="58">
        <v>5000</v>
      </c>
      <c r="N735" s="58">
        <v>1000000</v>
      </c>
    </row>
    <row r="736" spans="1:14" ht="15" customHeight="1" x14ac:dyDescent="0.25">
      <c r="A736" s="64" t="str">
        <f t="shared" si="11"/>
        <v>0.7-16-0-TOU-2 year Reward</v>
      </c>
      <c r="B736" s="63" t="s">
        <v>13</v>
      </c>
      <c r="C736" s="56">
        <v>16</v>
      </c>
      <c r="D736" s="57" t="s">
        <v>25</v>
      </c>
      <c r="E736" s="57" t="s">
        <v>87</v>
      </c>
      <c r="F736" s="38" t="s">
        <v>88</v>
      </c>
      <c r="G736" s="51">
        <v>0.7</v>
      </c>
      <c r="H736" s="57" t="s">
        <v>68</v>
      </c>
      <c r="I736" s="39">
        <v>0.72399999999999998</v>
      </c>
      <c r="J736" s="39">
        <v>0.16149999999999998</v>
      </c>
      <c r="K736" s="39">
        <v>0.12999999999999998</v>
      </c>
      <c r="L736" s="39">
        <v>0.1026</v>
      </c>
      <c r="M736" s="58">
        <v>5000</v>
      </c>
      <c r="N736" s="58">
        <v>1000000</v>
      </c>
    </row>
    <row r="737" spans="1:14" ht="15" customHeight="1" x14ac:dyDescent="0.25">
      <c r="A737" s="64" t="str">
        <f t="shared" si="11"/>
        <v>0.7-17-0-TOU-2 year Reward</v>
      </c>
      <c r="B737" s="63" t="s">
        <v>13</v>
      </c>
      <c r="C737" s="56">
        <v>17</v>
      </c>
      <c r="D737" s="57" t="s">
        <v>26</v>
      </c>
      <c r="E737" s="57" t="s">
        <v>87</v>
      </c>
      <c r="F737" s="38" t="s">
        <v>88</v>
      </c>
      <c r="G737" s="51">
        <v>0.7</v>
      </c>
      <c r="H737" s="57" t="s">
        <v>68</v>
      </c>
      <c r="I737" s="39">
        <v>1.6619999999999999</v>
      </c>
      <c r="J737" s="39">
        <v>0.18049999999999999</v>
      </c>
      <c r="K737" s="39">
        <v>0.14529999999999998</v>
      </c>
      <c r="L737" s="39">
        <v>0.1147</v>
      </c>
      <c r="M737" s="58">
        <v>5000</v>
      </c>
      <c r="N737" s="58">
        <v>1000000</v>
      </c>
    </row>
    <row r="738" spans="1:14" ht="15" customHeight="1" x14ac:dyDescent="0.25">
      <c r="A738" s="64" t="str">
        <f t="shared" si="11"/>
        <v>0.7-18-0-TOU-2 year Reward</v>
      </c>
      <c r="B738" s="63" t="s">
        <v>13</v>
      </c>
      <c r="C738" s="56">
        <v>18</v>
      </c>
      <c r="D738" s="57" t="s">
        <v>27</v>
      </c>
      <c r="E738" s="57" t="s">
        <v>87</v>
      </c>
      <c r="F738" s="38" t="s">
        <v>88</v>
      </c>
      <c r="G738" s="51">
        <v>0.7</v>
      </c>
      <c r="H738" s="57" t="s">
        <v>68</v>
      </c>
      <c r="I738" s="39">
        <v>0.89500000000000002</v>
      </c>
      <c r="J738" s="39">
        <v>0.16099999999999998</v>
      </c>
      <c r="K738" s="39">
        <v>0.12959999999999999</v>
      </c>
      <c r="L738" s="39">
        <v>0.1023</v>
      </c>
      <c r="M738" s="58">
        <v>5000</v>
      </c>
      <c r="N738" s="58">
        <v>1000000</v>
      </c>
    </row>
    <row r="739" spans="1:14" ht="15" customHeight="1" x14ac:dyDescent="0.25">
      <c r="A739" s="64" t="str">
        <f t="shared" si="11"/>
        <v>0.7-19-0-TOU-2 year Reward</v>
      </c>
      <c r="B739" s="63" t="s">
        <v>13</v>
      </c>
      <c r="C739" s="56">
        <v>19</v>
      </c>
      <c r="D739" s="57" t="s">
        <v>28</v>
      </c>
      <c r="E739" s="57" t="s">
        <v>87</v>
      </c>
      <c r="F739" s="38" t="s">
        <v>88</v>
      </c>
      <c r="G739" s="51">
        <v>0.7</v>
      </c>
      <c r="H739" s="57" t="s">
        <v>68</v>
      </c>
      <c r="I739" s="39">
        <v>0.77400000000000002</v>
      </c>
      <c r="J739" s="39">
        <v>0.1598</v>
      </c>
      <c r="K739" s="39">
        <v>0.12869999999999998</v>
      </c>
      <c r="L739" s="39">
        <v>0.10160000000000001</v>
      </c>
      <c r="M739" s="58">
        <v>5000</v>
      </c>
      <c r="N739" s="58">
        <v>1000000</v>
      </c>
    </row>
    <row r="740" spans="1:14" ht="15" customHeight="1" x14ac:dyDescent="0.25">
      <c r="A740" s="64" t="str">
        <f t="shared" si="11"/>
        <v>0.7-20-0-TOU-2 year Reward</v>
      </c>
      <c r="B740" s="63" t="s">
        <v>13</v>
      </c>
      <c r="C740" s="56">
        <v>20</v>
      </c>
      <c r="D740" s="57" t="s">
        <v>29</v>
      </c>
      <c r="E740" s="57" t="s">
        <v>87</v>
      </c>
      <c r="F740" s="38" t="s">
        <v>88</v>
      </c>
      <c r="G740" s="51">
        <v>0.7</v>
      </c>
      <c r="H740" s="57" t="s">
        <v>68</v>
      </c>
      <c r="I740" s="39">
        <v>0.82299999999999995</v>
      </c>
      <c r="J740" s="39">
        <v>0.15989999999999999</v>
      </c>
      <c r="K740" s="39">
        <v>0.1288</v>
      </c>
      <c r="L740" s="39">
        <v>0.1017</v>
      </c>
      <c r="M740" s="58">
        <v>5000</v>
      </c>
      <c r="N740" s="58">
        <v>1000000</v>
      </c>
    </row>
    <row r="741" spans="1:14" ht="15" customHeight="1" x14ac:dyDescent="0.25">
      <c r="A741" s="64" t="str">
        <f t="shared" si="11"/>
        <v>0.7-21-0-TOU-2 year Reward</v>
      </c>
      <c r="B741" s="63" t="s">
        <v>13</v>
      </c>
      <c r="C741" s="56">
        <v>21</v>
      </c>
      <c r="D741" s="57" t="s">
        <v>30</v>
      </c>
      <c r="E741" s="57" t="s">
        <v>87</v>
      </c>
      <c r="F741" s="38" t="s">
        <v>88</v>
      </c>
      <c r="G741" s="51">
        <v>0.7</v>
      </c>
      <c r="H741" s="57" t="s">
        <v>68</v>
      </c>
      <c r="I741" s="39">
        <v>0.91900000000000004</v>
      </c>
      <c r="J741" s="39">
        <v>0.1701</v>
      </c>
      <c r="K741" s="39">
        <v>0.13689999999999999</v>
      </c>
      <c r="L741" s="39">
        <v>0.1081</v>
      </c>
      <c r="M741" s="58">
        <v>5000</v>
      </c>
      <c r="N741" s="58">
        <v>1000000</v>
      </c>
    </row>
    <row r="742" spans="1:14" ht="15" customHeight="1" x14ac:dyDescent="0.25">
      <c r="A742" s="64" t="str">
        <f t="shared" si="11"/>
        <v>0.7-22-0-TOU-2 year Reward</v>
      </c>
      <c r="B742" s="63" t="s">
        <v>13</v>
      </c>
      <c r="C742" s="56">
        <v>22</v>
      </c>
      <c r="D742" s="57" t="s">
        <v>31</v>
      </c>
      <c r="E742" s="57" t="s">
        <v>87</v>
      </c>
      <c r="F742" s="38" t="s">
        <v>88</v>
      </c>
      <c r="G742" s="51">
        <v>0.7</v>
      </c>
      <c r="H742" s="57" t="s">
        <v>68</v>
      </c>
      <c r="I742" s="39">
        <v>0.9</v>
      </c>
      <c r="J742" s="39">
        <v>0.17069999999999999</v>
      </c>
      <c r="K742" s="39">
        <v>0.13739999999999999</v>
      </c>
      <c r="L742" s="39">
        <v>0.1085</v>
      </c>
      <c r="M742" s="58">
        <v>5000</v>
      </c>
      <c r="N742" s="58">
        <v>1000000</v>
      </c>
    </row>
    <row r="743" spans="1:14" ht="15" customHeight="1" x14ac:dyDescent="0.25">
      <c r="A743" s="64" t="str">
        <f t="shared" si="11"/>
        <v>0.7-23-0-TOU-2 year Reward</v>
      </c>
      <c r="B743" s="63" t="s">
        <v>13</v>
      </c>
      <c r="C743" s="56">
        <v>23</v>
      </c>
      <c r="D743" s="57" t="s">
        <v>32</v>
      </c>
      <c r="E743" s="57" t="s">
        <v>87</v>
      </c>
      <c r="F743" s="38" t="s">
        <v>88</v>
      </c>
      <c r="G743" s="51">
        <v>0.7</v>
      </c>
      <c r="H743" s="57" t="s">
        <v>68</v>
      </c>
      <c r="I743" s="39">
        <v>0.90200000000000002</v>
      </c>
      <c r="J743" s="39">
        <v>0.16239999999999999</v>
      </c>
      <c r="K743" s="39">
        <v>0.1308</v>
      </c>
      <c r="L743" s="39">
        <v>0.1032</v>
      </c>
      <c r="M743" s="58">
        <v>5000</v>
      </c>
      <c r="N743" s="58">
        <v>1000000</v>
      </c>
    </row>
    <row r="744" spans="1:14" ht="15" customHeight="1" x14ac:dyDescent="0.25">
      <c r="A744" s="64" t="str">
        <f t="shared" si="11"/>
        <v>0.8-10-0-TOU-2 year Reward</v>
      </c>
      <c r="B744" s="63" t="s">
        <v>13</v>
      </c>
      <c r="C744" s="56">
        <v>10</v>
      </c>
      <c r="D744" s="57" t="s">
        <v>14</v>
      </c>
      <c r="E744" s="57" t="s">
        <v>87</v>
      </c>
      <c r="F744" s="38" t="s">
        <v>88</v>
      </c>
      <c r="G744" s="51">
        <v>0.8</v>
      </c>
      <c r="H744" s="57" t="s">
        <v>68</v>
      </c>
      <c r="I744" s="39">
        <v>0.877</v>
      </c>
      <c r="J744" s="39">
        <v>0.15949999999999998</v>
      </c>
      <c r="K744" s="39">
        <v>0.12839999999999999</v>
      </c>
      <c r="L744" s="39">
        <v>0.1014</v>
      </c>
      <c r="M744" s="58">
        <v>5000</v>
      </c>
      <c r="N744" s="58">
        <v>1000000</v>
      </c>
    </row>
    <row r="745" spans="1:14" ht="15" customHeight="1" x14ac:dyDescent="0.25">
      <c r="A745" s="64" t="str">
        <f t="shared" si="11"/>
        <v>0.8-11-0-TOU-2 year Reward</v>
      </c>
      <c r="B745" s="63" t="s">
        <v>13</v>
      </c>
      <c r="C745" s="56">
        <v>11</v>
      </c>
      <c r="D745" s="57" t="s">
        <v>20</v>
      </c>
      <c r="E745" s="57" t="s">
        <v>87</v>
      </c>
      <c r="F745" s="38" t="s">
        <v>88</v>
      </c>
      <c r="G745" s="51">
        <v>0.8</v>
      </c>
      <c r="H745" s="57" t="s">
        <v>68</v>
      </c>
      <c r="I745" s="39">
        <v>0.85699999999999998</v>
      </c>
      <c r="J745" s="39">
        <v>0.16249999999999998</v>
      </c>
      <c r="K745" s="39">
        <v>0.13089999999999999</v>
      </c>
      <c r="L745" s="39">
        <v>0.1033</v>
      </c>
      <c r="M745" s="58">
        <v>5000</v>
      </c>
      <c r="N745" s="58">
        <v>1000000</v>
      </c>
    </row>
    <row r="746" spans="1:14" ht="15" customHeight="1" x14ac:dyDescent="0.25">
      <c r="A746" s="64" t="str">
        <f t="shared" si="11"/>
        <v>0.8-12-0-TOU-2 year Reward</v>
      </c>
      <c r="B746" s="63" t="s">
        <v>13</v>
      </c>
      <c r="C746" s="56">
        <v>12</v>
      </c>
      <c r="D746" s="57" t="s">
        <v>21</v>
      </c>
      <c r="E746" s="57" t="s">
        <v>87</v>
      </c>
      <c r="F746" s="38" t="s">
        <v>88</v>
      </c>
      <c r="G746" s="51">
        <v>0.8</v>
      </c>
      <c r="H746" s="57" t="s">
        <v>68</v>
      </c>
      <c r="I746" s="39">
        <v>0.89900000000000002</v>
      </c>
      <c r="J746" s="39">
        <v>0.15909999999999999</v>
      </c>
      <c r="K746" s="39">
        <v>0.12809999999999999</v>
      </c>
      <c r="L746" s="39">
        <v>0.1011</v>
      </c>
      <c r="M746" s="58">
        <v>5000</v>
      </c>
      <c r="N746" s="58">
        <v>1000000</v>
      </c>
    </row>
    <row r="747" spans="1:14" ht="15" customHeight="1" x14ac:dyDescent="0.25">
      <c r="A747" s="64" t="str">
        <f t="shared" si="11"/>
        <v>0.8-13-0-TOU-2 year Reward</v>
      </c>
      <c r="B747" s="63" t="s">
        <v>13</v>
      </c>
      <c r="C747" s="56">
        <v>13</v>
      </c>
      <c r="D747" s="57" t="s">
        <v>22</v>
      </c>
      <c r="E747" s="57" t="s">
        <v>87</v>
      </c>
      <c r="F747" s="38" t="s">
        <v>88</v>
      </c>
      <c r="G747" s="51">
        <v>0.8</v>
      </c>
      <c r="H747" s="57" t="s">
        <v>68</v>
      </c>
      <c r="I747" s="39">
        <v>0.877</v>
      </c>
      <c r="J747" s="39">
        <v>0.17219999999999999</v>
      </c>
      <c r="K747" s="39">
        <v>0.13869999999999999</v>
      </c>
      <c r="L747" s="39">
        <v>0.1095</v>
      </c>
      <c r="M747" s="58">
        <v>5000</v>
      </c>
      <c r="N747" s="58">
        <v>1000000</v>
      </c>
    </row>
    <row r="748" spans="1:14" ht="15" customHeight="1" x14ac:dyDescent="0.25">
      <c r="A748" s="64" t="str">
        <f t="shared" si="11"/>
        <v>0.8-14-0-TOU-2 year Reward</v>
      </c>
      <c r="B748" s="63" t="s">
        <v>13</v>
      </c>
      <c r="C748" s="56">
        <v>14</v>
      </c>
      <c r="D748" s="57" t="s">
        <v>23</v>
      </c>
      <c r="E748" s="57" t="s">
        <v>87</v>
      </c>
      <c r="F748" s="38" t="s">
        <v>88</v>
      </c>
      <c r="G748" s="51">
        <v>0.8</v>
      </c>
      <c r="H748" s="57" t="s">
        <v>68</v>
      </c>
      <c r="I748" s="39">
        <v>0.88600000000000001</v>
      </c>
      <c r="J748" s="39">
        <v>0.1636</v>
      </c>
      <c r="K748" s="39">
        <v>0.13169999999999998</v>
      </c>
      <c r="L748" s="39">
        <v>0.10400000000000001</v>
      </c>
      <c r="M748" s="58">
        <v>5000</v>
      </c>
      <c r="N748" s="58">
        <v>1000000</v>
      </c>
    </row>
    <row r="749" spans="1:14" ht="15" customHeight="1" x14ac:dyDescent="0.25">
      <c r="A749" s="64" t="str">
        <f t="shared" si="11"/>
        <v>0.8-15-0-TOU-2 year Reward</v>
      </c>
      <c r="B749" s="63" t="s">
        <v>13</v>
      </c>
      <c r="C749" s="56">
        <v>15</v>
      </c>
      <c r="D749" s="57" t="s">
        <v>24</v>
      </c>
      <c r="E749" s="57" t="s">
        <v>87</v>
      </c>
      <c r="F749" s="38" t="s">
        <v>88</v>
      </c>
      <c r="G749" s="51">
        <v>0.8</v>
      </c>
      <c r="H749" s="57" t="s">
        <v>68</v>
      </c>
      <c r="I749" s="39">
        <v>0.95599999999999996</v>
      </c>
      <c r="J749" s="39">
        <v>0.16339999999999999</v>
      </c>
      <c r="K749" s="39">
        <v>0.13149999999999998</v>
      </c>
      <c r="L749" s="39">
        <v>0.1038</v>
      </c>
      <c r="M749" s="58">
        <v>5000</v>
      </c>
      <c r="N749" s="58">
        <v>1000000</v>
      </c>
    </row>
    <row r="750" spans="1:14" ht="15" customHeight="1" x14ac:dyDescent="0.25">
      <c r="A750" s="64" t="str">
        <f t="shared" si="11"/>
        <v>0.8-16-0-TOU-2 year Reward</v>
      </c>
      <c r="B750" s="63" t="s">
        <v>13</v>
      </c>
      <c r="C750" s="56">
        <v>16</v>
      </c>
      <c r="D750" s="57" t="s">
        <v>25</v>
      </c>
      <c r="E750" s="57" t="s">
        <v>87</v>
      </c>
      <c r="F750" s="38" t="s">
        <v>88</v>
      </c>
      <c r="G750" s="51">
        <v>0.8</v>
      </c>
      <c r="H750" s="57" t="s">
        <v>68</v>
      </c>
      <c r="I750" s="39">
        <v>0.72399999999999998</v>
      </c>
      <c r="J750" s="39">
        <v>0.16269999999999998</v>
      </c>
      <c r="K750" s="39">
        <v>0.13099999999999998</v>
      </c>
      <c r="L750" s="39">
        <v>0.10340000000000001</v>
      </c>
      <c r="M750" s="58">
        <v>5000</v>
      </c>
      <c r="N750" s="58">
        <v>1000000</v>
      </c>
    </row>
    <row r="751" spans="1:14" ht="15" customHeight="1" x14ac:dyDescent="0.25">
      <c r="A751" s="64" t="str">
        <f t="shared" si="11"/>
        <v>0.8-17-0-TOU-2 year Reward</v>
      </c>
      <c r="B751" s="63" t="s">
        <v>13</v>
      </c>
      <c r="C751" s="56">
        <v>17</v>
      </c>
      <c r="D751" s="57" t="s">
        <v>26</v>
      </c>
      <c r="E751" s="57" t="s">
        <v>87</v>
      </c>
      <c r="F751" s="38" t="s">
        <v>88</v>
      </c>
      <c r="G751" s="51">
        <v>0.8</v>
      </c>
      <c r="H751" s="57" t="s">
        <v>68</v>
      </c>
      <c r="I751" s="39">
        <v>1.6619999999999999</v>
      </c>
      <c r="J751" s="39">
        <v>0.1817</v>
      </c>
      <c r="K751" s="39">
        <v>0.14629999999999999</v>
      </c>
      <c r="L751" s="39">
        <v>0.11550000000000001</v>
      </c>
      <c r="M751" s="58">
        <v>5000</v>
      </c>
      <c r="N751" s="58">
        <v>1000000</v>
      </c>
    </row>
    <row r="752" spans="1:14" ht="15" customHeight="1" x14ac:dyDescent="0.25">
      <c r="A752" s="64" t="str">
        <f t="shared" si="11"/>
        <v>0.8-18-0-TOU-2 year Reward</v>
      </c>
      <c r="B752" s="63" t="s">
        <v>13</v>
      </c>
      <c r="C752" s="56">
        <v>18</v>
      </c>
      <c r="D752" s="57" t="s">
        <v>27</v>
      </c>
      <c r="E752" s="57" t="s">
        <v>87</v>
      </c>
      <c r="F752" s="38" t="s">
        <v>88</v>
      </c>
      <c r="G752" s="51">
        <v>0.8</v>
      </c>
      <c r="H752" s="57" t="s">
        <v>68</v>
      </c>
      <c r="I752" s="39">
        <v>0.89500000000000002</v>
      </c>
      <c r="J752" s="39">
        <v>0.16219999999999998</v>
      </c>
      <c r="K752" s="39">
        <v>0.13059999999999999</v>
      </c>
      <c r="L752" s="39">
        <v>0.1031</v>
      </c>
      <c r="M752" s="58">
        <v>5000</v>
      </c>
      <c r="N752" s="58">
        <v>1000000</v>
      </c>
    </row>
    <row r="753" spans="1:14" ht="15" customHeight="1" x14ac:dyDescent="0.25">
      <c r="A753" s="64" t="str">
        <f t="shared" si="11"/>
        <v>0.8-19-0-TOU-2 year Reward</v>
      </c>
      <c r="B753" s="63" t="s">
        <v>13</v>
      </c>
      <c r="C753" s="56">
        <v>19</v>
      </c>
      <c r="D753" s="57" t="s">
        <v>28</v>
      </c>
      <c r="E753" s="57" t="s">
        <v>87</v>
      </c>
      <c r="F753" s="38" t="s">
        <v>88</v>
      </c>
      <c r="G753" s="51">
        <v>0.8</v>
      </c>
      <c r="H753" s="57" t="s">
        <v>68</v>
      </c>
      <c r="I753" s="39">
        <v>0.77400000000000002</v>
      </c>
      <c r="J753" s="39">
        <v>0.16099999999999998</v>
      </c>
      <c r="K753" s="39">
        <v>0.12959999999999999</v>
      </c>
      <c r="L753" s="39">
        <v>0.1023</v>
      </c>
      <c r="M753" s="58">
        <v>5000</v>
      </c>
      <c r="N753" s="58">
        <v>1000000</v>
      </c>
    </row>
    <row r="754" spans="1:14" ht="15" customHeight="1" x14ac:dyDescent="0.25">
      <c r="A754" s="64" t="str">
        <f t="shared" si="11"/>
        <v>0.8-20-0-TOU-2 year Reward</v>
      </c>
      <c r="B754" s="63" t="s">
        <v>13</v>
      </c>
      <c r="C754" s="56">
        <v>20</v>
      </c>
      <c r="D754" s="57" t="s">
        <v>29</v>
      </c>
      <c r="E754" s="57" t="s">
        <v>87</v>
      </c>
      <c r="F754" s="38" t="s">
        <v>88</v>
      </c>
      <c r="G754" s="51">
        <v>0.8</v>
      </c>
      <c r="H754" s="57" t="s">
        <v>68</v>
      </c>
      <c r="I754" s="39">
        <v>0.82299999999999995</v>
      </c>
      <c r="J754" s="39">
        <v>0.16109999999999999</v>
      </c>
      <c r="K754" s="39">
        <v>0.12969999999999998</v>
      </c>
      <c r="L754" s="39">
        <v>0.1024</v>
      </c>
      <c r="M754" s="58">
        <v>5000</v>
      </c>
      <c r="N754" s="58">
        <v>1000000</v>
      </c>
    </row>
    <row r="755" spans="1:14" ht="15" customHeight="1" x14ac:dyDescent="0.25">
      <c r="A755" s="64" t="str">
        <f t="shared" si="11"/>
        <v>0.8-21-0-TOU-2 year Reward</v>
      </c>
      <c r="B755" s="63" t="s">
        <v>13</v>
      </c>
      <c r="C755" s="56">
        <v>21</v>
      </c>
      <c r="D755" s="57" t="s">
        <v>30</v>
      </c>
      <c r="E755" s="57" t="s">
        <v>87</v>
      </c>
      <c r="F755" s="38" t="s">
        <v>88</v>
      </c>
      <c r="G755" s="51">
        <v>0.8</v>
      </c>
      <c r="H755" s="57" t="s">
        <v>68</v>
      </c>
      <c r="I755" s="39">
        <v>0.91900000000000004</v>
      </c>
      <c r="J755" s="39">
        <v>0.17129999999999998</v>
      </c>
      <c r="K755" s="39">
        <v>0.13789999999999999</v>
      </c>
      <c r="L755" s="39">
        <v>0.1089</v>
      </c>
      <c r="M755" s="58">
        <v>5000</v>
      </c>
      <c r="N755" s="58">
        <v>1000000</v>
      </c>
    </row>
    <row r="756" spans="1:14" ht="15" customHeight="1" x14ac:dyDescent="0.25">
      <c r="A756" s="64" t="str">
        <f t="shared" si="11"/>
        <v>0.8-22-0-TOU-2 year Reward</v>
      </c>
      <c r="B756" s="63" t="s">
        <v>13</v>
      </c>
      <c r="C756" s="56">
        <v>22</v>
      </c>
      <c r="D756" s="57" t="s">
        <v>31</v>
      </c>
      <c r="E756" s="57" t="s">
        <v>87</v>
      </c>
      <c r="F756" s="38" t="s">
        <v>88</v>
      </c>
      <c r="G756" s="51">
        <v>0.8</v>
      </c>
      <c r="H756" s="57" t="s">
        <v>68</v>
      </c>
      <c r="I756" s="39">
        <v>0.9</v>
      </c>
      <c r="J756" s="39">
        <v>0.1719</v>
      </c>
      <c r="K756" s="39">
        <v>0.1384</v>
      </c>
      <c r="L756" s="39">
        <v>0.10920000000000001</v>
      </c>
      <c r="M756" s="58">
        <v>5000</v>
      </c>
      <c r="N756" s="58">
        <v>1000000</v>
      </c>
    </row>
    <row r="757" spans="1:14" ht="15" customHeight="1" x14ac:dyDescent="0.25">
      <c r="A757" s="64" t="str">
        <f t="shared" si="11"/>
        <v>0.8-23-0-TOU-2 year Reward</v>
      </c>
      <c r="B757" s="63" t="s">
        <v>13</v>
      </c>
      <c r="C757" s="56">
        <v>23</v>
      </c>
      <c r="D757" s="57" t="s">
        <v>32</v>
      </c>
      <c r="E757" s="57" t="s">
        <v>87</v>
      </c>
      <c r="F757" s="38" t="s">
        <v>88</v>
      </c>
      <c r="G757" s="51">
        <v>0.8</v>
      </c>
      <c r="H757" s="57" t="s">
        <v>68</v>
      </c>
      <c r="I757" s="39">
        <v>0.90200000000000002</v>
      </c>
      <c r="J757" s="39">
        <v>0.1636</v>
      </c>
      <c r="K757" s="39">
        <v>0.13169999999999998</v>
      </c>
      <c r="L757" s="39">
        <v>0.10400000000000001</v>
      </c>
      <c r="M757" s="58">
        <v>5000</v>
      </c>
      <c r="N757" s="58">
        <v>1000000</v>
      </c>
    </row>
    <row r="758" spans="1:14" ht="15" customHeight="1" x14ac:dyDescent="0.25">
      <c r="A758" s="64" t="str">
        <f t="shared" si="11"/>
        <v>0.9-10-0-TOU-2 year Reward</v>
      </c>
      <c r="B758" s="63" t="s">
        <v>13</v>
      </c>
      <c r="C758" s="56">
        <v>10</v>
      </c>
      <c r="D758" s="57" t="s">
        <v>14</v>
      </c>
      <c r="E758" s="57" t="s">
        <v>87</v>
      </c>
      <c r="F758" s="38" t="s">
        <v>88</v>
      </c>
      <c r="G758" s="51">
        <v>0.9</v>
      </c>
      <c r="H758" s="57" t="s">
        <v>68</v>
      </c>
      <c r="I758" s="39">
        <v>0.877</v>
      </c>
      <c r="J758" s="39">
        <v>0.16059999999999999</v>
      </c>
      <c r="K758" s="39">
        <v>0.1293</v>
      </c>
      <c r="L758" s="39">
        <v>0.1021</v>
      </c>
      <c r="M758" s="58">
        <v>5000</v>
      </c>
      <c r="N758" s="58">
        <v>1000000</v>
      </c>
    </row>
    <row r="759" spans="1:14" ht="15" customHeight="1" x14ac:dyDescent="0.25">
      <c r="A759" s="64" t="str">
        <f t="shared" si="11"/>
        <v>0.9-11-0-TOU-2 year Reward</v>
      </c>
      <c r="B759" s="63" t="s">
        <v>13</v>
      </c>
      <c r="C759" s="56">
        <v>11</v>
      </c>
      <c r="D759" s="57" t="s">
        <v>20</v>
      </c>
      <c r="E759" s="57" t="s">
        <v>87</v>
      </c>
      <c r="F759" s="38" t="s">
        <v>88</v>
      </c>
      <c r="G759" s="51">
        <v>0.9</v>
      </c>
      <c r="H759" s="57" t="s">
        <v>68</v>
      </c>
      <c r="I759" s="39">
        <v>0.85699999999999998</v>
      </c>
      <c r="J759" s="39">
        <v>0.16369999999999998</v>
      </c>
      <c r="K759" s="39">
        <v>0.1318</v>
      </c>
      <c r="L759" s="39">
        <v>0.1041</v>
      </c>
      <c r="M759" s="58">
        <v>5000</v>
      </c>
      <c r="N759" s="58">
        <v>1000000</v>
      </c>
    </row>
    <row r="760" spans="1:14" ht="15" customHeight="1" x14ac:dyDescent="0.25">
      <c r="A760" s="64" t="str">
        <f t="shared" si="11"/>
        <v>0.9-12-0-TOU-2 year Reward</v>
      </c>
      <c r="B760" s="63" t="s">
        <v>13</v>
      </c>
      <c r="C760" s="56">
        <v>12</v>
      </c>
      <c r="D760" s="57" t="s">
        <v>21</v>
      </c>
      <c r="E760" s="57" t="s">
        <v>87</v>
      </c>
      <c r="F760" s="38" t="s">
        <v>88</v>
      </c>
      <c r="G760" s="51">
        <v>0.9</v>
      </c>
      <c r="H760" s="57" t="s">
        <v>68</v>
      </c>
      <c r="I760" s="39">
        <v>0.89900000000000002</v>
      </c>
      <c r="J760" s="39">
        <v>0.1603</v>
      </c>
      <c r="K760" s="39">
        <v>0.12909999999999999</v>
      </c>
      <c r="L760" s="39">
        <v>0.1019</v>
      </c>
      <c r="M760" s="58">
        <v>5000</v>
      </c>
      <c r="N760" s="58">
        <v>1000000</v>
      </c>
    </row>
    <row r="761" spans="1:14" ht="15" customHeight="1" x14ac:dyDescent="0.25">
      <c r="A761" s="64" t="str">
        <f t="shared" si="11"/>
        <v>0.9-13-0-TOU-2 year Reward</v>
      </c>
      <c r="B761" s="63" t="s">
        <v>13</v>
      </c>
      <c r="C761" s="56">
        <v>13</v>
      </c>
      <c r="D761" s="57" t="s">
        <v>22</v>
      </c>
      <c r="E761" s="57" t="s">
        <v>87</v>
      </c>
      <c r="F761" s="38" t="s">
        <v>88</v>
      </c>
      <c r="G761" s="51">
        <v>0.9</v>
      </c>
      <c r="H761" s="57" t="s">
        <v>68</v>
      </c>
      <c r="I761" s="39">
        <v>0.877</v>
      </c>
      <c r="J761" s="39">
        <v>0.1734</v>
      </c>
      <c r="K761" s="39">
        <v>0.1396</v>
      </c>
      <c r="L761" s="39">
        <v>0.11020000000000001</v>
      </c>
      <c r="M761" s="58">
        <v>5000</v>
      </c>
      <c r="N761" s="58">
        <v>1000000</v>
      </c>
    </row>
    <row r="762" spans="1:14" ht="15" customHeight="1" x14ac:dyDescent="0.25">
      <c r="A762" s="64" t="str">
        <f t="shared" si="11"/>
        <v>0.9-14-0-TOU-2 year Reward</v>
      </c>
      <c r="B762" s="63" t="s">
        <v>13</v>
      </c>
      <c r="C762" s="56">
        <v>14</v>
      </c>
      <c r="D762" s="57" t="s">
        <v>23</v>
      </c>
      <c r="E762" s="57" t="s">
        <v>87</v>
      </c>
      <c r="F762" s="38" t="s">
        <v>88</v>
      </c>
      <c r="G762" s="51">
        <v>0.9</v>
      </c>
      <c r="H762" s="57" t="s">
        <v>68</v>
      </c>
      <c r="I762" s="39">
        <v>0.88600000000000001</v>
      </c>
      <c r="J762" s="39">
        <v>0.1648</v>
      </c>
      <c r="K762" s="39">
        <v>0.13269999999999998</v>
      </c>
      <c r="L762" s="39">
        <v>0.1047</v>
      </c>
      <c r="M762" s="58">
        <v>5000</v>
      </c>
      <c r="N762" s="58">
        <v>1000000</v>
      </c>
    </row>
    <row r="763" spans="1:14" ht="15" customHeight="1" x14ac:dyDescent="0.25">
      <c r="A763" s="64" t="str">
        <f t="shared" si="11"/>
        <v>0.9-15-0-TOU-2 year Reward</v>
      </c>
      <c r="B763" s="63" t="s">
        <v>13</v>
      </c>
      <c r="C763" s="56">
        <v>15</v>
      </c>
      <c r="D763" s="57" t="s">
        <v>24</v>
      </c>
      <c r="E763" s="57" t="s">
        <v>87</v>
      </c>
      <c r="F763" s="38" t="s">
        <v>88</v>
      </c>
      <c r="G763" s="51">
        <v>0.9</v>
      </c>
      <c r="H763" s="57" t="s">
        <v>68</v>
      </c>
      <c r="I763" s="39">
        <v>0.95599999999999996</v>
      </c>
      <c r="J763" s="39">
        <v>0.16449999999999998</v>
      </c>
      <c r="K763" s="39">
        <v>0.13249999999999998</v>
      </c>
      <c r="L763" s="39">
        <v>0.1046</v>
      </c>
      <c r="M763" s="58">
        <v>5000</v>
      </c>
      <c r="N763" s="58">
        <v>1000000</v>
      </c>
    </row>
    <row r="764" spans="1:14" ht="15" customHeight="1" x14ac:dyDescent="0.25">
      <c r="A764" s="64" t="str">
        <f t="shared" si="11"/>
        <v>0.9-16-0-TOU-2 year Reward</v>
      </c>
      <c r="B764" s="63" t="s">
        <v>13</v>
      </c>
      <c r="C764" s="56">
        <v>16</v>
      </c>
      <c r="D764" s="57" t="s">
        <v>25</v>
      </c>
      <c r="E764" s="57" t="s">
        <v>87</v>
      </c>
      <c r="F764" s="38" t="s">
        <v>88</v>
      </c>
      <c r="G764" s="51">
        <v>0.9</v>
      </c>
      <c r="H764" s="57" t="s">
        <v>68</v>
      </c>
      <c r="I764" s="39">
        <v>0.72399999999999998</v>
      </c>
      <c r="J764" s="39">
        <v>0.1638</v>
      </c>
      <c r="K764" s="39">
        <v>0.13189999999999999</v>
      </c>
      <c r="L764" s="39">
        <v>0.1041</v>
      </c>
      <c r="M764" s="58">
        <v>5000</v>
      </c>
      <c r="N764" s="58">
        <v>1000000</v>
      </c>
    </row>
    <row r="765" spans="1:14" ht="15" customHeight="1" x14ac:dyDescent="0.25">
      <c r="A765" s="64" t="str">
        <f t="shared" si="11"/>
        <v>0.9-17-0-TOU-2 year Reward</v>
      </c>
      <c r="B765" s="63" t="s">
        <v>13</v>
      </c>
      <c r="C765" s="56">
        <v>17</v>
      </c>
      <c r="D765" s="57" t="s">
        <v>26</v>
      </c>
      <c r="E765" s="57" t="s">
        <v>87</v>
      </c>
      <c r="F765" s="38" t="s">
        <v>88</v>
      </c>
      <c r="G765" s="51">
        <v>0.9</v>
      </c>
      <c r="H765" s="57" t="s">
        <v>68</v>
      </c>
      <c r="I765" s="39">
        <v>1.6619999999999999</v>
      </c>
      <c r="J765" s="39">
        <v>0.18279999999999999</v>
      </c>
      <c r="K765" s="39">
        <v>0.1472</v>
      </c>
      <c r="L765" s="39">
        <v>0.1162</v>
      </c>
      <c r="M765" s="58">
        <v>5000</v>
      </c>
      <c r="N765" s="58">
        <v>1000000</v>
      </c>
    </row>
    <row r="766" spans="1:14" ht="15" customHeight="1" x14ac:dyDescent="0.25">
      <c r="A766" s="64" t="str">
        <f t="shared" si="11"/>
        <v>0.9-18-0-TOU-2 year Reward</v>
      </c>
      <c r="B766" s="63" t="s">
        <v>13</v>
      </c>
      <c r="C766" s="56">
        <v>18</v>
      </c>
      <c r="D766" s="57" t="s">
        <v>27</v>
      </c>
      <c r="E766" s="57" t="s">
        <v>87</v>
      </c>
      <c r="F766" s="38" t="s">
        <v>88</v>
      </c>
      <c r="G766" s="51">
        <v>0.9</v>
      </c>
      <c r="H766" s="57" t="s">
        <v>68</v>
      </c>
      <c r="I766" s="39">
        <v>0.89500000000000002</v>
      </c>
      <c r="J766" s="39">
        <v>0.16339999999999999</v>
      </c>
      <c r="K766" s="39">
        <v>0.13149999999999998</v>
      </c>
      <c r="L766" s="39">
        <v>0.1038</v>
      </c>
      <c r="M766" s="58">
        <v>5000</v>
      </c>
      <c r="N766" s="58">
        <v>1000000</v>
      </c>
    </row>
    <row r="767" spans="1:14" ht="15" customHeight="1" x14ac:dyDescent="0.25">
      <c r="A767" s="64" t="str">
        <f t="shared" si="11"/>
        <v>0.9-19-0-TOU-2 year Reward</v>
      </c>
      <c r="B767" s="63" t="s">
        <v>13</v>
      </c>
      <c r="C767" s="56">
        <v>19</v>
      </c>
      <c r="D767" s="57" t="s">
        <v>28</v>
      </c>
      <c r="E767" s="57" t="s">
        <v>87</v>
      </c>
      <c r="F767" s="38" t="s">
        <v>88</v>
      </c>
      <c r="G767" s="51">
        <v>0.9</v>
      </c>
      <c r="H767" s="57" t="s">
        <v>68</v>
      </c>
      <c r="I767" s="39">
        <v>0.77400000000000002</v>
      </c>
      <c r="J767" s="39">
        <v>0.16219999999999998</v>
      </c>
      <c r="K767" s="39">
        <v>0.13059999999999999</v>
      </c>
      <c r="L767" s="39">
        <v>0.1031</v>
      </c>
      <c r="M767" s="58">
        <v>5000</v>
      </c>
      <c r="N767" s="58">
        <v>1000000</v>
      </c>
    </row>
    <row r="768" spans="1:14" ht="15" customHeight="1" x14ac:dyDescent="0.25">
      <c r="A768" s="64" t="str">
        <f t="shared" si="11"/>
        <v>0.9-20-0-TOU-2 year Reward</v>
      </c>
      <c r="B768" s="63" t="s">
        <v>13</v>
      </c>
      <c r="C768" s="56">
        <v>20</v>
      </c>
      <c r="D768" s="57" t="s">
        <v>29</v>
      </c>
      <c r="E768" s="57" t="s">
        <v>87</v>
      </c>
      <c r="F768" s="38" t="s">
        <v>88</v>
      </c>
      <c r="G768" s="51">
        <v>0.9</v>
      </c>
      <c r="H768" s="57" t="s">
        <v>68</v>
      </c>
      <c r="I768" s="39">
        <v>0.82299999999999995</v>
      </c>
      <c r="J768" s="39">
        <v>0.1623</v>
      </c>
      <c r="K768" s="39">
        <v>0.13069999999999998</v>
      </c>
      <c r="L768" s="39">
        <v>0.1032</v>
      </c>
      <c r="M768" s="58">
        <v>5000</v>
      </c>
      <c r="N768" s="58">
        <v>1000000</v>
      </c>
    </row>
    <row r="769" spans="1:14" ht="15" customHeight="1" x14ac:dyDescent="0.25">
      <c r="A769" s="64" t="str">
        <f t="shared" si="11"/>
        <v>0.9-21-0-TOU-2 year Reward</v>
      </c>
      <c r="B769" s="63" t="s">
        <v>13</v>
      </c>
      <c r="C769" s="56">
        <v>21</v>
      </c>
      <c r="D769" s="57" t="s">
        <v>30</v>
      </c>
      <c r="E769" s="57" t="s">
        <v>87</v>
      </c>
      <c r="F769" s="38" t="s">
        <v>88</v>
      </c>
      <c r="G769" s="51">
        <v>0.9</v>
      </c>
      <c r="H769" s="57" t="s">
        <v>68</v>
      </c>
      <c r="I769" s="39">
        <v>0.91900000000000004</v>
      </c>
      <c r="J769" s="39">
        <v>0.1724</v>
      </c>
      <c r="K769" s="39">
        <v>0.13879999999999998</v>
      </c>
      <c r="L769" s="39">
        <v>0.1096</v>
      </c>
      <c r="M769" s="58">
        <v>5000</v>
      </c>
      <c r="N769" s="58">
        <v>1000000</v>
      </c>
    </row>
    <row r="770" spans="1:14" ht="15" customHeight="1" x14ac:dyDescent="0.25">
      <c r="A770" s="64" t="str">
        <f t="shared" si="11"/>
        <v>0.9-22-0-TOU-2 year Reward</v>
      </c>
      <c r="B770" s="63" t="s">
        <v>13</v>
      </c>
      <c r="C770" s="56">
        <v>22</v>
      </c>
      <c r="D770" s="57" t="s">
        <v>31</v>
      </c>
      <c r="E770" s="57" t="s">
        <v>87</v>
      </c>
      <c r="F770" s="38" t="s">
        <v>88</v>
      </c>
      <c r="G770" s="51">
        <v>0.9</v>
      </c>
      <c r="H770" s="57" t="s">
        <v>68</v>
      </c>
      <c r="I770" s="39">
        <v>0.9</v>
      </c>
      <c r="J770" s="39">
        <v>0.17299999999999999</v>
      </c>
      <c r="K770" s="39">
        <v>0.13929999999999998</v>
      </c>
      <c r="L770" s="39">
        <v>0.11</v>
      </c>
      <c r="M770" s="58">
        <v>5000</v>
      </c>
      <c r="N770" s="58">
        <v>1000000</v>
      </c>
    </row>
    <row r="771" spans="1:14" ht="15" customHeight="1" x14ac:dyDescent="0.25">
      <c r="A771" s="64" t="str">
        <f t="shared" ref="A771:A834" si="12">IF(E771="OP","",CONCATENATE(G771,"-",C771,"-",RIGHT(F771,1),"-",E771,"-",H771))</f>
        <v>0.9-23-0-TOU-2 year Reward</v>
      </c>
      <c r="B771" s="63" t="s">
        <v>13</v>
      </c>
      <c r="C771" s="56">
        <v>23</v>
      </c>
      <c r="D771" s="57" t="s">
        <v>32</v>
      </c>
      <c r="E771" s="57" t="s">
        <v>87</v>
      </c>
      <c r="F771" s="38" t="s">
        <v>88</v>
      </c>
      <c r="G771" s="51">
        <v>0.9</v>
      </c>
      <c r="H771" s="57" t="s">
        <v>68</v>
      </c>
      <c r="I771" s="39">
        <v>0.90200000000000002</v>
      </c>
      <c r="J771" s="39">
        <v>0.1648</v>
      </c>
      <c r="K771" s="39">
        <v>0.13269999999999998</v>
      </c>
      <c r="L771" s="39">
        <v>0.1047</v>
      </c>
      <c r="M771" s="58">
        <v>5000</v>
      </c>
      <c r="N771" s="58">
        <v>1000000</v>
      </c>
    </row>
    <row r="772" spans="1:14" ht="15" customHeight="1" x14ac:dyDescent="0.25">
      <c r="A772" s="64" t="str">
        <f t="shared" si="12"/>
        <v>1-10-0-TOU-2 year Reward</v>
      </c>
      <c r="B772" s="63" t="s">
        <v>13</v>
      </c>
      <c r="C772" s="56">
        <v>10</v>
      </c>
      <c r="D772" s="57" t="s">
        <v>14</v>
      </c>
      <c r="E772" s="57" t="s">
        <v>87</v>
      </c>
      <c r="F772" s="38" t="s">
        <v>88</v>
      </c>
      <c r="G772" s="51">
        <v>1</v>
      </c>
      <c r="H772" s="57" t="s">
        <v>68</v>
      </c>
      <c r="I772" s="39">
        <v>0.877</v>
      </c>
      <c r="J772" s="39">
        <v>0.1618</v>
      </c>
      <c r="K772" s="39">
        <v>0.1303</v>
      </c>
      <c r="L772" s="39">
        <v>0.10290000000000001</v>
      </c>
      <c r="M772" s="58">
        <v>5000</v>
      </c>
      <c r="N772" s="58">
        <v>1000000</v>
      </c>
    </row>
    <row r="773" spans="1:14" ht="15" customHeight="1" x14ac:dyDescent="0.25">
      <c r="A773" s="64" t="str">
        <f t="shared" si="12"/>
        <v>1-11-0-TOU-2 year Reward</v>
      </c>
      <c r="B773" s="63" t="s">
        <v>13</v>
      </c>
      <c r="C773" s="56">
        <v>11</v>
      </c>
      <c r="D773" s="57" t="s">
        <v>20</v>
      </c>
      <c r="E773" s="57" t="s">
        <v>87</v>
      </c>
      <c r="F773" s="38" t="s">
        <v>88</v>
      </c>
      <c r="G773" s="51">
        <v>1</v>
      </c>
      <c r="H773" s="57" t="s">
        <v>68</v>
      </c>
      <c r="I773" s="39">
        <v>0.85699999999999998</v>
      </c>
      <c r="J773" s="39">
        <v>0.16489999999999999</v>
      </c>
      <c r="K773" s="39">
        <v>0.1328</v>
      </c>
      <c r="L773" s="39">
        <v>0.1048</v>
      </c>
      <c r="M773" s="58">
        <v>5000</v>
      </c>
      <c r="N773" s="58">
        <v>1000000</v>
      </c>
    </row>
    <row r="774" spans="1:14" ht="15" customHeight="1" x14ac:dyDescent="0.25">
      <c r="A774" s="64" t="str">
        <f t="shared" si="12"/>
        <v>1-12-0-TOU-2 year Reward</v>
      </c>
      <c r="B774" s="63" t="s">
        <v>13</v>
      </c>
      <c r="C774" s="56">
        <v>12</v>
      </c>
      <c r="D774" s="57" t="s">
        <v>21</v>
      </c>
      <c r="E774" s="57" t="s">
        <v>87</v>
      </c>
      <c r="F774" s="38" t="s">
        <v>88</v>
      </c>
      <c r="G774" s="51">
        <v>1</v>
      </c>
      <c r="H774" s="57" t="s">
        <v>68</v>
      </c>
      <c r="I774" s="39">
        <v>0.89900000000000002</v>
      </c>
      <c r="J774" s="39">
        <v>0.16149999999999998</v>
      </c>
      <c r="K774" s="39">
        <v>0.12999999999999998</v>
      </c>
      <c r="L774" s="39">
        <v>0.1026</v>
      </c>
      <c r="M774" s="58">
        <v>5000</v>
      </c>
      <c r="N774" s="58">
        <v>1000000</v>
      </c>
    </row>
    <row r="775" spans="1:14" ht="15" customHeight="1" x14ac:dyDescent="0.25">
      <c r="A775" s="64" t="str">
        <f t="shared" si="12"/>
        <v>1-13-0-TOU-2 year Reward</v>
      </c>
      <c r="B775" s="63" t="s">
        <v>13</v>
      </c>
      <c r="C775" s="56">
        <v>13</v>
      </c>
      <c r="D775" s="57" t="s">
        <v>22</v>
      </c>
      <c r="E775" s="57" t="s">
        <v>87</v>
      </c>
      <c r="F775" s="38" t="s">
        <v>88</v>
      </c>
      <c r="G775" s="51">
        <v>1</v>
      </c>
      <c r="H775" s="57" t="s">
        <v>68</v>
      </c>
      <c r="I775" s="39">
        <v>0.877</v>
      </c>
      <c r="J775" s="39">
        <v>0.17459999999999998</v>
      </c>
      <c r="K775" s="39">
        <v>0.1406</v>
      </c>
      <c r="L775" s="39">
        <v>0.111</v>
      </c>
      <c r="M775" s="58">
        <v>5000</v>
      </c>
      <c r="N775" s="58">
        <v>1000000</v>
      </c>
    </row>
    <row r="776" spans="1:14" ht="15" customHeight="1" x14ac:dyDescent="0.25">
      <c r="A776" s="64" t="str">
        <f t="shared" si="12"/>
        <v>1-14-0-TOU-2 year Reward</v>
      </c>
      <c r="B776" s="63" t="s">
        <v>13</v>
      </c>
      <c r="C776" s="56">
        <v>14</v>
      </c>
      <c r="D776" s="57" t="s">
        <v>23</v>
      </c>
      <c r="E776" s="57" t="s">
        <v>87</v>
      </c>
      <c r="F776" s="38" t="s">
        <v>88</v>
      </c>
      <c r="G776" s="51">
        <v>1</v>
      </c>
      <c r="H776" s="57" t="s">
        <v>68</v>
      </c>
      <c r="I776" s="39">
        <v>0.88600000000000001</v>
      </c>
      <c r="J776" s="39">
        <v>0.16599999999999998</v>
      </c>
      <c r="K776" s="39">
        <v>0.1336</v>
      </c>
      <c r="L776" s="39">
        <v>0.1055</v>
      </c>
      <c r="M776" s="58">
        <v>5000</v>
      </c>
      <c r="N776" s="58">
        <v>1000000</v>
      </c>
    </row>
    <row r="777" spans="1:14" ht="15" customHeight="1" x14ac:dyDescent="0.25">
      <c r="A777" s="64" t="str">
        <f t="shared" si="12"/>
        <v>1-15-0-TOU-2 year Reward</v>
      </c>
      <c r="B777" s="63" t="s">
        <v>13</v>
      </c>
      <c r="C777" s="56">
        <v>15</v>
      </c>
      <c r="D777" s="57" t="s">
        <v>24</v>
      </c>
      <c r="E777" s="57" t="s">
        <v>87</v>
      </c>
      <c r="F777" s="38" t="s">
        <v>88</v>
      </c>
      <c r="G777" s="51">
        <v>1</v>
      </c>
      <c r="H777" s="57" t="s">
        <v>68</v>
      </c>
      <c r="I777" s="39">
        <v>0.95599999999999996</v>
      </c>
      <c r="J777" s="39">
        <v>0.16569999999999999</v>
      </c>
      <c r="K777" s="39">
        <v>0.13339999999999999</v>
      </c>
      <c r="L777" s="39">
        <v>0.1053</v>
      </c>
      <c r="M777" s="58">
        <v>5000</v>
      </c>
      <c r="N777" s="58">
        <v>1000000</v>
      </c>
    </row>
    <row r="778" spans="1:14" ht="15" customHeight="1" x14ac:dyDescent="0.25">
      <c r="A778" s="64" t="str">
        <f t="shared" si="12"/>
        <v>1-16-0-TOU-2 year Reward</v>
      </c>
      <c r="B778" s="63" t="s">
        <v>13</v>
      </c>
      <c r="C778" s="56">
        <v>16</v>
      </c>
      <c r="D778" s="57" t="s">
        <v>25</v>
      </c>
      <c r="E778" s="57" t="s">
        <v>87</v>
      </c>
      <c r="F778" s="38" t="s">
        <v>88</v>
      </c>
      <c r="G778" s="51">
        <v>1</v>
      </c>
      <c r="H778" s="57" t="s">
        <v>68</v>
      </c>
      <c r="I778" s="39">
        <v>0.72399999999999998</v>
      </c>
      <c r="J778" s="39">
        <v>0.16499999999999998</v>
      </c>
      <c r="K778" s="39">
        <v>0.13289999999999999</v>
      </c>
      <c r="L778" s="39">
        <v>0.10490000000000001</v>
      </c>
      <c r="M778" s="58">
        <v>5000</v>
      </c>
      <c r="N778" s="58">
        <v>1000000</v>
      </c>
    </row>
    <row r="779" spans="1:14" ht="15" customHeight="1" x14ac:dyDescent="0.25">
      <c r="A779" s="64" t="str">
        <f t="shared" si="12"/>
        <v>1-17-0-TOU-2 year Reward</v>
      </c>
      <c r="B779" s="63" t="s">
        <v>13</v>
      </c>
      <c r="C779" s="56">
        <v>17</v>
      </c>
      <c r="D779" s="57" t="s">
        <v>26</v>
      </c>
      <c r="E779" s="57" t="s">
        <v>87</v>
      </c>
      <c r="F779" s="38" t="s">
        <v>88</v>
      </c>
      <c r="G779" s="51">
        <v>1</v>
      </c>
      <c r="H779" s="57" t="s">
        <v>68</v>
      </c>
      <c r="I779" s="39">
        <v>1.6619999999999999</v>
      </c>
      <c r="J779" s="39">
        <v>0.184</v>
      </c>
      <c r="K779" s="39">
        <v>0.1482</v>
      </c>
      <c r="L779" s="39">
        <v>0.11700000000000001</v>
      </c>
      <c r="M779" s="58">
        <v>5000</v>
      </c>
      <c r="N779" s="58">
        <v>1000000</v>
      </c>
    </row>
    <row r="780" spans="1:14" ht="15" customHeight="1" x14ac:dyDescent="0.25">
      <c r="A780" s="64" t="str">
        <f t="shared" si="12"/>
        <v>1-18-0-TOU-2 year Reward</v>
      </c>
      <c r="B780" s="63" t="s">
        <v>13</v>
      </c>
      <c r="C780" s="56">
        <v>18</v>
      </c>
      <c r="D780" s="57" t="s">
        <v>27</v>
      </c>
      <c r="E780" s="57" t="s">
        <v>87</v>
      </c>
      <c r="F780" s="38" t="s">
        <v>88</v>
      </c>
      <c r="G780" s="51">
        <v>1</v>
      </c>
      <c r="H780" s="57" t="s">
        <v>68</v>
      </c>
      <c r="I780" s="39">
        <v>0.89500000000000002</v>
      </c>
      <c r="J780" s="39">
        <v>0.16449999999999998</v>
      </c>
      <c r="K780" s="39">
        <v>0.13249999999999998</v>
      </c>
      <c r="L780" s="39">
        <v>0.1046</v>
      </c>
      <c r="M780" s="58">
        <v>5000</v>
      </c>
      <c r="N780" s="58">
        <v>1000000</v>
      </c>
    </row>
    <row r="781" spans="1:14" ht="15" customHeight="1" x14ac:dyDescent="0.25">
      <c r="A781" s="64" t="str">
        <f t="shared" si="12"/>
        <v>1-19-0-TOU-2 year Reward</v>
      </c>
      <c r="B781" s="63" t="s">
        <v>13</v>
      </c>
      <c r="C781" s="56">
        <v>19</v>
      </c>
      <c r="D781" s="57" t="s">
        <v>28</v>
      </c>
      <c r="E781" s="57" t="s">
        <v>87</v>
      </c>
      <c r="F781" s="38" t="s">
        <v>88</v>
      </c>
      <c r="G781" s="51">
        <v>1</v>
      </c>
      <c r="H781" s="57" t="s">
        <v>68</v>
      </c>
      <c r="I781" s="39">
        <v>0.77400000000000002</v>
      </c>
      <c r="J781" s="39">
        <v>0.16339999999999999</v>
      </c>
      <c r="K781" s="39">
        <v>0.13149999999999998</v>
      </c>
      <c r="L781" s="39">
        <v>0.1038</v>
      </c>
      <c r="M781" s="58">
        <v>5000</v>
      </c>
      <c r="N781" s="58">
        <v>1000000</v>
      </c>
    </row>
    <row r="782" spans="1:14" ht="15" customHeight="1" x14ac:dyDescent="0.25">
      <c r="A782" s="64" t="str">
        <f t="shared" si="12"/>
        <v>1-20-0-TOU-2 year Reward</v>
      </c>
      <c r="B782" s="63" t="s">
        <v>13</v>
      </c>
      <c r="C782" s="56">
        <v>20</v>
      </c>
      <c r="D782" s="57" t="s">
        <v>29</v>
      </c>
      <c r="E782" s="57" t="s">
        <v>87</v>
      </c>
      <c r="F782" s="38" t="s">
        <v>88</v>
      </c>
      <c r="G782" s="51">
        <v>1</v>
      </c>
      <c r="H782" s="57" t="s">
        <v>68</v>
      </c>
      <c r="I782" s="39">
        <v>0.82299999999999995</v>
      </c>
      <c r="J782" s="39">
        <v>0.16349999999999998</v>
      </c>
      <c r="K782" s="39">
        <v>0.13159999999999999</v>
      </c>
      <c r="L782" s="39">
        <v>0.10390000000000001</v>
      </c>
      <c r="M782" s="58">
        <v>5000</v>
      </c>
      <c r="N782" s="58">
        <v>1000000</v>
      </c>
    </row>
    <row r="783" spans="1:14" ht="15" customHeight="1" x14ac:dyDescent="0.25">
      <c r="A783" s="64" t="str">
        <f t="shared" si="12"/>
        <v>1-21-0-TOU-2 year Reward</v>
      </c>
      <c r="B783" s="63" t="s">
        <v>13</v>
      </c>
      <c r="C783" s="56">
        <v>21</v>
      </c>
      <c r="D783" s="57" t="s">
        <v>30</v>
      </c>
      <c r="E783" s="57" t="s">
        <v>87</v>
      </c>
      <c r="F783" s="38" t="s">
        <v>88</v>
      </c>
      <c r="G783" s="51">
        <v>1</v>
      </c>
      <c r="H783" s="57" t="s">
        <v>68</v>
      </c>
      <c r="I783" s="39">
        <v>0.91900000000000004</v>
      </c>
      <c r="J783" s="39">
        <v>0.17359999999999998</v>
      </c>
      <c r="K783" s="39">
        <v>0.13979999999999998</v>
      </c>
      <c r="L783" s="39">
        <v>0.1104</v>
      </c>
      <c r="M783" s="58">
        <v>5000</v>
      </c>
      <c r="N783" s="58">
        <v>1000000</v>
      </c>
    </row>
    <row r="784" spans="1:14" ht="15" customHeight="1" x14ac:dyDescent="0.25">
      <c r="A784" s="64" t="str">
        <f t="shared" si="12"/>
        <v>1-22-0-TOU-2 year Reward</v>
      </c>
      <c r="B784" s="63" t="s">
        <v>13</v>
      </c>
      <c r="C784" s="56">
        <v>22</v>
      </c>
      <c r="D784" s="57" t="s">
        <v>31</v>
      </c>
      <c r="E784" s="57" t="s">
        <v>87</v>
      </c>
      <c r="F784" s="38" t="s">
        <v>88</v>
      </c>
      <c r="G784" s="51">
        <v>1</v>
      </c>
      <c r="H784" s="57" t="s">
        <v>68</v>
      </c>
      <c r="I784" s="39">
        <v>0.9</v>
      </c>
      <c r="J784" s="39">
        <v>0.17419999999999999</v>
      </c>
      <c r="K784" s="39">
        <v>0.14029999999999998</v>
      </c>
      <c r="L784" s="39">
        <v>0.11070000000000001</v>
      </c>
      <c r="M784" s="58">
        <v>5000</v>
      </c>
      <c r="N784" s="58">
        <v>1000000</v>
      </c>
    </row>
    <row r="785" spans="1:14" ht="15" customHeight="1" x14ac:dyDescent="0.25">
      <c r="A785" s="64" t="str">
        <f t="shared" si="12"/>
        <v>1-23-0-TOU-2 year Reward</v>
      </c>
      <c r="B785" s="63" t="s">
        <v>13</v>
      </c>
      <c r="C785" s="56">
        <v>23</v>
      </c>
      <c r="D785" s="57" t="s">
        <v>32</v>
      </c>
      <c r="E785" s="57" t="s">
        <v>87</v>
      </c>
      <c r="F785" s="38" t="s">
        <v>88</v>
      </c>
      <c r="G785" s="51">
        <v>1</v>
      </c>
      <c r="H785" s="57" t="s">
        <v>68</v>
      </c>
      <c r="I785" s="39">
        <v>0.90200000000000002</v>
      </c>
      <c r="J785" s="39">
        <v>0.16599999999999998</v>
      </c>
      <c r="K785" s="39">
        <v>0.1336</v>
      </c>
      <c r="L785" s="39">
        <v>0.1055</v>
      </c>
      <c r="M785" s="58">
        <v>5000</v>
      </c>
      <c r="N785" s="58">
        <v>1000000</v>
      </c>
    </row>
    <row r="786" spans="1:14" ht="15" customHeight="1" x14ac:dyDescent="0.25">
      <c r="A786" s="64" t="str">
        <f t="shared" si="12"/>
        <v>0.1-10-0-TOU-2 year Reward Plus</v>
      </c>
      <c r="B786" s="63" t="s">
        <v>13</v>
      </c>
      <c r="C786" s="56">
        <v>10</v>
      </c>
      <c r="D786" s="57" t="s">
        <v>14</v>
      </c>
      <c r="E786" s="57" t="s">
        <v>87</v>
      </c>
      <c r="F786" s="38" t="s">
        <v>88</v>
      </c>
      <c r="G786" s="51">
        <v>0.1</v>
      </c>
      <c r="H786" s="57" t="s">
        <v>69</v>
      </c>
      <c r="I786" s="39">
        <v>0.88100000000000001</v>
      </c>
      <c r="J786" s="39">
        <v>0.15589999999999998</v>
      </c>
      <c r="K786" s="39">
        <v>0.1255</v>
      </c>
      <c r="L786" s="39">
        <v>9.9100000000000008E-2</v>
      </c>
      <c r="M786" s="58">
        <v>5000</v>
      </c>
      <c r="N786" s="58">
        <v>1000000</v>
      </c>
    </row>
    <row r="787" spans="1:14" ht="15" customHeight="1" x14ac:dyDescent="0.25">
      <c r="A787" s="64" t="str">
        <f t="shared" si="12"/>
        <v>0.1-11-0-TOU-2 year Reward Plus</v>
      </c>
      <c r="B787" s="63" t="s">
        <v>13</v>
      </c>
      <c r="C787" s="56">
        <v>11</v>
      </c>
      <c r="D787" s="57" t="s">
        <v>20</v>
      </c>
      <c r="E787" s="57" t="s">
        <v>87</v>
      </c>
      <c r="F787" s="38" t="s">
        <v>88</v>
      </c>
      <c r="G787" s="51">
        <v>0.1</v>
      </c>
      <c r="H787" s="57" t="s">
        <v>69</v>
      </c>
      <c r="I787" s="39">
        <v>0.86099999999999999</v>
      </c>
      <c r="J787" s="39">
        <v>0.159</v>
      </c>
      <c r="K787" s="39">
        <v>0.128</v>
      </c>
      <c r="L787" s="39">
        <v>0.10110000000000001</v>
      </c>
      <c r="M787" s="58">
        <v>5000</v>
      </c>
      <c r="N787" s="58">
        <v>1000000</v>
      </c>
    </row>
    <row r="788" spans="1:14" ht="15" customHeight="1" x14ac:dyDescent="0.25">
      <c r="A788" s="64" t="str">
        <f t="shared" si="12"/>
        <v>0.1-12-0-TOU-2 year Reward Plus</v>
      </c>
      <c r="B788" s="63" t="s">
        <v>13</v>
      </c>
      <c r="C788" s="56">
        <v>12</v>
      </c>
      <c r="D788" s="57" t="s">
        <v>21</v>
      </c>
      <c r="E788" s="57" t="s">
        <v>87</v>
      </c>
      <c r="F788" s="38" t="s">
        <v>88</v>
      </c>
      <c r="G788" s="51">
        <v>0.1</v>
      </c>
      <c r="H788" s="57" t="s">
        <v>69</v>
      </c>
      <c r="I788" s="39">
        <v>0.90300000000000002</v>
      </c>
      <c r="J788" s="39">
        <v>0.15559999999999999</v>
      </c>
      <c r="K788" s="39">
        <v>0.12529999999999999</v>
      </c>
      <c r="L788" s="39">
        <v>9.8900000000000002E-2</v>
      </c>
      <c r="M788" s="58">
        <v>5000</v>
      </c>
      <c r="N788" s="58">
        <v>1000000</v>
      </c>
    </row>
    <row r="789" spans="1:14" ht="15" customHeight="1" x14ac:dyDescent="0.25">
      <c r="A789" s="64" t="str">
        <f t="shared" si="12"/>
        <v>0.1-13-0-TOU-2 year Reward Plus</v>
      </c>
      <c r="B789" s="63" t="s">
        <v>13</v>
      </c>
      <c r="C789" s="56">
        <v>13</v>
      </c>
      <c r="D789" s="57" t="s">
        <v>22</v>
      </c>
      <c r="E789" s="57" t="s">
        <v>87</v>
      </c>
      <c r="F789" s="38" t="s">
        <v>88</v>
      </c>
      <c r="G789" s="51">
        <v>0.1</v>
      </c>
      <c r="H789" s="57" t="s">
        <v>69</v>
      </c>
      <c r="I789" s="39">
        <v>0.88100000000000001</v>
      </c>
      <c r="J789" s="39">
        <v>0.16869999999999999</v>
      </c>
      <c r="K789" s="39">
        <v>0.13579999999999998</v>
      </c>
      <c r="L789" s="39">
        <v>0.1072</v>
      </c>
      <c r="M789" s="58">
        <v>5000</v>
      </c>
      <c r="N789" s="58">
        <v>1000000</v>
      </c>
    </row>
    <row r="790" spans="1:14" ht="15" customHeight="1" x14ac:dyDescent="0.25">
      <c r="A790" s="64" t="str">
        <f t="shared" si="12"/>
        <v>0.1-14-0-TOU-2 year Reward Plus</v>
      </c>
      <c r="B790" s="63" t="s">
        <v>13</v>
      </c>
      <c r="C790" s="56">
        <v>14</v>
      </c>
      <c r="D790" s="57" t="s">
        <v>23</v>
      </c>
      <c r="E790" s="57" t="s">
        <v>87</v>
      </c>
      <c r="F790" s="38" t="s">
        <v>88</v>
      </c>
      <c r="G790" s="51">
        <v>0.1</v>
      </c>
      <c r="H790" s="57" t="s">
        <v>69</v>
      </c>
      <c r="I790" s="39">
        <v>0.89</v>
      </c>
      <c r="J790" s="39">
        <v>0.16009999999999999</v>
      </c>
      <c r="K790" s="39">
        <v>0.12889999999999999</v>
      </c>
      <c r="L790" s="39">
        <v>0.1017</v>
      </c>
      <c r="M790" s="58">
        <v>5000</v>
      </c>
      <c r="N790" s="58">
        <v>1000000</v>
      </c>
    </row>
    <row r="791" spans="1:14" ht="15" customHeight="1" x14ac:dyDescent="0.25">
      <c r="A791" s="64" t="str">
        <f t="shared" si="12"/>
        <v>0.1-15-0-TOU-2 year Reward Plus</v>
      </c>
      <c r="B791" s="63" t="s">
        <v>13</v>
      </c>
      <c r="C791" s="56">
        <v>15</v>
      </c>
      <c r="D791" s="57" t="s">
        <v>24</v>
      </c>
      <c r="E791" s="57" t="s">
        <v>87</v>
      </c>
      <c r="F791" s="38" t="s">
        <v>88</v>
      </c>
      <c r="G791" s="51">
        <v>0.1</v>
      </c>
      <c r="H791" s="57" t="s">
        <v>69</v>
      </c>
      <c r="I791" s="39">
        <v>0.96</v>
      </c>
      <c r="J791" s="39">
        <v>0.1598</v>
      </c>
      <c r="K791" s="39">
        <v>0.12869999999999998</v>
      </c>
      <c r="L791" s="39">
        <v>0.10160000000000001</v>
      </c>
      <c r="M791" s="58">
        <v>5000</v>
      </c>
      <c r="N791" s="58">
        <v>1000000</v>
      </c>
    </row>
    <row r="792" spans="1:14" ht="15" customHeight="1" x14ac:dyDescent="0.25">
      <c r="A792" s="64" t="str">
        <f t="shared" si="12"/>
        <v>0.1-16-0-TOU-2 year Reward Plus</v>
      </c>
      <c r="B792" s="63" t="s">
        <v>13</v>
      </c>
      <c r="C792" s="56">
        <v>16</v>
      </c>
      <c r="D792" s="57" t="s">
        <v>25</v>
      </c>
      <c r="E792" s="57" t="s">
        <v>87</v>
      </c>
      <c r="F792" s="38" t="s">
        <v>88</v>
      </c>
      <c r="G792" s="51">
        <v>0.1</v>
      </c>
      <c r="H792" s="57" t="s">
        <v>69</v>
      </c>
      <c r="I792" s="39">
        <v>0.72699999999999998</v>
      </c>
      <c r="J792" s="39">
        <v>0.15909999999999999</v>
      </c>
      <c r="K792" s="39">
        <v>0.12809999999999999</v>
      </c>
      <c r="L792" s="39">
        <v>0.1011</v>
      </c>
      <c r="M792" s="58">
        <v>5000</v>
      </c>
      <c r="N792" s="58">
        <v>1000000</v>
      </c>
    </row>
    <row r="793" spans="1:14" ht="15" customHeight="1" x14ac:dyDescent="0.25">
      <c r="A793" s="64" t="str">
        <f t="shared" si="12"/>
        <v>0.1-17-0-TOU-2 year Reward Plus</v>
      </c>
      <c r="B793" s="63" t="s">
        <v>13</v>
      </c>
      <c r="C793" s="56">
        <v>17</v>
      </c>
      <c r="D793" s="57" t="s">
        <v>26</v>
      </c>
      <c r="E793" s="57" t="s">
        <v>87</v>
      </c>
      <c r="F793" s="38" t="s">
        <v>88</v>
      </c>
      <c r="G793" s="51">
        <v>0.1</v>
      </c>
      <c r="H793" s="57" t="s">
        <v>69</v>
      </c>
      <c r="I793" s="39">
        <v>1.67</v>
      </c>
      <c r="J793" s="39">
        <v>0.17809999999999998</v>
      </c>
      <c r="K793" s="39">
        <v>0.1434</v>
      </c>
      <c r="L793" s="39">
        <v>0.11320000000000001</v>
      </c>
      <c r="M793" s="58">
        <v>5000</v>
      </c>
      <c r="N793" s="58">
        <v>1000000</v>
      </c>
    </row>
    <row r="794" spans="1:14" ht="15" customHeight="1" x14ac:dyDescent="0.25">
      <c r="A794" s="64" t="str">
        <f t="shared" si="12"/>
        <v>0.1-18-0-TOU-2 year Reward Plus</v>
      </c>
      <c r="B794" s="63" t="s">
        <v>13</v>
      </c>
      <c r="C794" s="56">
        <v>18</v>
      </c>
      <c r="D794" s="57" t="s">
        <v>27</v>
      </c>
      <c r="E794" s="57" t="s">
        <v>87</v>
      </c>
      <c r="F794" s="38" t="s">
        <v>88</v>
      </c>
      <c r="G794" s="51">
        <v>0.1</v>
      </c>
      <c r="H794" s="57" t="s">
        <v>69</v>
      </c>
      <c r="I794" s="39">
        <v>0.89900000000000002</v>
      </c>
      <c r="J794" s="39">
        <v>0.15859999999999999</v>
      </c>
      <c r="K794" s="39">
        <v>0.12769999999999998</v>
      </c>
      <c r="L794" s="39">
        <v>0.1008</v>
      </c>
      <c r="M794" s="58">
        <v>5000</v>
      </c>
      <c r="N794" s="58">
        <v>1000000</v>
      </c>
    </row>
    <row r="795" spans="1:14" ht="15" customHeight="1" x14ac:dyDescent="0.25">
      <c r="A795" s="64" t="str">
        <f t="shared" si="12"/>
        <v>0.1-19-0-TOU-2 year Reward Plus</v>
      </c>
      <c r="B795" s="63" t="s">
        <v>13</v>
      </c>
      <c r="C795" s="56">
        <v>19</v>
      </c>
      <c r="D795" s="57" t="s">
        <v>28</v>
      </c>
      <c r="E795" s="57" t="s">
        <v>87</v>
      </c>
      <c r="F795" s="38" t="s">
        <v>88</v>
      </c>
      <c r="G795" s="51">
        <v>0.1</v>
      </c>
      <c r="H795" s="57" t="s">
        <v>69</v>
      </c>
      <c r="I795" s="39">
        <v>0.77800000000000002</v>
      </c>
      <c r="J795" s="39">
        <v>0.1575</v>
      </c>
      <c r="K795" s="39">
        <v>0.1268</v>
      </c>
      <c r="L795" s="39">
        <v>0.10010000000000001</v>
      </c>
      <c r="M795" s="58">
        <v>5000</v>
      </c>
      <c r="N795" s="58">
        <v>1000000</v>
      </c>
    </row>
    <row r="796" spans="1:14" ht="15" customHeight="1" x14ac:dyDescent="0.25">
      <c r="A796" s="64" t="str">
        <f t="shared" si="12"/>
        <v>0.1-20-0-TOU-2 year Reward Plus</v>
      </c>
      <c r="B796" s="63" t="s">
        <v>13</v>
      </c>
      <c r="C796" s="56">
        <v>20</v>
      </c>
      <c r="D796" s="57" t="s">
        <v>29</v>
      </c>
      <c r="E796" s="57" t="s">
        <v>87</v>
      </c>
      <c r="F796" s="38" t="s">
        <v>88</v>
      </c>
      <c r="G796" s="51">
        <v>0.1</v>
      </c>
      <c r="H796" s="57" t="s">
        <v>69</v>
      </c>
      <c r="I796" s="39">
        <v>0.82699999999999996</v>
      </c>
      <c r="J796" s="39">
        <v>0.15759999999999999</v>
      </c>
      <c r="K796" s="39">
        <v>0.12689999999999999</v>
      </c>
      <c r="L796" s="39">
        <v>0.1002</v>
      </c>
      <c r="M796" s="58">
        <v>5000</v>
      </c>
      <c r="N796" s="58">
        <v>1000000</v>
      </c>
    </row>
    <row r="797" spans="1:14" ht="15" customHeight="1" x14ac:dyDescent="0.25">
      <c r="A797" s="64" t="str">
        <f t="shared" si="12"/>
        <v>0.1-21-0-TOU-2 year Reward Plus</v>
      </c>
      <c r="B797" s="63" t="s">
        <v>13</v>
      </c>
      <c r="C797" s="56">
        <v>21</v>
      </c>
      <c r="D797" s="57" t="s">
        <v>30</v>
      </c>
      <c r="E797" s="57" t="s">
        <v>87</v>
      </c>
      <c r="F797" s="38" t="s">
        <v>88</v>
      </c>
      <c r="G797" s="51">
        <v>0.1</v>
      </c>
      <c r="H797" s="57" t="s">
        <v>69</v>
      </c>
      <c r="I797" s="39">
        <v>0.92300000000000004</v>
      </c>
      <c r="J797" s="39">
        <v>0.16769999999999999</v>
      </c>
      <c r="K797" s="39">
        <v>0.13499999999999998</v>
      </c>
      <c r="L797" s="39">
        <v>0.1066</v>
      </c>
      <c r="M797" s="58">
        <v>5000</v>
      </c>
      <c r="N797" s="58">
        <v>1000000</v>
      </c>
    </row>
    <row r="798" spans="1:14" ht="15" customHeight="1" x14ac:dyDescent="0.25">
      <c r="A798" s="64" t="str">
        <f t="shared" si="12"/>
        <v>0.1-22-0-TOU-2 year Reward Plus</v>
      </c>
      <c r="B798" s="63" t="s">
        <v>13</v>
      </c>
      <c r="C798" s="56">
        <v>22</v>
      </c>
      <c r="D798" s="57" t="s">
        <v>31</v>
      </c>
      <c r="E798" s="57" t="s">
        <v>87</v>
      </c>
      <c r="F798" s="38" t="s">
        <v>88</v>
      </c>
      <c r="G798" s="51">
        <v>0.1</v>
      </c>
      <c r="H798" s="57" t="s">
        <v>69</v>
      </c>
      <c r="I798" s="39">
        <v>0.90400000000000003</v>
      </c>
      <c r="J798" s="39">
        <v>0.16829999999999998</v>
      </c>
      <c r="K798" s="39">
        <v>0.13549999999999998</v>
      </c>
      <c r="L798" s="39">
        <v>0.107</v>
      </c>
      <c r="M798" s="58">
        <v>5000</v>
      </c>
      <c r="N798" s="58">
        <v>1000000</v>
      </c>
    </row>
    <row r="799" spans="1:14" ht="15" customHeight="1" x14ac:dyDescent="0.25">
      <c r="A799" s="64" t="str">
        <f t="shared" si="12"/>
        <v>0.1-23-0-TOU-2 year Reward Plus</v>
      </c>
      <c r="B799" s="63" t="s">
        <v>13</v>
      </c>
      <c r="C799" s="56">
        <v>23</v>
      </c>
      <c r="D799" s="57" t="s">
        <v>32</v>
      </c>
      <c r="E799" s="57" t="s">
        <v>87</v>
      </c>
      <c r="F799" s="38" t="s">
        <v>88</v>
      </c>
      <c r="G799" s="51">
        <v>0.1</v>
      </c>
      <c r="H799" s="57" t="s">
        <v>69</v>
      </c>
      <c r="I799" s="39">
        <v>0.90600000000000003</v>
      </c>
      <c r="J799" s="39">
        <v>0.16009999999999999</v>
      </c>
      <c r="K799" s="39">
        <v>0.12889999999999999</v>
      </c>
      <c r="L799" s="39">
        <v>0.1017</v>
      </c>
      <c r="M799" s="58">
        <v>5000</v>
      </c>
      <c r="N799" s="58">
        <v>1000000</v>
      </c>
    </row>
    <row r="800" spans="1:14" ht="15" customHeight="1" x14ac:dyDescent="0.25">
      <c r="A800" s="64" t="str">
        <f t="shared" si="12"/>
        <v>0.2-10-0-TOU-2 year Reward Plus</v>
      </c>
      <c r="B800" s="63" t="s">
        <v>13</v>
      </c>
      <c r="C800" s="56">
        <v>10</v>
      </c>
      <c r="D800" s="57" t="s">
        <v>14</v>
      </c>
      <c r="E800" s="57" t="s">
        <v>87</v>
      </c>
      <c r="F800" s="38" t="s">
        <v>88</v>
      </c>
      <c r="G800" s="51">
        <v>0.2</v>
      </c>
      <c r="H800" s="57" t="s">
        <v>69</v>
      </c>
      <c r="I800" s="39">
        <v>0.88100000000000001</v>
      </c>
      <c r="J800" s="39">
        <v>0.15709999999999999</v>
      </c>
      <c r="K800" s="39">
        <v>0.1265</v>
      </c>
      <c r="L800" s="39">
        <v>9.9900000000000003E-2</v>
      </c>
      <c r="M800" s="58">
        <v>5000</v>
      </c>
      <c r="N800" s="58">
        <v>1000000</v>
      </c>
    </row>
    <row r="801" spans="1:14" ht="15" customHeight="1" x14ac:dyDescent="0.25">
      <c r="A801" s="64" t="str">
        <f t="shared" si="12"/>
        <v>0.2-11-0-TOU-2 year Reward Plus</v>
      </c>
      <c r="B801" s="63" t="s">
        <v>13</v>
      </c>
      <c r="C801" s="56">
        <v>11</v>
      </c>
      <c r="D801" s="57" t="s">
        <v>20</v>
      </c>
      <c r="E801" s="57" t="s">
        <v>87</v>
      </c>
      <c r="F801" s="38" t="s">
        <v>88</v>
      </c>
      <c r="G801" s="51">
        <v>0.2</v>
      </c>
      <c r="H801" s="57" t="s">
        <v>69</v>
      </c>
      <c r="I801" s="39">
        <v>0.86099999999999999</v>
      </c>
      <c r="J801" s="39">
        <v>0.16019999999999998</v>
      </c>
      <c r="K801" s="39">
        <v>0.12899999999999998</v>
      </c>
      <c r="L801" s="39">
        <v>0.1018</v>
      </c>
      <c r="M801" s="58">
        <v>5000</v>
      </c>
      <c r="N801" s="58">
        <v>1000000</v>
      </c>
    </row>
    <row r="802" spans="1:14" ht="15" customHeight="1" x14ac:dyDescent="0.25">
      <c r="A802" s="64" t="str">
        <f t="shared" si="12"/>
        <v>0.2-12-0-TOU-2 year Reward Plus</v>
      </c>
      <c r="B802" s="63" t="s">
        <v>13</v>
      </c>
      <c r="C802" s="56">
        <v>12</v>
      </c>
      <c r="D802" s="57" t="s">
        <v>21</v>
      </c>
      <c r="E802" s="57" t="s">
        <v>87</v>
      </c>
      <c r="F802" s="38" t="s">
        <v>88</v>
      </c>
      <c r="G802" s="51">
        <v>0.2</v>
      </c>
      <c r="H802" s="57" t="s">
        <v>69</v>
      </c>
      <c r="I802" s="39">
        <v>0.90300000000000002</v>
      </c>
      <c r="J802" s="39">
        <v>0.15679999999999999</v>
      </c>
      <c r="K802" s="39">
        <v>0.12619999999999998</v>
      </c>
      <c r="L802" s="39">
        <v>9.9599999999999994E-2</v>
      </c>
      <c r="M802" s="58">
        <v>5000</v>
      </c>
      <c r="N802" s="58">
        <v>1000000</v>
      </c>
    </row>
    <row r="803" spans="1:14" ht="15" customHeight="1" x14ac:dyDescent="0.25">
      <c r="A803" s="64" t="str">
        <f t="shared" si="12"/>
        <v>0.2-13-0-TOU-2 year Reward Plus</v>
      </c>
      <c r="B803" s="63" t="s">
        <v>13</v>
      </c>
      <c r="C803" s="56">
        <v>13</v>
      </c>
      <c r="D803" s="57" t="s">
        <v>22</v>
      </c>
      <c r="E803" s="57" t="s">
        <v>87</v>
      </c>
      <c r="F803" s="38" t="s">
        <v>88</v>
      </c>
      <c r="G803" s="51">
        <v>0.2</v>
      </c>
      <c r="H803" s="57" t="s">
        <v>69</v>
      </c>
      <c r="I803" s="39">
        <v>0.88100000000000001</v>
      </c>
      <c r="J803" s="39">
        <v>0.1699</v>
      </c>
      <c r="K803" s="39">
        <v>0.13679999999999998</v>
      </c>
      <c r="L803" s="39">
        <v>0.108</v>
      </c>
      <c r="M803" s="58">
        <v>5000</v>
      </c>
      <c r="N803" s="58">
        <v>1000000</v>
      </c>
    </row>
    <row r="804" spans="1:14" ht="15" customHeight="1" x14ac:dyDescent="0.25">
      <c r="A804" s="64" t="str">
        <f t="shared" si="12"/>
        <v>0.2-14-0-TOU-2 year Reward Plus</v>
      </c>
      <c r="B804" s="63" t="s">
        <v>13</v>
      </c>
      <c r="C804" s="56">
        <v>14</v>
      </c>
      <c r="D804" s="57" t="s">
        <v>23</v>
      </c>
      <c r="E804" s="57" t="s">
        <v>87</v>
      </c>
      <c r="F804" s="38" t="s">
        <v>88</v>
      </c>
      <c r="G804" s="51">
        <v>0.2</v>
      </c>
      <c r="H804" s="57" t="s">
        <v>69</v>
      </c>
      <c r="I804" s="39">
        <v>0.89</v>
      </c>
      <c r="J804" s="39">
        <v>0.16119999999999998</v>
      </c>
      <c r="K804" s="39">
        <v>0.1298</v>
      </c>
      <c r="L804" s="39">
        <v>0.10250000000000001</v>
      </c>
      <c r="M804" s="58">
        <v>5000</v>
      </c>
      <c r="N804" s="58">
        <v>1000000</v>
      </c>
    </row>
    <row r="805" spans="1:14" ht="15" customHeight="1" x14ac:dyDescent="0.25">
      <c r="A805" s="64" t="str">
        <f t="shared" si="12"/>
        <v>0.2-15-0-TOU-2 year Reward Plus</v>
      </c>
      <c r="B805" s="63" t="s">
        <v>13</v>
      </c>
      <c r="C805" s="56">
        <v>15</v>
      </c>
      <c r="D805" s="57" t="s">
        <v>24</v>
      </c>
      <c r="E805" s="57" t="s">
        <v>87</v>
      </c>
      <c r="F805" s="38" t="s">
        <v>88</v>
      </c>
      <c r="G805" s="51">
        <v>0.2</v>
      </c>
      <c r="H805" s="57" t="s">
        <v>69</v>
      </c>
      <c r="I805" s="39">
        <v>0.96</v>
      </c>
      <c r="J805" s="39">
        <v>0.16099999999999998</v>
      </c>
      <c r="K805" s="39">
        <v>0.12959999999999999</v>
      </c>
      <c r="L805" s="39">
        <v>0.1023</v>
      </c>
      <c r="M805" s="58">
        <v>5000</v>
      </c>
      <c r="N805" s="58">
        <v>1000000</v>
      </c>
    </row>
    <row r="806" spans="1:14" ht="15" customHeight="1" x14ac:dyDescent="0.25">
      <c r="A806" s="64" t="str">
        <f t="shared" si="12"/>
        <v>0.2-16-0-TOU-2 year Reward Plus</v>
      </c>
      <c r="B806" s="63" t="s">
        <v>13</v>
      </c>
      <c r="C806" s="56">
        <v>16</v>
      </c>
      <c r="D806" s="57" t="s">
        <v>25</v>
      </c>
      <c r="E806" s="57" t="s">
        <v>87</v>
      </c>
      <c r="F806" s="38" t="s">
        <v>88</v>
      </c>
      <c r="G806" s="51">
        <v>0.2</v>
      </c>
      <c r="H806" s="57" t="s">
        <v>69</v>
      </c>
      <c r="I806" s="39">
        <v>0.72699999999999998</v>
      </c>
      <c r="J806" s="39">
        <v>0.1603</v>
      </c>
      <c r="K806" s="39">
        <v>0.12909999999999999</v>
      </c>
      <c r="L806" s="39">
        <v>0.1019</v>
      </c>
      <c r="M806" s="58">
        <v>5000</v>
      </c>
      <c r="N806" s="58">
        <v>1000000</v>
      </c>
    </row>
    <row r="807" spans="1:14" ht="15" customHeight="1" x14ac:dyDescent="0.25">
      <c r="A807" s="64" t="str">
        <f t="shared" si="12"/>
        <v>0.2-17-0-TOU-2 year Reward Plus</v>
      </c>
      <c r="B807" s="63" t="s">
        <v>13</v>
      </c>
      <c r="C807" s="56">
        <v>17</v>
      </c>
      <c r="D807" s="57" t="s">
        <v>26</v>
      </c>
      <c r="E807" s="57" t="s">
        <v>87</v>
      </c>
      <c r="F807" s="38" t="s">
        <v>88</v>
      </c>
      <c r="G807" s="51">
        <v>0.2</v>
      </c>
      <c r="H807" s="57" t="s">
        <v>69</v>
      </c>
      <c r="I807" s="39">
        <v>1.67</v>
      </c>
      <c r="J807" s="39">
        <v>0.17929999999999999</v>
      </c>
      <c r="K807" s="39">
        <v>0.1444</v>
      </c>
      <c r="L807" s="39">
        <v>0.114</v>
      </c>
      <c r="M807" s="58">
        <v>5000</v>
      </c>
      <c r="N807" s="58">
        <v>1000000</v>
      </c>
    </row>
    <row r="808" spans="1:14" ht="15" customHeight="1" x14ac:dyDescent="0.25">
      <c r="A808" s="64" t="str">
        <f t="shared" si="12"/>
        <v>0.2-18-0-TOU-2 year Reward Plus</v>
      </c>
      <c r="B808" s="63" t="s">
        <v>13</v>
      </c>
      <c r="C808" s="56">
        <v>18</v>
      </c>
      <c r="D808" s="57" t="s">
        <v>27</v>
      </c>
      <c r="E808" s="57" t="s">
        <v>87</v>
      </c>
      <c r="F808" s="38" t="s">
        <v>88</v>
      </c>
      <c r="G808" s="51">
        <v>0.2</v>
      </c>
      <c r="H808" s="57" t="s">
        <v>69</v>
      </c>
      <c r="I808" s="39">
        <v>0.89900000000000002</v>
      </c>
      <c r="J808" s="39">
        <v>0.1598</v>
      </c>
      <c r="K808" s="39">
        <v>0.12869999999999998</v>
      </c>
      <c r="L808" s="39">
        <v>0.10160000000000001</v>
      </c>
      <c r="M808" s="58">
        <v>5000</v>
      </c>
      <c r="N808" s="58">
        <v>1000000</v>
      </c>
    </row>
    <row r="809" spans="1:14" ht="15" customHeight="1" x14ac:dyDescent="0.25">
      <c r="A809" s="64" t="str">
        <f t="shared" si="12"/>
        <v>0.2-19-0-TOU-2 year Reward Plus</v>
      </c>
      <c r="B809" s="63" t="s">
        <v>13</v>
      </c>
      <c r="C809" s="56">
        <v>19</v>
      </c>
      <c r="D809" s="57" t="s">
        <v>28</v>
      </c>
      <c r="E809" s="57" t="s">
        <v>87</v>
      </c>
      <c r="F809" s="38" t="s">
        <v>88</v>
      </c>
      <c r="G809" s="51">
        <v>0.2</v>
      </c>
      <c r="H809" s="57" t="s">
        <v>69</v>
      </c>
      <c r="I809" s="39">
        <v>0.77800000000000002</v>
      </c>
      <c r="J809" s="39">
        <v>0.15859999999999999</v>
      </c>
      <c r="K809" s="39">
        <v>0.12769999999999998</v>
      </c>
      <c r="L809" s="39">
        <v>0.1008</v>
      </c>
      <c r="M809" s="58">
        <v>5000</v>
      </c>
      <c r="N809" s="58">
        <v>1000000</v>
      </c>
    </row>
    <row r="810" spans="1:14" ht="15" customHeight="1" x14ac:dyDescent="0.25">
      <c r="A810" s="64" t="str">
        <f t="shared" si="12"/>
        <v>0.2-20-0-TOU-2 year Reward Plus</v>
      </c>
      <c r="B810" s="63" t="s">
        <v>13</v>
      </c>
      <c r="C810" s="56">
        <v>20</v>
      </c>
      <c r="D810" s="57" t="s">
        <v>29</v>
      </c>
      <c r="E810" s="57" t="s">
        <v>87</v>
      </c>
      <c r="F810" s="38" t="s">
        <v>88</v>
      </c>
      <c r="G810" s="51">
        <v>0.2</v>
      </c>
      <c r="H810" s="57" t="s">
        <v>69</v>
      </c>
      <c r="I810" s="39">
        <v>0.82699999999999996</v>
      </c>
      <c r="J810" s="39">
        <v>0.1588</v>
      </c>
      <c r="K810" s="39">
        <v>0.1278</v>
      </c>
      <c r="L810" s="39">
        <v>0.1009</v>
      </c>
      <c r="M810" s="58">
        <v>5000</v>
      </c>
      <c r="N810" s="58">
        <v>1000000</v>
      </c>
    </row>
    <row r="811" spans="1:14" ht="15" customHeight="1" x14ac:dyDescent="0.25">
      <c r="A811" s="64" t="str">
        <f t="shared" si="12"/>
        <v>0.2-21-0-TOU-2 year Reward Plus</v>
      </c>
      <c r="B811" s="63" t="s">
        <v>13</v>
      </c>
      <c r="C811" s="56">
        <v>21</v>
      </c>
      <c r="D811" s="57" t="s">
        <v>30</v>
      </c>
      <c r="E811" s="57" t="s">
        <v>87</v>
      </c>
      <c r="F811" s="38" t="s">
        <v>88</v>
      </c>
      <c r="G811" s="51">
        <v>0.2</v>
      </c>
      <c r="H811" s="57" t="s">
        <v>69</v>
      </c>
      <c r="I811" s="39">
        <v>0.92300000000000004</v>
      </c>
      <c r="J811" s="39">
        <v>0.16889999999999999</v>
      </c>
      <c r="K811" s="39">
        <v>0.13599999999999998</v>
      </c>
      <c r="L811" s="39">
        <v>0.10740000000000001</v>
      </c>
      <c r="M811" s="58">
        <v>5000</v>
      </c>
      <c r="N811" s="58">
        <v>1000000</v>
      </c>
    </row>
    <row r="812" spans="1:14" ht="15" customHeight="1" x14ac:dyDescent="0.25">
      <c r="A812" s="64" t="str">
        <f t="shared" si="12"/>
        <v>0.2-22-0-TOU-2 year Reward Plus</v>
      </c>
      <c r="B812" s="63" t="s">
        <v>13</v>
      </c>
      <c r="C812" s="56">
        <v>22</v>
      </c>
      <c r="D812" s="57" t="s">
        <v>31</v>
      </c>
      <c r="E812" s="57" t="s">
        <v>87</v>
      </c>
      <c r="F812" s="38" t="s">
        <v>88</v>
      </c>
      <c r="G812" s="51">
        <v>0.2</v>
      </c>
      <c r="H812" s="57" t="s">
        <v>69</v>
      </c>
      <c r="I812" s="39">
        <v>0.90400000000000003</v>
      </c>
      <c r="J812" s="39">
        <v>0.16949999999999998</v>
      </c>
      <c r="K812" s="39">
        <v>0.13649999999999998</v>
      </c>
      <c r="L812" s="39">
        <v>0.1077</v>
      </c>
      <c r="M812" s="58">
        <v>5000</v>
      </c>
      <c r="N812" s="58">
        <v>1000000</v>
      </c>
    </row>
    <row r="813" spans="1:14" ht="15" customHeight="1" x14ac:dyDescent="0.25">
      <c r="A813" s="64" t="str">
        <f t="shared" si="12"/>
        <v>0.2-23-0-TOU-2 year Reward Plus</v>
      </c>
      <c r="B813" s="63" t="s">
        <v>13</v>
      </c>
      <c r="C813" s="56">
        <v>23</v>
      </c>
      <c r="D813" s="57" t="s">
        <v>32</v>
      </c>
      <c r="E813" s="57" t="s">
        <v>87</v>
      </c>
      <c r="F813" s="38" t="s">
        <v>88</v>
      </c>
      <c r="G813" s="51">
        <v>0.2</v>
      </c>
      <c r="H813" s="57" t="s">
        <v>69</v>
      </c>
      <c r="I813" s="39">
        <v>0.90600000000000003</v>
      </c>
      <c r="J813" s="39">
        <v>0.16119999999999998</v>
      </c>
      <c r="K813" s="39">
        <v>0.1298</v>
      </c>
      <c r="L813" s="39">
        <v>0.10250000000000001</v>
      </c>
      <c r="M813" s="58">
        <v>5000</v>
      </c>
      <c r="N813" s="58">
        <v>1000000</v>
      </c>
    </row>
    <row r="814" spans="1:14" ht="15" customHeight="1" x14ac:dyDescent="0.25">
      <c r="A814" s="64" t="str">
        <f t="shared" si="12"/>
        <v>0.3-10-0-TOU-2 year Reward Plus</v>
      </c>
      <c r="B814" s="63" t="s">
        <v>13</v>
      </c>
      <c r="C814" s="56">
        <v>10</v>
      </c>
      <c r="D814" s="57" t="s">
        <v>14</v>
      </c>
      <c r="E814" s="57" t="s">
        <v>87</v>
      </c>
      <c r="F814" s="38" t="s">
        <v>88</v>
      </c>
      <c r="G814" s="51">
        <v>0.3</v>
      </c>
      <c r="H814" s="57" t="s">
        <v>69</v>
      </c>
      <c r="I814" s="39">
        <v>0.88100000000000001</v>
      </c>
      <c r="J814" s="39">
        <v>0.1583</v>
      </c>
      <c r="K814" s="39">
        <v>0.12739999999999999</v>
      </c>
      <c r="L814" s="39">
        <v>0.10060000000000001</v>
      </c>
      <c r="M814" s="58">
        <v>5000</v>
      </c>
      <c r="N814" s="58">
        <v>1000000</v>
      </c>
    </row>
    <row r="815" spans="1:14" ht="15" customHeight="1" x14ac:dyDescent="0.25">
      <c r="A815" s="64" t="str">
        <f t="shared" si="12"/>
        <v>0.3-11-0-TOU-2 year Reward Plus</v>
      </c>
      <c r="B815" s="63" t="s">
        <v>13</v>
      </c>
      <c r="C815" s="56">
        <v>11</v>
      </c>
      <c r="D815" s="57" t="s">
        <v>20</v>
      </c>
      <c r="E815" s="57" t="s">
        <v>87</v>
      </c>
      <c r="F815" s="38" t="s">
        <v>88</v>
      </c>
      <c r="G815" s="51">
        <v>0.3</v>
      </c>
      <c r="H815" s="57" t="s">
        <v>69</v>
      </c>
      <c r="I815" s="39">
        <v>0.86099999999999999</v>
      </c>
      <c r="J815" s="39">
        <v>0.16139999999999999</v>
      </c>
      <c r="K815" s="39">
        <v>0.12989999999999999</v>
      </c>
      <c r="L815" s="39">
        <v>0.1026</v>
      </c>
      <c r="M815" s="58">
        <v>5000</v>
      </c>
      <c r="N815" s="58">
        <v>1000000</v>
      </c>
    </row>
    <row r="816" spans="1:14" ht="15" customHeight="1" x14ac:dyDescent="0.25">
      <c r="A816" s="64" t="str">
        <f t="shared" si="12"/>
        <v>0.3-12-0-TOU-2 year Reward Plus</v>
      </c>
      <c r="B816" s="63" t="s">
        <v>13</v>
      </c>
      <c r="C816" s="56">
        <v>12</v>
      </c>
      <c r="D816" s="57" t="s">
        <v>21</v>
      </c>
      <c r="E816" s="57" t="s">
        <v>87</v>
      </c>
      <c r="F816" s="38" t="s">
        <v>88</v>
      </c>
      <c r="G816" s="51">
        <v>0.3</v>
      </c>
      <c r="H816" s="57" t="s">
        <v>69</v>
      </c>
      <c r="I816" s="39">
        <v>0.90300000000000002</v>
      </c>
      <c r="J816" s="39">
        <v>0.15789999999999998</v>
      </c>
      <c r="K816" s="39">
        <v>0.12719999999999998</v>
      </c>
      <c r="L816" s="39">
        <v>0.1004</v>
      </c>
      <c r="M816" s="58">
        <v>5000</v>
      </c>
      <c r="N816" s="58">
        <v>1000000</v>
      </c>
    </row>
    <row r="817" spans="1:14" ht="15" customHeight="1" x14ac:dyDescent="0.25">
      <c r="A817" s="64" t="str">
        <f t="shared" si="12"/>
        <v>0.3-13-0-TOU-2 year Reward Plus</v>
      </c>
      <c r="B817" s="63" t="s">
        <v>13</v>
      </c>
      <c r="C817" s="56">
        <v>13</v>
      </c>
      <c r="D817" s="57" t="s">
        <v>22</v>
      </c>
      <c r="E817" s="57" t="s">
        <v>87</v>
      </c>
      <c r="F817" s="38" t="s">
        <v>88</v>
      </c>
      <c r="G817" s="51">
        <v>0.3</v>
      </c>
      <c r="H817" s="57" t="s">
        <v>69</v>
      </c>
      <c r="I817" s="39">
        <v>0.88100000000000001</v>
      </c>
      <c r="J817" s="39">
        <v>0.17099999999999999</v>
      </c>
      <c r="K817" s="39">
        <v>0.13769999999999999</v>
      </c>
      <c r="L817" s="39">
        <v>0.1087</v>
      </c>
      <c r="M817" s="58">
        <v>5000</v>
      </c>
      <c r="N817" s="58">
        <v>1000000</v>
      </c>
    </row>
    <row r="818" spans="1:14" ht="15" customHeight="1" x14ac:dyDescent="0.25">
      <c r="A818" s="64" t="str">
        <f t="shared" si="12"/>
        <v>0.3-14-0-TOU-2 year Reward Plus</v>
      </c>
      <c r="B818" s="63" t="s">
        <v>13</v>
      </c>
      <c r="C818" s="56">
        <v>14</v>
      </c>
      <c r="D818" s="57" t="s">
        <v>23</v>
      </c>
      <c r="E818" s="57" t="s">
        <v>87</v>
      </c>
      <c r="F818" s="38" t="s">
        <v>88</v>
      </c>
      <c r="G818" s="51">
        <v>0.3</v>
      </c>
      <c r="H818" s="57" t="s">
        <v>69</v>
      </c>
      <c r="I818" s="39">
        <v>0.89</v>
      </c>
      <c r="J818" s="39">
        <v>0.16239999999999999</v>
      </c>
      <c r="K818" s="39">
        <v>0.1308</v>
      </c>
      <c r="L818" s="39">
        <v>0.1032</v>
      </c>
      <c r="M818" s="58">
        <v>5000</v>
      </c>
      <c r="N818" s="58">
        <v>1000000</v>
      </c>
    </row>
    <row r="819" spans="1:14" ht="15" customHeight="1" x14ac:dyDescent="0.25">
      <c r="A819" s="64" t="str">
        <f t="shared" si="12"/>
        <v>0.3-15-0-TOU-2 year Reward Plus</v>
      </c>
      <c r="B819" s="63" t="s">
        <v>13</v>
      </c>
      <c r="C819" s="56">
        <v>15</v>
      </c>
      <c r="D819" s="57" t="s">
        <v>24</v>
      </c>
      <c r="E819" s="57" t="s">
        <v>87</v>
      </c>
      <c r="F819" s="38" t="s">
        <v>88</v>
      </c>
      <c r="G819" s="51">
        <v>0.3</v>
      </c>
      <c r="H819" s="57" t="s">
        <v>69</v>
      </c>
      <c r="I819" s="39">
        <v>0.96</v>
      </c>
      <c r="J819" s="39">
        <v>0.16219999999999998</v>
      </c>
      <c r="K819" s="39">
        <v>0.13059999999999999</v>
      </c>
      <c r="L819" s="39">
        <v>0.1031</v>
      </c>
      <c r="M819" s="58">
        <v>5000</v>
      </c>
      <c r="N819" s="58">
        <v>1000000</v>
      </c>
    </row>
    <row r="820" spans="1:14" ht="15" customHeight="1" x14ac:dyDescent="0.25">
      <c r="A820" s="64" t="str">
        <f t="shared" si="12"/>
        <v>0.3-16-0-TOU-2 year Reward Plus</v>
      </c>
      <c r="B820" s="63" t="s">
        <v>13</v>
      </c>
      <c r="C820" s="56">
        <v>16</v>
      </c>
      <c r="D820" s="57" t="s">
        <v>25</v>
      </c>
      <c r="E820" s="57" t="s">
        <v>87</v>
      </c>
      <c r="F820" s="38" t="s">
        <v>88</v>
      </c>
      <c r="G820" s="51">
        <v>0.3</v>
      </c>
      <c r="H820" s="57" t="s">
        <v>69</v>
      </c>
      <c r="I820" s="39">
        <v>0.72699999999999998</v>
      </c>
      <c r="J820" s="39">
        <v>0.16149999999999998</v>
      </c>
      <c r="K820" s="39">
        <v>0.12999999999999998</v>
      </c>
      <c r="L820" s="39">
        <v>0.1026</v>
      </c>
      <c r="M820" s="58">
        <v>5000</v>
      </c>
      <c r="N820" s="58">
        <v>1000000</v>
      </c>
    </row>
    <row r="821" spans="1:14" ht="15" customHeight="1" x14ac:dyDescent="0.25">
      <c r="A821" s="64" t="str">
        <f t="shared" si="12"/>
        <v>0.3-17-0-TOU-2 year Reward Plus</v>
      </c>
      <c r="B821" s="63" t="s">
        <v>13</v>
      </c>
      <c r="C821" s="56">
        <v>17</v>
      </c>
      <c r="D821" s="57" t="s">
        <v>26</v>
      </c>
      <c r="E821" s="57" t="s">
        <v>87</v>
      </c>
      <c r="F821" s="38" t="s">
        <v>88</v>
      </c>
      <c r="G821" s="51">
        <v>0.3</v>
      </c>
      <c r="H821" s="57" t="s">
        <v>69</v>
      </c>
      <c r="I821" s="39">
        <v>1.67</v>
      </c>
      <c r="J821" s="39">
        <v>0.18049999999999999</v>
      </c>
      <c r="K821" s="39">
        <v>0.14529999999999998</v>
      </c>
      <c r="L821" s="39">
        <v>0.1147</v>
      </c>
      <c r="M821" s="58">
        <v>5000</v>
      </c>
      <c r="N821" s="58">
        <v>1000000</v>
      </c>
    </row>
    <row r="822" spans="1:14" ht="15" customHeight="1" x14ac:dyDescent="0.25">
      <c r="A822" s="64" t="str">
        <f t="shared" si="12"/>
        <v>0.3-18-0-TOU-2 year Reward Plus</v>
      </c>
      <c r="B822" s="63" t="s">
        <v>13</v>
      </c>
      <c r="C822" s="56">
        <v>18</v>
      </c>
      <c r="D822" s="57" t="s">
        <v>27</v>
      </c>
      <c r="E822" s="57" t="s">
        <v>87</v>
      </c>
      <c r="F822" s="38" t="s">
        <v>88</v>
      </c>
      <c r="G822" s="51">
        <v>0.3</v>
      </c>
      <c r="H822" s="57" t="s">
        <v>69</v>
      </c>
      <c r="I822" s="39">
        <v>0.89900000000000002</v>
      </c>
      <c r="J822" s="39">
        <v>0.16099999999999998</v>
      </c>
      <c r="K822" s="39">
        <v>0.12959999999999999</v>
      </c>
      <c r="L822" s="39">
        <v>0.1023</v>
      </c>
      <c r="M822" s="58">
        <v>5000</v>
      </c>
      <c r="N822" s="58">
        <v>1000000</v>
      </c>
    </row>
    <row r="823" spans="1:14" ht="15" customHeight="1" x14ac:dyDescent="0.25">
      <c r="A823" s="64" t="str">
        <f t="shared" si="12"/>
        <v>0.3-19-0-TOU-2 year Reward Plus</v>
      </c>
      <c r="B823" s="63" t="s">
        <v>13</v>
      </c>
      <c r="C823" s="56">
        <v>19</v>
      </c>
      <c r="D823" s="57" t="s">
        <v>28</v>
      </c>
      <c r="E823" s="57" t="s">
        <v>87</v>
      </c>
      <c r="F823" s="38" t="s">
        <v>88</v>
      </c>
      <c r="G823" s="51">
        <v>0.3</v>
      </c>
      <c r="H823" s="57" t="s">
        <v>69</v>
      </c>
      <c r="I823" s="39">
        <v>0.77800000000000002</v>
      </c>
      <c r="J823" s="39">
        <v>0.1598</v>
      </c>
      <c r="K823" s="39">
        <v>0.12869999999999998</v>
      </c>
      <c r="L823" s="39">
        <v>0.10160000000000001</v>
      </c>
      <c r="M823" s="58">
        <v>5000</v>
      </c>
      <c r="N823" s="58">
        <v>1000000</v>
      </c>
    </row>
    <row r="824" spans="1:14" ht="15" customHeight="1" x14ac:dyDescent="0.25">
      <c r="A824" s="64" t="str">
        <f t="shared" si="12"/>
        <v>0.3-20-0-TOU-2 year Reward Plus</v>
      </c>
      <c r="B824" s="63" t="s">
        <v>13</v>
      </c>
      <c r="C824" s="56">
        <v>20</v>
      </c>
      <c r="D824" s="57" t="s">
        <v>29</v>
      </c>
      <c r="E824" s="57" t="s">
        <v>87</v>
      </c>
      <c r="F824" s="38" t="s">
        <v>88</v>
      </c>
      <c r="G824" s="51">
        <v>0.3</v>
      </c>
      <c r="H824" s="57" t="s">
        <v>69</v>
      </c>
      <c r="I824" s="39">
        <v>0.82699999999999996</v>
      </c>
      <c r="J824" s="39">
        <v>0.15989999999999999</v>
      </c>
      <c r="K824" s="39">
        <v>0.1288</v>
      </c>
      <c r="L824" s="39">
        <v>0.1017</v>
      </c>
      <c r="M824" s="58">
        <v>5000</v>
      </c>
      <c r="N824" s="58">
        <v>1000000</v>
      </c>
    </row>
    <row r="825" spans="1:14" ht="15" customHeight="1" x14ac:dyDescent="0.25">
      <c r="A825" s="64" t="str">
        <f t="shared" si="12"/>
        <v>0.3-21-0-TOU-2 year Reward Plus</v>
      </c>
      <c r="B825" s="63" t="s">
        <v>13</v>
      </c>
      <c r="C825" s="56">
        <v>21</v>
      </c>
      <c r="D825" s="57" t="s">
        <v>30</v>
      </c>
      <c r="E825" s="57" t="s">
        <v>87</v>
      </c>
      <c r="F825" s="38" t="s">
        <v>88</v>
      </c>
      <c r="G825" s="51">
        <v>0.3</v>
      </c>
      <c r="H825" s="57" t="s">
        <v>69</v>
      </c>
      <c r="I825" s="39">
        <v>0.92300000000000004</v>
      </c>
      <c r="J825" s="39">
        <v>0.1701</v>
      </c>
      <c r="K825" s="39">
        <v>0.13689999999999999</v>
      </c>
      <c r="L825" s="39">
        <v>0.1081</v>
      </c>
      <c r="M825" s="58">
        <v>5000</v>
      </c>
      <c r="N825" s="58">
        <v>1000000</v>
      </c>
    </row>
    <row r="826" spans="1:14" ht="15" customHeight="1" x14ac:dyDescent="0.25">
      <c r="A826" s="64" t="str">
        <f t="shared" si="12"/>
        <v>0.3-22-0-TOU-2 year Reward Plus</v>
      </c>
      <c r="B826" s="63" t="s">
        <v>13</v>
      </c>
      <c r="C826" s="56">
        <v>22</v>
      </c>
      <c r="D826" s="57" t="s">
        <v>31</v>
      </c>
      <c r="E826" s="57" t="s">
        <v>87</v>
      </c>
      <c r="F826" s="38" t="s">
        <v>88</v>
      </c>
      <c r="G826" s="51">
        <v>0.3</v>
      </c>
      <c r="H826" s="57" t="s">
        <v>69</v>
      </c>
      <c r="I826" s="39">
        <v>0.90400000000000003</v>
      </c>
      <c r="J826" s="39">
        <v>0.17069999999999999</v>
      </c>
      <c r="K826" s="39">
        <v>0.13739999999999999</v>
      </c>
      <c r="L826" s="39">
        <v>0.1085</v>
      </c>
      <c r="M826" s="58">
        <v>5000</v>
      </c>
      <c r="N826" s="58">
        <v>1000000</v>
      </c>
    </row>
    <row r="827" spans="1:14" ht="15" customHeight="1" x14ac:dyDescent="0.25">
      <c r="A827" s="64" t="str">
        <f t="shared" si="12"/>
        <v>0.3-23-0-TOU-2 year Reward Plus</v>
      </c>
      <c r="B827" s="63" t="s">
        <v>13</v>
      </c>
      <c r="C827" s="56">
        <v>23</v>
      </c>
      <c r="D827" s="57" t="s">
        <v>32</v>
      </c>
      <c r="E827" s="57" t="s">
        <v>87</v>
      </c>
      <c r="F827" s="38" t="s">
        <v>88</v>
      </c>
      <c r="G827" s="51">
        <v>0.3</v>
      </c>
      <c r="H827" s="57" t="s">
        <v>69</v>
      </c>
      <c r="I827" s="39">
        <v>0.90600000000000003</v>
      </c>
      <c r="J827" s="39">
        <v>0.16239999999999999</v>
      </c>
      <c r="K827" s="39">
        <v>0.1308</v>
      </c>
      <c r="L827" s="39">
        <v>0.1032</v>
      </c>
      <c r="M827" s="58">
        <v>5000</v>
      </c>
      <c r="N827" s="58">
        <v>1000000</v>
      </c>
    </row>
    <row r="828" spans="1:14" ht="15" customHeight="1" x14ac:dyDescent="0.25">
      <c r="A828" s="64" t="str">
        <f t="shared" si="12"/>
        <v>0.4-10-0-TOU-2 year Reward Plus</v>
      </c>
      <c r="B828" s="63" t="s">
        <v>13</v>
      </c>
      <c r="C828" s="56">
        <v>10</v>
      </c>
      <c r="D828" s="57" t="s">
        <v>14</v>
      </c>
      <c r="E828" s="57" t="s">
        <v>87</v>
      </c>
      <c r="F828" s="38" t="s">
        <v>88</v>
      </c>
      <c r="G828" s="51">
        <v>0.4</v>
      </c>
      <c r="H828" s="57" t="s">
        <v>69</v>
      </c>
      <c r="I828" s="39">
        <v>0.88100000000000001</v>
      </c>
      <c r="J828" s="39">
        <v>0.15949999999999998</v>
      </c>
      <c r="K828" s="39">
        <v>0.12839999999999999</v>
      </c>
      <c r="L828" s="39">
        <v>0.1014</v>
      </c>
      <c r="M828" s="58">
        <v>5000</v>
      </c>
      <c r="N828" s="58">
        <v>1000000</v>
      </c>
    </row>
    <row r="829" spans="1:14" ht="15" customHeight="1" x14ac:dyDescent="0.25">
      <c r="A829" s="64" t="str">
        <f t="shared" si="12"/>
        <v>0.4-11-0-TOU-2 year Reward Plus</v>
      </c>
      <c r="B829" s="63" t="s">
        <v>13</v>
      </c>
      <c r="C829" s="56">
        <v>11</v>
      </c>
      <c r="D829" s="57" t="s">
        <v>20</v>
      </c>
      <c r="E829" s="57" t="s">
        <v>87</v>
      </c>
      <c r="F829" s="38" t="s">
        <v>88</v>
      </c>
      <c r="G829" s="51">
        <v>0.4</v>
      </c>
      <c r="H829" s="57" t="s">
        <v>69</v>
      </c>
      <c r="I829" s="39">
        <v>0.86099999999999999</v>
      </c>
      <c r="J829" s="39">
        <v>0.16249999999999998</v>
      </c>
      <c r="K829" s="39">
        <v>0.13089999999999999</v>
      </c>
      <c r="L829" s="39">
        <v>0.1033</v>
      </c>
      <c r="M829" s="58">
        <v>5000</v>
      </c>
      <c r="N829" s="58">
        <v>1000000</v>
      </c>
    </row>
    <row r="830" spans="1:14" ht="15" customHeight="1" x14ac:dyDescent="0.25">
      <c r="A830" s="64" t="str">
        <f t="shared" si="12"/>
        <v>0.4-12-0-TOU-2 year Reward Plus</v>
      </c>
      <c r="B830" s="63" t="s">
        <v>13</v>
      </c>
      <c r="C830" s="56">
        <v>12</v>
      </c>
      <c r="D830" s="57" t="s">
        <v>21</v>
      </c>
      <c r="E830" s="57" t="s">
        <v>87</v>
      </c>
      <c r="F830" s="38" t="s">
        <v>88</v>
      </c>
      <c r="G830" s="51">
        <v>0.4</v>
      </c>
      <c r="H830" s="57" t="s">
        <v>69</v>
      </c>
      <c r="I830" s="39">
        <v>0.90300000000000002</v>
      </c>
      <c r="J830" s="39">
        <v>0.15909999999999999</v>
      </c>
      <c r="K830" s="39">
        <v>0.12809999999999999</v>
      </c>
      <c r="L830" s="39">
        <v>0.1011</v>
      </c>
      <c r="M830" s="58">
        <v>5000</v>
      </c>
      <c r="N830" s="58">
        <v>1000000</v>
      </c>
    </row>
    <row r="831" spans="1:14" ht="15" customHeight="1" x14ac:dyDescent="0.25">
      <c r="A831" s="64" t="str">
        <f t="shared" si="12"/>
        <v>0.4-13-0-TOU-2 year Reward Plus</v>
      </c>
      <c r="B831" s="63" t="s">
        <v>13</v>
      </c>
      <c r="C831" s="56">
        <v>13</v>
      </c>
      <c r="D831" s="57" t="s">
        <v>22</v>
      </c>
      <c r="E831" s="57" t="s">
        <v>87</v>
      </c>
      <c r="F831" s="38" t="s">
        <v>88</v>
      </c>
      <c r="G831" s="51">
        <v>0.4</v>
      </c>
      <c r="H831" s="57" t="s">
        <v>69</v>
      </c>
      <c r="I831" s="39">
        <v>0.88100000000000001</v>
      </c>
      <c r="J831" s="39">
        <v>0.17219999999999999</v>
      </c>
      <c r="K831" s="39">
        <v>0.13869999999999999</v>
      </c>
      <c r="L831" s="39">
        <v>0.1095</v>
      </c>
      <c r="M831" s="58">
        <v>5000</v>
      </c>
      <c r="N831" s="58">
        <v>1000000</v>
      </c>
    </row>
    <row r="832" spans="1:14" ht="15" customHeight="1" x14ac:dyDescent="0.25">
      <c r="A832" s="64" t="str">
        <f t="shared" si="12"/>
        <v>0.4-14-0-TOU-2 year Reward Plus</v>
      </c>
      <c r="B832" s="63" t="s">
        <v>13</v>
      </c>
      <c r="C832" s="56">
        <v>14</v>
      </c>
      <c r="D832" s="57" t="s">
        <v>23</v>
      </c>
      <c r="E832" s="57" t="s">
        <v>87</v>
      </c>
      <c r="F832" s="38" t="s">
        <v>88</v>
      </c>
      <c r="G832" s="51">
        <v>0.4</v>
      </c>
      <c r="H832" s="57" t="s">
        <v>69</v>
      </c>
      <c r="I832" s="39">
        <v>0.89</v>
      </c>
      <c r="J832" s="39">
        <v>0.1636</v>
      </c>
      <c r="K832" s="39">
        <v>0.13169999999999998</v>
      </c>
      <c r="L832" s="39">
        <v>0.10400000000000001</v>
      </c>
      <c r="M832" s="58">
        <v>5000</v>
      </c>
      <c r="N832" s="58">
        <v>1000000</v>
      </c>
    </row>
    <row r="833" spans="1:14" ht="15" customHeight="1" x14ac:dyDescent="0.25">
      <c r="A833" s="64" t="str">
        <f t="shared" si="12"/>
        <v>0.4-15-0-TOU-2 year Reward Plus</v>
      </c>
      <c r="B833" s="63" t="s">
        <v>13</v>
      </c>
      <c r="C833" s="56">
        <v>15</v>
      </c>
      <c r="D833" s="57" t="s">
        <v>24</v>
      </c>
      <c r="E833" s="57" t="s">
        <v>87</v>
      </c>
      <c r="F833" s="38" t="s">
        <v>88</v>
      </c>
      <c r="G833" s="51">
        <v>0.4</v>
      </c>
      <c r="H833" s="57" t="s">
        <v>69</v>
      </c>
      <c r="I833" s="39">
        <v>0.96</v>
      </c>
      <c r="J833" s="39">
        <v>0.16339999999999999</v>
      </c>
      <c r="K833" s="39">
        <v>0.13149999999999998</v>
      </c>
      <c r="L833" s="39">
        <v>0.1038</v>
      </c>
      <c r="M833" s="58">
        <v>5000</v>
      </c>
      <c r="N833" s="58">
        <v>1000000</v>
      </c>
    </row>
    <row r="834" spans="1:14" ht="15" customHeight="1" x14ac:dyDescent="0.25">
      <c r="A834" s="64" t="str">
        <f t="shared" si="12"/>
        <v>0.4-16-0-TOU-2 year Reward Plus</v>
      </c>
      <c r="B834" s="63" t="s">
        <v>13</v>
      </c>
      <c r="C834" s="56">
        <v>16</v>
      </c>
      <c r="D834" s="57" t="s">
        <v>25</v>
      </c>
      <c r="E834" s="57" t="s">
        <v>87</v>
      </c>
      <c r="F834" s="38" t="s">
        <v>88</v>
      </c>
      <c r="G834" s="51">
        <v>0.4</v>
      </c>
      <c r="H834" s="57" t="s">
        <v>69</v>
      </c>
      <c r="I834" s="39">
        <v>0.72699999999999998</v>
      </c>
      <c r="J834" s="39">
        <v>0.16269999999999998</v>
      </c>
      <c r="K834" s="39">
        <v>0.13099999999999998</v>
      </c>
      <c r="L834" s="39">
        <v>0.10340000000000001</v>
      </c>
      <c r="M834" s="58">
        <v>5000</v>
      </c>
      <c r="N834" s="58">
        <v>1000000</v>
      </c>
    </row>
    <row r="835" spans="1:14" ht="15" customHeight="1" x14ac:dyDescent="0.25">
      <c r="A835" s="64" t="str">
        <f t="shared" ref="A835:A898" si="13">IF(E835="OP","",CONCATENATE(G835,"-",C835,"-",RIGHT(F835,1),"-",E835,"-",H835))</f>
        <v>0.4-17-0-TOU-2 year Reward Plus</v>
      </c>
      <c r="B835" s="63" t="s">
        <v>13</v>
      </c>
      <c r="C835" s="56">
        <v>17</v>
      </c>
      <c r="D835" s="57" t="s">
        <v>26</v>
      </c>
      <c r="E835" s="57" t="s">
        <v>87</v>
      </c>
      <c r="F835" s="38" t="s">
        <v>88</v>
      </c>
      <c r="G835" s="51">
        <v>0.4</v>
      </c>
      <c r="H835" s="57" t="s">
        <v>69</v>
      </c>
      <c r="I835" s="39">
        <v>1.67</v>
      </c>
      <c r="J835" s="39">
        <v>0.1817</v>
      </c>
      <c r="K835" s="39">
        <v>0.14629999999999999</v>
      </c>
      <c r="L835" s="39">
        <v>0.11550000000000001</v>
      </c>
      <c r="M835" s="58">
        <v>5000</v>
      </c>
      <c r="N835" s="58">
        <v>1000000</v>
      </c>
    </row>
    <row r="836" spans="1:14" ht="15" customHeight="1" x14ac:dyDescent="0.25">
      <c r="A836" s="64" t="str">
        <f t="shared" si="13"/>
        <v>0.4-18-0-TOU-2 year Reward Plus</v>
      </c>
      <c r="B836" s="63" t="s">
        <v>13</v>
      </c>
      <c r="C836" s="56">
        <v>18</v>
      </c>
      <c r="D836" s="57" t="s">
        <v>27</v>
      </c>
      <c r="E836" s="57" t="s">
        <v>87</v>
      </c>
      <c r="F836" s="38" t="s">
        <v>88</v>
      </c>
      <c r="G836" s="51">
        <v>0.4</v>
      </c>
      <c r="H836" s="57" t="s">
        <v>69</v>
      </c>
      <c r="I836" s="39">
        <v>0.89900000000000002</v>
      </c>
      <c r="J836" s="39">
        <v>0.16219999999999998</v>
      </c>
      <c r="K836" s="39">
        <v>0.13059999999999999</v>
      </c>
      <c r="L836" s="39">
        <v>0.1031</v>
      </c>
      <c r="M836" s="58">
        <v>5000</v>
      </c>
      <c r="N836" s="58">
        <v>1000000</v>
      </c>
    </row>
    <row r="837" spans="1:14" ht="15" customHeight="1" x14ac:dyDescent="0.25">
      <c r="A837" s="64" t="str">
        <f t="shared" si="13"/>
        <v>0.4-19-0-TOU-2 year Reward Plus</v>
      </c>
      <c r="B837" s="63" t="s">
        <v>13</v>
      </c>
      <c r="C837" s="56">
        <v>19</v>
      </c>
      <c r="D837" s="57" t="s">
        <v>28</v>
      </c>
      <c r="E837" s="57" t="s">
        <v>87</v>
      </c>
      <c r="F837" s="38" t="s">
        <v>88</v>
      </c>
      <c r="G837" s="51">
        <v>0.4</v>
      </c>
      <c r="H837" s="57" t="s">
        <v>69</v>
      </c>
      <c r="I837" s="39">
        <v>0.77800000000000002</v>
      </c>
      <c r="J837" s="39">
        <v>0.16099999999999998</v>
      </c>
      <c r="K837" s="39">
        <v>0.12959999999999999</v>
      </c>
      <c r="L837" s="39">
        <v>0.1023</v>
      </c>
      <c r="M837" s="58">
        <v>5000</v>
      </c>
      <c r="N837" s="58">
        <v>1000000</v>
      </c>
    </row>
    <row r="838" spans="1:14" ht="15" customHeight="1" x14ac:dyDescent="0.25">
      <c r="A838" s="64" t="str">
        <f t="shared" si="13"/>
        <v>0.4-20-0-TOU-2 year Reward Plus</v>
      </c>
      <c r="B838" s="63" t="s">
        <v>13</v>
      </c>
      <c r="C838" s="56">
        <v>20</v>
      </c>
      <c r="D838" s="57" t="s">
        <v>29</v>
      </c>
      <c r="E838" s="57" t="s">
        <v>87</v>
      </c>
      <c r="F838" s="38" t="s">
        <v>88</v>
      </c>
      <c r="G838" s="51">
        <v>0.4</v>
      </c>
      <c r="H838" s="57" t="s">
        <v>69</v>
      </c>
      <c r="I838" s="39">
        <v>0.82699999999999996</v>
      </c>
      <c r="J838" s="39">
        <v>0.16109999999999999</v>
      </c>
      <c r="K838" s="39">
        <v>0.12969999999999998</v>
      </c>
      <c r="L838" s="39">
        <v>0.1024</v>
      </c>
      <c r="M838" s="58">
        <v>5000</v>
      </c>
      <c r="N838" s="58">
        <v>1000000</v>
      </c>
    </row>
    <row r="839" spans="1:14" ht="15" customHeight="1" x14ac:dyDescent="0.25">
      <c r="A839" s="64" t="str">
        <f t="shared" si="13"/>
        <v>0.4-21-0-TOU-2 year Reward Plus</v>
      </c>
      <c r="B839" s="63" t="s">
        <v>13</v>
      </c>
      <c r="C839" s="56">
        <v>21</v>
      </c>
      <c r="D839" s="57" t="s">
        <v>30</v>
      </c>
      <c r="E839" s="57" t="s">
        <v>87</v>
      </c>
      <c r="F839" s="38" t="s">
        <v>88</v>
      </c>
      <c r="G839" s="51">
        <v>0.4</v>
      </c>
      <c r="H839" s="57" t="s">
        <v>69</v>
      </c>
      <c r="I839" s="39">
        <v>0.92300000000000004</v>
      </c>
      <c r="J839" s="39">
        <v>0.17129999999999998</v>
      </c>
      <c r="K839" s="39">
        <v>0.13789999999999999</v>
      </c>
      <c r="L839" s="39">
        <v>0.1089</v>
      </c>
      <c r="M839" s="58">
        <v>5000</v>
      </c>
      <c r="N839" s="58">
        <v>1000000</v>
      </c>
    </row>
    <row r="840" spans="1:14" ht="15" customHeight="1" x14ac:dyDescent="0.25">
      <c r="A840" s="64" t="str">
        <f t="shared" si="13"/>
        <v>0.4-22-0-TOU-2 year Reward Plus</v>
      </c>
      <c r="B840" s="63" t="s">
        <v>13</v>
      </c>
      <c r="C840" s="56">
        <v>22</v>
      </c>
      <c r="D840" s="57" t="s">
        <v>31</v>
      </c>
      <c r="E840" s="57" t="s">
        <v>87</v>
      </c>
      <c r="F840" s="38" t="s">
        <v>88</v>
      </c>
      <c r="G840" s="51">
        <v>0.4</v>
      </c>
      <c r="H840" s="57" t="s">
        <v>69</v>
      </c>
      <c r="I840" s="39">
        <v>0.90400000000000003</v>
      </c>
      <c r="J840" s="39">
        <v>0.1719</v>
      </c>
      <c r="K840" s="39">
        <v>0.1384</v>
      </c>
      <c r="L840" s="39">
        <v>0.10920000000000001</v>
      </c>
      <c r="M840" s="58">
        <v>5000</v>
      </c>
      <c r="N840" s="58">
        <v>1000000</v>
      </c>
    </row>
    <row r="841" spans="1:14" ht="15" customHeight="1" x14ac:dyDescent="0.25">
      <c r="A841" s="64" t="str">
        <f t="shared" si="13"/>
        <v>0.4-23-0-TOU-2 year Reward Plus</v>
      </c>
      <c r="B841" s="63" t="s">
        <v>13</v>
      </c>
      <c r="C841" s="56">
        <v>23</v>
      </c>
      <c r="D841" s="57" t="s">
        <v>32</v>
      </c>
      <c r="E841" s="57" t="s">
        <v>87</v>
      </c>
      <c r="F841" s="38" t="s">
        <v>88</v>
      </c>
      <c r="G841" s="51">
        <v>0.4</v>
      </c>
      <c r="H841" s="57" t="s">
        <v>69</v>
      </c>
      <c r="I841" s="39">
        <v>0.90600000000000003</v>
      </c>
      <c r="J841" s="39">
        <v>0.1636</v>
      </c>
      <c r="K841" s="39">
        <v>0.13169999999999998</v>
      </c>
      <c r="L841" s="39">
        <v>0.10400000000000001</v>
      </c>
      <c r="M841" s="58">
        <v>5000</v>
      </c>
      <c r="N841" s="58">
        <v>1000000</v>
      </c>
    </row>
    <row r="842" spans="1:14" ht="15" customHeight="1" x14ac:dyDescent="0.25">
      <c r="A842" s="64" t="str">
        <f t="shared" si="13"/>
        <v>0.5-10-0-TOU-2 year Reward Plus</v>
      </c>
      <c r="B842" s="63" t="s">
        <v>13</v>
      </c>
      <c r="C842" s="56">
        <v>10</v>
      </c>
      <c r="D842" s="57" t="s">
        <v>14</v>
      </c>
      <c r="E842" s="57" t="s">
        <v>87</v>
      </c>
      <c r="F842" s="38" t="s">
        <v>88</v>
      </c>
      <c r="G842" s="51">
        <v>0.5</v>
      </c>
      <c r="H842" s="57" t="s">
        <v>69</v>
      </c>
      <c r="I842" s="39">
        <v>0.88100000000000001</v>
      </c>
      <c r="J842" s="39">
        <v>0.16059999999999999</v>
      </c>
      <c r="K842" s="39">
        <v>0.1293</v>
      </c>
      <c r="L842" s="39">
        <v>0.1021</v>
      </c>
      <c r="M842" s="58">
        <v>5000</v>
      </c>
      <c r="N842" s="58">
        <v>1000000</v>
      </c>
    </row>
    <row r="843" spans="1:14" ht="15" customHeight="1" x14ac:dyDescent="0.25">
      <c r="A843" s="64" t="str">
        <f t="shared" si="13"/>
        <v>0.5-11-0-TOU-2 year Reward Plus</v>
      </c>
      <c r="B843" s="63" t="s">
        <v>13</v>
      </c>
      <c r="C843" s="56">
        <v>11</v>
      </c>
      <c r="D843" s="57" t="s">
        <v>20</v>
      </c>
      <c r="E843" s="57" t="s">
        <v>87</v>
      </c>
      <c r="F843" s="38" t="s">
        <v>88</v>
      </c>
      <c r="G843" s="51">
        <v>0.5</v>
      </c>
      <c r="H843" s="57" t="s">
        <v>69</v>
      </c>
      <c r="I843" s="39">
        <v>0.86099999999999999</v>
      </c>
      <c r="J843" s="39">
        <v>0.16369999999999998</v>
      </c>
      <c r="K843" s="39">
        <v>0.1318</v>
      </c>
      <c r="L843" s="39">
        <v>0.1041</v>
      </c>
      <c r="M843" s="58">
        <v>5000</v>
      </c>
      <c r="N843" s="58">
        <v>1000000</v>
      </c>
    </row>
    <row r="844" spans="1:14" ht="15" customHeight="1" x14ac:dyDescent="0.25">
      <c r="A844" s="64" t="str">
        <f t="shared" si="13"/>
        <v>0.5-12-0-TOU-2 year Reward Plus</v>
      </c>
      <c r="B844" s="63" t="s">
        <v>13</v>
      </c>
      <c r="C844" s="56">
        <v>12</v>
      </c>
      <c r="D844" s="57" t="s">
        <v>21</v>
      </c>
      <c r="E844" s="57" t="s">
        <v>87</v>
      </c>
      <c r="F844" s="38" t="s">
        <v>88</v>
      </c>
      <c r="G844" s="51">
        <v>0.5</v>
      </c>
      <c r="H844" s="57" t="s">
        <v>69</v>
      </c>
      <c r="I844" s="39">
        <v>0.90300000000000002</v>
      </c>
      <c r="J844" s="39">
        <v>0.1603</v>
      </c>
      <c r="K844" s="39">
        <v>0.12909999999999999</v>
      </c>
      <c r="L844" s="39">
        <v>0.1019</v>
      </c>
      <c r="M844" s="58">
        <v>5000</v>
      </c>
      <c r="N844" s="58">
        <v>1000000</v>
      </c>
    </row>
    <row r="845" spans="1:14" ht="15" customHeight="1" x14ac:dyDescent="0.25">
      <c r="A845" s="64" t="str">
        <f t="shared" si="13"/>
        <v>0.5-13-0-TOU-2 year Reward Plus</v>
      </c>
      <c r="B845" s="63" t="s">
        <v>13</v>
      </c>
      <c r="C845" s="56">
        <v>13</v>
      </c>
      <c r="D845" s="57" t="s">
        <v>22</v>
      </c>
      <c r="E845" s="57" t="s">
        <v>87</v>
      </c>
      <c r="F845" s="38" t="s">
        <v>88</v>
      </c>
      <c r="G845" s="51">
        <v>0.5</v>
      </c>
      <c r="H845" s="57" t="s">
        <v>69</v>
      </c>
      <c r="I845" s="39">
        <v>0.88100000000000001</v>
      </c>
      <c r="J845" s="39">
        <v>0.1734</v>
      </c>
      <c r="K845" s="39">
        <v>0.1396</v>
      </c>
      <c r="L845" s="39">
        <v>0.11020000000000001</v>
      </c>
      <c r="M845" s="58">
        <v>5000</v>
      </c>
      <c r="N845" s="58">
        <v>1000000</v>
      </c>
    </row>
    <row r="846" spans="1:14" ht="15" customHeight="1" x14ac:dyDescent="0.25">
      <c r="A846" s="64" t="str">
        <f t="shared" si="13"/>
        <v>0.5-14-0-TOU-2 year Reward Plus</v>
      </c>
      <c r="B846" s="63" t="s">
        <v>13</v>
      </c>
      <c r="C846" s="56">
        <v>14</v>
      </c>
      <c r="D846" s="57" t="s">
        <v>23</v>
      </c>
      <c r="E846" s="57" t="s">
        <v>87</v>
      </c>
      <c r="F846" s="38" t="s">
        <v>88</v>
      </c>
      <c r="G846" s="51">
        <v>0.5</v>
      </c>
      <c r="H846" s="57" t="s">
        <v>69</v>
      </c>
      <c r="I846" s="39">
        <v>0.89</v>
      </c>
      <c r="J846" s="39">
        <v>0.1648</v>
      </c>
      <c r="K846" s="39">
        <v>0.13269999999999998</v>
      </c>
      <c r="L846" s="39">
        <v>0.1047</v>
      </c>
      <c r="M846" s="58">
        <v>5000</v>
      </c>
      <c r="N846" s="58">
        <v>1000000</v>
      </c>
    </row>
    <row r="847" spans="1:14" ht="15" customHeight="1" x14ac:dyDescent="0.25">
      <c r="A847" s="64" t="str">
        <f t="shared" si="13"/>
        <v>0.5-15-0-TOU-2 year Reward Plus</v>
      </c>
      <c r="B847" s="63" t="s">
        <v>13</v>
      </c>
      <c r="C847" s="56">
        <v>15</v>
      </c>
      <c r="D847" s="57" t="s">
        <v>24</v>
      </c>
      <c r="E847" s="57" t="s">
        <v>87</v>
      </c>
      <c r="F847" s="38" t="s">
        <v>88</v>
      </c>
      <c r="G847" s="51">
        <v>0.5</v>
      </c>
      <c r="H847" s="57" t="s">
        <v>69</v>
      </c>
      <c r="I847" s="39">
        <v>0.96</v>
      </c>
      <c r="J847" s="39">
        <v>0.16449999999999998</v>
      </c>
      <c r="K847" s="39">
        <v>0.13249999999999998</v>
      </c>
      <c r="L847" s="39">
        <v>0.1046</v>
      </c>
      <c r="M847" s="58">
        <v>5000</v>
      </c>
      <c r="N847" s="58">
        <v>1000000</v>
      </c>
    </row>
    <row r="848" spans="1:14" ht="15" customHeight="1" x14ac:dyDescent="0.25">
      <c r="A848" s="64" t="str">
        <f t="shared" si="13"/>
        <v>0.5-16-0-TOU-2 year Reward Plus</v>
      </c>
      <c r="B848" s="63" t="s">
        <v>13</v>
      </c>
      <c r="C848" s="56">
        <v>16</v>
      </c>
      <c r="D848" s="57" t="s">
        <v>25</v>
      </c>
      <c r="E848" s="57" t="s">
        <v>87</v>
      </c>
      <c r="F848" s="38" t="s">
        <v>88</v>
      </c>
      <c r="G848" s="51">
        <v>0.5</v>
      </c>
      <c r="H848" s="57" t="s">
        <v>69</v>
      </c>
      <c r="I848" s="39">
        <v>0.72699999999999998</v>
      </c>
      <c r="J848" s="39">
        <v>0.1638</v>
      </c>
      <c r="K848" s="39">
        <v>0.13189999999999999</v>
      </c>
      <c r="L848" s="39">
        <v>0.1041</v>
      </c>
      <c r="M848" s="58">
        <v>5000</v>
      </c>
      <c r="N848" s="58">
        <v>1000000</v>
      </c>
    </row>
    <row r="849" spans="1:14" ht="15" customHeight="1" x14ac:dyDescent="0.25">
      <c r="A849" s="64" t="str">
        <f t="shared" si="13"/>
        <v>0.5-17-0-TOU-2 year Reward Plus</v>
      </c>
      <c r="B849" s="63" t="s">
        <v>13</v>
      </c>
      <c r="C849" s="56">
        <v>17</v>
      </c>
      <c r="D849" s="57" t="s">
        <v>26</v>
      </c>
      <c r="E849" s="57" t="s">
        <v>87</v>
      </c>
      <c r="F849" s="38" t="s">
        <v>88</v>
      </c>
      <c r="G849" s="51">
        <v>0.5</v>
      </c>
      <c r="H849" s="57" t="s">
        <v>69</v>
      </c>
      <c r="I849" s="39">
        <v>1.67</v>
      </c>
      <c r="J849" s="39">
        <v>0.18279999999999999</v>
      </c>
      <c r="K849" s="39">
        <v>0.1472</v>
      </c>
      <c r="L849" s="39">
        <v>0.1162</v>
      </c>
      <c r="M849" s="58">
        <v>5000</v>
      </c>
      <c r="N849" s="58">
        <v>1000000</v>
      </c>
    </row>
    <row r="850" spans="1:14" ht="15" customHeight="1" x14ac:dyDescent="0.25">
      <c r="A850" s="64" t="str">
        <f t="shared" si="13"/>
        <v>0.5-18-0-TOU-2 year Reward Plus</v>
      </c>
      <c r="B850" s="63" t="s">
        <v>13</v>
      </c>
      <c r="C850" s="56">
        <v>18</v>
      </c>
      <c r="D850" s="57" t="s">
        <v>27</v>
      </c>
      <c r="E850" s="57" t="s">
        <v>87</v>
      </c>
      <c r="F850" s="38" t="s">
        <v>88</v>
      </c>
      <c r="G850" s="51">
        <v>0.5</v>
      </c>
      <c r="H850" s="57" t="s">
        <v>69</v>
      </c>
      <c r="I850" s="39">
        <v>0.89900000000000002</v>
      </c>
      <c r="J850" s="39">
        <v>0.16339999999999999</v>
      </c>
      <c r="K850" s="39">
        <v>0.13149999999999998</v>
      </c>
      <c r="L850" s="39">
        <v>0.1038</v>
      </c>
      <c r="M850" s="58">
        <v>5000</v>
      </c>
      <c r="N850" s="58">
        <v>1000000</v>
      </c>
    </row>
    <row r="851" spans="1:14" ht="15" customHeight="1" x14ac:dyDescent="0.25">
      <c r="A851" s="64" t="str">
        <f t="shared" si="13"/>
        <v>0.5-19-0-TOU-2 year Reward Plus</v>
      </c>
      <c r="B851" s="63" t="s">
        <v>13</v>
      </c>
      <c r="C851" s="56">
        <v>19</v>
      </c>
      <c r="D851" s="57" t="s">
        <v>28</v>
      </c>
      <c r="E851" s="57" t="s">
        <v>87</v>
      </c>
      <c r="F851" s="38" t="s">
        <v>88</v>
      </c>
      <c r="G851" s="51">
        <v>0.5</v>
      </c>
      <c r="H851" s="57" t="s">
        <v>69</v>
      </c>
      <c r="I851" s="39">
        <v>0.77800000000000002</v>
      </c>
      <c r="J851" s="39">
        <v>0.16219999999999998</v>
      </c>
      <c r="K851" s="39">
        <v>0.13059999999999999</v>
      </c>
      <c r="L851" s="39">
        <v>0.1031</v>
      </c>
      <c r="M851" s="58">
        <v>5000</v>
      </c>
      <c r="N851" s="58">
        <v>1000000</v>
      </c>
    </row>
    <row r="852" spans="1:14" ht="15" customHeight="1" x14ac:dyDescent="0.25">
      <c r="A852" s="64" t="str">
        <f t="shared" si="13"/>
        <v>0.5-20-0-TOU-2 year Reward Plus</v>
      </c>
      <c r="B852" s="63" t="s">
        <v>13</v>
      </c>
      <c r="C852" s="56">
        <v>20</v>
      </c>
      <c r="D852" s="57" t="s">
        <v>29</v>
      </c>
      <c r="E852" s="57" t="s">
        <v>87</v>
      </c>
      <c r="F852" s="38" t="s">
        <v>88</v>
      </c>
      <c r="G852" s="51">
        <v>0.5</v>
      </c>
      <c r="H852" s="57" t="s">
        <v>69</v>
      </c>
      <c r="I852" s="39">
        <v>0.82699999999999996</v>
      </c>
      <c r="J852" s="39">
        <v>0.1623</v>
      </c>
      <c r="K852" s="39">
        <v>0.13069999999999998</v>
      </c>
      <c r="L852" s="39">
        <v>0.1032</v>
      </c>
      <c r="M852" s="58">
        <v>5000</v>
      </c>
      <c r="N852" s="58">
        <v>1000000</v>
      </c>
    </row>
    <row r="853" spans="1:14" ht="15" customHeight="1" x14ac:dyDescent="0.25">
      <c r="A853" s="64" t="str">
        <f t="shared" si="13"/>
        <v>0.5-21-0-TOU-2 year Reward Plus</v>
      </c>
      <c r="B853" s="63" t="s">
        <v>13</v>
      </c>
      <c r="C853" s="56">
        <v>21</v>
      </c>
      <c r="D853" s="57" t="s">
        <v>30</v>
      </c>
      <c r="E853" s="57" t="s">
        <v>87</v>
      </c>
      <c r="F853" s="38" t="s">
        <v>88</v>
      </c>
      <c r="G853" s="51">
        <v>0.5</v>
      </c>
      <c r="H853" s="57" t="s">
        <v>69</v>
      </c>
      <c r="I853" s="39">
        <v>0.92300000000000004</v>
      </c>
      <c r="J853" s="39">
        <v>0.1724</v>
      </c>
      <c r="K853" s="39">
        <v>0.13879999999999998</v>
      </c>
      <c r="L853" s="39">
        <v>0.1096</v>
      </c>
      <c r="M853" s="58">
        <v>5000</v>
      </c>
      <c r="N853" s="58">
        <v>1000000</v>
      </c>
    </row>
    <row r="854" spans="1:14" ht="15" customHeight="1" x14ac:dyDescent="0.25">
      <c r="A854" s="64" t="str">
        <f t="shared" si="13"/>
        <v>0.5-22-0-TOU-2 year Reward Plus</v>
      </c>
      <c r="B854" s="63" t="s">
        <v>13</v>
      </c>
      <c r="C854" s="56">
        <v>22</v>
      </c>
      <c r="D854" s="57" t="s">
        <v>31</v>
      </c>
      <c r="E854" s="57" t="s">
        <v>87</v>
      </c>
      <c r="F854" s="38" t="s">
        <v>88</v>
      </c>
      <c r="G854" s="51">
        <v>0.5</v>
      </c>
      <c r="H854" s="57" t="s">
        <v>69</v>
      </c>
      <c r="I854" s="39">
        <v>0.90400000000000003</v>
      </c>
      <c r="J854" s="39">
        <v>0.17299999999999999</v>
      </c>
      <c r="K854" s="39">
        <v>0.13929999999999998</v>
      </c>
      <c r="L854" s="39">
        <v>0.11</v>
      </c>
      <c r="M854" s="58">
        <v>5000</v>
      </c>
      <c r="N854" s="58">
        <v>1000000</v>
      </c>
    </row>
    <row r="855" spans="1:14" ht="15" customHeight="1" x14ac:dyDescent="0.25">
      <c r="A855" s="64" t="str">
        <f t="shared" si="13"/>
        <v>0.5-23-0-TOU-2 year Reward Plus</v>
      </c>
      <c r="B855" s="63" t="s">
        <v>13</v>
      </c>
      <c r="C855" s="56">
        <v>23</v>
      </c>
      <c r="D855" s="57" t="s">
        <v>32</v>
      </c>
      <c r="E855" s="57" t="s">
        <v>87</v>
      </c>
      <c r="F855" s="38" t="s">
        <v>88</v>
      </c>
      <c r="G855" s="51">
        <v>0.5</v>
      </c>
      <c r="H855" s="57" t="s">
        <v>69</v>
      </c>
      <c r="I855" s="39">
        <v>0.90600000000000003</v>
      </c>
      <c r="J855" s="39">
        <v>0.1648</v>
      </c>
      <c r="K855" s="39">
        <v>0.13269999999999998</v>
      </c>
      <c r="L855" s="39">
        <v>0.1047</v>
      </c>
      <c r="M855" s="58">
        <v>5000</v>
      </c>
      <c r="N855" s="58">
        <v>1000000</v>
      </c>
    </row>
    <row r="856" spans="1:14" ht="15" customHeight="1" x14ac:dyDescent="0.25">
      <c r="A856" s="64" t="str">
        <f t="shared" si="13"/>
        <v>0.6-10-0-TOU-2 year Reward Plus</v>
      </c>
      <c r="B856" s="63" t="s">
        <v>13</v>
      </c>
      <c r="C856" s="56">
        <v>10</v>
      </c>
      <c r="D856" s="57" t="s">
        <v>14</v>
      </c>
      <c r="E856" s="57" t="s">
        <v>87</v>
      </c>
      <c r="F856" s="38" t="s">
        <v>88</v>
      </c>
      <c r="G856" s="51">
        <v>0.6</v>
      </c>
      <c r="H856" s="57" t="s">
        <v>69</v>
      </c>
      <c r="I856" s="39">
        <v>0.88100000000000001</v>
      </c>
      <c r="J856" s="39">
        <v>0.1618</v>
      </c>
      <c r="K856" s="39">
        <v>0.1303</v>
      </c>
      <c r="L856" s="39">
        <v>0.10290000000000001</v>
      </c>
      <c r="M856" s="58">
        <v>5000</v>
      </c>
      <c r="N856" s="58">
        <v>1000000</v>
      </c>
    </row>
    <row r="857" spans="1:14" ht="15" customHeight="1" x14ac:dyDescent="0.25">
      <c r="A857" s="64" t="str">
        <f t="shared" si="13"/>
        <v>0.6-11-0-TOU-2 year Reward Plus</v>
      </c>
      <c r="B857" s="63" t="s">
        <v>13</v>
      </c>
      <c r="C857" s="56">
        <v>11</v>
      </c>
      <c r="D857" s="57" t="s">
        <v>20</v>
      </c>
      <c r="E857" s="57" t="s">
        <v>87</v>
      </c>
      <c r="F857" s="38" t="s">
        <v>88</v>
      </c>
      <c r="G857" s="51">
        <v>0.6</v>
      </c>
      <c r="H857" s="57" t="s">
        <v>69</v>
      </c>
      <c r="I857" s="39">
        <v>0.86099999999999999</v>
      </c>
      <c r="J857" s="39">
        <v>0.16489999999999999</v>
      </c>
      <c r="K857" s="39">
        <v>0.1328</v>
      </c>
      <c r="L857" s="39">
        <v>0.1048</v>
      </c>
      <c r="M857" s="58">
        <v>5000</v>
      </c>
      <c r="N857" s="58">
        <v>1000000</v>
      </c>
    </row>
    <row r="858" spans="1:14" ht="15" customHeight="1" x14ac:dyDescent="0.25">
      <c r="A858" s="64" t="str">
        <f t="shared" si="13"/>
        <v>0.6-12-0-TOU-2 year Reward Plus</v>
      </c>
      <c r="B858" s="63" t="s">
        <v>13</v>
      </c>
      <c r="C858" s="56">
        <v>12</v>
      </c>
      <c r="D858" s="57" t="s">
        <v>21</v>
      </c>
      <c r="E858" s="57" t="s">
        <v>87</v>
      </c>
      <c r="F858" s="38" t="s">
        <v>88</v>
      </c>
      <c r="G858" s="51">
        <v>0.6</v>
      </c>
      <c r="H858" s="57" t="s">
        <v>69</v>
      </c>
      <c r="I858" s="39">
        <v>0.90300000000000002</v>
      </c>
      <c r="J858" s="39">
        <v>0.16149999999999998</v>
      </c>
      <c r="K858" s="39">
        <v>0.12999999999999998</v>
      </c>
      <c r="L858" s="39">
        <v>0.1026</v>
      </c>
      <c r="M858" s="58">
        <v>5000</v>
      </c>
      <c r="N858" s="58">
        <v>1000000</v>
      </c>
    </row>
    <row r="859" spans="1:14" ht="15" customHeight="1" x14ac:dyDescent="0.25">
      <c r="A859" s="64" t="str">
        <f t="shared" si="13"/>
        <v>0.6-13-0-TOU-2 year Reward Plus</v>
      </c>
      <c r="B859" s="63" t="s">
        <v>13</v>
      </c>
      <c r="C859" s="56">
        <v>13</v>
      </c>
      <c r="D859" s="57" t="s">
        <v>22</v>
      </c>
      <c r="E859" s="57" t="s">
        <v>87</v>
      </c>
      <c r="F859" s="38" t="s">
        <v>88</v>
      </c>
      <c r="G859" s="51">
        <v>0.6</v>
      </c>
      <c r="H859" s="57" t="s">
        <v>69</v>
      </c>
      <c r="I859" s="39">
        <v>0.88100000000000001</v>
      </c>
      <c r="J859" s="39">
        <v>0.17459999999999998</v>
      </c>
      <c r="K859" s="39">
        <v>0.1406</v>
      </c>
      <c r="L859" s="39">
        <v>0.111</v>
      </c>
      <c r="M859" s="58">
        <v>5000</v>
      </c>
      <c r="N859" s="58">
        <v>1000000</v>
      </c>
    </row>
    <row r="860" spans="1:14" ht="15" customHeight="1" x14ac:dyDescent="0.25">
      <c r="A860" s="64" t="str">
        <f t="shared" si="13"/>
        <v>0.6-14-0-TOU-2 year Reward Plus</v>
      </c>
      <c r="B860" s="63" t="s">
        <v>13</v>
      </c>
      <c r="C860" s="56">
        <v>14</v>
      </c>
      <c r="D860" s="57" t="s">
        <v>23</v>
      </c>
      <c r="E860" s="57" t="s">
        <v>87</v>
      </c>
      <c r="F860" s="38" t="s">
        <v>88</v>
      </c>
      <c r="G860" s="51">
        <v>0.6</v>
      </c>
      <c r="H860" s="57" t="s">
        <v>69</v>
      </c>
      <c r="I860" s="39">
        <v>0.89</v>
      </c>
      <c r="J860" s="39">
        <v>0.16599999999999998</v>
      </c>
      <c r="K860" s="39">
        <v>0.1336</v>
      </c>
      <c r="L860" s="39">
        <v>0.1055</v>
      </c>
      <c r="M860" s="58">
        <v>5000</v>
      </c>
      <c r="N860" s="58">
        <v>1000000</v>
      </c>
    </row>
    <row r="861" spans="1:14" ht="15" customHeight="1" x14ac:dyDescent="0.25">
      <c r="A861" s="64" t="str">
        <f t="shared" si="13"/>
        <v>0.6-15-0-TOU-2 year Reward Plus</v>
      </c>
      <c r="B861" s="63" t="s">
        <v>13</v>
      </c>
      <c r="C861" s="56">
        <v>15</v>
      </c>
      <c r="D861" s="57" t="s">
        <v>24</v>
      </c>
      <c r="E861" s="57" t="s">
        <v>87</v>
      </c>
      <c r="F861" s="38" t="s">
        <v>88</v>
      </c>
      <c r="G861" s="51">
        <v>0.6</v>
      </c>
      <c r="H861" s="57" t="s">
        <v>69</v>
      </c>
      <c r="I861" s="39">
        <v>0.96</v>
      </c>
      <c r="J861" s="39">
        <v>0.16569999999999999</v>
      </c>
      <c r="K861" s="39">
        <v>0.13339999999999999</v>
      </c>
      <c r="L861" s="39">
        <v>0.1053</v>
      </c>
      <c r="M861" s="58">
        <v>5000</v>
      </c>
      <c r="N861" s="58">
        <v>1000000</v>
      </c>
    </row>
    <row r="862" spans="1:14" ht="15" customHeight="1" x14ac:dyDescent="0.25">
      <c r="A862" s="64" t="str">
        <f t="shared" si="13"/>
        <v>0.6-16-0-TOU-2 year Reward Plus</v>
      </c>
      <c r="B862" s="63" t="s">
        <v>13</v>
      </c>
      <c r="C862" s="56">
        <v>16</v>
      </c>
      <c r="D862" s="57" t="s">
        <v>25</v>
      </c>
      <c r="E862" s="57" t="s">
        <v>87</v>
      </c>
      <c r="F862" s="38" t="s">
        <v>88</v>
      </c>
      <c r="G862" s="51">
        <v>0.6</v>
      </c>
      <c r="H862" s="57" t="s">
        <v>69</v>
      </c>
      <c r="I862" s="39">
        <v>0.72699999999999998</v>
      </c>
      <c r="J862" s="39">
        <v>0.16499999999999998</v>
      </c>
      <c r="K862" s="39">
        <v>0.13289999999999999</v>
      </c>
      <c r="L862" s="39">
        <v>0.10490000000000001</v>
      </c>
      <c r="M862" s="58">
        <v>5000</v>
      </c>
      <c r="N862" s="58">
        <v>1000000</v>
      </c>
    </row>
    <row r="863" spans="1:14" ht="15" customHeight="1" x14ac:dyDescent="0.25">
      <c r="A863" s="64" t="str">
        <f t="shared" si="13"/>
        <v>0.6-17-0-TOU-2 year Reward Plus</v>
      </c>
      <c r="B863" s="63" t="s">
        <v>13</v>
      </c>
      <c r="C863" s="56">
        <v>17</v>
      </c>
      <c r="D863" s="57" t="s">
        <v>26</v>
      </c>
      <c r="E863" s="57" t="s">
        <v>87</v>
      </c>
      <c r="F863" s="38" t="s">
        <v>88</v>
      </c>
      <c r="G863" s="51">
        <v>0.6</v>
      </c>
      <c r="H863" s="57" t="s">
        <v>69</v>
      </c>
      <c r="I863" s="39">
        <v>1.67</v>
      </c>
      <c r="J863" s="39">
        <v>0.184</v>
      </c>
      <c r="K863" s="39">
        <v>0.1482</v>
      </c>
      <c r="L863" s="39">
        <v>0.11700000000000001</v>
      </c>
      <c r="M863" s="58">
        <v>5000</v>
      </c>
      <c r="N863" s="58">
        <v>1000000</v>
      </c>
    </row>
    <row r="864" spans="1:14" ht="15" customHeight="1" x14ac:dyDescent="0.25">
      <c r="A864" s="64" t="str">
        <f t="shared" si="13"/>
        <v>0.6-18-0-TOU-2 year Reward Plus</v>
      </c>
      <c r="B864" s="63" t="s">
        <v>13</v>
      </c>
      <c r="C864" s="56">
        <v>18</v>
      </c>
      <c r="D864" s="57" t="s">
        <v>27</v>
      </c>
      <c r="E864" s="57" t="s">
        <v>87</v>
      </c>
      <c r="F864" s="38" t="s">
        <v>88</v>
      </c>
      <c r="G864" s="51">
        <v>0.6</v>
      </c>
      <c r="H864" s="57" t="s">
        <v>69</v>
      </c>
      <c r="I864" s="39">
        <v>0.89900000000000002</v>
      </c>
      <c r="J864" s="39">
        <v>0.16449999999999998</v>
      </c>
      <c r="K864" s="39">
        <v>0.13249999999999998</v>
      </c>
      <c r="L864" s="39">
        <v>0.1046</v>
      </c>
      <c r="M864" s="58">
        <v>5000</v>
      </c>
      <c r="N864" s="58">
        <v>1000000</v>
      </c>
    </row>
    <row r="865" spans="1:14" ht="15" customHeight="1" x14ac:dyDescent="0.25">
      <c r="A865" s="64" t="str">
        <f t="shared" si="13"/>
        <v>0.6-19-0-TOU-2 year Reward Plus</v>
      </c>
      <c r="B865" s="63" t="s">
        <v>13</v>
      </c>
      <c r="C865" s="56">
        <v>19</v>
      </c>
      <c r="D865" s="57" t="s">
        <v>28</v>
      </c>
      <c r="E865" s="57" t="s">
        <v>87</v>
      </c>
      <c r="F865" s="38" t="s">
        <v>88</v>
      </c>
      <c r="G865" s="51">
        <v>0.6</v>
      </c>
      <c r="H865" s="57" t="s">
        <v>69</v>
      </c>
      <c r="I865" s="39">
        <v>0.77800000000000002</v>
      </c>
      <c r="J865" s="39">
        <v>0.16339999999999999</v>
      </c>
      <c r="K865" s="39">
        <v>0.13149999999999998</v>
      </c>
      <c r="L865" s="39">
        <v>0.1038</v>
      </c>
      <c r="M865" s="58">
        <v>5000</v>
      </c>
      <c r="N865" s="58">
        <v>1000000</v>
      </c>
    </row>
    <row r="866" spans="1:14" ht="15" customHeight="1" x14ac:dyDescent="0.25">
      <c r="A866" s="64" t="str">
        <f t="shared" si="13"/>
        <v>0.6-20-0-TOU-2 year Reward Plus</v>
      </c>
      <c r="B866" s="63" t="s">
        <v>13</v>
      </c>
      <c r="C866" s="56">
        <v>20</v>
      </c>
      <c r="D866" s="57" t="s">
        <v>29</v>
      </c>
      <c r="E866" s="57" t="s">
        <v>87</v>
      </c>
      <c r="F866" s="38" t="s">
        <v>88</v>
      </c>
      <c r="G866" s="51">
        <v>0.6</v>
      </c>
      <c r="H866" s="57" t="s">
        <v>69</v>
      </c>
      <c r="I866" s="39">
        <v>0.82699999999999996</v>
      </c>
      <c r="J866" s="39">
        <v>0.16349999999999998</v>
      </c>
      <c r="K866" s="39">
        <v>0.13159999999999999</v>
      </c>
      <c r="L866" s="39">
        <v>0.10390000000000001</v>
      </c>
      <c r="M866" s="58">
        <v>5000</v>
      </c>
      <c r="N866" s="58">
        <v>1000000</v>
      </c>
    </row>
    <row r="867" spans="1:14" ht="15" customHeight="1" x14ac:dyDescent="0.25">
      <c r="A867" s="64" t="str">
        <f t="shared" si="13"/>
        <v>0.6-21-0-TOU-2 year Reward Plus</v>
      </c>
      <c r="B867" s="63" t="s">
        <v>13</v>
      </c>
      <c r="C867" s="56">
        <v>21</v>
      </c>
      <c r="D867" s="57" t="s">
        <v>30</v>
      </c>
      <c r="E867" s="57" t="s">
        <v>87</v>
      </c>
      <c r="F867" s="38" t="s">
        <v>88</v>
      </c>
      <c r="G867" s="51">
        <v>0.6</v>
      </c>
      <c r="H867" s="57" t="s">
        <v>69</v>
      </c>
      <c r="I867" s="39">
        <v>0.92300000000000004</v>
      </c>
      <c r="J867" s="39">
        <v>0.17359999999999998</v>
      </c>
      <c r="K867" s="39">
        <v>0.13979999999999998</v>
      </c>
      <c r="L867" s="39">
        <v>0.1104</v>
      </c>
      <c r="M867" s="58">
        <v>5000</v>
      </c>
      <c r="N867" s="58">
        <v>1000000</v>
      </c>
    </row>
    <row r="868" spans="1:14" ht="15" customHeight="1" x14ac:dyDescent="0.25">
      <c r="A868" s="64" t="str">
        <f t="shared" si="13"/>
        <v>0.6-22-0-TOU-2 year Reward Plus</v>
      </c>
      <c r="B868" s="63" t="s">
        <v>13</v>
      </c>
      <c r="C868" s="56">
        <v>22</v>
      </c>
      <c r="D868" s="57" t="s">
        <v>31</v>
      </c>
      <c r="E868" s="57" t="s">
        <v>87</v>
      </c>
      <c r="F868" s="38" t="s">
        <v>88</v>
      </c>
      <c r="G868" s="51">
        <v>0.6</v>
      </c>
      <c r="H868" s="57" t="s">
        <v>69</v>
      </c>
      <c r="I868" s="39">
        <v>0.90400000000000003</v>
      </c>
      <c r="J868" s="39">
        <v>0.17419999999999999</v>
      </c>
      <c r="K868" s="39">
        <v>0.14029999999999998</v>
      </c>
      <c r="L868" s="39">
        <v>0.11070000000000001</v>
      </c>
      <c r="M868" s="58">
        <v>5000</v>
      </c>
      <c r="N868" s="58">
        <v>1000000</v>
      </c>
    </row>
    <row r="869" spans="1:14" ht="15" customHeight="1" x14ac:dyDescent="0.25">
      <c r="A869" s="64" t="str">
        <f t="shared" si="13"/>
        <v>0.6-23-0-TOU-2 year Reward Plus</v>
      </c>
      <c r="B869" s="63" t="s">
        <v>13</v>
      </c>
      <c r="C869" s="56">
        <v>23</v>
      </c>
      <c r="D869" s="57" t="s">
        <v>32</v>
      </c>
      <c r="E869" s="57" t="s">
        <v>87</v>
      </c>
      <c r="F869" s="38" t="s">
        <v>88</v>
      </c>
      <c r="G869" s="51">
        <v>0.6</v>
      </c>
      <c r="H869" s="57" t="s">
        <v>69</v>
      </c>
      <c r="I869" s="39">
        <v>0.90600000000000003</v>
      </c>
      <c r="J869" s="39">
        <v>0.16599999999999998</v>
      </c>
      <c r="K869" s="39">
        <v>0.1336</v>
      </c>
      <c r="L869" s="39">
        <v>0.1055</v>
      </c>
      <c r="M869" s="58">
        <v>5000</v>
      </c>
      <c r="N869" s="58">
        <v>1000000</v>
      </c>
    </row>
    <row r="870" spans="1:14" ht="15" customHeight="1" x14ac:dyDescent="0.25">
      <c r="A870" s="64" t="str">
        <f t="shared" si="13"/>
        <v>0.7-10-0-TOU-2 year Reward Plus</v>
      </c>
      <c r="B870" s="63" t="s">
        <v>13</v>
      </c>
      <c r="C870" s="56">
        <v>10</v>
      </c>
      <c r="D870" s="57" t="s">
        <v>14</v>
      </c>
      <c r="E870" s="57" t="s">
        <v>87</v>
      </c>
      <c r="F870" s="38" t="s">
        <v>88</v>
      </c>
      <c r="G870" s="51">
        <v>0.7</v>
      </c>
      <c r="H870" s="57" t="s">
        <v>69</v>
      </c>
      <c r="I870" s="39">
        <v>0.88100000000000001</v>
      </c>
      <c r="J870" s="39">
        <v>0.16299999999999998</v>
      </c>
      <c r="K870" s="39">
        <v>0.13119999999999998</v>
      </c>
      <c r="L870" s="39">
        <v>0.1036</v>
      </c>
      <c r="M870" s="58">
        <v>5000</v>
      </c>
      <c r="N870" s="58">
        <v>1000000</v>
      </c>
    </row>
    <row r="871" spans="1:14" ht="15" customHeight="1" x14ac:dyDescent="0.25">
      <c r="A871" s="64" t="str">
        <f t="shared" si="13"/>
        <v>0.7-11-0-TOU-2 year Reward Plus</v>
      </c>
      <c r="B871" s="63" t="s">
        <v>13</v>
      </c>
      <c r="C871" s="56">
        <v>11</v>
      </c>
      <c r="D871" s="57" t="s">
        <v>20</v>
      </c>
      <c r="E871" s="57" t="s">
        <v>87</v>
      </c>
      <c r="F871" s="38" t="s">
        <v>88</v>
      </c>
      <c r="G871" s="51">
        <v>0.7</v>
      </c>
      <c r="H871" s="57" t="s">
        <v>69</v>
      </c>
      <c r="I871" s="39">
        <v>0.86099999999999999</v>
      </c>
      <c r="J871" s="39">
        <v>0.1661</v>
      </c>
      <c r="K871" s="39">
        <v>0.13369999999999999</v>
      </c>
      <c r="L871" s="39">
        <v>0.1056</v>
      </c>
      <c r="M871" s="58">
        <v>5000</v>
      </c>
      <c r="N871" s="58">
        <v>1000000</v>
      </c>
    </row>
    <row r="872" spans="1:14" ht="15" customHeight="1" x14ac:dyDescent="0.25">
      <c r="A872" s="64" t="str">
        <f t="shared" si="13"/>
        <v>0.7-12-0-TOU-2 year Reward Plus</v>
      </c>
      <c r="B872" s="63" t="s">
        <v>13</v>
      </c>
      <c r="C872" s="56">
        <v>12</v>
      </c>
      <c r="D872" s="57" t="s">
        <v>21</v>
      </c>
      <c r="E872" s="57" t="s">
        <v>87</v>
      </c>
      <c r="F872" s="38" t="s">
        <v>88</v>
      </c>
      <c r="G872" s="51">
        <v>0.7</v>
      </c>
      <c r="H872" s="57" t="s">
        <v>69</v>
      </c>
      <c r="I872" s="39">
        <v>0.90300000000000002</v>
      </c>
      <c r="J872" s="39">
        <v>0.16269999999999998</v>
      </c>
      <c r="K872" s="39">
        <v>0.13099999999999998</v>
      </c>
      <c r="L872" s="39">
        <v>0.10340000000000001</v>
      </c>
      <c r="M872" s="58">
        <v>5000</v>
      </c>
      <c r="N872" s="58">
        <v>1000000</v>
      </c>
    </row>
    <row r="873" spans="1:14" ht="15" customHeight="1" x14ac:dyDescent="0.25">
      <c r="A873" s="64" t="str">
        <f t="shared" si="13"/>
        <v>0.7-13-0-TOU-2 year Reward Plus</v>
      </c>
      <c r="B873" s="63" t="s">
        <v>13</v>
      </c>
      <c r="C873" s="56">
        <v>13</v>
      </c>
      <c r="D873" s="57" t="s">
        <v>22</v>
      </c>
      <c r="E873" s="57" t="s">
        <v>87</v>
      </c>
      <c r="F873" s="38" t="s">
        <v>88</v>
      </c>
      <c r="G873" s="51">
        <v>0.7</v>
      </c>
      <c r="H873" s="57" t="s">
        <v>69</v>
      </c>
      <c r="I873" s="39">
        <v>0.88100000000000001</v>
      </c>
      <c r="J873" s="39">
        <v>0.17579999999999998</v>
      </c>
      <c r="K873" s="39">
        <v>0.14149999999999999</v>
      </c>
      <c r="L873" s="39">
        <v>0.11170000000000001</v>
      </c>
      <c r="M873" s="58">
        <v>5000</v>
      </c>
      <c r="N873" s="58">
        <v>1000000</v>
      </c>
    </row>
    <row r="874" spans="1:14" ht="15" customHeight="1" x14ac:dyDescent="0.25">
      <c r="A874" s="64" t="str">
        <f t="shared" si="13"/>
        <v>0.7-14-0-TOU-2 year Reward Plus</v>
      </c>
      <c r="B874" s="63" t="s">
        <v>13</v>
      </c>
      <c r="C874" s="56">
        <v>14</v>
      </c>
      <c r="D874" s="57" t="s">
        <v>23</v>
      </c>
      <c r="E874" s="57" t="s">
        <v>87</v>
      </c>
      <c r="F874" s="38" t="s">
        <v>88</v>
      </c>
      <c r="G874" s="51">
        <v>0.7</v>
      </c>
      <c r="H874" s="57" t="s">
        <v>69</v>
      </c>
      <c r="I874" s="39">
        <v>0.89</v>
      </c>
      <c r="J874" s="39">
        <v>0.1671</v>
      </c>
      <c r="K874" s="39">
        <v>0.1346</v>
      </c>
      <c r="L874" s="39">
        <v>0.1062</v>
      </c>
      <c r="M874" s="58">
        <v>5000</v>
      </c>
      <c r="N874" s="58">
        <v>1000000</v>
      </c>
    </row>
    <row r="875" spans="1:14" ht="15" customHeight="1" x14ac:dyDescent="0.25">
      <c r="A875" s="64" t="str">
        <f t="shared" si="13"/>
        <v>0.7-15-0-TOU-2 year Reward Plus</v>
      </c>
      <c r="B875" s="63" t="s">
        <v>13</v>
      </c>
      <c r="C875" s="56">
        <v>15</v>
      </c>
      <c r="D875" s="57" t="s">
        <v>24</v>
      </c>
      <c r="E875" s="57" t="s">
        <v>87</v>
      </c>
      <c r="F875" s="38" t="s">
        <v>88</v>
      </c>
      <c r="G875" s="51">
        <v>0.7</v>
      </c>
      <c r="H875" s="57" t="s">
        <v>69</v>
      </c>
      <c r="I875" s="39">
        <v>0.96</v>
      </c>
      <c r="J875" s="39">
        <v>0.16689999999999999</v>
      </c>
      <c r="K875" s="39">
        <v>0.13439999999999999</v>
      </c>
      <c r="L875" s="39">
        <v>0.1061</v>
      </c>
      <c r="M875" s="58">
        <v>5000</v>
      </c>
      <c r="N875" s="58">
        <v>1000000</v>
      </c>
    </row>
    <row r="876" spans="1:14" ht="15" customHeight="1" x14ac:dyDescent="0.25">
      <c r="A876" s="64" t="str">
        <f t="shared" si="13"/>
        <v>0.7-16-0-TOU-2 year Reward Plus</v>
      </c>
      <c r="B876" s="63" t="s">
        <v>13</v>
      </c>
      <c r="C876" s="56">
        <v>16</v>
      </c>
      <c r="D876" s="57" t="s">
        <v>25</v>
      </c>
      <c r="E876" s="57" t="s">
        <v>87</v>
      </c>
      <c r="F876" s="38" t="s">
        <v>88</v>
      </c>
      <c r="G876" s="51">
        <v>0.7</v>
      </c>
      <c r="H876" s="57" t="s">
        <v>69</v>
      </c>
      <c r="I876" s="39">
        <v>0.72699999999999998</v>
      </c>
      <c r="J876" s="39">
        <v>0.16619999999999999</v>
      </c>
      <c r="K876" s="39">
        <v>0.1338</v>
      </c>
      <c r="L876" s="39">
        <v>0.1056</v>
      </c>
      <c r="M876" s="58">
        <v>5000</v>
      </c>
      <c r="N876" s="58">
        <v>1000000</v>
      </c>
    </row>
    <row r="877" spans="1:14" ht="15" customHeight="1" x14ac:dyDescent="0.25">
      <c r="A877" s="64" t="str">
        <f t="shared" si="13"/>
        <v>0.7-17-0-TOU-2 year Reward Plus</v>
      </c>
      <c r="B877" s="63" t="s">
        <v>13</v>
      </c>
      <c r="C877" s="56">
        <v>17</v>
      </c>
      <c r="D877" s="57" t="s">
        <v>26</v>
      </c>
      <c r="E877" s="57" t="s">
        <v>87</v>
      </c>
      <c r="F877" s="38" t="s">
        <v>88</v>
      </c>
      <c r="G877" s="51">
        <v>0.7</v>
      </c>
      <c r="H877" s="57" t="s">
        <v>69</v>
      </c>
      <c r="I877" s="39">
        <v>1.67</v>
      </c>
      <c r="J877" s="39">
        <v>0.18519999999999998</v>
      </c>
      <c r="K877" s="39">
        <v>0.14909999999999998</v>
      </c>
      <c r="L877" s="39">
        <v>0.1177</v>
      </c>
      <c r="M877" s="58">
        <v>5000</v>
      </c>
      <c r="N877" s="58">
        <v>1000000</v>
      </c>
    </row>
    <row r="878" spans="1:14" ht="15" customHeight="1" x14ac:dyDescent="0.25">
      <c r="A878" s="64" t="str">
        <f t="shared" si="13"/>
        <v>0.7-18-0-TOU-2 year Reward Plus</v>
      </c>
      <c r="B878" s="63" t="s">
        <v>13</v>
      </c>
      <c r="C878" s="56">
        <v>18</v>
      </c>
      <c r="D878" s="57" t="s">
        <v>27</v>
      </c>
      <c r="E878" s="57" t="s">
        <v>87</v>
      </c>
      <c r="F878" s="38" t="s">
        <v>88</v>
      </c>
      <c r="G878" s="51">
        <v>0.7</v>
      </c>
      <c r="H878" s="57" t="s">
        <v>69</v>
      </c>
      <c r="I878" s="39">
        <v>0.89900000000000002</v>
      </c>
      <c r="J878" s="39">
        <v>0.16569999999999999</v>
      </c>
      <c r="K878" s="39">
        <v>0.13339999999999999</v>
      </c>
      <c r="L878" s="39">
        <v>0.1053</v>
      </c>
      <c r="M878" s="58">
        <v>5000</v>
      </c>
      <c r="N878" s="58">
        <v>1000000</v>
      </c>
    </row>
    <row r="879" spans="1:14" ht="15" customHeight="1" x14ac:dyDescent="0.25">
      <c r="A879" s="64" t="str">
        <f t="shared" si="13"/>
        <v>0.7-19-0-TOU-2 year Reward Plus</v>
      </c>
      <c r="B879" s="63" t="s">
        <v>13</v>
      </c>
      <c r="C879" s="56">
        <v>19</v>
      </c>
      <c r="D879" s="57" t="s">
        <v>28</v>
      </c>
      <c r="E879" s="57" t="s">
        <v>87</v>
      </c>
      <c r="F879" s="38" t="s">
        <v>88</v>
      </c>
      <c r="G879" s="51">
        <v>0.7</v>
      </c>
      <c r="H879" s="57" t="s">
        <v>69</v>
      </c>
      <c r="I879" s="39">
        <v>0.77800000000000002</v>
      </c>
      <c r="J879" s="39">
        <v>0.16449999999999998</v>
      </c>
      <c r="K879" s="39">
        <v>0.13249999999999998</v>
      </c>
      <c r="L879" s="39">
        <v>0.1046</v>
      </c>
      <c r="M879" s="58">
        <v>5000</v>
      </c>
      <c r="N879" s="58">
        <v>1000000</v>
      </c>
    </row>
    <row r="880" spans="1:14" ht="15" customHeight="1" x14ac:dyDescent="0.25">
      <c r="A880" s="64" t="str">
        <f t="shared" si="13"/>
        <v>0.7-20-0-TOU-2 year Reward Plus</v>
      </c>
      <c r="B880" s="63" t="s">
        <v>13</v>
      </c>
      <c r="C880" s="56">
        <v>20</v>
      </c>
      <c r="D880" s="57" t="s">
        <v>29</v>
      </c>
      <c r="E880" s="57" t="s">
        <v>87</v>
      </c>
      <c r="F880" s="38" t="s">
        <v>88</v>
      </c>
      <c r="G880" s="51">
        <v>0.7</v>
      </c>
      <c r="H880" s="57" t="s">
        <v>69</v>
      </c>
      <c r="I880" s="39">
        <v>0.82699999999999996</v>
      </c>
      <c r="J880" s="39">
        <v>0.16469999999999999</v>
      </c>
      <c r="K880" s="39">
        <v>0.1326</v>
      </c>
      <c r="L880" s="39">
        <v>0.1047</v>
      </c>
      <c r="M880" s="58">
        <v>5000</v>
      </c>
      <c r="N880" s="58">
        <v>1000000</v>
      </c>
    </row>
    <row r="881" spans="1:14" ht="15" customHeight="1" x14ac:dyDescent="0.25">
      <c r="A881" s="64" t="str">
        <f t="shared" si="13"/>
        <v>0.7-21-0-TOU-2 year Reward Plus</v>
      </c>
      <c r="B881" s="63" t="s">
        <v>13</v>
      </c>
      <c r="C881" s="56">
        <v>21</v>
      </c>
      <c r="D881" s="57" t="s">
        <v>30</v>
      </c>
      <c r="E881" s="57" t="s">
        <v>87</v>
      </c>
      <c r="F881" s="38" t="s">
        <v>88</v>
      </c>
      <c r="G881" s="51">
        <v>0.7</v>
      </c>
      <c r="H881" s="57" t="s">
        <v>69</v>
      </c>
      <c r="I881" s="39">
        <v>0.92300000000000004</v>
      </c>
      <c r="J881" s="39">
        <v>0.17479999999999998</v>
      </c>
      <c r="K881" s="39">
        <v>0.14069999999999999</v>
      </c>
      <c r="L881" s="39">
        <v>0.1111</v>
      </c>
      <c r="M881" s="58">
        <v>5000</v>
      </c>
      <c r="N881" s="58">
        <v>1000000</v>
      </c>
    </row>
    <row r="882" spans="1:14" ht="15" customHeight="1" x14ac:dyDescent="0.25">
      <c r="A882" s="64" t="str">
        <f t="shared" si="13"/>
        <v>0.7-22-0-TOU-2 year Reward Plus</v>
      </c>
      <c r="B882" s="63" t="s">
        <v>13</v>
      </c>
      <c r="C882" s="56">
        <v>22</v>
      </c>
      <c r="D882" s="57" t="s">
        <v>31</v>
      </c>
      <c r="E882" s="57" t="s">
        <v>87</v>
      </c>
      <c r="F882" s="38" t="s">
        <v>88</v>
      </c>
      <c r="G882" s="51">
        <v>0.7</v>
      </c>
      <c r="H882" s="57" t="s">
        <v>69</v>
      </c>
      <c r="I882" s="39">
        <v>0.90400000000000003</v>
      </c>
      <c r="J882" s="39">
        <v>0.1754</v>
      </c>
      <c r="K882" s="39">
        <v>0.14119999999999999</v>
      </c>
      <c r="L882" s="39">
        <v>0.1115</v>
      </c>
      <c r="M882" s="58">
        <v>5000</v>
      </c>
      <c r="N882" s="58">
        <v>1000000</v>
      </c>
    </row>
    <row r="883" spans="1:14" ht="15" customHeight="1" x14ac:dyDescent="0.25">
      <c r="A883" s="64" t="str">
        <f t="shared" si="13"/>
        <v>0.7-23-0-TOU-2 year Reward Plus</v>
      </c>
      <c r="B883" s="63" t="s">
        <v>13</v>
      </c>
      <c r="C883" s="56">
        <v>23</v>
      </c>
      <c r="D883" s="57" t="s">
        <v>32</v>
      </c>
      <c r="E883" s="57" t="s">
        <v>87</v>
      </c>
      <c r="F883" s="38" t="s">
        <v>88</v>
      </c>
      <c r="G883" s="51">
        <v>0.7</v>
      </c>
      <c r="H883" s="57" t="s">
        <v>69</v>
      </c>
      <c r="I883" s="39">
        <v>0.90600000000000003</v>
      </c>
      <c r="J883" s="39">
        <v>0.1671</v>
      </c>
      <c r="K883" s="39">
        <v>0.1346</v>
      </c>
      <c r="L883" s="39">
        <v>0.1062</v>
      </c>
      <c r="M883" s="58">
        <v>5000</v>
      </c>
      <c r="N883" s="58">
        <v>1000000</v>
      </c>
    </row>
    <row r="884" spans="1:14" ht="15" customHeight="1" x14ac:dyDescent="0.25">
      <c r="A884" s="64" t="str">
        <f t="shared" si="13"/>
        <v>0.8-10-0-TOU-2 year Reward Plus</v>
      </c>
      <c r="B884" s="37" t="s">
        <v>13</v>
      </c>
      <c r="C884" s="49">
        <v>10</v>
      </c>
      <c r="D884" s="2" t="s">
        <v>14</v>
      </c>
      <c r="E884" s="50" t="s">
        <v>87</v>
      </c>
      <c r="F884" s="38" t="s">
        <v>88</v>
      </c>
      <c r="G884" s="51">
        <v>0.8</v>
      </c>
      <c r="H884" s="2" t="s">
        <v>69</v>
      </c>
      <c r="I884" s="39">
        <v>0.88100000000000001</v>
      </c>
      <c r="J884" s="39">
        <v>0.16419999999999998</v>
      </c>
      <c r="K884" s="39">
        <v>0.13219999999999998</v>
      </c>
      <c r="L884" s="39">
        <v>0.10440000000000001</v>
      </c>
      <c r="M884" s="40">
        <v>5000</v>
      </c>
      <c r="N884" s="52">
        <v>1000000</v>
      </c>
    </row>
    <row r="885" spans="1:14" ht="15" customHeight="1" x14ac:dyDescent="0.25">
      <c r="A885" s="64" t="str">
        <f t="shared" si="13"/>
        <v>0.8-11-0-TOU-2 year Reward Plus</v>
      </c>
      <c r="B885" s="37" t="s">
        <v>13</v>
      </c>
      <c r="C885" s="49">
        <v>11</v>
      </c>
      <c r="D885" s="2" t="s">
        <v>20</v>
      </c>
      <c r="E885" s="50" t="s">
        <v>87</v>
      </c>
      <c r="F885" s="38" t="s">
        <v>88</v>
      </c>
      <c r="G885" s="51">
        <v>0.8</v>
      </c>
      <c r="H885" s="2" t="s">
        <v>69</v>
      </c>
      <c r="I885" s="39">
        <v>0.86099999999999999</v>
      </c>
      <c r="J885" s="39">
        <v>0.16729999999999998</v>
      </c>
      <c r="K885" s="39">
        <v>0.13469999999999999</v>
      </c>
      <c r="L885" s="39">
        <v>0.10630000000000001</v>
      </c>
      <c r="M885" s="40">
        <v>5000</v>
      </c>
      <c r="N885" s="52">
        <v>1000000</v>
      </c>
    </row>
    <row r="886" spans="1:14" ht="15" customHeight="1" x14ac:dyDescent="0.25">
      <c r="A886" s="64" t="str">
        <f t="shared" si="13"/>
        <v>0.8-12-0-TOU-2 year Reward Plus</v>
      </c>
      <c r="B886" s="37" t="s">
        <v>13</v>
      </c>
      <c r="C886" s="49">
        <v>12</v>
      </c>
      <c r="D886" s="2" t="s">
        <v>21</v>
      </c>
      <c r="E886" s="50" t="s">
        <v>87</v>
      </c>
      <c r="F886" s="38" t="s">
        <v>88</v>
      </c>
      <c r="G886" s="51">
        <v>0.8</v>
      </c>
      <c r="H886" s="2" t="s">
        <v>69</v>
      </c>
      <c r="I886" s="39">
        <v>0.90300000000000002</v>
      </c>
      <c r="J886" s="39">
        <v>0.1638</v>
      </c>
      <c r="K886" s="39">
        <v>0.13189999999999999</v>
      </c>
      <c r="L886" s="39">
        <v>0.1041</v>
      </c>
      <c r="M886" s="40">
        <v>5000</v>
      </c>
      <c r="N886" s="52">
        <v>1000000</v>
      </c>
    </row>
    <row r="887" spans="1:14" ht="15" customHeight="1" x14ac:dyDescent="0.25">
      <c r="A887" s="64" t="str">
        <f t="shared" si="13"/>
        <v>0.8-13-0-TOU-2 year Reward Plus</v>
      </c>
      <c r="B887" s="37" t="s">
        <v>13</v>
      </c>
      <c r="C887" s="49">
        <v>13</v>
      </c>
      <c r="D887" s="2" t="s">
        <v>22</v>
      </c>
      <c r="E887" s="50" t="s">
        <v>87</v>
      </c>
      <c r="F887" s="38" t="s">
        <v>88</v>
      </c>
      <c r="G887" s="51">
        <v>0.8</v>
      </c>
      <c r="H887" s="2" t="s">
        <v>69</v>
      </c>
      <c r="I887" s="39">
        <v>0.88100000000000001</v>
      </c>
      <c r="J887" s="39">
        <v>0.1769</v>
      </c>
      <c r="K887" s="39">
        <v>0.14249999999999999</v>
      </c>
      <c r="L887" s="39">
        <v>0.1125</v>
      </c>
      <c r="M887" s="40">
        <v>5000</v>
      </c>
      <c r="N887" s="52">
        <v>1000000</v>
      </c>
    </row>
    <row r="888" spans="1:14" ht="15" customHeight="1" x14ac:dyDescent="0.25">
      <c r="A888" s="64" t="str">
        <f t="shared" si="13"/>
        <v>0.8-14-0-TOU-2 year Reward Plus</v>
      </c>
      <c r="B888" s="37" t="s">
        <v>13</v>
      </c>
      <c r="C888" s="49">
        <v>14</v>
      </c>
      <c r="D888" s="2" t="s">
        <v>23</v>
      </c>
      <c r="E888" s="50" t="s">
        <v>87</v>
      </c>
      <c r="F888" s="38" t="s">
        <v>88</v>
      </c>
      <c r="G888" s="51">
        <v>0.8</v>
      </c>
      <c r="H888" s="2" t="s">
        <v>69</v>
      </c>
      <c r="I888" s="39">
        <v>0.89</v>
      </c>
      <c r="J888" s="39">
        <v>0.16829999999999998</v>
      </c>
      <c r="K888" s="39">
        <v>0.13549999999999998</v>
      </c>
      <c r="L888" s="39">
        <v>0.107</v>
      </c>
      <c r="M888" s="40">
        <v>5000</v>
      </c>
      <c r="N888" s="52">
        <v>1000000</v>
      </c>
    </row>
    <row r="889" spans="1:14" ht="15" customHeight="1" x14ac:dyDescent="0.25">
      <c r="A889" s="64" t="str">
        <f t="shared" si="13"/>
        <v>0.8-15-0-TOU-2 year Reward Plus</v>
      </c>
      <c r="B889" s="37" t="s">
        <v>13</v>
      </c>
      <c r="C889" s="49">
        <v>15</v>
      </c>
      <c r="D889" s="2" t="s">
        <v>24</v>
      </c>
      <c r="E889" s="50" t="s">
        <v>87</v>
      </c>
      <c r="F889" s="38" t="s">
        <v>88</v>
      </c>
      <c r="G889" s="51">
        <v>0.8</v>
      </c>
      <c r="H889" s="2" t="s">
        <v>69</v>
      </c>
      <c r="I889" s="39">
        <v>0.96</v>
      </c>
      <c r="J889" s="39">
        <v>0.1681</v>
      </c>
      <c r="K889" s="39">
        <v>0.13529999999999998</v>
      </c>
      <c r="L889" s="39">
        <v>0.10680000000000001</v>
      </c>
      <c r="M889" s="40">
        <v>5000</v>
      </c>
      <c r="N889" s="52">
        <v>1000000</v>
      </c>
    </row>
    <row r="890" spans="1:14" ht="15" customHeight="1" x14ac:dyDescent="0.25">
      <c r="A890" s="64" t="str">
        <f t="shared" si="13"/>
        <v>0.8-16-0-TOU-2 year Reward Plus</v>
      </c>
      <c r="B890" s="37" t="s">
        <v>13</v>
      </c>
      <c r="C890" s="49">
        <v>16</v>
      </c>
      <c r="D890" s="2" t="s">
        <v>25</v>
      </c>
      <c r="E890" s="50" t="s">
        <v>87</v>
      </c>
      <c r="F890" s="38" t="s">
        <v>88</v>
      </c>
      <c r="G890" s="51">
        <v>0.8</v>
      </c>
      <c r="H890" s="2" t="s">
        <v>69</v>
      </c>
      <c r="I890" s="39">
        <v>0.72699999999999998</v>
      </c>
      <c r="J890" s="39">
        <v>0.16739999999999999</v>
      </c>
      <c r="K890" s="39">
        <v>0.13479999999999998</v>
      </c>
      <c r="L890" s="39">
        <v>0.10640000000000001</v>
      </c>
      <c r="M890" s="40">
        <v>5000</v>
      </c>
      <c r="N890" s="52">
        <v>1000000</v>
      </c>
    </row>
    <row r="891" spans="1:14" ht="15" customHeight="1" x14ac:dyDescent="0.25">
      <c r="A891" s="64" t="str">
        <f t="shared" si="13"/>
        <v>0.8-17-0-TOU-2 year Reward Plus</v>
      </c>
      <c r="B891" s="37" t="s">
        <v>13</v>
      </c>
      <c r="C891" s="49">
        <v>17</v>
      </c>
      <c r="D891" s="2" t="s">
        <v>26</v>
      </c>
      <c r="E891" s="50" t="s">
        <v>87</v>
      </c>
      <c r="F891" s="38" t="s">
        <v>88</v>
      </c>
      <c r="G891" s="51">
        <v>0.8</v>
      </c>
      <c r="H891" s="2" t="s">
        <v>69</v>
      </c>
      <c r="I891" s="39">
        <v>1.67</v>
      </c>
      <c r="J891" s="39">
        <v>0.18639999999999998</v>
      </c>
      <c r="K891" s="39">
        <v>0.15009999999999998</v>
      </c>
      <c r="L891" s="39">
        <v>0.11850000000000001</v>
      </c>
      <c r="M891" s="40">
        <v>5000</v>
      </c>
      <c r="N891" s="52">
        <v>1000000</v>
      </c>
    </row>
    <row r="892" spans="1:14" ht="15" customHeight="1" x14ac:dyDescent="0.25">
      <c r="A892" s="64" t="str">
        <f t="shared" si="13"/>
        <v>0.8-18-0-TOU-2 year Reward Plus</v>
      </c>
      <c r="B892" s="37" t="s">
        <v>13</v>
      </c>
      <c r="C892" s="49">
        <v>18</v>
      </c>
      <c r="D892" s="2" t="s">
        <v>27</v>
      </c>
      <c r="E892" s="50" t="s">
        <v>87</v>
      </c>
      <c r="F892" s="38" t="s">
        <v>88</v>
      </c>
      <c r="G892" s="51">
        <v>0.8</v>
      </c>
      <c r="H892" s="2" t="s">
        <v>69</v>
      </c>
      <c r="I892" s="39">
        <v>0.89900000000000002</v>
      </c>
      <c r="J892" s="39">
        <v>0.16689999999999999</v>
      </c>
      <c r="K892" s="39">
        <v>0.13439999999999999</v>
      </c>
      <c r="L892" s="39">
        <v>0.1061</v>
      </c>
      <c r="M892" s="40">
        <v>5000</v>
      </c>
      <c r="N892" s="52">
        <v>1000000</v>
      </c>
    </row>
    <row r="893" spans="1:14" ht="15" customHeight="1" x14ac:dyDescent="0.25">
      <c r="A893" s="64" t="str">
        <f t="shared" si="13"/>
        <v>0.8-19-0-TOU-2 year Reward Plus</v>
      </c>
      <c r="B893" s="37" t="s">
        <v>13</v>
      </c>
      <c r="C893" s="49">
        <v>19</v>
      </c>
      <c r="D893" s="2" t="s">
        <v>28</v>
      </c>
      <c r="E893" s="50" t="s">
        <v>87</v>
      </c>
      <c r="F893" s="38" t="s">
        <v>88</v>
      </c>
      <c r="G893" s="51">
        <v>0.8</v>
      </c>
      <c r="H893" s="2" t="s">
        <v>69</v>
      </c>
      <c r="I893" s="39">
        <v>0.77800000000000002</v>
      </c>
      <c r="J893" s="39">
        <v>0.16569999999999999</v>
      </c>
      <c r="K893" s="39">
        <v>0.13339999999999999</v>
      </c>
      <c r="L893" s="39">
        <v>0.1053</v>
      </c>
      <c r="M893" s="40">
        <v>5000</v>
      </c>
      <c r="N893" s="52">
        <v>1000000</v>
      </c>
    </row>
    <row r="894" spans="1:14" ht="15" customHeight="1" x14ac:dyDescent="0.25">
      <c r="A894" s="64" t="str">
        <f t="shared" si="13"/>
        <v>0.8-20-0-TOU-2 year Reward Plus</v>
      </c>
      <c r="B894" s="37" t="s">
        <v>13</v>
      </c>
      <c r="C894" s="49">
        <v>20</v>
      </c>
      <c r="D894" s="2" t="s">
        <v>29</v>
      </c>
      <c r="E894" s="50" t="s">
        <v>87</v>
      </c>
      <c r="F894" s="38" t="s">
        <v>88</v>
      </c>
      <c r="G894" s="51">
        <v>0.8</v>
      </c>
      <c r="H894" s="2" t="s">
        <v>69</v>
      </c>
      <c r="I894" s="39">
        <v>0.82699999999999996</v>
      </c>
      <c r="J894" s="39">
        <v>0.16579999999999998</v>
      </c>
      <c r="K894" s="39">
        <v>0.13349999999999998</v>
      </c>
      <c r="L894" s="39">
        <v>0.10540000000000001</v>
      </c>
      <c r="M894" s="40">
        <v>5000</v>
      </c>
      <c r="N894" s="52">
        <v>1000000</v>
      </c>
    </row>
    <row r="895" spans="1:14" ht="15" customHeight="1" x14ac:dyDescent="0.25">
      <c r="A895" s="64" t="str">
        <f t="shared" si="13"/>
        <v>0.8-21-0-TOU-2 year Reward Plus</v>
      </c>
      <c r="B895" s="37" t="s">
        <v>13</v>
      </c>
      <c r="C895" s="49">
        <v>21</v>
      </c>
      <c r="D895" s="2" t="s">
        <v>30</v>
      </c>
      <c r="E895" s="50" t="s">
        <v>87</v>
      </c>
      <c r="F895" s="38" t="s">
        <v>88</v>
      </c>
      <c r="G895" s="51">
        <v>0.8</v>
      </c>
      <c r="H895" s="2" t="s">
        <v>69</v>
      </c>
      <c r="I895" s="39">
        <v>0.92300000000000004</v>
      </c>
      <c r="J895" s="39">
        <v>0.17599999999999999</v>
      </c>
      <c r="K895" s="39">
        <v>0.14169999999999999</v>
      </c>
      <c r="L895" s="39">
        <v>0.1119</v>
      </c>
      <c r="M895" s="40">
        <v>5000</v>
      </c>
      <c r="N895" s="52">
        <v>1000000</v>
      </c>
    </row>
    <row r="896" spans="1:14" ht="15" customHeight="1" x14ac:dyDescent="0.25">
      <c r="A896" s="64" t="str">
        <f t="shared" si="13"/>
        <v>0.8-22-0-TOU-2 year Reward Plus</v>
      </c>
      <c r="B896" s="37" t="s">
        <v>13</v>
      </c>
      <c r="C896" s="49">
        <v>22</v>
      </c>
      <c r="D896" s="2" t="s">
        <v>31</v>
      </c>
      <c r="E896" s="50" t="s">
        <v>87</v>
      </c>
      <c r="F896" s="38" t="s">
        <v>88</v>
      </c>
      <c r="G896" s="51">
        <v>0.8</v>
      </c>
      <c r="H896" s="2" t="s">
        <v>69</v>
      </c>
      <c r="I896" s="39">
        <v>0.90400000000000003</v>
      </c>
      <c r="J896" s="39">
        <v>0.17659999999999998</v>
      </c>
      <c r="K896" s="39">
        <v>0.14219999999999999</v>
      </c>
      <c r="L896" s="39">
        <v>0.11219999999999999</v>
      </c>
      <c r="M896" s="40">
        <v>5000</v>
      </c>
      <c r="N896" s="52">
        <v>1000000</v>
      </c>
    </row>
    <row r="897" spans="1:14" ht="15" customHeight="1" x14ac:dyDescent="0.25">
      <c r="A897" s="64" t="str">
        <f t="shared" si="13"/>
        <v>0.8-23-0-TOU-2 year Reward Plus</v>
      </c>
      <c r="B897" s="37" t="s">
        <v>13</v>
      </c>
      <c r="C897" s="49">
        <v>23</v>
      </c>
      <c r="D897" s="2" t="s">
        <v>32</v>
      </c>
      <c r="E897" s="50" t="s">
        <v>87</v>
      </c>
      <c r="F897" s="38" t="s">
        <v>88</v>
      </c>
      <c r="G897" s="51">
        <v>0.8</v>
      </c>
      <c r="H897" s="2" t="s">
        <v>69</v>
      </c>
      <c r="I897" s="39">
        <v>0.90600000000000003</v>
      </c>
      <c r="J897" s="39">
        <v>0.16829999999999998</v>
      </c>
      <c r="K897" s="39">
        <v>0.13549999999999998</v>
      </c>
      <c r="L897" s="39">
        <v>0.107</v>
      </c>
      <c r="M897" s="40">
        <v>5000</v>
      </c>
      <c r="N897" s="52">
        <v>1000000</v>
      </c>
    </row>
    <row r="898" spans="1:14" ht="15" customHeight="1" x14ac:dyDescent="0.25">
      <c r="A898" s="64" t="str">
        <f t="shared" si="13"/>
        <v>0.9-10-0-TOU-2 year Reward Plus</v>
      </c>
      <c r="B898" s="37" t="s">
        <v>13</v>
      </c>
      <c r="C898" s="49">
        <v>10</v>
      </c>
      <c r="D898" s="2" t="s">
        <v>14</v>
      </c>
      <c r="E898" s="50" t="s">
        <v>87</v>
      </c>
      <c r="F898" s="38" t="s">
        <v>88</v>
      </c>
      <c r="G898" s="51">
        <v>0.9</v>
      </c>
      <c r="H898" s="2" t="s">
        <v>69</v>
      </c>
      <c r="I898" s="39">
        <v>0.88100000000000001</v>
      </c>
      <c r="J898" s="39">
        <v>0.16539999999999999</v>
      </c>
      <c r="K898" s="39">
        <v>0.1331</v>
      </c>
      <c r="L898" s="39">
        <v>0.1051</v>
      </c>
      <c r="M898" s="40">
        <v>5000</v>
      </c>
      <c r="N898" s="52">
        <v>1000000</v>
      </c>
    </row>
    <row r="899" spans="1:14" ht="15" customHeight="1" x14ac:dyDescent="0.25">
      <c r="A899" s="64" t="str">
        <f t="shared" ref="A899:A962" si="14">IF(E899="OP","",CONCATENATE(G899,"-",C899,"-",RIGHT(F899,1),"-",E899,"-",H899))</f>
        <v>0.9-11-0-TOU-2 year Reward Plus</v>
      </c>
      <c r="B899" s="37" t="s">
        <v>13</v>
      </c>
      <c r="C899" s="49">
        <v>11</v>
      </c>
      <c r="D899" s="2" t="s">
        <v>20</v>
      </c>
      <c r="E899" s="50" t="s">
        <v>87</v>
      </c>
      <c r="F899" s="38" t="s">
        <v>88</v>
      </c>
      <c r="G899" s="51">
        <v>0.9</v>
      </c>
      <c r="H899" s="2" t="s">
        <v>69</v>
      </c>
      <c r="I899" s="39">
        <v>0.86099999999999999</v>
      </c>
      <c r="J899" s="39">
        <v>0.16839999999999999</v>
      </c>
      <c r="K899" s="39">
        <v>0.1356</v>
      </c>
      <c r="L899" s="39">
        <v>0.1071</v>
      </c>
      <c r="M899" s="40">
        <v>5000</v>
      </c>
      <c r="N899" s="52">
        <v>1000000</v>
      </c>
    </row>
    <row r="900" spans="1:14" ht="15" customHeight="1" x14ac:dyDescent="0.25">
      <c r="A900" s="64" t="str">
        <f t="shared" si="14"/>
        <v>0.9-12-0-TOU-2 year Reward Plus</v>
      </c>
      <c r="B900" s="37" t="s">
        <v>13</v>
      </c>
      <c r="C900" s="49">
        <v>12</v>
      </c>
      <c r="D900" s="2" t="s">
        <v>21</v>
      </c>
      <c r="E900" s="50" t="s">
        <v>87</v>
      </c>
      <c r="F900" s="38" t="s">
        <v>88</v>
      </c>
      <c r="G900" s="51">
        <v>0.9</v>
      </c>
      <c r="H900" s="2" t="s">
        <v>69</v>
      </c>
      <c r="I900" s="39">
        <v>0.90300000000000002</v>
      </c>
      <c r="J900" s="39">
        <v>0.16499999999999998</v>
      </c>
      <c r="K900" s="39">
        <v>0.13289999999999999</v>
      </c>
      <c r="L900" s="39">
        <v>0.10490000000000001</v>
      </c>
      <c r="M900" s="40">
        <v>5000</v>
      </c>
      <c r="N900" s="52">
        <v>1000000</v>
      </c>
    </row>
    <row r="901" spans="1:14" ht="15" customHeight="1" x14ac:dyDescent="0.25">
      <c r="A901" s="64" t="str">
        <f t="shared" si="14"/>
        <v>0.9-13-0-TOU-2 year Reward Plus</v>
      </c>
      <c r="B901" s="37" t="s">
        <v>13</v>
      </c>
      <c r="C901" s="49">
        <v>13</v>
      </c>
      <c r="D901" s="2" t="s">
        <v>22</v>
      </c>
      <c r="E901" s="50" t="s">
        <v>87</v>
      </c>
      <c r="F901" s="38" t="s">
        <v>88</v>
      </c>
      <c r="G901" s="51">
        <v>0.9</v>
      </c>
      <c r="H901" s="2" t="s">
        <v>69</v>
      </c>
      <c r="I901" s="39">
        <v>0.88100000000000001</v>
      </c>
      <c r="J901" s="39">
        <v>0.17809999999999998</v>
      </c>
      <c r="K901" s="39">
        <v>0.1434</v>
      </c>
      <c r="L901" s="39">
        <v>0.11320000000000001</v>
      </c>
      <c r="M901" s="40">
        <v>5000</v>
      </c>
      <c r="N901" s="52">
        <v>1000000</v>
      </c>
    </row>
    <row r="902" spans="1:14" ht="15" customHeight="1" x14ac:dyDescent="0.25">
      <c r="A902" s="64" t="str">
        <f t="shared" si="14"/>
        <v>0.9-14-0-TOU-2 year Reward Plus</v>
      </c>
      <c r="B902" s="37" t="s">
        <v>13</v>
      </c>
      <c r="C902" s="49">
        <v>14</v>
      </c>
      <c r="D902" s="2" t="s">
        <v>23</v>
      </c>
      <c r="E902" s="50" t="s">
        <v>87</v>
      </c>
      <c r="F902" s="38" t="s">
        <v>88</v>
      </c>
      <c r="G902" s="51">
        <v>0.9</v>
      </c>
      <c r="H902" s="2" t="s">
        <v>69</v>
      </c>
      <c r="I902" s="39">
        <v>0.89</v>
      </c>
      <c r="J902" s="39">
        <v>0.16949999999999998</v>
      </c>
      <c r="K902" s="39">
        <v>0.13649999999999998</v>
      </c>
      <c r="L902" s="39">
        <v>0.1077</v>
      </c>
      <c r="M902" s="40">
        <v>5000</v>
      </c>
      <c r="N902" s="52">
        <v>1000000</v>
      </c>
    </row>
    <row r="903" spans="1:14" ht="15" customHeight="1" x14ac:dyDescent="0.25">
      <c r="A903" s="64" t="str">
        <f t="shared" si="14"/>
        <v>0.9-15-0-TOU-2 year Reward Plus</v>
      </c>
      <c r="B903" s="37" t="s">
        <v>13</v>
      </c>
      <c r="C903" s="49">
        <v>15</v>
      </c>
      <c r="D903" s="2" t="s">
        <v>24</v>
      </c>
      <c r="E903" s="50" t="s">
        <v>87</v>
      </c>
      <c r="F903" s="38" t="s">
        <v>88</v>
      </c>
      <c r="G903" s="51">
        <v>0.9</v>
      </c>
      <c r="H903" s="2" t="s">
        <v>69</v>
      </c>
      <c r="I903" s="39">
        <v>0.96</v>
      </c>
      <c r="J903" s="39">
        <v>0.16929999999999998</v>
      </c>
      <c r="K903" s="39">
        <v>0.13629999999999998</v>
      </c>
      <c r="L903" s="39">
        <v>0.1076</v>
      </c>
      <c r="M903" s="40">
        <v>5000</v>
      </c>
      <c r="N903" s="52">
        <v>1000000</v>
      </c>
    </row>
    <row r="904" spans="1:14" ht="15" customHeight="1" x14ac:dyDescent="0.25">
      <c r="A904" s="64" t="str">
        <f t="shared" si="14"/>
        <v>0.9-16-0-TOU-2 year Reward Plus</v>
      </c>
      <c r="B904" s="37" t="s">
        <v>13</v>
      </c>
      <c r="C904" s="49">
        <v>16</v>
      </c>
      <c r="D904" s="2" t="s">
        <v>25</v>
      </c>
      <c r="E904" s="50" t="s">
        <v>87</v>
      </c>
      <c r="F904" s="38" t="s">
        <v>88</v>
      </c>
      <c r="G904" s="51">
        <v>0.9</v>
      </c>
      <c r="H904" s="2" t="s">
        <v>69</v>
      </c>
      <c r="I904" s="39">
        <v>0.72699999999999998</v>
      </c>
      <c r="J904" s="39">
        <v>0.1686</v>
      </c>
      <c r="K904" s="39">
        <v>0.13569999999999999</v>
      </c>
      <c r="L904" s="39">
        <v>0.1071</v>
      </c>
      <c r="M904" s="40">
        <v>5000</v>
      </c>
      <c r="N904" s="52">
        <v>1000000</v>
      </c>
    </row>
    <row r="905" spans="1:14" ht="15" customHeight="1" x14ac:dyDescent="0.25">
      <c r="A905" s="64" t="str">
        <f t="shared" si="14"/>
        <v>0.9-17-0-TOU-2 year Reward Plus</v>
      </c>
      <c r="B905" s="37" t="s">
        <v>13</v>
      </c>
      <c r="C905" s="49">
        <v>17</v>
      </c>
      <c r="D905" s="2" t="s">
        <v>26</v>
      </c>
      <c r="E905" s="50" t="s">
        <v>87</v>
      </c>
      <c r="F905" s="38" t="s">
        <v>88</v>
      </c>
      <c r="G905" s="51">
        <v>0.9</v>
      </c>
      <c r="H905" s="2" t="s">
        <v>69</v>
      </c>
      <c r="I905" s="39">
        <v>1.67</v>
      </c>
      <c r="J905" s="39">
        <v>0.18759999999999999</v>
      </c>
      <c r="K905" s="39">
        <v>0.151</v>
      </c>
      <c r="L905" s="39">
        <v>0.1192</v>
      </c>
      <c r="M905" s="40">
        <v>5000</v>
      </c>
      <c r="N905" s="52">
        <v>1000000</v>
      </c>
    </row>
    <row r="906" spans="1:14" ht="15" customHeight="1" x14ac:dyDescent="0.25">
      <c r="A906" s="64" t="str">
        <f t="shared" si="14"/>
        <v>0.9-18-0-TOU-2 year Reward Plus</v>
      </c>
      <c r="B906" s="37" t="s">
        <v>13</v>
      </c>
      <c r="C906" s="49">
        <v>18</v>
      </c>
      <c r="D906" s="2" t="s">
        <v>27</v>
      </c>
      <c r="E906" s="50" t="s">
        <v>87</v>
      </c>
      <c r="F906" s="38" t="s">
        <v>88</v>
      </c>
      <c r="G906" s="51">
        <v>0.9</v>
      </c>
      <c r="H906" s="2" t="s">
        <v>69</v>
      </c>
      <c r="I906" s="39">
        <v>0.89900000000000002</v>
      </c>
      <c r="J906" s="39">
        <v>0.1681</v>
      </c>
      <c r="K906" s="39">
        <v>0.13529999999999998</v>
      </c>
      <c r="L906" s="39">
        <v>0.10680000000000001</v>
      </c>
      <c r="M906" s="40">
        <v>5000</v>
      </c>
      <c r="N906" s="52">
        <v>1000000</v>
      </c>
    </row>
    <row r="907" spans="1:14" ht="15" customHeight="1" x14ac:dyDescent="0.25">
      <c r="A907" s="64" t="str">
        <f t="shared" si="14"/>
        <v>0.9-19-0-TOU-2 year Reward Plus</v>
      </c>
      <c r="B907" s="37" t="s">
        <v>13</v>
      </c>
      <c r="C907" s="49">
        <v>19</v>
      </c>
      <c r="D907" s="2" t="s">
        <v>28</v>
      </c>
      <c r="E907" s="50" t="s">
        <v>87</v>
      </c>
      <c r="F907" s="38" t="s">
        <v>88</v>
      </c>
      <c r="G907" s="51">
        <v>0.9</v>
      </c>
      <c r="H907" s="2" t="s">
        <v>69</v>
      </c>
      <c r="I907" s="39">
        <v>0.77800000000000002</v>
      </c>
      <c r="J907" s="39">
        <v>0.16689999999999999</v>
      </c>
      <c r="K907" s="39">
        <v>0.13439999999999999</v>
      </c>
      <c r="L907" s="39">
        <v>0.1061</v>
      </c>
      <c r="M907" s="40">
        <v>5000</v>
      </c>
      <c r="N907" s="52">
        <v>1000000</v>
      </c>
    </row>
    <row r="908" spans="1:14" ht="15" customHeight="1" x14ac:dyDescent="0.25">
      <c r="A908" s="64" t="str">
        <f t="shared" si="14"/>
        <v>0.9-20-0-TOU-2 year Reward Plus</v>
      </c>
      <c r="B908" s="37" t="s">
        <v>13</v>
      </c>
      <c r="C908" s="49">
        <v>20</v>
      </c>
      <c r="D908" s="2" t="s">
        <v>29</v>
      </c>
      <c r="E908" s="50" t="s">
        <v>87</v>
      </c>
      <c r="F908" s="38" t="s">
        <v>88</v>
      </c>
      <c r="G908" s="51">
        <v>0.9</v>
      </c>
      <c r="H908" s="2" t="s">
        <v>69</v>
      </c>
      <c r="I908" s="39">
        <v>0.82699999999999996</v>
      </c>
      <c r="J908" s="39">
        <v>0.16699999999999998</v>
      </c>
      <c r="K908" s="39">
        <v>0.13449999999999998</v>
      </c>
      <c r="L908" s="39">
        <v>0.1062</v>
      </c>
      <c r="M908" s="40">
        <v>5000</v>
      </c>
      <c r="N908" s="52">
        <v>1000000</v>
      </c>
    </row>
    <row r="909" spans="1:14" ht="15" customHeight="1" x14ac:dyDescent="0.25">
      <c r="A909" s="64" t="str">
        <f t="shared" si="14"/>
        <v>0.9-21-0-TOU-2 year Reward Plus</v>
      </c>
      <c r="B909" s="37" t="s">
        <v>13</v>
      </c>
      <c r="C909" s="49">
        <v>21</v>
      </c>
      <c r="D909" s="2" t="s">
        <v>30</v>
      </c>
      <c r="E909" s="50" t="s">
        <v>87</v>
      </c>
      <c r="F909" s="38" t="s">
        <v>88</v>
      </c>
      <c r="G909" s="51">
        <v>0.9</v>
      </c>
      <c r="H909" s="2" t="s">
        <v>69</v>
      </c>
      <c r="I909" s="39">
        <v>0.92300000000000004</v>
      </c>
      <c r="J909" s="39">
        <v>0.1772</v>
      </c>
      <c r="K909" s="39">
        <v>0.14259999999999998</v>
      </c>
      <c r="L909" s="39">
        <v>0.11260000000000001</v>
      </c>
      <c r="M909" s="40">
        <v>5000</v>
      </c>
      <c r="N909" s="52">
        <v>1000000</v>
      </c>
    </row>
    <row r="910" spans="1:14" ht="15" customHeight="1" x14ac:dyDescent="0.25">
      <c r="A910" s="64" t="str">
        <f t="shared" si="14"/>
        <v>0.9-22-0-TOU-2 year Reward Plus</v>
      </c>
      <c r="B910" s="37" t="s">
        <v>13</v>
      </c>
      <c r="C910" s="49">
        <v>22</v>
      </c>
      <c r="D910" s="2" t="s">
        <v>31</v>
      </c>
      <c r="E910" s="50" t="s">
        <v>87</v>
      </c>
      <c r="F910" s="38" t="s">
        <v>88</v>
      </c>
      <c r="G910" s="51">
        <v>0.9</v>
      </c>
      <c r="H910" s="2" t="s">
        <v>69</v>
      </c>
      <c r="I910" s="39">
        <v>0.90400000000000003</v>
      </c>
      <c r="J910" s="39">
        <v>0.17779999999999999</v>
      </c>
      <c r="K910" s="39">
        <v>0.14309999999999998</v>
      </c>
      <c r="L910" s="39">
        <v>0.113</v>
      </c>
      <c r="M910" s="40">
        <v>5000</v>
      </c>
      <c r="N910" s="52">
        <v>1000000</v>
      </c>
    </row>
    <row r="911" spans="1:14" ht="15" customHeight="1" x14ac:dyDescent="0.25">
      <c r="A911" s="64" t="str">
        <f t="shared" si="14"/>
        <v>0.9-23-0-TOU-2 year Reward Plus</v>
      </c>
      <c r="B911" s="37" t="s">
        <v>13</v>
      </c>
      <c r="C911" s="49">
        <v>23</v>
      </c>
      <c r="D911" s="2" t="s">
        <v>32</v>
      </c>
      <c r="E911" s="50" t="s">
        <v>87</v>
      </c>
      <c r="F911" s="38" t="s">
        <v>88</v>
      </c>
      <c r="G911" s="51">
        <v>0.9</v>
      </c>
      <c r="H911" s="2" t="s">
        <v>69</v>
      </c>
      <c r="I911" s="39">
        <v>0.90600000000000003</v>
      </c>
      <c r="J911" s="39">
        <v>0.16949999999999998</v>
      </c>
      <c r="K911" s="39">
        <v>0.13649999999999998</v>
      </c>
      <c r="L911" s="39">
        <v>0.1077</v>
      </c>
      <c r="M911" s="40">
        <v>5000</v>
      </c>
      <c r="N911" s="52">
        <v>1000000</v>
      </c>
    </row>
    <row r="912" spans="1:14" ht="15" customHeight="1" x14ac:dyDescent="0.25">
      <c r="A912" s="64" t="str">
        <f t="shared" si="14"/>
        <v>1-10-0-TOU-2 year Reward Plus</v>
      </c>
      <c r="B912" s="37" t="s">
        <v>13</v>
      </c>
      <c r="C912" s="49">
        <v>10</v>
      </c>
      <c r="D912" s="2" t="s">
        <v>14</v>
      </c>
      <c r="E912" s="50" t="s">
        <v>87</v>
      </c>
      <c r="F912" s="38" t="s">
        <v>88</v>
      </c>
      <c r="G912" s="51">
        <v>1</v>
      </c>
      <c r="H912" s="2" t="s">
        <v>69</v>
      </c>
      <c r="I912" s="39">
        <v>0.88100000000000001</v>
      </c>
      <c r="J912" s="39">
        <v>0.16649999999999998</v>
      </c>
      <c r="K912" s="39">
        <v>0.1341</v>
      </c>
      <c r="L912" s="39">
        <v>0.10590000000000001</v>
      </c>
      <c r="M912" s="40">
        <v>5000</v>
      </c>
      <c r="N912" s="52">
        <v>1000000</v>
      </c>
    </row>
    <row r="913" spans="1:14" ht="15" customHeight="1" x14ac:dyDescent="0.25">
      <c r="A913" s="64" t="str">
        <f t="shared" si="14"/>
        <v>1-11-0-TOU-2 year Reward Plus</v>
      </c>
      <c r="B913" s="37" t="s">
        <v>13</v>
      </c>
      <c r="C913" s="49">
        <v>11</v>
      </c>
      <c r="D913" s="2" t="s">
        <v>20</v>
      </c>
      <c r="E913" s="50" t="s">
        <v>87</v>
      </c>
      <c r="F913" s="38" t="s">
        <v>88</v>
      </c>
      <c r="G913" s="51">
        <v>1</v>
      </c>
      <c r="H913" s="2" t="s">
        <v>69</v>
      </c>
      <c r="I913" s="39">
        <v>0.86099999999999999</v>
      </c>
      <c r="J913" s="39">
        <v>0.1696</v>
      </c>
      <c r="K913" s="39">
        <v>0.1366</v>
      </c>
      <c r="L913" s="39">
        <v>0.10780000000000001</v>
      </c>
      <c r="M913" s="40">
        <v>5000</v>
      </c>
      <c r="N913" s="52">
        <v>1000000</v>
      </c>
    </row>
    <row r="914" spans="1:14" ht="15" customHeight="1" x14ac:dyDescent="0.25">
      <c r="A914" s="64" t="str">
        <f t="shared" si="14"/>
        <v>1-12-0-TOU-2 year Reward Plus</v>
      </c>
      <c r="B914" s="37" t="s">
        <v>13</v>
      </c>
      <c r="C914" s="49">
        <v>12</v>
      </c>
      <c r="D914" s="2" t="s">
        <v>21</v>
      </c>
      <c r="E914" s="50" t="s">
        <v>87</v>
      </c>
      <c r="F914" s="38" t="s">
        <v>88</v>
      </c>
      <c r="G914" s="51">
        <v>1</v>
      </c>
      <c r="H914" s="2" t="s">
        <v>69</v>
      </c>
      <c r="I914" s="39">
        <v>0.90300000000000002</v>
      </c>
      <c r="J914" s="39">
        <v>0.16619999999999999</v>
      </c>
      <c r="K914" s="39">
        <v>0.1338</v>
      </c>
      <c r="L914" s="39">
        <v>0.1056</v>
      </c>
      <c r="M914" s="40">
        <v>5000</v>
      </c>
      <c r="N914" s="52">
        <v>1000000</v>
      </c>
    </row>
    <row r="915" spans="1:14" ht="15" customHeight="1" x14ac:dyDescent="0.25">
      <c r="A915" s="64" t="str">
        <f t="shared" si="14"/>
        <v>1-13-0-TOU-2 year Reward Plus</v>
      </c>
      <c r="B915" s="37" t="s">
        <v>13</v>
      </c>
      <c r="C915" s="49">
        <v>13</v>
      </c>
      <c r="D915" s="2" t="s">
        <v>22</v>
      </c>
      <c r="E915" s="50" t="s">
        <v>87</v>
      </c>
      <c r="F915" s="38" t="s">
        <v>88</v>
      </c>
      <c r="G915" s="51">
        <v>1</v>
      </c>
      <c r="H915" s="2" t="s">
        <v>69</v>
      </c>
      <c r="I915" s="39">
        <v>0.88100000000000001</v>
      </c>
      <c r="J915" s="39">
        <v>0.17929999999999999</v>
      </c>
      <c r="K915" s="39">
        <v>0.1444</v>
      </c>
      <c r="L915" s="39">
        <v>0.114</v>
      </c>
      <c r="M915" s="40">
        <v>5000</v>
      </c>
      <c r="N915" s="52">
        <v>1000000</v>
      </c>
    </row>
    <row r="916" spans="1:14" ht="15" customHeight="1" x14ac:dyDescent="0.25">
      <c r="A916" s="64" t="str">
        <f t="shared" si="14"/>
        <v>1-14-0-TOU-2 year Reward Plus</v>
      </c>
      <c r="B916" s="37" t="s">
        <v>13</v>
      </c>
      <c r="C916" s="49">
        <v>14</v>
      </c>
      <c r="D916" s="2" t="s">
        <v>23</v>
      </c>
      <c r="E916" s="50" t="s">
        <v>87</v>
      </c>
      <c r="F916" s="38" t="s">
        <v>88</v>
      </c>
      <c r="G916" s="51">
        <v>1</v>
      </c>
      <c r="H916" s="2" t="s">
        <v>69</v>
      </c>
      <c r="I916" s="39">
        <v>0.89</v>
      </c>
      <c r="J916" s="39">
        <v>0.17069999999999999</v>
      </c>
      <c r="K916" s="39">
        <v>0.13739999999999999</v>
      </c>
      <c r="L916" s="39">
        <v>0.1085</v>
      </c>
      <c r="M916" s="40">
        <v>5000</v>
      </c>
      <c r="N916" s="52">
        <v>1000000</v>
      </c>
    </row>
    <row r="917" spans="1:14" ht="15" customHeight="1" x14ac:dyDescent="0.25">
      <c r="A917" s="64" t="str">
        <f t="shared" si="14"/>
        <v>1-15-0-TOU-2 year Reward Plus</v>
      </c>
      <c r="B917" s="37" t="s">
        <v>13</v>
      </c>
      <c r="C917" s="49">
        <v>15</v>
      </c>
      <c r="D917" s="2" t="s">
        <v>24</v>
      </c>
      <c r="E917" s="50" t="s">
        <v>87</v>
      </c>
      <c r="F917" s="38" t="s">
        <v>88</v>
      </c>
      <c r="G917" s="51">
        <v>1</v>
      </c>
      <c r="H917" s="2" t="s">
        <v>69</v>
      </c>
      <c r="I917" s="39">
        <v>0.96</v>
      </c>
      <c r="J917" s="39">
        <v>0.1704</v>
      </c>
      <c r="K917" s="39">
        <v>0.13719999999999999</v>
      </c>
      <c r="L917" s="39">
        <v>0.10829999999999999</v>
      </c>
      <c r="M917" s="40">
        <v>5000</v>
      </c>
      <c r="N917" s="52">
        <v>1000000</v>
      </c>
    </row>
    <row r="918" spans="1:14" ht="15" customHeight="1" x14ac:dyDescent="0.25">
      <c r="A918" s="64" t="str">
        <f t="shared" si="14"/>
        <v>1-16-0-TOU-2 year Reward Plus</v>
      </c>
      <c r="B918" s="37" t="s">
        <v>13</v>
      </c>
      <c r="C918" s="49">
        <v>16</v>
      </c>
      <c r="D918" s="2" t="s">
        <v>25</v>
      </c>
      <c r="E918" s="50" t="s">
        <v>87</v>
      </c>
      <c r="F918" s="38" t="s">
        <v>88</v>
      </c>
      <c r="G918" s="51">
        <v>1</v>
      </c>
      <c r="H918" s="2" t="s">
        <v>69</v>
      </c>
      <c r="I918" s="39">
        <v>0.72699999999999998</v>
      </c>
      <c r="J918" s="39">
        <v>0.16969999999999999</v>
      </c>
      <c r="K918" s="39">
        <v>0.13669999999999999</v>
      </c>
      <c r="L918" s="39">
        <v>0.10790000000000001</v>
      </c>
      <c r="M918" s="40">
        <v>5000</v>
      </c>
      <c r="N918" s="52">
        <v>1000000</v>
      </c>
    </row>
    <row r="919" spans="1:14" ht="15" customHeight="1" x14ac:dyDescent="0.25">
      <c r="A919" s="64" t="str">
        <f t="shared" si="14"/>
        <v>1-17-0-TOU-2 year Reward Plus</v>
      </c>
      <c r="B919" s="37" t="s">
        <v>13</v>
      </c>
      <c r="C919" s="49">
        <v>17</v>
      </c>
      <c r="D919" s="2" t="s">
        <v>26</v>
      </c>
      <c r="E919" s="50" t="s">
        <v>87</v>
      </c>
      <c r="F919" s="38" t="s">
        <v>88</v>
      </c>
      <c r="G919" s="51">
        <v>1</v>
      </c>
      <c r="H919" s="2" t="s">
        <v>69</v>
      </c>
      <c r="I919" s="39">
        <v>1.67</v>
      </c>
      <c r="J919" s="39">
        <v>0.18869999999999998</v>
      </c>
      <c r="K919" s="39">
        <v>0.152</v>
      </c>
      <c r="L919" s="39">
        <v>0.12000000000000001</v>
      </c>
      <c r="M919" s="40">
        <v>5000</v>
      </c>
      <c r="N919" s="52">
        <v>1000000</v>
      </c>
    </row>
    <row r="920" spans="1:14" ht="15" customHeight="1" x14ac:dyDescent="0.25">
      <c r="A920" s="64" t="str">
        <f t="shared" si="14"/>
        <v>1-18-0-TOU-2 year Reward Plus</v>
      </c>
      <c r="B920" s="37" t="s">
        <v>13</v>
      </c>
      <c r="C920" s="49">
        <v>18</v>
      </c>
      <c r="D920" s="2" t="s">
        <v>27</v>
      </c>
      <c r="E920" s="50" t="s">
        <v>87</v>
      </c>
      <c r="F920" s="38" t="s">
        <v>88</v>
      </c>
      <c r="G920" s="51">
        <v>1</v>
      </c>
      <c r="H920" s="2" t="s">
        <v>69</v>
      </c>
      <c r="I920" s="39">
        <v>0.89900000000000002</v>
      </c>
      <c r="J920" s="39">
        <v>0.16929999999999998</v>
      </c>
      <c r="K920" s="39">
        <v>0.13629999999999998</v>
      </c>
      <c r="L920" s="39">
        <v>0.1076</v>
      </c>
      <c r="M920" s="40">
        <v>5000</v>
      </c>
      <c r="N920" s="52">
        <v>1000000</v>
      </c>
    </row>
    <row r="921" spans="1:14" ht="15" customHeight="1" x14ac:dyDescent="0.25">
      <c r="A921" s="64" t="str">
        <f t="shared" si="14"/>
        <v>1-19-0-TOU-2 year Reward Plus</v>
      </c>
      <c r="B921" s="37" t="s">
        <v>13</v>
      </c>
      <c r="C921" s="49">
        <v>19</v>
      </c>
      <c r="D921" s="2" t="s">
        <v>28</v>
      </c>
      <c r="E921" s="50" t="s">
        <v>87</v>
      </c>
      <c r="F921" s="38" t="s">
        <v>88</v>
      </c>
      <c r="G921" s="51">
        <v>1</v>
      </c>
      <c r="H921" s="2" t="s">
        <v>69</v>
      </c>
      <c r="I921" s="39">
        <v>0.77800000000000002</v>
      </c>
      <c r="J921" s="39">
        <v>0.1681</v>
      </c>
      <c r="K921" s="39">
        <v>0.13529999999999998</v>
      </c>
      <c r="L921" s="39">
        <v>0.10680000000000001</v>
      </c>
      <c r="M921" s="40">
        <v>5000</v>
      </c>
      <c r="N921" s="52">
        <v>1000000</v>
      </c>
    </row>
    <row r="922" spans="1:14" ht="15" customHeight="1" x14ac:dyDescent="0.25">
      <c r="A922" s="64" t="str">
        <f t="shared" si="14"/>
        <v>1-20-0-TOU-2 year Reward Plus</v>
      </c>
      <c r="B922" s="37" t="s">
        <v>13</v>
      </c>
      <c r="C922" s="49">
        <v>20</v>
      </c>
      <c r="D922" s="2" t="s">
        <v>29</v>
      </c>
      <c r="E922" s="50" t="s">
        <v>87</v>
      </c>
      <c r="F922" s="38" t="s">
        <v>88</v>
      </c>
      <c r="G922" s="51">
        <v>1</v>
      </c>
      <c r="H922" s="2" t="s">
        <v>69</v>
      </c>
      <c r="I922" s="39">
        <v>0.82699999999999996</v>
      </c>
      <c r="J922" s="39">
        <v>0.16819999999999999</v>
      </c>
      <c r="K922" s="39">
        <v>0.13539999999999999</v>
      </c>
      <c r="L922" s="39">
        <v>0.10690000000000001</v>
      </c>
      <c r="M922" s="40">
        <v>5000</v>
      </c>
      <c r="N922" s="52">
        <v>1000000</v>
      </c>
    </row>
    <row r="923" spans="1:14" ht="15" customHeight="1" x14ac:dyDescent="0.25">
      <c r="A923" s="64" t="str">
        <f t="shared" si="14"/>
        <v>1-21-0-TOU-2 year Reward Plus</v>
      </c>
      <c r="B923" s="37" t="s">
        <v>13</v>
      </c>
      <c r="C923" s="49">
        <v>21</v>
      </c>
      <c r="D923" s="2" t="s">
        <v>30</v>
      </c>
      <c r="E923" s="50" t="s">
        <v>87</v>
      </c>
      <c r="F923" s="38" t="s">
        <v>88</v>
      </c>
      <c r="G923" s="51">
        <v>1</v>
      </c>
      <c r="H923" s="2" t="s">
        <v>69</v>
      </c>
      <c r="I923" s="39">
        <v>0.92300000000000004</v>
      </c>
      <c r="J923" s="39">
        <v>0.17829999999999999</v>
      </c>
      <c r="K923" s="39">
        <v>0.14359999999999998</v>
      </c>
      <c r="L923" s="39">
        <v>0.1134</v>
      </c>
      <c r="M923" s="40">
        <v>5000</v>
      </c>
      <c r="N923" s="52">
        <v>1000000</v>
      </c>
    </row>
    <row r="924" spans="1:14" ht="15" customHeight="1" x14ac:dyDescent="0.25">
      <c r="A924" s="64" t="str">
        <f t="shared" si="14"/>
        <v>1-22-0-TOU-2 year Reward Plus</v>
      </c>
      <c r="B924" s="37" t="s">
        <v>13</v>
      </c>
      <c r="C924" s="49">
        <v>22</v>
      </c>
      <c r="D924" s="2" t="s">
        <v>31</v>
      </c>
      <c r="E924" s="50" t="s">
        <v>87</v>
      </c>
      <c r="F924" s="38" t="s">
        <v>88</v>
      </c>
      <c r="G924" s="51">
        <v>1</v>
      </c>
      <c r="H924" s="2" t="s">
        <v>69</v>
      </c>
      <c r="I924" s="39">
        <v>0.90400000000000003</v>
      </c>
      <c r="J924" s="39">
        <v>0.17889999999999998</v>
      </c>
      <c r="K924" s="39">
        <v>0.14409999999999998</v>
      </c>
      <c r="L924" s="39">
        <v>0.1137</v>
      </c>
      <c r="M924" s="40">
        <v>5000</v>
      </c>
      <c r="N924" s="52">
        <v>1000000</v>
      </c>
    </row>
    <row r="925" spans="1:14" ht="15" customHeight="1" x14ac:dyDescent="0.25">
      <c r="A925" s="64" t="str">
        <f t="shared" si="14"/>
        <v>1-23-0-TOU-2 year Reward Plus</v>
      </c>
      <c r="B925" s="37" t="s">
        <v>13</v>
      </c>
      <c r="C925" s="49">
        <v>23</v>
      </c>
      <c r="D925" s="2" t="s">
        <v>32</v>
      </c>
      <c r="E925" s="50" t="s">
        <v>87</v>
      </c>
      <c r="F925" s="38" t="s">
        <v>88</v>
      </c>
      <c r="G925" s="51">
        <v>1</v>
      </c>
      <c r="H925" s="2" t="s">
        <v>69</v>
      </c>
      <c r="I925" s="39">
        <v>0.90600000000000003</v>
      </c>
      <c r="J925" s="39">
        <v>0.17069999999999999</v>
      </c>
      <c r="K925" s="39">
        <v>0.13739999999999999</v>
      </c>
      <c r="L925" s="39">
        <v>0.1085</v>
      </c>
      <c r="M925" s="40">
        <v>5000</v>
      </c>
      <c r="N925" s="52">
        <v>1000000</v>
      </c>
    </row>
    <row r="926" spans="1:14" ht="15" customHeight="1" x14ac:dyDescent="0.25">
      <c r="A926" s="64" t="str">
        <f t="shared" si="14"/>
        <v>1.1-10-0-TOU-2 year Reward Plus</v>
      </c>
      <c r="B926" s="37" t="s">
        <v>13</v>
      </c>
      <c r="C926" s="49">
        <v>10</v>
      </c>
      <c r="D926" s="2" t="s">
        <v>14</v>
      </c>
      <c r="E926" s="50" t="s">
        <v>87</v>
      </c>
      <c r="F926" s="38" t="s">
        <v>88</v>
      </c>
      <c r="G926" s="51">
        <v>1.1000000000000001</v>
      </c>
      <c r="H926" s="2" t="s">
        <v>69</v>
      </c>
      <c r="I926" s="39">
        <v>0.88100000000000001</v>
      </c>
      <c r="J926" s="39">
        <v>0.16769999999999999</v>
      </c>
      <c r="K926" s="39">
        <v>0.13499999999999998</v>
      </c>
      <c r="L926" s="39">
        <v>0.1066</v>
      </c>
      <c r="M926" s="40">
        <v>5000</v>
      </c>
      <c r="N926" s="52">
        <v>1000000</v>
      </c>
    </row>
    <row r="927" spans="1:14" ht="15" customHeight="1" x14ac:dyDescent="0.25">
      <c r="A927" s="64" t="str">
        <f t="shared" si="14"/>
        <v>1.1-11-0-TOU-2 year Reward Plus</v>
      </c>
      <c r="B927" s="37" t="s">
        <v>13</v>
      </c>
      <c r="C927" s="49">
        <v>11</v>
      </c>
      <c r="D927" s="2" t="s">
        <v>20</v>
      </c>
      <c r="E927" s="50" t="s">
        <v>87</v>
      </c>
      <c r="F927" s="38" t="s">
        <v>88</v>
      </c>
      <c r="G927" s="51">
        <v>1.1000000000000001</v>
      </c>
      <c r="H927" s="2" t="s">
        <v>69</v>
      </c>
      <c r="I927" s="39">
        <v>0.86099999999999999</v>
      </c>
      <c r="J927" s="39">
        <v>0.17079999999999998</v>
      </c>
      <c r="K927" s="39">
        <v>0.13749999999999998</v>
      </c>
      <c r="L927" s="39">
        <v>0.1086</v>
      </c>
      <c r="M927" s="40">
        <v>5000</v>
      </c>
      <c r="N927" s="52">
        <v>1000000</v>
      </c>
    </row>
    <row r="928" spans="1:14" ht="15" customHeight="1" x14ac:dyDescent="0.25">
      <c r="A928" s="64" t="str">
        <f t="shared" si="14"/>
        <v>1.1-12-0-TOU-2 year Reward Plus</v>
      </c>
      <c r="B928" s="37" t="s">
        <v>13</v>
      </c>
      <c r="C928" s="49">
        <v>12</v>
      </c>
      <c r="D928" s="2" t="s">
        <v>21</v>
      </c>
      <c r="E928" s="50" t="s">
        <v>87</v>
      </c>
      <c r="F928" s="38" t="s">
        <v>88</v>
      </c>
      <c r="G928" s="51">
        <v>1.1000000000000001</v>
      </c>
      <c r="H928" s="2" t="s">
        <v>69</v>
      </c>
      <c r="I928" s="39">
        <v>0.90300000000000002</v>
      </c>
      <c r="J928" s="39">
        <v>0.16739999999999999</v>
      </c>
      <c r="K928" s="39">
        <v>0.13479999999999998</v>
      </c>
      <c r="L928" s="39">
        <v>0.10640000000000001</v>
      </c>
      <c r="M928" s="40">
        <v>5000</v>
      </c>
      <c r="N928" s="52">
        <v>1000000</v>
      </c>
    </row>
    <row r="929" spans="1:14" ht="15" customHeight="1" x14ac:dyDescent="0.25">
      <c r="A929" s="64" t="str">
        <f t="shared" si="14"/>
        <v>1.1-13-0-TOU-2 year Reward Plus</v>
      </c>
      <c r="B929" s="37" t="s">
        <v>13</v>
      </c>
      <c r="C929" s="49">
        <v>13</v>
      </c>
      <c r="D929" s="2" t="s">
        <v>22</v>
      </c>
      <c r="E929" s="50" t="s">
        <v>87</v>
      </c>
      <c r="F929" s="38" t="s">
        <v>88</v>
      </c>
      <c r="G929" s="51">
        <v>1.1000000000000001</v>
      </c>
      <c r="H929" s="2" t="s">
        <v>69</v>
      </c>
      <c r="I929" s="39">
        <v>0.88100000000000001</v>
      </c>
      <c r="J929" s="39">
        <v>0.18049999999999999</v>
      </c>
      <c r="K929" s="39">
        <v>0.14529999999999998</v>
      </c>
      <c r="L929" s="39">
        <v>0.1147</v>
      </c>
      <c r="M929" s="40">
        <v>5000</v>
      </c>
      <c r="N929" s="52">
        <v>1000000</v>
      </c>
    </row>
    <row r="930" spans="1:14" ht="15" customHeight="1" x14ac:dyDescent="0.25">
      <c r="A930" s="64" t="str">
        <f t="shared" si="14"/>
        <v>1.1-14-0-TOU-2 year Reward Plus</v>
      </c>
      <c r="B930" s="37" t="s">
        <v>13</v>
      </c>
      <c r="C930" s="49">
        <v>14</v>
      </c>
      <c r="D930" s="2" t="s">
        <v>23</v>
      </c>
      <c r="E930" s="50" t="s">
        <v>87</v>
      </c>
      <c r="F930" s="38" t="s">
        <v>88</v>
      </c>
      <c r="G930" s="51">
        <v>1.1000000000000001</v>
      </c>
      <c r="H930" s="2" t="s">
        <v>69</v>
      </c>
      <c r="I930" s="39">
        <v>0.89</v>
      </c>
      <c r="J930" s="39">
        <v>0.1719</v>
      </c>
      <c r="K930" s="39">
        <v>0.1384</v>
      </c>
      <c r="L930" s="39">
        <v>0.10920000000000001</v>
      </c>
      <c r="M930" s="40">
        <v>5000</v>
      </c>
      <c r="N930" s="52">
        <v>1000000</v>
      </c>
    </row>
    <row r="931" spans="1:14" ht="15" customHeight="1" x14ac:dyDescent="0.25">
      <c r="A931" s="64" t="str">
        <f t="shared" si="14"/>
        <v>1.1-15-0-TOU-2 year Reward Plus</v>
      </c>
      <c r="B931" s="37" t="s">
        <v>13</v>
      </c>
      <c r="C931" s="49">
        <v>15</v>
      </c>
      <c r="D931" s="2" t="s">
        <v>24</v>
      </c>
      <c r="E931" s="50" t="s">
        <v>87</v>
      </c>
      <c r="F931" s="38" t="s">
        <v>88</v>
      </c>
      <c r="G931" s="51">
        <v>1.1000000000000001</v>
      </c>
      <c r="H931" s="2" t="s">
        <v>69</v>
      </c>
      <c r="I931" s="39">
        <v>0.96</v>
      </c>
      <c r="J931" s="39">
        <v>0.1716</v>
      </c>
      <c r="K931" s="39">
        <v>0.13819999999999999</v>
      </c>
      <c r="L931" s="39">
        <v>0.1091</v>
      </c>
      <c r="M931" s="40">
        <v>5000</v>
      </c>
      <c r="N931" s="52">
        <v>1000000</v>
      </c>
    </row>
    <row r="932" spans="1:14" ht="15" customHeight="1" x14ac:dyDescent="0.25">
      <c r="A932" s="64" t="str">
        <f t="shared" si="14"/>
        <v>1.1-16-0-TOU-2 year Reward Plus</v>
      </c>
      <c r="B932" s="37" t="s">
        <v>13</v>
      </c>
      <c r="C932" s="49">
        <v>16</v>
      </c>
      <c r="D932" s="2" t="s">
        <v>25</v>
      </c>
      <c r="E932" s="50" t="s">
        <v>87</v>
      </c>
      <c r="F932" s="38" t="s">
        <v>88</v>
      </c>
      <c r="G932" s="51">
        <v>1.1000000000000001</v>
      </c>
      <c r="H932" s="2" t="s">
        <v>69</v>
      </c>
      <c r="I932" s="39">
        <v>0.72699999999999998</v>
      </c>
      <c r="J932" s="39">
        <v>0.1709</v>
      </c>
      <c r="K932" s="39">
        <v>0.1376</v>
      </c>
      <c r="L932" s="39">
        <v>0.1086</v>
      </c>
      <c r="M932" s="40">
        <v>5000</v>
      </c>
      <c r="N932" s="52">
        <v>1000000</v>
      </c>
    </row>
    <row r="933" spans="1:14" ht="15" customHeight="1" x14ac:dyDescent="0.25">
      <c r="A933" s="64" t="str">
        <f t="shared" si="14"/>
        <v>1.1-17-0-TOU-2 year Reward Plus</v>
      </c>
      <c r="B933" s="37" t="s">
        <v>13</v>
      </c>
      <c r="C933" s="49">
        <v>17</v>
      </c>
      <c r="D933" s="2" t="s">
        <v>26</v>
      </c>
      <c r="E933" s="50" t="s">
        <v>87</v>
      </c>
      <c r="F933" s="38" t="s">
        <v>88</v>
      </c>
      <c r="G933" s="51">
        <v>1.1000000000000001</v>
      </c>
      <c r="H933" s="2" t="s">
        <v>69</v>
      </c>
      <c r="I933" s="39">
        <v>1.67</v>
      </c>
      <c r="J933" s="39">
        <v>0.18989999999999999</v>
      </c>
      <c r="K933" s="39">
        <v>0.15289999999999998</v>
      </c>
      <c r="L933" s="39">
        <v>0.1207</v>
      </c>
      <c r="M933" s="40">
        <v>5000</v>
      </c>
      <c r="N933" s="52">
        <v>1000000</v>
      </c>
    </row>
    <row r="934" spans="1:14" ht="15" customHeight="1" x14ac:dyDescent="0.25">
      <c r="A934" s="64" t="str">
        <f t="shared" si="14"/>
        <v>1.1-18-0-TOU-2 year Reward Plus</v>
      </c>
      <c r="B934" s="37" t="s">
        <v>13</v>
      </c>
      <c r="C934" s="49">
        <v>18</v>
      </c>
      <c r="D934" s="2" t="s">
        <v>27</v>
      </c>
      <c r="E934" s="50" t="s">
        <v>87</v>
      </c>
      <c r="F934" s="38" t="s">
        <v>88</v>
      </c>
      <c r="G934" s="51">
        <v>1.1000000000000001</v>
      </c>
      <c r="H934" s="2" t="s">
        <v>69</v>
      </c>
      <c r="I934" s="39">
        <v>0.89900000000000002</v>
      </c>
      <c r="J934" s="39">
        <v>0.1704</v>
      </c>
      <c r="K934" s="39">
        <v>0.13719999999999999</v>
      </c>
      <c r="L934" s="39">
        <v>0.10829999999999999</v>
      </c>
      <c r="M934" s="40">
        <v>5000</v>
      </c>
      <c r="N934" s="52">
        <v>1000000</v>
      </c>
    </row>
    <row r="935" spans="1:14" ht="15" customHeight="1" x14ac:dyDescent="0.25">
      <c r="A935" s="64" t="str">
        <f t="shared" si="14"/>
        <v>1.1-19-0-TOU-2 year Reward Plus</v>
      </c>
      <c r="B935" s="37" t="s">
        <v>13</v>
      </c>
      <c r="C935" s="49">
        <v>19</v>
      </c>
      <c r="D935" s="2" t="s">
        <v>28</v>
      </c>
      <c r="E935" s="50" t="s">
        <v>87</v>
      </c>
      <c r="F935" s="38" t="s">
        <v>88</v>
      </c>
      <c r="G935" s="51">
        <v>1.1000000000000001</v>
      </c>
      <c r="H935" s="2" t="s">
        <v>69</v>
      </c>
      <c r="I935" s="39">
        <v>0.77800000000000002</v>
      </c>
      <c r="J935" s="39">
        <v>0.16929999999999998</v>
      </c>
      <c r="K935" s="39">
        <v>0.13629999999999998</v>
      </c>
      <c r="L935" s="39">
        <v>0.1076</v>
      </c>
      <c r="M935" s="40">
        <v>5000</v>
      </c>
      <c r="N935" s="52">
        <v>1000000</v>
      </c>
    </row>
    <row r="936" spans="1:14" ht="15" customHeight="1" x14ac:dyDescent="0.25">
      <c r="A936" s="64" t="str">
        <f t="shared" si="14"/>
        <v>1.1-20-0-TOU-2 year Reward Plus</v>
      </c>
      <c r="B936" s="37" t="s">
        <v>13</v>
      </c>
      <c r="C936" s="49">
        <v>20</v>
      </c>
      <c r="D936" s="2" t="s">
        <v>29</v>
      </c>
      <c r="E936" s="50" t="s">
        <v>87</v>
      </c>
      <c r="F936" s="38" t="s">
        <v>88</v>
      </c>
      <c r="G936" s="51">
        <v>1.1000000000000001</v>
      </c>
      <c r="H936" s="2" t="s">
        <v>69</v>
      </c>
      <c r="I936" s="39">
        <v>0.82699999999999996</v>
      </c>
      <c r="J936" s="39">
        <v>0.1694</v>
      </c>
      <c r="K936" s="39">
        <v>0.13639999999999999</v>
      </c>
      <c r="L936" s="39">
        <v>0.1077</v>
      </c>
      <c r="M936" s="40">
        <v>5000</v>
      </c>
      <c r="N936" s="52">
        <v>1000000</v>
      </c>
    </row>
    <row r="937" spans="1:14" ht="15" customHeight="1" x14ac:dyDescent="0.25">
      <c r="A937" s="64" t="str">
        <f t="shared" si="14"/>
        <v>1.1-21-0-TOU-2 year Reward Plus</v>
      </c>
      <c r="B937" s="37" t="s">
        <v>13</v>
      </c>
      <c r="C937" s="49">
        <v>21</v>
      </c>
      <c r="D937" s="2" t="s">
        <v>30</v>
      </c>
      <c r="E937" s="50" t="s">
        <v>87</v>
      </c>
      <c r="F937" s="38" t="s">
        <v>88</v>
      </c>
      <c r="G937" s="51">
        <v>1.1000000000000001</v>
      </c>
      <c r="H937" s="2" t="s">
        <v>69</v>
      </c>
      <c r="I937" s="39">
        <v>0.92300000000000004</v>
      </c>
      <c r="J937" s="39">
        <v>0.17949999999999999</v>
      </c>
      <c r="K937" s="39">
        <v>0.14449999999999999</v>
      </c>
      <c r="L937" s="39">
        <v>0.11410000000000001</v>
      </c>
      <c r="M937" s="40">
        <v>5000</v>
      </c>
      <c r="N937" s="52">
        <v>1000000</v>
      </c>
    </row>
    <row r="938" spans="1:14" ht="15" customHeight="1" x14ac:dyDescent="0.25">
      <c r="A938" s="64" t="str">
        <f t="shared" si="14"/>
        <v>1.1-22-0-TOU-2 year Reward Plus</v>
      </c>
      <c r="B938" s="37" t="s">
        <v>13</v>
      </c>
      <c r="C938" s="49">
        <v>22</v>
      </c>
      <c r="D938" s="2" t="s">
        <v>31</v>
      </c>
      <c r="E938" s="50" t="s">
        <v>87</v>
      </c>
      <c r="F938" s="38" t="s">
        <v>88</v>
      </c>
      <c r="G938" s="51">
        <v>1.1000000000000001</v>
      </c>
      <c r="H938" s="2" t="s">
        <v>69</v>
      </c>
      <c r="I938" s="39">
        <v>0.90400000000000003</v>
      </c>
      <c r="J938" s="39">
        <v>0.18009999999999998</v>
      </c>
      <c r="K938" s="39">
        <v>0.14499999999999999</v>
      </c>
      <c r="L938" s="39">
        <v>0.1145</v>
      </c>
      <c r="M938" s="40">
        <v>5000</v>
      </c>
      <c r="N938" s="52">
        <v>1000000</v>
      </c>
    </row>
    <row r="939" spans="1:14" ht="15" customHeight="1" x14ac:dyDescent="0.25">
      <c r="A939" s="64" t="str">
        <f t="shared" si="14"/>
        <v>1.1-23-0-TOU-2 year Reward Plus</v>
      </c>
      <c r="B939" s="37" t="s">
        <v>13</v>
      </c>
      <c r="C939" s="49">
        <v>23</v>
      </c>
      <c r="D939" s="2" t="s">
        <v>32</v>
      </c>
      <c r="E939" s="50" t="s">
        <v>87</v>
      </c>
      <c r="F939" s="38" t="s">
        <v>88</v>
      </c>
      <c r="G939" s="51">
        <v>1.1000000000000001</v>
      </c>
      <c r="H939" s="2" t="s">
        <v>69</v>
      </c>
      <c r="I939" s="39">
        <v>0.90600000000000003</v>
      </c>
      <c r="J939" s="39">
        <v>0.1719</v>
      </c>
      <c r="K939" s="39">
        <v>0.1384</v>
      </c>
      <c r="L939" s="39">
        <v>0.10920000000000001</v>
      </c>
      <c r="M939" s="40">
        <v>5000</v>
      </c>
      <c r="N939" s="52">
        <v>1000000</v>
      </c>
    </row>
    <row r="940" spans="1:14" ht="15" customHeight="1" x14ac:dyDescent="0.25">
      <c r="A940" s="64" t="str">
        <f t="shared" si="14"/>
        <v>1.2-10-0-TOU-2 year Reward Plus</v>
      </c>
      <c r="B940" s="37" t="s">
        <v>13</v>
      </c>
      <c r="C940" s="49">
        <v>10</v>
      </c>
      <c r="D940" s="2" t="s">
        <v>14</v>
      </c>
      <c r="E940" s="50" t="s">
        <v>87</v>
      </c>
      <c r="F940" s="38" t="s">
        <v>88</v>
      </c>
      <c r="G940" s="51">
        <v>1.2</v>
      </c>
      <c r="H940" s="2" t="s">
        <v>69</v>
      </c>
      <c r="I940" s="39">
        <v>0.88100000000000001</v>
      </c>
      <c r="J940" s="39">
        <v>0.16889999999999999</v>
      </c>
      <c r="K940" s="39">
        <v>0.13599999999999998</v>
      </c>
      <c r="L940" s="39">
        <v>0.10740000000000001</v>
      </c>
      <c r="M940" s="40">
        <v>5000</v>
      </c>
      <c r="N940" s="52">
        <v>1000000</v>
      </c>
    </row>
    <row r="941" spans="1:14" ht="15" customHeight="1" x14ac:dyDescent="0.25">
      <c r="A941" s="64" t="str">
        <f t="shared" si="14"/>
        <v>1.2-11-0-TOU-2 year Reward Plus</v>
      </c>
      <c r="B941" s="37" t="s">
        <v>13</v>
      </c>
      <c r="C941" s="49">
        <v>11</v>
      </c>
      <c r="D941" s="2" t="s">
        <v>20</v>
      </c>
      <c r="E941" s="50" t="s">
        <v>87</v>
      </c>
      <c r="F941" s="38" t="s">
        <v>88</v>
      </c>
      <c r="G941" s="51">
        <v>1.2</v>
      </c>
      <c r="H941" s="2" t="s">
        <v>69</v>
      </c>
      <c r="I941" s="39">
        <v>0.86099999999999999</v>
      </c>
      <c r="J941" s="39">
        <v>0.17199999999999999</v>
      </c>
      <c r="K941" s="39">
        <v>0.13849999999999998</v>
      </c>
      <c r="L941" s="39">
        <v>0.10930000000000001</v>
      </c>
      <c r="M941" s="40">
        <v>5000</v>
      </c>
      <c r="N941" s="52">
        <v>1000000</v>
      </c>
    </row>
    <row r="942" spans="1:14" ht="15" customHeight="1" x14ac:dyDescent="0.25">
      <c r="A942" s="64" t="str">
        <f t="shared" si="14"/>
        <v>1.2-12-0-TOU-2 year Reward Plus</v>
      </c>
      <c r="B942" s="37" t="s">
        <v>13</v>
      </c>
      <c r="C942" s="49">
        <v>12</v>
      </c>
      <c r="D942" s="2" t="s">
        <v>21</v>
      </c>
      <c r="E942" s="50" t="s">
        <v>87</v>
      </c>
      <c r="F942" s="38" t="s">
        <v>88</v>
      </c>
      <c r="G942" s="51">
        <v>1.2</v>
      </c>
      <c r="H942" s="2" t="s">
        <v>69</v>
      </c>
      <c r="I942" s="39">
        <v>0.90300000000000002</v>
      </c>
      <c r="J942" s="39">
        <v>0.1686</v>
      </c>
      <c r="K942" s="39">
        <v>0.13569999999999999</v>
      </c>
      <c r="L942" s="39">
        <v>0.1071</v>
      </c>
      <c r="M942" s="40">
        <v>5000</v>
      </c>
      <c r="N942" s="52">
        <v>1000000</v>
      </c>
    </row>
    <row r="943" spans="1:14" ht="15" customHeight="1" x14ac:dyDescent="0.25">
      <c r="A943" s="64" t="str">
        <f t="shared" si="14"/>
        <v>1.2-13-0-TOU-2 year Reward Plus</v>
      </c>
      <c r="B943" s="37" t="s">
        <v>13</v>
      </c>
      <c r="C943" s="49">
        <v>13</v>
      </c>
      <c r="D943" s="2" t="s">
        <v>22</v>
      </c>
      <c r="E943" s="50" t="s">
        <v>87</v>
      </c>
      <c r="F943" s="38" t="s">
        <v>88</v>
      </c>
      <c r="G943" s="51">
        <v>1.2</v>
      </c>
      <c r="H943" s="2" t="s">
        <v>69</v>
      </c>
      <c r="I943" s="39">
        <v>0.88100000000000001</v>
      </c>
      <c r="J943" s="39">
        <v>0.1817</v>
      </c>
      <c r="K943" s="39">
        <v>0.14629999999999999</v>
      </c>
      <c r="L943" s="39">
        <v>0.11550000000000001</v>
      </c>
      <c r="M943" s="40">
        <v>5000</v>
      </c>
      <c r="N943" s="52">
        <v>1000000</v>
      </c>
    </row>
    <row r="944" spans="1:14" ht="15" customHeight="1" x14ac:dyDescent="0.25">
      <c r="A944" s="64" t="str">
        <f t="shared" si="14"/>
        <v>1.2-14-0-TOU-2 year Reward Plus</v>
      </c>
      <c r="B944" s="37" t="s">
        <v>13</v>
      </c>
      <c r="C944" s="49">
        <v>14</v>
      </c>
      <c r="D944" s="2" t="s">
        <v>23</v>
      </c>
      <c r="E944" s="50" t="s">
        <v>87</v>
      </c>
      <c r="F944" s="38" t="s">
        <v>88</v>
      </c>
      <c r="G944" s="51">
        <v>1.2</v>
      </c>
      <c r="H944" s="2" t="s">
        <v>69</v>
      </c>
      <c r="I944" s="39">
        <v>0.89</v>
      </c>
      <c r="J944" s="39">
        <v>0.17299999999999999</v>
      </c>
      <c r="K944" s="39">
        <v>0.13929999999999998</v>
      </c>
      <c r="L944" s="39">
        <v>0.11</v>
      </c>
      <c r="M944" s="40">
        <v>5000</v>
      </c>
      <c r="N944" s="52">
        <v>1000000</v>
      </c>
    </row>
    <row r="945" spans="1:14" ht="15" customHeight="1" x14ac:dyDescent="0.25">
      <c r="A945" s="64" t="str">
        <f t="shared" si="14"/>
        <v>1.2-15-0-TOU-2 year Reward Plus</v>
      </c>
      <c r="B945" s="37" t="s">
        <v>13</v>
      </c>
      <c r="C945" s="49">
        <v>15</v>
      </c>
      <c r="D945" s="2" t="s">
        <v>24</v>
      </c>
      <c r="E945" s="50" t="s">
        <v>87</v>
      </c>
      <c r="F945" s="38" t="s">
        <v>88</v>
      </c>
      <c r="G945" s="51">
        <v>1.2</v>
      </c>
      <c r="H945" s="2" t="s">
        <v>69</v>
      </c>
      <c r="I945" s="39">
        <v>0.96</v>
      </c>
      <c r="J945" s="39">
        <v>0.17279999999999998</v>
      </c>
      <c r="K945" s="39">
        <v>0.1391</v>
      </c>
      <c r="L945" s="39">
        <v>0.10979999999999999</v>
      </c>
      <c r="M945" s="40">
        <v>5000</v>
      </c>
      <c r="N945" s="52">
        <v>1000000</v>
      </c>
    </row>
    <row r="946" spans="1:14" ht="15" customHeight="1" x14ac:dyDescent="0.25">
      <c r="A946" s="64" t="str">
        <f t="shared" si="14"/>
        <v>1.2-16-0-TOU-2 year Reward Plus</v>
      </c>
      <c r="B946" s="37" t="s">
        <v>13</v>
      </c>
      <c r="C946" s="49">
        <v>16</v>
      </c>
      <c r="D946" s="2" t="s">
        <v>25</v>
      </c>
      <c r="E946" s="50" t="s">
        <v>87</v>
      </c>
      <c r="F946" s="38" t="s">
        <v>88</v>
      </c>
      <c r="G946" s="51">
        <v>1.2</v>
      </c>
      <c r="H946" s="2" t="s">
        <v>69</v>
      </c>
      <c r="I946" s="39">
        <v>0.72699999999999998</v>
      </c>
      <c r="J946" s="39">
        <v>0.17209999999999998</v>
      </c>
      <c r="K946" s="39">
        <v>0.1386</v>
      </c>
      <c r="L946" s="39">
        <v>0.1094</v>
      </c>
      <c r="M946" s="40">
        <v>5000</v>
      </c>
      <c r="N946" s="52">
        <v>1000000</v>
      </c>
    </row>
    <row r="947" spans="1:14" ht="15" customHeight="1" x14ac:dyDescent="0.25">
      <c r="A947" s="64" t="str">
        <f t="shared" si="14"/>
        <v>1.2-17-0-TOU-2 year Reward Plus</v>
      </c>
      <c r="B947" s="37" t="s">
        <v>13</v>
      </c>
      <c r="C947" s="49">
        <v>17</v>
      </c>
      <c r="D947" s="2" t="s">
        <v>26</v>
      </c>
      <c r="E947" s="50" t="s">
        <v>87</v>
      </c>
      <c r="F947" s="38" t="s">
        <v>88</v>
      </c>
      <c r="G947" s="51">
        <v>1.2</v>
      </c>
      <c r="H947" s="2" t="s">
        <v>69</v>
      </c>
      <c r="I947" s="39">
        <v>1.67</v>
      </c>
      <c r="J947" s="39">
        <v>0.19109999999999999</v>
      </c>
      <c r="K947" s="39">
        <v>0.15389999999999998</v>
      </c>
      <c r="L947" s="39">
        <v>0.1215</v>
      </c>
      <c r="M947" s="40">
        <v>5000</v>
      </c>
      <c r="N947" s="52">
        <v>1000000</v>
      </c>
    </row>
    <row r="948" spans="1:14" ht="15" customHeight="1" x14ac:dyDescent="0.25">
      <c r="A948" s="64" t="str">
        <f t="shared" si="14"/>
        <v>1.2-18-0-TOU-2 year Reward Plus</v>
      </c>
      <c r="B948" s="37" t="s">
        <v>13</v>
      </c>
      <c r="C948" s="49">
        <v>18</v>
      </c>
      <c r="D948" s="2" t="s">
        <v>27</v>
      </c>
      <c r="E948" s="50" t="s">
        <v>87</v>
      </c>
      <c r="F948" s="38" t="s">
        <v>88</v>
      </c>
      <c r="G948" s="51">
        <v>1.2</v>
      </c>
      <c r="H948" s="2" t="s">
        <v>69</v>
      </c>
      <c r="I948" s="39">
        <v>0.89900000000000002</v>
      </c>
      <c r="J948" s="39">
        <v>0.1716</v>
      </c>
      <c r="K948" s="39">
        <v>0.13819999999999999</v>
      </c>
      <c r="L948" s="39">
        <v>0.1091</v>
      </c>
      <c r="M948" s="40">
        <v>5000</v>
      </c>
      <c r="N948" s="52">
        <v>1000000</v>
      </c>
    </row>
    <row r="949" spans="1:14" ht="15" customHeight="1" x14ac:dyDescent="0.25">
      <c r="A949" s="64" t="str">
        <f t="shared" si="14"/>
        <v>1.2-19-0-TOU-2 year Reward Plus</v>
      </c>
      <c r="B949" s="37" t="s">
        <v>13</v>
      </c>
      <c r="C949" s="49">
        <v>19</v>
      </c>
      <c r="D949" s="2" t="s">
        <v>28</v>
      </c>
      <c r="E949" s="50" t="s">
        <v>87</v>
      </c>
      <c r="F949" s="38" t="s">
        <v>88</v>
      </c>
      <c r="G949" s="51">
        <v>1.2</v>
      </c>
      <c r="H949" s="2" t="s">
        <v>69</v>
      </c>
      <c r="I949" s="39">
        <v>0.77800000000000002</v>
      </c>
      <c r="J949" s="39">
        <v>0.1704</v>
      </c>
      <c r="K949" s="39">
        <v>0.13719999999999999</v>
      </c>
      <c r="L949" s="39">
        <v>0.10829999999999999</v>
      </c>
      <c r="M949" s="40">
        <v>5000</v>
      </c>
      <c r="N949" s="52">
        <v>1000000</v>
      </c>
    </row>
    <row r="950" spans="1:14" ht="15" customHeight="1" x14ac:dyDescent="0.25">
      <c r="A950" s="64" t="str">
        <f t="shared" si="14"/>
        <v>1.2-20-0-TOU-2 year Reward Plus</v>
      </c>
      <c r="B950" s="37" t="s">
        <v>13</v>
      </c>
      <c r="C950" s="49">
        <v>20</v>
      </c>
      <c r="D950" s="2" t="s">
        <v>29</v>
      </c>
      <c r="E950" s="50" t="s">
        <v>87</v>
      </c>
      <c r="F950" s="38" t="s">
        <v>88</v>
      </c>
      <c r="G950" s="51">
        <v>1.2</v>
      </c>
      <c r="H950" s="2" t="s">
        <v>69</v>
      </c>
      <c r="I950" s="39">
        <v>0.82699999999999996</v>
      </c>
      <c r="J950" s="39">
        <v>0.1706</v>
      </c>
      <c r="K950" s="39">
        <v>0.13729999999999998</v>
      </c>
      <c r="L950" s="39">
        <v>0.1084</v>
      </c>
      <c r="M950" s="40">
        <v>5000</v>
      </c>
      <c r="N950" s="52">
        <v>1000000</v>
      </c>
    </row>
    <row r="951" spans="1:14" ht="15" customHeight="1" x14ac:dyDescent="0.25">
      <c r="A951" s="64" t="str">
        <f t="shared" si="14"/>
        <v>1.2-21-0-TOU-2 year Reward Plus</v>
      </c>
      <c r="B951" s="37" t="s">
        <v>13</v>
      </c>
      <c r="C951" s="49">
        <v>21</v>
      </c>
      <c r="D951" s="2" t="s">
        <v>30</v>
      </c>
      <c r="E951" s="50" t="s">
        <v>87</v>
      </c>
      <c r="F951" s="38" t="s">
        <v>88</v>
      </c>
      <c r="G951" s="51">
        <v>1.2</v>
      </c>
      <c r="H951" s="2" t="s">
        <v>69</v>
      </c>
      <c r="I951" s="39">
        <v>0.92300000000000004</v>
      </c>
      <c r="J951" s="39">
        <v>0.1807</v>
      </c>
      <c r="K951" s="39">
        <v>0.14549999999999999</v>
      </c>
      <c r="L951" s="39">
        <v>0.1149</v>
      </c>
      <c r="M951" s="40">
        <v>5000</v>
      </c>
      <c r="N951" s="52">
        <v>1000000</v>
      </c>
    </row>
    <row r="952" spans="1:14" ht="15" customHeight="1" x14ac:dyDescent="0.25">
      <c r="A952" s="64" t="str">
        <f t="shared" si="14"/>
        <v>1.2-22-0-TOU-2 year Reward Plus</v>
      </c>
      <c r="B952" s="37" t="s">
        <v>13</v>
      </c>
      <c r="C952" s="49">
        <v>22</v>
      </c>
      <c r="D952" s="2" t="s">
        <v>31</v>
      </c>
      <c r="E952" s="50" t="s">
        <v>87</v>
      </c>
      <c r="F952" s="38" t="s">
        <v>88</v>
      </c>
      <c r="G952" s="51">
        <v>1.2</v>
      </c>
      <c r="H952" s="2" t="s">
        <v>69</v>
      </c>
      <c r="I952" s="39">
        <v>0.90400000000000003</v>
      </c>
      <c r="J952" s="39">
        <v>0.18129999999999999</v>
      </c>
      <c r="K952" s="39">
        <v>0.14599999999999999</v>
      </c>
      <c r="L952" s="39">
        <v>0.1152</v>
      </c>
      <c r="M952" s="40">
        <v>5000</v>
      </c>
      <c r="N952" s="52">
        <v>1000000</v>
      </c>
    </row>
    <row r="953" spans="1:14" ht="15" customHeight="1" x14ac:dyDescent="0.25">
      <c r="A953" s="64" t="str">
        <f t="shared" si="14"/>
        <v>1.2-23-0-TOU-2 year Reward Plus</v>
      </c>
      <c r="B953" s="37" t="s">
        <v>13</v>
      </c>
      <c r="C953" s="49">
        <v>23</v>
      </c>
      <c r="D953" s="2" t="s">
        <v>32</v>
      </c>
      <c r="E953" s="50" t="s">
        <v>87</v>
      </c>
      <c r="F953" s="38" t="s">
        <v>88</v>
      </c>
      <c r="G953" s="51">
        <v>1.2</v>
      </c>
      <c r="H953" s="2" t="s">
        <v>69</v>
      </c>
      <c r="I953" s="39">
        <v>0.90600000000000003</v>
      </c>
      <c r="J953" s="39">
        <v>0.17299999999999999</v>
      </c>
      <c r="K953" s="39">
        <v>0.13929999999999998</v>
      </c>
      <c r="L953" s="39">
        <v>0.11</v>
      </c>
      <c r="M953" s="40">
        <v>5000</v>
      </c>
      <c r="N953" s="52">
        <v>1000000</v>
      </c>
    </row>
    <row r="954" spans="1:14" ht="15" customHeight="1" x14ac:dyDescent="0.25">
      <c r="A954" s="64" t="str">
        <f t="shared" si="14"/>
        <v>1.3-10-0-TOU-2 year Reward Plus</v>
      </c>
      <c r="B954" s="37" t="s">
        <v>13</v>
      </c>
      <c r="C954" s="49">
        <v>10</v>
      </c>
      <c r="D954" s="2" t="s">
        <v>14</v>
      </c>
      <c r="E954" s="50" t="s">
        <v>87</v>
      </c>
      <c r="F954" s="38" t="s">
        <v>88</v>
      </c>
      <c r="G954" s="51">
        <v>1.3</v>
      </c>
      <c r="H954" s="2" t="s">
        <v>69</v>
      </c>
      <c r="I954" s="39">
        <v>0.88100000000000001</v>
      </c>
      <c r="J954" s="39">
        <v>0.1701</v>
      </c>
      <c r="K954" s="39">
        <v>0.13689999999999999</v>
      </c>
      <c r="L954" s="39">
        <v>0.1081</v>
      </c>
      <c r="M954" s="40">
        <v>5000</v>
      </c>
      <c r="N954" s="52">
        <v>1000000</v>
      </c>
    </row>
    <row r="955" spans="1:14" ht="15" customHeight="1" x14ac:dyDescent="0.25">
      <c r="A955" s="64" t="str">
        <f t="shared" si="14"/>
        <v>1.3-11-0-TOU-2 year Reward Plus</v>
      </c>
      <c r="B955" s="37" t="s">
        <v>13</v>
      </c>
      <c r="C955" s="49">
        <v>11</v>
      </c>
      <c r="D955" s="2" t="s">
        <v>20</v>
      </c>
      <c r="E955" s="50" t="s">
        <v>87</v>
      </c>
      <c r="F955" s="38" t="s">
        <v>88</v>
      </c>
      <c r="G955" s="51">
        <v>1.3</v>
      </c>
      <c r="H955" s="2" t="s">
        <v>69</v>
      </c>
      <c r="I955" s="39">
        <v>0.86099999999999999</v>
      </c>
      <c r="J955" s="39">
        <v>0.17319999999999999</v>
      </c>
      <c r="K955" s="39">
        <v>0.1394</v>
      </c>
      <c r="L955" s="39">
        <v>0.1101</v>
      </c>
      <c r="M955" s="40">
        <v>5000</v>
      </c>
      <c r="N955" s="52">
        <v>1000000</v>
      </c>
    </row>
    <row r="956" spans="1:14" ht="15" customHeight="1" x14ac:dyDescent="0.25">
      <c r="A956" s="64" t="str">
        <f t="shared" si="14"/>
        <v>1.3-12-0-TOU-2 year Reward Plus</v>
      </c>
      <c r="B956" s="37" t="s">
        <v>13</v>
      </c>
      <c r="C956" s="49">
        <v>12</v>
      </c>
      <c r="D956" s="2" t="s">
        <v>21</v>
      </c>
      <c r="E956" s="50" t="s">
        <v>87</v>
      </c>
      <c r="F956" s="38" t="s">
        <v>88</v>
      </c>
      <c r="G956" s="51">
        <v>1.3</v>
      </c>
      <c r="H956" s="2" t="s">
        <v>69</v>
      </c>
      <c r="I956" s="39">
        <v>0.90300000000000002</v>
      </c>
      <c r="J956" s="39">
        <v>0.16969999999999999</v>
      </c>
      <c r="K956" s="39">
        <v>0.13669999999999999</v>
      </c>
      <c r="L956" s="39">
        <v>0.10790000000000001</v>
      </c>
      <c r="M956" s="40">
        <v>5000</v>
      </c>
      <c r="N956" s="52">
        <v>1000000</v>
      </c>
    </row>
    <row r="957" spans="1:14" ht="15" customHeight="1" x14ac:dyDescent="0.25">
      <c r="A957" s="64" t="str">
        <f t="shared" si="14"/>
        <v>1.3-13-0-TOU-2 year Reward Plus</v>
      </c>
      <c r="B957" s="37" t="s">
        <v>13</v>
      </c>
      <c r="C957" s="49">
        <v>13</v>
      </c>
      <c r="D957" s="2" t="s">
        <v>22</v>
      </c>
      <c r="E957" s="50" t="s">
        <v>87</v>
      </c>
      <c r="F957" s="38" t="s">
        <v>88</v>
      </c>
      <c r="G957" s="51">
        <v>1.3</v>
      </c>
      <c r="H957" s="2" t="s">
        <v>69</v>
      </c>
      <c r="I957" s="39">
        <v>0.88100000000000001</v>
      </c>
      <c r="J957" s="39">
        <v>0.18279999999999999</v>
      </c>
      <c r="K957" s="39">
        <v>0.1472</v>
      </c>
      <c r="L957" s="39">
        <v>0.1162</v>
      </c>
      <c r="M957" s="40">
        <v>5000</v>
      </c>
      <c r="N957" s="52">
        <v>1000000</v>
      </c>
    </row>
    <row r="958" spans="1:14" ht="15" customHeight="1" x14ac:dyDescent="0.25">
      <c r="A958" s="64" t="str">
        <f t="shared" si="14"/>
        <v>1.3-14-0-TOU-2 year Reward Plus</v>
      </c>
      <c r="B958" s="37" t="s">
        <v>13</v>
      </c>
      <c r="C958" s="49">
        <v>14</v>
      </c>
      <c r="D958" s="2" t="s">
        <v>23</v>
      </c>
      <c r="E958" s="50" t="s">
        <v>87</v>
      </c>
      <c r="F958" s="38" t="s">
        <v>88</v>
      </c>
      <c r="G958" s="51">
        <v>1.3</v>
      </c>
      <c r="H958" s="2" t="s">
        <v>69</v>
      </c>
      <c r="I958" s="39">
        <v>0.89</v>
      </c>
      <c r="J958" s="39">
        <v>0.17419999999999999</v>
      </c>
      <c r="K958" s="39">
        <v>0.14029999999999998</v>
      </c>
      <c r="L958" s="39">
        <v>0.11070000000000001</v>
      </c>
      <c r="M958" s="40">
        <v>5000</v>
      </c>
      <c r="N958" s="52">
        <v>1000000</v>
      </c>
    </row>
    <row r="959" spans="1:14" ht="15" customHeight="1" x14ac:dyDescent="0.25">
      <c r="A959" s="64" t="str">
        <f t="shared" si="14"/>
        <v>1.3-15-0-TOU-2 year Reward Plus</v>
      </c>
      <c r="B959" s="37" t="s">
        <v>13</v>
      </c>
      <c r="C959" s="49">
        <v>15</v>
      </c>
      <c r="D959" s="2" t="s">
        <v>24</v>
      </c>
      <c r="E959" s="50" t="s">
        <v>87</v>
      </c>
      <c r="F959" s="38" t="s">
        <v>88</v>
      </c>
      <c r="G959" s="51">
        <v>1.3</v>
      </c>
      <c r="H959" s="2" t="s">
        <v>69</v>
      </c>
      <c r="I959" s="39">
        <v>0.96</v>
      </c>
      <c r="J959" s="39">
        <v>0.17399999999999999</v>
      </c>
      <c r="K959" s="39">
        <v>0.1401</v>
      </c>
      <c r="L959" s="39">
        <v>0.1106</v>
      </c>
      <c r="M959" s="40">
        <v>5000</v>
      </c>
      <c r="N959" s="52">
        <v>1000000</v>
      </c>
    </row>
    <row r="960" spans="1:14" ht="15" customHeight="1" x14ac:dyDescent="0.25">
      <c r="A960" s="64" t="str">
        <f t="shared" si="14"/>
        <v>1.3-16-0-TOU-2 year Reward Plus</v>
      </c>
      <c r="B960" s="37" t="s">
        <v>13</v>
      </c>
      <c r="C960" s="49">
        <v>16</v>
      </c>
      <c r="D960" s="2" t="s">
        <v>25</v>
      </c>
      <c r="E960" s="50" t="s">
        <v>87</v>
      </c>
      <c r="F960" s="38" t="s">
        <v>88</v>
      </c>
      <c r="G960" s="51">
        <v>1.3</v>
      </c>
      <c r="H960" s="2" t="s">
        <v>69</v>
      </c>
      <c r="I960" s="39">
        <v>0.72699999999999998</v>
      </c>
      <c r="J960" s="39">
        <v>0.17329999999999998</v>
      </c>
      <c r="K960" s="39">
        <v>0.13949999999999999</v>
      </c>
      <c r="L960" s="39">
        <v>0.1101</v>
      </c>
      <c r="M960" s="40">
        <v>5000</v>
      </c>
      <c r="N960" s="52">
        <v>1000000</v>
      </c>
    </row>
    <row r="961" spans="1:14" ht="15" customHeight="1" x14ac:dyDescent="0.25">
      <c r="A961" s="64" t="str">
        <f t="shared" si="14"/>
        <v>1.3-17-0-TOU-2 year Reward Plus</v>
      </c>
      <c r="B961" s="37" t="s">
        <v>13</v>
      </c>
      <c r="C961" s="49">
        <v>17</v>
      </c>
      <c r="D961" s="2" t="s">
        <v>26</v>
      </c>
      <c r="E961" s="50" t="s">
        <v>87</v>
      </c>
      <c r="F961" s="38" t="s">
        <v>88</v>
      </c>
      <c r="G961" s="51">
        <v>1.3</v>
      </c>
      <c r="H961" s="2" t="s">
        <v>69</v>
      </c>
      <c r="I961" s="39">
        <v>1.67</v>
      </c>
      <c r="J961" s="39">
        <v>0.1923</v>
      </c>
      <c r="K961" s="39">
        <v>0.15479999999999999</v>
      </c>
      <c r="L961" s="39">
        <v>0.1222</v>
      </c>
      <c r="M961" s="40">
        <v>5000</v>
      </c>
      <c r="N961" s="52">
        <v>1000000</v>
      </c>
    </row>
    <row r="962" spans="1:14" ht="15" customHeight="1" x14ac:dyDescent="0.25">
      <c r="A962" s="64" t="str">
        <f t="shared" si="14"/>
        <v>1.3-18-0-TOU-2 year Reward Plus</v>
      </c>
      <c r="B962" s="37" t="s">
        <v>13</v>
      </c>
      <c r="C962" s="49">
        <v>18</v>
      </c>
      <c r="D962" s="2" t="s">
        <v>27</v>
      </c>
      <c r="E962" s="50" t="s">
        <v>87</v>
      </c>
      <c r="F962" s="38" t="s">
        <v>88</v>
      </c>
      <c r="G962" s="51">
        <v>1.3</v>
      </c>
      <c r="H962" s="2" t="s">
        <v>69</v>
      </c>
      <c r="I962" s="39">
        <v>0.89900000000000002</v>
      </c>
      <c r="J962" s="39">
        <v>0.17279999999999998</v>
      </c>
      <c r="K962" s="39">
        <v>0.1391</v>
      </c>
      <c r="L962" s="39">
        <v>0.10979999999999999</v>
      </c>
      <c r="M962" s="40">
        <v>5000</v>
      </c>
      <c r="N962" s="52">
        <v>1000000</v>
      </c>
    </row>
    <row r="963" spans="1:14" ht="15" customHeight="1" x14ac:dyDescent="0.25">
      <c r="A963" s="64" t="str">
        <f t="shared" ref="A963:A1026" si="15">IF(E963="OP","",CONCATENATE(G963,"-",C963,"-",RIGHT(F963,1),"-",E963,"-",H963))</f>
        <v>1.3-19-0-TOU-2 year Reward Plus</v>
      </c>
      <c r="B963" s="37" t="s">
        <v>13</v>
      </c>
      <c r="C963" s="49">
        <v>19</v>
      </c>
      <c r="D963" s="2" t="s">
        <v>28</v>
      </c>
      <c r="E963" s="50" t="s">
        <v>87</v>
      </c>
      <c r="F963" s="38" t="s">
        <v>88</v>
      </c>
      <c r="G963" s="51">
        <v>1.3</v>
      </c>
      <c r="H963" s="2" t="s">
        <v>69</v>
      </c>
      <c r="I963" s="39">
        <v>0.77800000000000002</v>
      </c>
      <c r="J963" s="39">
        <v>0.1716</v>
      </c>
      <c r="K963" s="39">
        <v>0.13819999999999999</v>
      </c>
      <c r="L963" s="39">
        <v>0.1091</v>
      </c>
      <c r="M963" s="40">
        <v>5000</v>
      </c>
      <c r="N963" s="52">
        <v>1000000</v>
      </c>
    </row>
    <row r="964" spans="1:14" ht="15" customHeight="1" x14ac:dyDescent="0.25">
      <c r="A964" s="64" t="str">
        <f t="shared" si="15"/>
        <v>1.3-20-0-TOU-2 year Reward Plus</v>
      </c>
      <c r="B964" s="37" t="s">
        <v>13</v>
      </c>
      <c r="C964" s="49">
        <v>20</v>
      </c>
      <c r="D964" s="2" t="s">
        <v>29</v>
      </c>
      <c r="E964" s="50" t="s">
        <v>87</v>
      </c>
      <c r="F964" s="38" t="s">
        <v>88</v>
      </c>
      <c r="G964" s="51">
        <v>1.3</v>
      </c>
      <c r="H964" s="2" t="s">
        <v>69</v>
      </c>
      <c r="I964" s="39">
        <v>0.82699999999999996</v>
      </c>
      <c r="J964" s="39">
        <v>0.17169999999999999</v>
      </c>
      <c r="K964" s="39">
        <v>0.13829999999999998</v>
      </c>
      <c r="L964" s="39">
        <v>0.10920000000000001</v>
      </c>
      <c r="M964" s="40">
        <v>5000</v>
      </c>
      <c r="N964" s="52">
        <v>1000000</v>
      </c>
    </row>
    <row r="965" spans="1:14" ht="15" customHeight="1" x14ac:dyDescent="0.25">
      <c r="A965" s="64" t="str">
        <f t="shared" si="15"/>
        <v>1.3-21-0-TOU-2 year Reward Plus</v>
      </c>
      <c r="B965" s="37" t="s">
        <v>13</v>
      </c>
      <c r="C965" s="49">
        <v>21</v>
      </c>
      <c r="D965" s="2" t="s">
        <v>30</v>
      </c>
      <c r="E965" s="50" t="s">
        <v>87</v>
      </c>
      <c r="F965" s="38" t="s">
        <v>88</v>
      </c>
      <c r="G965" s="51">
        <v>1.3</v>
      </c>
      <c r="H965" s="2" t="s">
        <v>69</v>
      </c>
      <c r="I965" s="39">
        <v>0.92300000000000004</v>
      </c>
      <c r="J965" s="39">
        <v>0.18189999999999998</v>
      </c>
      <c r="K965" s="39">
        <v>0.1464</v>
      </c>
      <c r="L965" s="39">
        <v>0.11560000000000001</v>
      </c>
      <c r="M965" s="40">
        <v>5000</v>
      </c>
      <c r="N965" s="52">
        <v>1000000</v>
      </c>
    </row>
    <row r="966" spans="1:14" ht="15" customHeight="1" x14ac:dyDescent="0.25">
      <c r="A966" s="64" t="str">
        <f t="shared" si="15"/>
        <v>1.3-22-0-TOU-2 year Reward Plus</v>
      </c>
      <c r="B966" s="37" t="s">
        <v>13</v>
      </c>
      <c r="C966" s="49">
        <v>22</v>
      </c>
      <c r="D966" s="2" t="s">
        <v>31</v>
      </c>
      <c r="E966" s="50" t="s">
        <v>87</v>
      </c>
      <c r="F966" s="38" t="s">
        <v>88</v>
      </c>
      <c r="G966" s="51">
        <v>1.3</v>
      </c>
      <c r="H966" s="2" t="s">
        <v>69</v>
      </c>
      <c r="I966" s="39">
        <v>0.90400000000000003</v>
      </c>
      <c r="J966" s="39">
        <v>0.1825</v>
      </c>
      <c r="K966" s="39">
        <v>0.1469</v>
      </c>
      <c r="L966" s="39">
        <v>0.11600000000000001</v>
      </c>
      <c r="M966" s="40">
        <v>5000</v>
      </c>
      <c r="N966" s="52">
        <v>1000000</v>
      </c>
    </row>
    <row r="967" spans="1:14" ht="15" customHeight="1" x14ac:dyDescent="0.25">
      <c r="A967" s="64" t="str">
        <f t="shared" si="15"/>
        <v>1.3-23-0-TOU-2 year Reward Plus</v>
      </c>
      <c r="B967" s="37" t="s">
        <v>13</v>
      </c>
      <c r="C967" s="49">
        <v>23</v>
      </c>
      <c r="D967" s="2" t="s">
        <v>32</v>
      </c>
      <c r="E967" s="50" t="s">
        <v>87</v>
      </c>
      <c r="F967" s="38" t="s">
        <v>88</v>
      </c>
      <c r="G967" s="51">
        <v>1.3</v>
      </c>
      <c r="H967" s="2" t="s">
        <v>69</v>
      </c>
      <c r="I967" s="39">
        <v>0.90600000000000003</v>
      </c>
      <c r="J967" s="39">
        <v>0.17419999999999999</v>
      </c>
      <c r="K967" s="39">
        <v>0.14029999999999998</v>
      </c>
      <c r="L967" s="39">
        <v>0.11070000000000001</v>
      </c>
      <c r="M967" s="40">
        <v>5000</v>
      </c>
      <c r="N967" s="52">
        <v>1000000</v>
      </c>
    </row>
    <row r="968" spans="1:14" ht="15" customHeight="1" x14ac:dyDescent="0.25">
      <c r="A968" s="64" t="str">
        <f t="shared" si="15"/>
        <v>1.4-10-0-TOU-2 year Reward Plus</v>
      </c>
      <c r="B968" s="37" t="s">
        <v>13</v>
      </c>
      <c r="C968" s="49">
        <v>10</v>
      </c>
      <c r="D968" s="2" t="s">
        <v>14</v>
      </c>
      <c r="E968" s="50" t="s">
        <v>87</v>
      </c>
      <c r="F968" s="38" t="s">
        <v>88</v>
      </c>
      <c r="G968" s="51">
        <v>1.4</v>
      </c>
      <c r="H968" s="2" t="s">
        <v>69</v>
      </c>
      <c r="I968" s="39">
        <v>0.88100000000000001</v>
      </c>
      <c r="J968" s="39">
        <v>0.17129999999999998</v>
      </c>
      <c r="K968" s="39">
        <v>0.13789999999999999</v>
      </c>
      <c r="L968" s="39">
        <v>0.1089</v>
      </c>
      <c r="M968" s="40">
        <v>5000</v>
      </c>
      <c r="N968" s="52">
        <v>1000000</v>
      </c>
    </row>
    <row r="969" spans="1:14" ht="15" customHeight="1" x14ac:dyDescent="0.25">
      <c r="A969" s="64" t="str">
        <f t="shared" si="15"/>
        <v>1.4-11-0-TOU-2 year Reward Plus</v>
      </c>
      <c r="B969" s="37" t="s">
        <v>13</v>
      </c>
      <c r="C969" s="49">
        <v>11</v>
      </c>
      <c r="D969" s="2" t="s">
        <v>20</v>
      </c>
      <c r="E969" s="50" t="s">
        <v>87</v>
      </c>
      <c r="F969" s="38" t="s">
        <v>88</v>
      </c>
      <c r="G969" s="51">
        <v>1.4</v>
      </c>
      <c r="H969" s="2" t="s">
        <v>69</v>
      </c>
      <c r="I969" s="39">
        <v>0.86099999999999999</v>
      </c>
      <c r="J969" s="39">
        <v>0.17429999999999998</v>
      </c>
      <c r="K969" s="39">
        <v>0.1404</v>
      </c>
      <c r="L969" s="39">
        <v>0.11080000000000001</v>
      </c>
      <c r="M969" s="40">
        <v>5000</v>
      </c>
      <c r="N969" s="52">
        <v>1000000</v>
      </c>
    </row>
    <row r="970" spans="1:14" ht="15" customHeight="1" x14ac:dyDescent="0.25">
      <c r="A970" s="64" t="str">
        <f t="shared" si="15"/>
        <v>1.4-12-0-TOU-2 year Reward Plus</v>
      </c>
      <c r="B970" s="37" t="s">
        <v>13</v>
      </c>
      <c r="C970" s="49">
        <v>12</v>
      </c>
      <c r="D970" s="2" t="s">
        <v>21</v>
      </c>
      <c r="E970" s="50" t="s">
        <v>87</v>
      </c>
      <c r="F970" s="38" t="s">
        <v>88</v>
      </c>
      <c r="G970" s="51">
        <v>1.4</v>
      </c>
      <c r="H970" s="2" t="s">
        <v>69</v>
      </c>
      <c r="I970" s="39">
        <v>0.90300000000000002</v>
      </c>
      <c r="J970" s="39">
        <v>0.1709</v>
      </c>
      <c r="K970" s="39">
        <v>0.1376</v>
      </c>
      <c r="L970" s="39">
        <v>0.1086</v>
      </c>
      <c r="M970" s="40">
        <v>5000</v>
      </c>
      <c r="N970" s="52">
        <v>1000000</v>
      </c>
    </row>
    <row r="971" spans="1:14" ht="15" customHeight="1" x14ac:dyDescent="0.25">
      <c r="A971" s="64" t="str">
        <f t="shared" si="15"/>
        <v>1.4-13-0-TOU-2 year Reward Plus</v>
      </c>
      <c r="B971" s="37" t="s">
        <v>13</v>
      </c>
      <c r="C971" s="49">
        <v>13</v>
      </c>
      <c r="D971" s="2" t="s">
        <v>22</v>
      </c>
      <c r="E971" s="50" t="s">
        <v>87</v>
      </c>
      <c r="F971" s="38" t="s">
        <v>88</v>
      </c>
      <c r="G971" s="51">
        <v>1.4</v>
      </c>
      <c r="H971" s="2" t="s">
        <v>69</v>
      </c>
      <c r="I971" s="39">
        <v>0.88100000000000001</v>
      </c>
      <c r="J971" s="39">
        <v>0.184</v>
      </c>
      <c r="K971" s="39">
        <v>0.1482</v>
      </c>
      <c r="L971" s="39">
        <v>0.11700000000000001</v>
      </c>
      <c r="M971" s="40">
        <v>5000</v>
      </c>
      <c r="N971" s="52">
        <v>1000000</v>
      </c>
    </row>
    <row r="972" spans="1:14" ht="15" customHeight="1" x14ac:dyDescent="0.25">
      <c r="A972" s="64" t="str">
        <f t="shared" si="15"/>
        <v>1.4-14-0-TOU-2 year Reward Plus</v>
      </c>
      <c r="B972" s="37" t="s">
        <v>13</v>
      </c>
      <c r="C972" s="49">
        <v>14</v>
      </c>
      <c r="D972" s="2" t="s">
        <v>23</v>
      </c>
      <c r="E972" s="50" t="s">
        <v>87</v>
      </c>
      <c r="F972" s="38" t="s">
        <v>88</v>
      </c>
      <c r="G972" s="51">
        <v>1.4</v>
      </c>
      <c r="H972" s="2" t="s">
        <v>69</v>
      </c>
      <c r="I972" s="39">
        <v>0.89</v>
      </c>
      <c r="J972" s="39">
        <v>0.1754</v>
      </c>
      <c r="K972" s="39">
        <v>0.14119999999999999</v>
      </c>
      <c r="L972" s="39">
        <v>0.1115</v>
      </c>
      <c r="M972" s="40">
        <v>5000</v>
      </c>
      <c r="N972" s="52">
        <v>1000000</v>
      </c>
    </row>
    <row r="973" spans="1:14" ht="15" customHeight="1" x14ac:dyDescent="0.25">
      <c r="A973" s="64" t="str">
        <f t="shared" si="15"/>
        <v>1.4-15-0-TOU-2 year Reward Plus</v>
      </c>
      <c r="B973" s="37" t="s">
        <v>13</v>
      </c>
      <c r="C973" s="49">
        <v>15</v>
      </c>
      <c r="D973" s="2" t="s">
        <v>24</v>
      </c>
      <c r="E973" s="50" t="s">
        <v>87</v>
      </c>
      <c r="F973" s="38" t="s">
        <v>88</v>
      </c>
      <c r="G973" s="51">
        <v>1.4</v>
      </c>
      <c r="H973" s="2" t="s">
        <v>69</v>
      </c>
      <c r="I973" s="39">
        <v>0.96</v>
      </c>
      <c r="J973" s="39">
        <v>0.17519999999999999</v>
      </c>
      <c r="K973" s="39">
        <v>0.14099999999999999</v>
      </c>
      <c r="L973" s="39">
        <v>0.1113</v>
      </c>
      <c r="M973" s="40">
        <v>5000</v>
      </c>
      <c r="N973" s="52">
        <v>1000000</v>
      </c>
    </row>
    <row r="974" spans="1:14" ht="15" customHeight="1" x14ac:dyDescent="0.25">
      <c r="A974" s="64" t="str">
        <f t="shared" si="15"/>
        <v>1.4-16-0-TOU-2 year Reward Plus</v>
      </c>
      <c r="B974" s="37" t="s">
        <v>13</v>
      </c>
      <c r="C974" s="49">
        <v>16</v>
      </c>
      <c r="D974" s="2" t="s">
        <v>25</v>
      </c>
      <c r="E974" s="50" t="s">
        <v>87</v>
      </c>
      <c r="F974" s="38" t="s">
        <v>88</v>
      </c>
      <c r="G974" s="51">
        <v>1.4</v>
      </c>
      <c r="H974" s="2" t="s">
        <v>69</v>
      </c>
      <c r="I974" s="39">
        <v>0.72699999999999998</v>
      </c>
      <c r="J974" s="39">
        <v>0.17449999999999999</v>
      </c>
      <c r="K974" s="39">
        <v>0.14049999999999999</v>
      </c>
      <c r="L974" s="39">
        <v>0.1109</v>
      </c>
      <c r="M974" s="40">
        <v>5000</v>
      </c>
      <c r="N974" s="52">
        <v>1000000</v>
      </c>
    </row>
    <row r="975" spans="1:14" ht="15" customHeight="1" x14ac:dyDescent="0.25">
      <c r="A975" s="64" t="str">
        <f t="shared" si="15"/>
        <v>1.4-17-0-TOU-2 year Reward Plus</v>
      </c>
      <c r="B975" s="37" t="s">
        <v>13</v>
      </c>
      <c r="C975" s="49">
        <v>17</v>
      </c>
      <c r="D975" s="2" t="s">
        <v>26</v>
      </c>
      <c r="E975" s="50" t="s">
        <v>87</v>
      </c>
      <c r="F975" s="38" t="s">
        <v>88</v>
      </c>
      <c r="G975" s="51">
        <v>1.4</v>
      </c>
      <c r="H975" s="2" t="s">
        <v>69</v>
      </c>
      <c r="I975" s="39">
        <v>1.67</v>
      </c>
      <c r="J975" s="39">
        <v>0.19349999999999998</v>
      </c>
      <c r="K975" s="39">
        <v>0.15579999999999999</v>
      </c>
      <c r="L975" s="39">
        <v>0.123</v>
      </c>
      <c r="M975" s="40">
        <v>5000</v>
      </c>
      <c r="N975" s="52">
        <v>1000000</v>
      </c>
    </row>
    <row r="976" spans="1:14" ht="15" customHeight="1" x14ac:dyDescent="0.25">
      <c r="A976" s="64" t="str">
        <f t="shared" si="15"/>
        <v>1.4-18-0-TOU-2 year Reward Plus</v>
      </c>
      <c r="B976" s="37" t="s">
        <v>13</v>
      </c>
      <c r="C976" s="49">
        <v>18</v>
      </c>
      <c r="D976" s="2" t="s">
        <v>27</v>
      </c>
      <c r="E976" s="50" t="s">
        <v>87</v>
      </c>
      <c r="F976" s="38" t="s">
        <v>88</v>
      </c>
      <c r="G976" s="51">
        <v>1.4</v>
      </c>
      <c r="H976" s="2" t="s">
        <v>69</v>
      </c>
      <c r="I976" s="39">
        <v>0.89900000000000002</v>
      </c>
      <c r="J976" s="39">
        <v>0.17399999999999999</v>
      </c>
      <c r="K976" s="39">
        <v>0.1401</v>
      </c>
      <c r="L976" s="39">
        <v>0.1106</v>
      </c>
      <c r="M976" s="40">
        <v>5000</v>
      </c>
      <c r="N976" s="52">
        <v>1000000</v>
      </c>
    </row>
    <row r="977" spans="1:14" ht="15" customHeight="1" x14ac:dyDescent="0.25">
      <c r="A977" s="64" t="str">
        <f t="shared" si="15"/>
        <v>1.4-19-0-TOU-2 year Reward Plus</v>
      </c>
      <c r="B977" s="37" t="s">
        <v>13</v>
      </c>
      <c r="C977" s="49">
        <v>19</v>
      </c>
      <c r="D977" s="2" t="s">
        <v>28</v>
      </c>
      <c r="E977" s="50" t="s">
        <v>87</v>
      </c>
      <c r="F977" s="38" t="s">
        <v>88</v>
      </c>
      <c r="G977" s="51">
        <v>1.4</v>
      </c>
      <c r="H977" s="2" t="s">
        <v>69</v>
      </c>
      <c r="I977" s="39">
        <v>0.77800000000000002</v>
      </c>
      <c r="J977" s="39">
        <v>0.17279999999999998</v>
      </c>
      <c r="K977" s="39">
        <v>0.1391</v>
      </c>
      <c r="L977" s="39">
        <v>0.10979999999999999</v>
      </c>
      <c r="M977" s="40">
        <v>5000</v>
      </c>
      <c r="N977" s="52">
        <v>1000000</v>
      </c>
    </row>
    <row r="978" spans="1:14" ht="15" customHeight="1" x14ac:dyDescent="0.25">
      <c r="A978" s="64" t="str">
        <f t="shared" si="15"/>
        <v>1.4-20-0-TOU-2 year Reward Plus</v>
      </c>
      <c r="B978" s="37" t="s">
        <v>13</v>
      </c>
      <c r="C978" s="49">
        <v>20</v>
      </c>
      <c r="D978" s="2" t="s">
        <v>29</v>
      </c>
      <c r="E978" s="50" t="s">
        <v>87</v>
      </c>
      <c r="F978" s="38" t="s">
        <v>88</v>
      </c>
      <c r="G978" s="51">
        <v>1.4</v>
      </c>
      <c r="H978" s="2" t="s">
        <v>69</v>
      </c>
      <c r="I978" s="39">
        <v>0.82699999999999996</v>
      </c>
      <c r="J978" s="39">
        <v>0.1729</v>
      </c>
      <c r="K978" s="39">
        <v>0.13919999999999999</v>
      </c>
      <c r="L978" s="39">
        <v>0.1099</v>
      </c>
      <c r="M978" s="40">
        <v>5000</v>
      </c>
      <c r="N978" s="52">
        <v>1000000</v>
      </c>
    </row>
    <row r="979" spans="1:14" ht="15" customHeight="1" x14ac:dyDescent="0.25">
      <c r="A979" s="64" t="str">
        <f t="shared" si="15"/>
        <v>1.4-21-0-TOU-2 year Reward Plus</v>
      </c>
      <c r="B979" s="37" t="s">
        <v>13</v>
      </c>
      <c r="C979" s="49">
        <v>21</v>
      </c>
      <c r="D979" s="2" t="s">
        <v>30</v>
      </c>
      <c r="E979" s="50" t="s">
        <v>87</v>
      </c>
      <c r="F979" s="38" t="s">
        <v>88</v>
      </c>
      <c r="G979" s="51">
        <v>1.4</v>
      </c>
      <c r="H979" s="2" t="s">
        <v>69</v>
      </c>
      <c r="I979" s="39">
        <v>0.92300000000000004</v>
      </c>
      <c r="J979" s="39">
        <v>0.18309999999999998</v>
      </c>
      <c r="K979" s="39">
        <v>0.14739999999999998</v>
      </c>
      <c r="L979" s="39">
        <v>0.1164</v>
      </c>
      <c r="M979" s="40">
        <v>5000</v>
      </c>
      <c r="N979" s="52">
        <v>1000000</v>
      </c>
    </row>
    <row r="980" spans="1:14" ht="15" customHeight="1" x14ac:dyDescent="0.25">
      <c r="A980" s="64" t="str">
        <f t="shared" si="15"/>
        <v>1.4-22-0-TOU-2 year Reward Plus</v>
      </c>
      <c r="B980" s="37" t="s">
        <v>13</v>
      </c>
      <c r="C980" s="49">
        <v>22</v>
      </c>
      <c r="D980" s="2" t="s">
        <v>31</v>
      </c>
      <c r="E980" s="50" t="s">
        <v>87</v>
      </c>
      <c r="F980" s="38" t="s">
        <v>88</v>
      </c>
      <c r="G980" s="51">
        <v>1.4</v>
      </c>
      <c r="H980" s="2" t="s">
        <v>69</v>
      </c>
      <c r="I980" s="39">
        <v>0.90400000000000003</v>
      </c>
      <c r="J980" s="39">
        <v>0.1837</v>
      </c>
      <c r="K980" s="39">
        <v>0.14789999999999998</v>
      </c>
      <c r="L980" s="39">
        <v>0.1167</v>
      </c>
      <c r="M980" s="40">
        <v>5000</v>
      </c>
      <c r="N980" s="52">
        <v>1000000</v>
      </c>
    </row>
    <row r="981" spans="1:14" ht="15" customHeight="1" x14ac:dyDescent="0.25">
      <c r="A981" s="64" t="str">
        <f t="shared" si="15"/>
        <v>1.4-23-0-TOU-2 year Reward Plus</v>
      </c>
      <c r="B981" s="37" t="s">
        <v>13</v>
      </c>
      <c r="C981" s="49">
        <v>23</v>
      </c>
      <c r="D981" s="2" t="s">
        <v>32</v>
      </c>
      <c r="E981" s="50" t="s">
        <v>87</v>
      </c>
      <c r="F981" s="38" t="s">
        <v>88</v>
      </c>
      <c r="G981" s="51">
        <v>1.4</v>
      </c>
      <c r="H981" s="2" t="s">
        <v>69</v>
      </c>
      <c r="I981" s="39">
        <v>0.90600000000000003</v>
      </c>
      <c r="J981" s="39">
        <v>0.1754</v>
      </c>
      <c r="K981" s="39">
        <v>0.14119999999999999</v>
      </c>
      <c r="L981" s="39">
        <v>0.1115</v>
      </c>
      <c r="M981" s="40">
        <v>5000</v>
      </c>
      <c r="N981" s="52">
        <v>1000000</v>
      </c>
    </row>
    <row r="982" spans="1:14" ht="15" customHeight="1" x14ac:dyDescent="0.25">
      <c r="A982" s="64" t="str">
        <f t="shared" si="15"/>
        <v>1.5-10-0-TOU-2 year Reward Plus</v>
      </c>
      <c r="B982" s="37" t="s">
        <v>13</v>
      </c>
      <c r="C982" s="49">
        <v>10</v>
      </c>
      <c r="D982" s="2" t="s">
        <v>14</v>
      </c>
      <c r="E982" s="50" t="s">
        <v>87</v>
      </c>
      <c r="F982" s="38" t="s">
        <v>88</v>
      </c>
      <c r="G982" s="51">
        <v>1.5</v>
      </c>
      <c r="H982" s="2" t="s">
        <v>69</v>
      </c>
      <c r="I982" s="39">
        <v>0.88100000000000001</v>
      </c>
      <c r="J982" s="39">
        <v>0.1724</v>
      </c>
      <c r="K982" s="39">
        <v>0.13879999999999998</v>
      </c>
      <c r="L982" s="39">
        <v>0.1096</v>
      </c>
      <c r="M982" s="40">
        <v>5000</v>
      </c>
      <c r="N982" s="52">
        <v>1000000</v>
      </c>
    </row>
    <row r="983" spans="1:14" ht="15" customHeight="1" x14ac:dyDescent="0.25">
      <c r="A983" s="64" t="str">
        <f t="shared" si="15"/>
        <v>1.5-11-0-TOU-2 year Reward Plus</v>
      </c>
      <c r="B983" s="37" t="s">
        <v>13</v>
      </c>
      <c r="C983" s="49">
        <v>11</v>
      </c>
      <c r="D983" s="2" t="s">
        <v>20</v>
      </c>
      <c r="E983" s="50" t="s">
        <v>87</v>
      </c>
      <c r="F983" s="38" t="s">
        <v>88</v>
      </c>
      <c r="G983" s="51">
        <v>1.5</v>
      </c>
      <c r="H983" s="2" t="s">
        <v>69</v>
      </c>
      <c r="I983" s="39">
        <v>0.86099999999999999</v>
      </c>
      <c r="J983" s="39">
        <v>0.17549999999999999</v>
      </c>
      <c r="K983" s="39">
        <v>0.14129999999999998</v>
      </c>
      <c r="L983" s="39">
        <v>0.1116</v>
      </c>
      <c r="M983" s="40">
        <v>5000</v>
      </c>
      <c r="N983" s="52">
        <v>1000000</v>
      </c>
    </row>
    <row r="984" spans="1:14" ht="15" customHeight="1" x14ac:dyDescent="0.25">
      <c r="A984" s="64" t="str">
        <f t="shared" si="15"/>
        <v>1.5-12-0-TOU-2 year Reward Plus</v>
      </c>
      <c r="B984" s="37" t="s">
        <v>13</v>
      </c>
      <c r="C984" s="49">
        <v>12</v>
      </c>
      <c r="D984" s="2" t="s">
        <v>21</v>
      </c>
      <c r="E984" s="50" t="s">
        <v>87</v>
      </c>
      <c r="F984" s="38" t="s">
        <v>88</v>
      </c>
      <c r="G984" s="51">
        <v>1.5</v>
      </c>
      <c r="H984" s="2" t="s">
        <v>69</v>
      </c>
      <c r="I984" s="39">
        <v>0.90300000000000002</v>
      </c>
      <c r="J984" s="39">
        <v>0.17209999999999998</v>
      </c>
      <c r="K984" s="39">
        <v>0.1386</v>
      </c>
      <c r="L984" s="39">
        <v>0.1094</v>
      </c>
      <c r="M984" s="40">
        <v>5000</v>
      </c>
      <c r="N984" s="52">
        <v>1000000</v>
      </c>
    </row>
    <row r="985" spans="1:14" ht="15" customHeight="1" x14ac:dyDescent="0.25">
      <c r="A985" s="64" t="str">
        <f t="shared" si="15"/>
        <v>1.5-13-0-TOU-2 year Reward Plus</v>
      </c>
      <c r="B985" s="37" t="s">
        <v>13</v>
      </c>
      <c r="C985" s="49">
        <v>13</v>
      </c>
      <c r="D985" s="2" t="s">
        <v>22</v>
      </c>
      <c r="E985" s="50" t="s">
        <v>87</v>
      </c>
      <c r="F985" s="38" t="s">
        <v>88</v>
      </c>
      <c r="G985" s="51">
        <v>1.5</v>
      </c>
      <c r="H985" s="2" t="s">
        <v>69</v>
      </c>
      <c r="I985" s="39">
        <v>0.88100000000000001</v>
      </c>
      <c r="J985" s="39">
        <v>0.18519999999999998</v>
      </c>
      <c r="K985" s="39">
        <v>0.14909999999999998</v>
      </c>
      <c r="L985" s="39">
        <v>0.1177</v>
      </c>
      <c r="M985" s="40">
        <v>5000</v>
      </c>
      <c r="N985" s="52">
        <v>1000000</v>
      </c>
    </row>
    <row r="986" spans="1:14" ht="15" customHeight="1" x14ac:dyDescent="0.25">
      <c r="A986" s="64" t="str">
        <f t="shared" si="15"/>
        <v>1.5-14-0-TOU-2 year Reward Plus</v>
      </c>
      <c r="B986" s="37" t="s">
        <v>13</v>
      </c>
      <c r="C986" s="49">
        <v>14</v>
      </c>
      <c r="D986" s="2" t="s">
        <v>23</v>
      </c>
      <c r="E986" s="50" t="s">
        <v>87</v>
      </c>
      <c r="F986" s="38" t="s">
        <v>88</v>
      </c>
      <c r="G986" s="51">
        <v>1.5</v>
      </c>
      <c r="H986" s="2" t="s">
        <v>69</v>
      </c>
      <c r="I986" s="39">
        <v>0.89</v>
      </c>
      <c r="J986" s="39">
        <v>0.17659999999999998</v>
      </c>
      <c r="K986" s="39">
        <v>0.14219999999999999</v>
      </c>
      <c r="L986" s="39">
        <v>0.11219999999999999</v>
      </c>
      <c r="M986" s="40">
        <v>5000</v>
      </c>
      <c r="N986" s="52">
        <v>1000000</v>
      </c>
    </row>
    <row r="987" spans="1:14" ht="15" customHeight="1" x14ac:dyDescent="0.25">
      <c r="A987" s="64" t="str">
        <f t="shared" si="15"/>
        <v>1.5-15-0-TOU-2 year Reward Plus</v>
      </c>
      <c r="B987" s="37" t="s">
        <v>13</v>
      </c>
      <c r="C987" s="49">
        <v>15</v>
      </c>
      <c r="D987" s="2" t="s">
        <v>24</v>
      </c>
      <c r="E987" s="50" t="s">
        <v>87</v>
      </c>
      <c r="F987" s="38" t="s">
        <v>88</v>
      </c>
      <c r="G987" s="51">
        <v>1.5</v>
      </c>
      <c r="H987" s="2" t="s">
        <v>69</v>
      </c>
      <c r="I987" s="39">
        <v>0.96</v>
      </c>
      <c r="J987" s="39">
        <v>0.17629999999999998</v>
      </c>
      <c r="K987" s="39">
        <v>0.14199999999999999</v>
      </c>
      <c r="L987" s="39">
        <v>0.11210000000000001</v>
      </c>
      <c r="M987" s="40">
        <v>5000</v>
      </c>
      <c r="N987" s="52">
        <v>1000000</v>
      </c>
    </row>
    <row r="988" spans="1:14" ht="15" customHeight="1" x14ac:dyDescent="0.25">
      <c r="A988" s="64" t="str">
        <f t="shared" si="15"/>
        <v>1.5-16-0-TOU-2 year Reward Plus</v>
      </c>
      <c r="B988" s="37" t="s">
        <v>13</v>
      </c>
      <c r="C988" s="49">
        <v>16</v>
      </c>
      <c r="D988" s="2" t="s">
        <v>25</v>
      </c>
      <c r="E988" s="50" t="s">
        <v>87</v>
      </c>
      <c r="F988" s="38" t="s">
        <v>88</v>
      </c>
      <c r="G988" s="51">
        <v>1.5</v>
      </c>
      <c r="H988" s="2" t="s">
        <v>69</v>
      </c>
      <c r="I988" s="39">
        <v>0.72699999999999998</v>
      </c>
      <c r="J988" s="39">
        <v>0.17559999999999998</v>
      </c>
      <c r="K988" s="39">
        <v>0.1414</v>
      </c>
      <c r="L988" s="39">
        <v>0.1116</v>
      </c>
      <c r="M988" s="40">
        <v>5000</v>
      </c>
      <c r="N988" s="52">
        <v>1000000</v>
      </c>
    </row>
    <row r="989" spans="1:14" ht="15" customHeight="1" x14ac:dyDescent="0.25">
      <c r="A989" s="64" t="str">
        <f t="shared" si="15"/>
        <v>1.5-17-0-TOU-2 year Reward Plus</v>
      </c>
      <c r="B989" s="37" t="s">
        <v>13</v>
      </c>
      <c r="C989" s="49">
        <v>17</v>
      </c>
      <c r="D989" s="2" t="s">
        <v>26</v>
      </c>
      <c r="E989" s="50" t="s">
        <v>87</v>
      </c>
      <c r="F989" s="38" t="s">
        <v>88</v>
      </c>
      <c r="G989" s="51">
        <v>1.5</v>
      </c>
      <c r="H989" s="2" t="s">
        <v>69</v>
      </c>
      <c r="I989" s="39">
        <v>1.67</v>
      </c>
      <c r="J989" s="39">
        <v>0.1946</v>
      </c>
      <c r="K989" s="39">
        <v>0.15669999999999998</v>
      </c>
      <c r="L989" s="39">
        <v>0.1237</v>
      </c>
      <c r="M989" s="40">
        <v>5000</v>
      </c>
      <c r="N989" s="52">
        <v>1000000</v>
      </c>
    </row>
    <row r="990" spans="1:14" ht="15" customHeight="1" x14ac:dyDescent="0.25">
      <c r="A990" s="64" t="str">
        <f t="shared" si="15"/>
        <v>1.5-18-0-TOU-2 year Reward Plus</v>
      </c>
      <c r="B990" s="37" t="s">
        <v>13</v>
      </c>
      <c r="C990" s="49">
        <v>18</v>
      </c>
      <c r="D990" s="2" t="s">
        <v>27</v>
      </c>
      <c r="E990" s="50" t="s">
        <v>87</v>
      </c>
      <c r="F990" s="38" t="s">
        <v>88</v>
      </c>
      <c r="G990" s="51">
        <v>1.5</v>
      </c>
      <c r="H990" s="2" t="s">
        <v>69</v>
      </c>
      <c r="I990" s="39">
        <v>0.89900000000000002</v>
      </c>
      <c r="J990" s="39">
        <v>0.17519999999999999</v>
      </c>
      <c r="K990" s="39">
        <v>0.14099999999999999</v>
      </c>
      <c r="L990" s="39">
        <v>0.1113</v>
      </c>
      <c r="M990" s="40">
        <v>5000</v>
      </c>
      <c r="N990" s="52">
        <v>1000000</v>
      </c>
    </row>
    <row r="991" spans="1:14" ht="15" customHeight="1" x14ac:dyDescent="0.25">
      <c r="A991" s="64" t="str">
        <f t="shared" si="15"/>
        <v>1.5-19-0-TOU-2 year Reward Plus</v>
      </c>
      <c r="B991" s="37" t="s">
        <v>13</v>
      </c>
      <c r="C991" s="49">
        <v>19</v>
      </c>
      <c r="D991" s="2" t="s">
        <v>28</v>
      </c>
      <c r="E991" s="50" t="s">
        <v>87</v>
      </c>
      <c r="F991" s="38" t="s">
        <v>88</v>
      </c>
      <c r="G991" s="51">
        <v>1.5</v>
      </c>
      <c r="H991" s="2" t="s">
        <v>69</v>
      </c>
      <c r="I991" s="39">
        <v>0.77800000000000002</v>
      </c>
      <c r="J991" s="39">
        <v>0.17399999999999999</v>
      </c>
      <c r="K991" s="39">
        <v>0.1401</v>
      </c>
      <c r="L991" s="39">
        <v>0.1106</v>
      </c>
      <c r="M991" s="40">
        <v>5000</v>
      </c>
      <c r="N991" s="52">
        <v>1000000</v>
      </c>
    </row>
    <row r="992" spans="1:14" ht="15" customHeight="1" x14ac:dyDescent="0.25">
      <c r="A992" s="64" t="str">
        <f t="shared" si="15"/>
        <v>1.5-20-0-TOU-2 year Reward Plus</v>
      </c>
      <c r="B992" s="37" t="s">
        <v>13</v>
      </c>
      <c r="C992" s="49">
        <v>20</v>
      </c>
      <c r="D992" s="2" t="s">
        <v>29</v>
      </c>
      <c r="E992" s="50" t="s">
        <v>87</v>
      </c>
      <c r="F992" s="38" t="s">
        <v>88</v>
      </c>
      <c r="G992" s="51">
        <v>1.5</v>
      </c>
      <c r="H992" s="2" t="s">
        <v>69</v>
      </c>
      <c r="I992" s="39">
        <v>0.82699999999999996</v>
      </c>
      <c r="J992" s="39">
        <v>0.17409999999999998</v>
      </c>
      <c r="K992" s="39">
        <v>0.14019999999999999</v>
      </c>
      <c r="L992" s="39">
        <v>0.11070000000000001</v>
      </c>
      <c r="M992" s="40">
        <v>5000</v>
      </c>
      <c r="N992" s="52">
        <v>1000000</v>
      </c>
    </row>
    <row r="993" spans="1:14" ht="15" customHeight="1" x14ac:dyDescent="0.25">
      <c r="A993" s="64" t="str">
        <f t="shared" si="15"/>
        <v>1.5-21-0-TOU-2 year Reward Plus</v>
      </c>
      <c r="B993" s="37" t="s">
        <v>13</v>
      </c>
      <c r="C993" s="49">
        <v>21</v>
      </c>
      <c r="D993" s="2" t="s">
        <v>30</v>
      </c>
      <c r="E993" s="50" t="s">
        <v>87</v>
      </c>
      <c r="F993" s="38" t="s">
        <v>88</v>
      </c>
      <c r="G993" s="51">
        <v>1.5</v>
      </c>
      <c r="H993" s="2" t="s">
        <v>69</v>
      </c>
      <c r="I993" s="39">
        <v>0.92300000000000004</v>
      </c>
      <c r="J993" s="39">
        <v>0.1842</v>
      </c>
      <c r="K993" s="39">
        <v>0.14829999999999999</v>
      </c>
      <c r="L993" s="39">
        <v>0.11710000000000001</v>
      </c>
      <c r="M993" s="40">
        <v>5000</v>
      </c>
      <c r="N993" s="52">
        <v>1000000</v>
      </c>
    </row>
    <row r="994" spans="1:14" ht="15" customHeight="1" x14ac:dyDescent="0.25">
      <c r="A994" s="64" t="str">
        <f t="shared" si="15"/>
        <v>1.5-22-0-TOU-2 year Reward Plus</v>
      </c>
      <c r="B994" s="37" t="s">
        <v>13</v>
      </c>
      <c r="C994" s="49">
        <v>22</v>
      </c>
      <c r="D994" s="2" t="s">
        <v>31</v>
      </c>
      <c r="E994" s="50" t="s">
        <v>87</v>
      </c>
      <c r="F994" s="38" t="s">
        <v>88</v>
      </c>
      <c r="G994" s="51">
        <v>1.5</v>
      </c>
      <c r="H994" s="2" t="s">
        <v>69</v>
      </c>
      <c r="I994" s="39">
        <v>0.90400000000000003</v>
      </c>
      <c r="J994" s="39">
        <v>0.18479999999999999</v>
      </c>
      <c r="K994" s="39">
        <v>0.14879999999999999</v>
      </c>
      <c r="L994" s="39">
        <v>0.11750000000000001</v>
      </c>
      <c r="M994" s="40">
        <v>5000</v>
      </c>
      <c r="N994" s="52">
        <v>1000000</v>
      </c>
    </row>
    <row r="995" spans="1:14" ht="15" customHeight="1" x14ac:dyDescent="0.25">
      <c r="A995" s="64" t="str">
        <f t="shared" si="15"/>
        <v>1.5-23-0-TOU-2 year Reward Plus</v>
      </c>
      <c r="B995" s="37" t="s">
        <v>13</v>
      </c>
      <c r="C995" s="49">
        <v>23</v>
      </c>
      <c r="D995" s="2" t="s">
        <v>32</v>
      </c>
      <c r="E995" s="50" t="s">
        <v>87</v>
      </c>
      <c r="F995" s="38" t="s">
        <v>88</v>
      </c>
      <c r="G995" s="51">
        <v>1.5</v>
      </c>
      <c r="H995" s="2" t="s">
        <v>69</v>
      </c>
      <c r="I995" s="39">
        <v>0.90600000000000003</v>
      </c>
      <c r="J995" s="39">
        <v>0.17659999999999998</v>
      </c>
      <c r="K995" s="39">
        <v>0.14219999999999999</v>
      </c>
      <c r="L995" s="39">
        <v>0.11219999999999999</v>
      </c>
      <c r="M995" s="40">
        <v>5000</v>
      </c>
      <c r="N995" s="52">
        <v>1000000</v>
      </c>
    </row>
    <row r="996" spans="1:14" ht="15" customHeight="1" x14ac:dyDescent="0.25">
      <c r="A996" s="64" t="str">
        <f t="shared" si="15"/>
        <v>1.6-10-0-TOU-2 year Reward Plus</v>
      </c>
      <c r="B996" s="37" t="s">
        <v>13</v>
      </c>
      <c r="C996" s="49">
        <v>10</v>
      </c>
      <c r="D996" s="2" t="s">
        <v>14</v>
      </c>
      <c r="E996" s="50" t="s">
        <v>87</v>
      </c>
      <c r="F996" s="38" t="s">
        <v>88</v>
      </c>
      <c r="G996" s="51">
        <v>1.6</v>
      </c>
      <c r="H996" s="2" t="s">
        <v>69</v>
      </c>
      <c r="I996" s="39">
        <v>0.88100000000000001</v>
      </c>
      <c r="J996" s="39">
        <v>0.17359999999999998</v>
      </c>
      <c r="K996" s="39">
        <v>0.13979999999999998</v>
      </c>
      <c r="L996" s="39">
        <v>0.1104</v>
      </c>
      <c r="M996" s="40">
        <v>5000</v>
      </c>
      <c r="N996" s="52">
        <v>1000000</v>
      </c>
    </row>
    <row r="997" spans="1:14" ht="15" customHeight="1" x14ac:dyDescent="0.25">
      <c r="A997" s="64" t="str">
        <f t="shared" si="15"/>
        <v>1.6-11-0-TOU-2 year Reward Plus</v>
      </c>
      <c r="B997" s="37" t="s">
        <v>13</v>
      </c>
      <c r="C997" s="49">
        <v>11</v>
      </c>
      <c r="D997" s="2" t="s">
        <v>20</v>
      </c>
      <c r="E997" s="50" t="s">
        <v>87</v>
      </c>
      <c r="F997" s="38" t="s">
        <v>88</v>
      </c>
      <c r="G997" s="51">
        <v>1.6</v>
      </c>
      <c r="H997" s="2" t="s">
        <v>69</v>
      </c>
      <c r="I997" s="39">
        <v>0.86099999999999999</v>
      </c>
      <c r="J997" s="39">
        <v>0.1767</v>
      </c>
      <c r="K997" s="39">
        <v>0.14229999999999998</v>
      </c>
      <c r="L997" s="39">
        <v>0.1123</v>
      </c>
      <c r="M997" s="40">
        <v>5000</v>
      </c>
      <c r="N997" s="52">
        <v>1000000</v>
      </c>
    </row>
    <row r="998" spans="1:14" ht="15" customHeight="1" x14ac:dyDescent="0.25">
      <c r="A998" s="64" t="str">
        <f t="shared" si="15"/>
        <v>1.6-12-0-TOU-2 year Reward Plus</v>
      </c>
      <c r="B998" s="37" t="s">
        <v>13</v>
      </c>
      <c r="C998" s="49">
        <v>12</v>
      </c>
      <c r="D998" s="2" t="s">
        <v>21</v>
      </c>
      <c r="E998" s="50" t="s">
        <v>87</v>
      </c>
      <c r="F998" s="38" t="s">
        <v>88</v>
      </c>
      <c r="G998" s="51">
        <v>1.6</v>
      </c>
      <c r="H998" s="2" t="s">
        <v>69</v>
      </c>
      <c r="I998" s="39">
        <v>0.90300000000000002</v>
      </c>
      <c r="J998" s="39">
        <v>0.17329999999999998</v>
      </c>
      <c r="K998" s="39">
        <v>0.13949999999999999</v>
      </c>
      <c r="L998" s="39">
        <v>0.1101</v>
      </c>
      <c r="M998" s="40">
        <v>5000</v>
      </c>
      <c r="N998" s="52">
        <v>1000000</v>
      </c>
    </row>
    <row r="999" spans="1:14" ht="15" customHeight="1" x14ac:dyDescent="0.25">
      <c r="A999" s="64" t="str">
        <f t="shared" si="15"/>
        <v>1.6-13-0-TOU-2 year Reward Plus</v>
      </c>
      <c r="B999" s="37" t="s">
        <v>13</v>
      </c>
      <c r="C999" s="49">
        <v>13</v>
      </c>
      <c r="D999" s="2" t="s">
        <v>22</v>
      </c>
      <c r="E999" s="50" t="s">
        <v>87</v>
      </c>
      <c r="F999" s="38" t="s">
        <v>88</v>
      </c>
      <c r="G999" s="51">
        <v>1.6</v>
      </c>
      <c r="H999" s="2" t="s">
        <v>69</v>
      </c>
      <c r="I999" s="39">
        <v>0.88100000000000001</v>
      </c>
      <c r="J999" s="39">
        <v>0.18639999999999998</v>
      </c>
      <c r="K999" s="39">
        <v>0.15009999999999998</v>
      </c>
      <c r="L999" s="39">
        <v>0.11850000000000001</v>
      </c>
      <c r="M999" s="40">
        <v>5000</v>
      </c>
      <c r="N999" s="52">
        <v>1000000</v>
      </c>
    </row>
    <row r="1000" spans="1:14" ht="15" customHeight="1" x14ac:dyDescent="0.25">
      <c r="A1000" s="64" t="str">
        <f t="shared" si="15"/>
        <v>1.6-14-0-TOU-2 year Reward Plus</v>
      </c>
      <c r="B1000" s="37" t="s">
        <v>13</v>
      </c>
      <c r="C1000" s="49">
        <v>14</v>
      </c>
      <c r="D1000" s="2" t="s">
        <v>23</v>
      </c>
      <c r="E1000" s="50" t="s">
        <v>87</v>
      </c>
      <c r="F1000" s="38" t="s">
        <v>88</v>
      </c>
      <c r="G1000" s="51">
        <v>1.6</v>
      </c>
      <c r="H1000" s="2" t="s">
        <v>69</v>
      </c>
      <c r="I1000" s="39">
        <v>0.89</v>
      </c>
      <c r="J1000" s="39">
        <v>0.17779999999999999</v>
      </c>
      <c r="K1000" s="39">
        <v>0.14309999999999998</v>
      </c>
      <c r="L1000" s="39">
        <v>0.113</v>
      </c>
      <c r="M1000" s="40">
        <v>5000</v>
      </c>
      <c r="N1000" s="52">
        <v>1000000</v>
      </c>
    </row>
    <row r="1001" spans="1:14" ht="15" customHeight="1" x14ac:dyDescent="0.25">
      <c r="A1001" s="64" t="str">
        <f t="shared" si="15"/>
        <v>1.6-15-0-TOU-2 year Reward Plus</v>
      </c>
      <c r="B1001" s="37" t="s">
        <v>13</v>
      </c>
      <c r="C1001" s="49">
        <v>15</v>
      </c>
      <c r="D1001" s="2" t="s">
        <v>24</v>
      </c>
      <c r="E1001" s="50" t="s">
        <v>87</v>
      </c>
      <c r="F1001" s="38" t="s">
        <v>88</v>
      </c>
      <c r="G1001" s="51">
        <v>1.6</v>
      </c>
      <c r="H1001" s="2" t="s">
        <v>69</v>
      </c>
      <c r="I1001" s="39">
        <v>0.96</v>
      </c>
      <c r="J1001" s="39">
        <v>0.17749999999999999</v>
      </c>
      <c r="K1001" s="39">
        <v>0.1429</v>
      </c>
      <c r="L1001" s="39">
        <v>0.1128</v>
      </c>
      <c r="M1001" s="40">
        <v>5000</v>
      </c>
      <c r="N1001" s="52">
        <v>1000000</v>
      </c>
    </row>
    <row r="1002" spans="1:14" ht="15" customHeight="1" x14ac:dyDescent="0.25">
      <c r="A1002" s="64" t="str">
        <f t="shared" si="15"/>
        <v>1.6-16-0-TOU-2 year Reward Plus</v>
      </c>
      <c r="B1002" s="37" t="s">
        <v>13</v>
      </c>
      <c r="C1002" s="49">
        <v>16</v>
      </c>
      <c r="D1002" s="2" t="s">
        <v>25</v>
      </c>
      <c r="E1002" s="50" t="s">
        <v>87</v>
      </c>
      <c r="F1002" s="38" t="s">
        <v>88</v>
      </c>
      <c r="G1002" s="51">
        <v>1.6</v>
      </c>
      <c r="H1002" s="2" t="s">
        <v>69</v>
      </c>
      <c r="I1002" s="39">
        <v>0.72699999999999998</v>
      </c>
      <c r="J1002" s="39">
        <v>0.17679999999999998</v>
      </c>
      <c r="K1002" s="39">
        <v>0.1424</v>
      </c>
      <c r="L1002" s="39">
        <v>0.1124</v>
      </c>
      <c r="M1002" s="40">
        <v>5000</v>
      </c>
      <c r="N1002" s="52">
        <v>1000000</v>
      </c>
    </row>
    <row r="1003" spans="1:14" ht="15" customHeight="1" x14ac:dyDescent="0.25">
      <c r="A1003" s="64" t="str">
        <f t="shared" si="15"/>
        <v>1.6-17-0-TOU-2 year Reward Plus</v>
      </c>
      <c r="B1003" s="37" t="s">
        <v>13</v>
      </c>
      <c r="C1003" s="49">
        <v>17</v>
      </c>
      <c r="D1003" s="2" t="s">
        <v>26</v>
      </c>
      <c r="E1003" s="50" t="s">
        <v>87</v>
      </c>
      <c r="F1003" s="38" t="s">
        <v>88</v>
      </c>
      <c r="G1003" s="51">
        <v>1.6</v>
      </c>
      <c r="H1003" s="2" t="s">
        <v>69</v>
      </c>
      <c r="I1003" s="39">
        <v>1.67</v>
      </c>
      <c r="J1003" s="39">
        <v>0.1958</v>
      </c>
      <c r="K1003" s="39">
        <v>0.15769999999999998</v>
      </c>
      <c r="L1003" s="39">
        <v>0.1245</v>
      </c>
      <c r="M1003" s="40">
        <v>5000</v>
      </c>
      <c r="N1003" s="52">
        <v>1000000</v>
      </c>
    </row>
    <row r="1004" spans="1:14" ht="15" customHeight="1" x14ac:dyDescent="0.25">
      <c r="A1004" s="64" t="str">
        <f t="shared" si="15"/>
        <v>1.6-18-0-TOU-2 year Reward Plus</v>
      </c>
      <c r="B1004" s="37" t="s">
        <v>13</v>
      </c>
      <c r="C1004" s="49">
        <v>18</v>
      </c>
      <c r="D1004" s="2" t="s">
        <v>27</v>
      </c>
      <c r="E1004" s="50" t="s">
        <v>87</v>
      </c>
      <c r="F1004" s="38" t="s">
        <v>88</v>
      </c>
      <c r="G1004" s="51">
        <v>1.6</v>
      </c>
      <c r="H1004" s="2" t="s">
        <v>69</v>
      </c>
      <c r="I1004" s="39">
        <v>0.89900000000000002</v>
      </c>
      <c r="J1004" s="39">
        <v>0.17629999999999998</v>
      </c>
      <c r="K1004" s="39">
        <v>0.14199999999999999</v>
      </c>
      <c r="L1004" s="39">
        <v>0.11210000000000001</v>
      </c>
      <c r="M1004" s="40">
        <v>5000</v>
      </c>
      <c r="N1004" s="52">
        <v>1000000</v>
      </c>
    </row>
    <row r="1005" spans="1:14" ht="15" customHeight="1" x14ac:dyDescent="0.25">
      <c r="A1005" s="64" t="str">
        <f t="shared" si="15"/>
        <v>1.6-19-0-TOU-2 year Reward Plus</v>
      </c>
      <c r="B1005" s="37" t="s">
        <v>13</v>
      </c>
      <c r="C1005" s="49">
        <v>19</v>
      </c>
      <c r="D1005" s="2" t="s">
        <v>28</v>
      </c>
      <c r="E1005" s="50" t="s">
        <v>87</v>
      </c>
      <c r="F1005" s="38" t="s">
        <v>88</v>
      </c>
      <c r="G1005" s="51">
        <v>1.6</v>
      </c>
      <c r="H1005" s="2" t="s">
        <v>69</v>
      </c>
      <c r="I1005" s="39">
        <v>0.77800000000000002</v>
      </c>
      <c r="J1005" s="39">
        <v>0.17519999999999999</v>
      </c>
      <c r="K1005" s="39">
        <v>0.14099999999999999</v>
      </c>
      <c r="L1005" s="39">
        <v>0.1113</v>
      </c>
      <c r="M1005" s="40">
        <v>5000</v>
      </c>
      <c r="N1005" s="52">
        <v>1000000</v>
      </c>
    </row>
    <row r="1006" spans="1:14" ht="15" customHeight="1" x14ac:dyDescent="0.25">
      <c r="A1006" s="64" t="str">
        <f t="shared" si="15"/>
        <v>1.6-20-0-TOU-2 year Reward Plus</v>
      </c>
      <c r="B1006" s="37" t="s">
        <v>13</v>
      </c>
      <c r="C1006" s="49">
        <v>20</v>
      </c>
      <c r="D1006" s="2" t="s">
        <v>29</v>
      </c>
      <c r="E1006" s="50" t="s">
        <v>87</v>
      </c>
      <c r="F1006" s="38" t="s">
        <v>88</v>
      </c>
      <c r="G1006" s="51">
        <v>1.6</v>
      </c>
      <c r="H1006" s="2" t="s">
        <v>69</v>
      </c>
      <c r="I1006" s="39">
        <v>0.82699999999999996</v>
      </c>
      <c r="J1006" s="39">
        <v>0.17529999999999998</v>
      </c>
      <c r="K1006" s="39">
        <v>0.14109999999999998</v>
      </c>
      <c r="L1006" s="39">
        <v>0.1114</v>
      </c>
      <c r="M1006" s="40">
        <v>5000</v>
      </c>
      <c r="N1006" s="52">
        <v>1000000</v>
      </c>
    </row>
    <row r="1007" spans="1:14" ht="15" customHeight="1" x14ac:dyDescent="0.25">
      <c r="A1007" s="64" t="str">
        <f t="shared" si="15"/>
        <v>1.6-21-0-TOU-2 year Reward Plus</v>
      </c>
      <c r="B1007" s="37" t="s">
        <v>13</v>
      </c>
      <c r="C1007" s="49">
        <v>21</v>
      </c>
      <c r="D1007" s="2" t="s">
        <v>30</v>
      </c>
      <c r="E1007" s="50" t="s">
        <v>87</v>
      </c>
      <c r="F1007" s="38" t="s">
        <v>88</v>
      </c>
      <c r="G1007" s="51">
        <v>1.6</v>
      </c>
      <c r="H1007" s="2" t="s">
        <v>69</v>
      </c>
      <c r="I1007" s="39">
        <v>0.92300000000000004</v>
      </c>
      <c r="J1007" s="39">
        <v>0.18539999999999998</v>
      </c>
      <c r="K1007" s="39">
        <v>0.14929999999999999</v>
      </c>
      <c r="L1007" s="39">
        <v>0.1179</v>
      </c>
      <c r="M1007" s="40">
        <v>5000</v>
      </c>
      <c r="N1007" s="52">
        <v>1000000</v>
      </c>
    </row>
    <row r="1008" spans="1:14" ht="15" customHeight="1" x14ac:dyDescent="0.25">
      <c r="A1008" s="64" t="str">
        <f t="shared" si="15"/>
        <v>1.6-22-0-TOU-2 year Reward Plus</v>
      </c>
      <c r="B1008" s="37" t="s">
        <v>13</v>
      </c>
      <c r="C1008" s="49">
        <v>22</v>
      </c>
      <c r="D1008" s="2" t="s">
        <v>31</v>
      </c>
      <c r="E1008" s="50" t="s">
        <v>87</v>
      </c>
      <c r="F1008" s="38" t="s">
        <v>88</v>
      </c>
      <c r="G1008" s="51">
        <v>1.6</v>
      </c>
      <c r="H1008" s="2" t="s">
        <v>69</v>
      </c>
      <c r="I1008" s="39">
        <v>0.90400000000000003</v>
      </c>
      <c r="J1008" s="39">
        <v>0.186</v>
      </c>
      <c r="K1008" s="39">
        <v>0.14979999999999999</v>
      </c>
      <c r="L1008" s="39">
        <v>0.1182</v>
      </c>
      <c r="M1008" s="40">
        <v>5000</v>
      </c>
      <c r="N1008" s="52">
        <v>1000000</v>
      </c>
    </row>
    <row r="1009" spans="1:14" ht="15" customHeight="1" x14ac:dyDescent="0.25">
      <c r="A1009" s="64" t="str">
        <f t="shared" si="15"/>
        <v>1.6-23-0-TOU-2 year Reward Plus</v>
      </c>
      <c r="B1009" s="37" t="s">
        <v>13</v>
      </c>
      <c r="C1009" s="49">
        <v>23</v>
      </c>
      <c r="D1009" s="2" t="s">
        <v>32</v>
      </c>
      <c r="E1009" s="50" t="s">
        <v>87</v>
      </c>
      <c r="F1009" s="38" t="s">
        <v>88</v>
      </c>
      <c r="G1009" s="51">
        <v>1.6</v>
      </c>
      <c r="H1009" s="2" t="s">
        <v>69</v>
      </c>
      <c r="I1009" s="39">
        <v>0.90600000000000003</v>
      </c>
      <c r="J1009" s="39">
        <v>0.17779999999999999</v>
      </c>
      <c r="K1009" s="39">
        <v>0.14309999999999998</v>
      </c>
      <c r="L1009" s="39">
        <v>0.113</v>
      </c>
      <c r="M1009" s="40">
        <v>5000</v>
      </c>
      <c r="N1009" s="52">
        <v>1000000</v>
      </c>
    </row>
    <row r="1010" spans="1:14" ht="15" customHeight="1" x14ac:dyDescent="0.25">
      <c r="A1010" s="64" t="str">
        <f t="shared" si="15"/>
        <v>1.7-10-0-TOU-2 year Reward Plus</v>
      </c>
      <c r="B1010" s="37" t="s">
        <v>13</v>
      </c>
      <c r="C1010" s="49">
        <v>10</v>
      </c>
      <c r="D1010" s="2" t="s">
        <v>14</v>
      </c>
      <c r="E1010" s="50" t="s">
        <v>87</v>
      </c>
      <c r="F1010" s="38" t="s">
        <v>88</v>
      </c>
      <c r="G1010" s="51">
        <v>1.7</v>
      </c>
      <c r="H1010" s="2" t="s">
        <v>69</v>
      </c>
      <c r="I1010" s="39">
        <v>0.88100000000000001</v>
      </c>
      <c r="J1010" s="39">
        <v>0.17479999999999998</v>
      </c>
      <c r="K1010" s="39">
        <v>0.14069999999999999</v>
      </c>
      <c r="L1010" s="39">
        <v>0.1111</v>
      </c>
      <c r="M1010" s="40">
        <v>5000</v>
      </c>
      <c r="N1010" s="52">
        <v>1000000</v>
      </c>
    </row>
    <row r="1011" spans="1:14" ht="15" customHeight="1" x14ac:dyDescent="0.25">
      <c r="A1011" s="64" t="str">
        <f t="shared" si="15"/>
        <v>1.7-11-0-TOU-2 year Reward Plus</v>
      </c>
      <c r="B1011" s="37" t="s">
        <v>13</v>
      </c>
      <c r="C1011" s="49">
        <v>11</v>
      </c>
      <c r="D1011" s="2" t="s">
        <v>20</v>
      </c>
      <c r="E1011" s="50" t="s">
        <v>87</v>
      </c>
      <c r="F1011" s="38" t="s">
        <v>88</v>
      </c>
      <c r="G1011" s="51">
        <v>1.7</v>
      </c>
      <c r="H1011" s="2" t="s">
        <v>69</v>
      </c>
      <c r="I1011" s="39">
        <v>0.86099999999999999</v>
      </c>
      <c r="J1011" s="39">
        <v>0.1779</v>
      </c>
      <c r="K1011" s="39">
        <v>0.14319999999999999</v>
      </c>
      <c r="L1011" s="39">
        <v>0.11310000000000001</v>
      </c>
      <c r="M1011" s="40">
        <v>5000</v>
      </c>
      <c r="N1011" s="52">
        <v>1000000</v>
      </c>
    </row>
    <row r="1012" spans="1:14" ht="15" customHeight="1" x14ac:dyDescent="0.25">
      <c r="A1012" s="64" t="str">
        <f t="shared" si="15"/>
        <v>1.7-12-0-TOU-2 year Reward Plus</v>
      </c>
      <c r="B1012" s="37" t="s">
        <v>13</v>
      </c>
      <c r="C1012" s="49">
        <v>12</v>
      </c>
      <c r="D1012" s="2" t="s">
        <v>21</v>
      </c>
      <c r="E1012" s="50" t="s">
        <v>87</v>
      </c>
      <c r="F1012" s="38" t="s">
        <v>88</v>
      </c>
      <c r="G1012" s="51">
        <v>1.7</v>
      </c>
      <c r="H1012" s="2" t="s">
        <v>69</v>
      </c>
      <c r="I1012" s="39">
        <v>0.90300000000000002</v>
      </c>
      <c r="J1012" s="39">
        <v>0.17449999999999999</v>
      </c>
      <c r="K1012" s="39">
        <v>0.14049999999999999</v>
      </c>
      <c r="L1012" s="39">
        <v>0.1109</v>
      </c>
      <c r="M1012" s="40">
        <v>5000</v>
      </c>
      <c r="N1012" s="52">
        <v>1000000</v>
      </c>
    </row>
    <row r="1013" spans="1:14" ht="15" customHeight="1" x14ac:dyDescent="0.25">
      <c r="A1013" s="64" t="str">
        <f t="shared" si="15"/>
        <v>1.7-13-0-TOU-2 year Reward Plus</v>
      </c>
      <c r="B1013" s="37" t="s">
        <v>13</v>
      </c>
      <c r="C1013" s="49">
        <v>13</v>
      </c>
      <c r="D1013" s="2" t="s">
        <v>22</v>
      </c>
      <c r="E1013" s="50" t="s">
        <v>87</v>
      </c>
      <c r="F1013" s="38" t="s">
        <v>88</v>
      </c>
      <c r="G1013" s="51">
        <v>1.7</v>
      </c>
      <c r="H1013" s="2" t="s">
        <v>69</v>
      </c>
      <c r="I1013" s="39">
        <v>0.88100000000000001</v>
      </c>
      <c r="J1013" s="39">
        <v>0.18759999999999999</v>
      </c>
      <c r="K1013" s="39">
        <v>0.151</v>
      </c>
      <c r="L1013" s="39">
        <v>0.1192</v>
      </c>
      <c r="M1013" s="40">
        <v>5000</v>
      </c>
      <c r="N1013" s="52">
        <v>1000000</v>
      </c>
    </row>
    <row r="1014" spans="1:14" ht="15" customHeight="1" x14ac:dyDescent="0.25">
      <c r="A1014" s="64" t="str">
        <f t="shared" si="15"/>
        <v>1.7-14-0-TOU-2 year Reward Plus</v>
      </c>
      <c r="B1014" s="37" t="s">
        <v>13</v>
      </c>
      <c r="C1014" s="49">
        <v>14</v>
      </c>
      <c r="D1014" s="2" t="s">
        <v>23</v>
      </c>
      <c r="E1014" s="50" t="s">
        <v>87</v>
      </c>
      <c r="F1014" s="38" t="s">
        <v>88</v>
      </c>
      <c r="G1014" s="51">
        <v>1.7</v>
      </c>
      <c r="H1014" s="2" t="s">
        <v>69</v>
      </c>
      <c r="I1014" s="39">
        <v>0.89</v>
      </c>
      <c r="J1014" s="39">
        <v>0.17889999999999998</v>
      </c>
      <c r="K1014" s="39">
        <v>0.14409999999999998</v>
      </c>
      <c r="L1014" s="39">
        <v>0.1137</v>
      </c>
      <c r="M1014" s="40">
        <v>5000</v>
      </c>
      <c r="N1014" s="52">
        <v>1000000</v>
      </c>
    </row>
    <row r="1015" spans="1:14" ht="15" customHeight="1" x14ac:dyDescent="0.25">
      <c r="A1015" s="64" t="str">
        <f t="shared" si="15"/>
        <v>1.7-15-0-TOU-2 year Reward Plus</v>
      </c>
      <c r="B1015" s="37" t="s">
        <v>13</v>
      </c>
      <c r="C1015" s="49">
        <v>15</v>
      </c>
      <c r="D1015" s="2" t="s">
        <v>24</v>
      </c>
      <c r="E1015" s="50" t="s">
        <v>87</v>
      </c>
      <c r="F1015" s="38" t="s">
        <v>88</v>
      </c>
      <c r="G1015" s="51">
        <v>1.7</v>
      </c>
      <c r="H1015" s="2" t="s">
        <v>69</v>
      </c>
      <c r="I1015" s="39">
        <v>0.96</v>
      </c>
      <c r="J1015" s="39">
        <v>0.1787</v>
      </c>
      <c r="K1015" s="39">
        <v>0.1439</v>
      </c>
      <c r="L1015" s="39">
        <v>0.11360000000000001</v>
      </c>
      <c r="M1015" s="40">
        <v>5000</v>
      </c>
      <c r="N1015" s="52">
        <v>1000000</v>
      </c>
    </row>
    <row r="1016" spans="1:14" ht="15" customHeight="1" x14ac:dyDescent="0.25">
      <c r="A1016" s="64" t="str">
        <f t="shared" si="15"/>
        <v>1.7-16-0-TOU-2 year Reward Plus</v>
      </c>
      <c r="B1016" s="37" t="s">
        <v>13</v>
      </c>
      <c r="C1016" s="49">
        <v>16</v>
      </c>
      <c r="D1016" s="2" t="s">
        <v>25</v>
      </c>
      <c r="E1016" s="50" t="s">
        <v>87</v>
      </c>
      <c r="F1016" s="38" t="s">
        <v>88</v>
      </c>
      <c r="G1016" s="51">
        <v>1.7</v>
      </c>
      <c r="H1016" s="2" t="s">
        <v>69</v>
      </c>
      <c r="I1016" s="39">
        <v>0.72699999999999998</v>
      </c>
      <c r="J1016" s="39">
        <v>0.17799999999999999</v>
      </c>
      <c r="K1016" s="39">
        <v>0.14329999999999998</v>
      </c>
      <c r="L1016" s="39">
        <v>0.11310000000000001</v>
      </c>
      <c r="M1016" s="40">
        <v>5000</v>
      </c>
      <c r="N1016" s="52">
        <v>1000000</v>
      </c>
    </row>
    <row r="1017" spans="1:14" ht="15" customHeight="1" x14ac:dyDescent="0.25">
      <c r="A1017" s="64" t="str">
        <f t="shared" si="15"/>
        <v>1.7-17-0-TOU-2 year Reward Plus</v>
      </c>
      <c r="B1017" s="37" t="s">
        <v>13</v>
      </c>
      <c r="C1017" s="49">
        <v>17</v>
      </c>
      <c r="D1017" s="2" t="s">
        <v>26</v>
      </c>
      <c r="E1017" s="50" t="s">
        <v>87</v>
      </c>
      <c r="F1017" s="38" t="s">
        <v>88</v>
      </c>
      <c r="G1017" s="51">
        <v>1.7</v>
      </c>
      <c r="H1017" s="2" t="s">
        <v>69</v>
      </c>
      <c r="I1017" s="39">
        <v>1.67</v>
      </c>
      <c r="J1017" s="39">
        <v>0.19699999999999998</v>
      </c>
      <c r="K1017" s="39">
        <v>0.15859999999999999</v>
      </c>
      <c r="L1017" s="39">
        <v>0.12519999999999998</v>
      </c>
      <c r="M1017" s="40">
        <v>5000</v>
      </c>
      <c r="N1017" s="52">
        <v>1000000</v>
      </c>
    </row>
    <row r="1018" spans="1:14" ht="15" customHeight="1" x14ac:dyDescent="0.25">
      <c r="A1018" s="64" t="str">
        <f t="shared" si="15"/>
        <v>1.7-18-0-TOU-2 year Reward Plus</v>
      </c>
      <c r="B1018" s="37" t="s">
        <v>13</v>
      </c>
      <c r="C1018" s="49">
        <v>18</v>
      </c>
      <c r="D1018" s="2" t="s">
        <v>27</v>
      </c>
      <c r="E1018" s="50" t="s">
        <v>87</v>
      </c>
      <c r="F1018" s="38" t="s">
        <v>88</v>
      </c>
      <c r="G1018" s="51">
        <v>1.7</v>
      </c>
      <c r="H1018" s="2" t="s">
        <v>69</v>
      </c>
      <c r="I1018" s="39">
        <v>0.89900000000000002</v>
      </c>
      <c r="J1018" s="39">
        <v>0.17749999999999999</v>
      </c>
      <c r="K1018" s="39">
        <v>0.1429</v>
      </c>
      <c r="L1018" s="39">
        <v>0.1128</v>
      </c>
      <c r="M1018" s="40">
        <v>5000</v>
      </c>
      <c r="N1018" s="52">
        <v>1000000</v>
      </c>
    </row>
    <row r="1019" spans="1:14" ht="15" customHeight="1" x14ac:dyDescent="0.25">
      <c r="A1019" s="64" t="str">
        <f t="shared" si="15"/>
        <v>1.7-19-0-TOU-2 year Reward Plus</v>
      </c>
      <c r="B1019" s="37" t="s">
        <v>13</v>
      </c>
      <c r="C1019" s="49">
        <v>19</v>
      </c>
      <c r="D1019" s="2" t="s">
        <v>28</v>
      </c>
      <c r="E1019" s="50" t="s">
        <v>87</v>
      </c>
      <c r="F1019" s="38" t="s">
        <v>88</v>
      </c>
      <c r="G1019" s="51">
        <v>1.7</v>
      </c>
      <c r="H1019" s="2" t="s">
        <v>69</v>
      </c>
      <c r="I1019" s="39">
        <v>0.77800000000000002</v>
      </c>
      <c r="J1019" s="39">
        <v>0.17629999999999998</v>
      </c>
      <c r="K1019" s="39">
        <v>0.14199999999999999</v>
      </c>
      <c r="L1019" s="39">
        <v>0.11210000000000001</v>
      </c>
      <c r="M1019" s="40">
        <v>5000</v>
      </c>
      <c r="N1019" s="52">
        <v>1000000</v>
      </c>
    </row>
    <row r="1020" spans="1:14" ht="15" customHeight="1" x14ac:dyDescent="0.25">
      <c r="A1020" s="64" t="str">
        <f t="shared" si="15"/>
        <v>1.7-20-0-TOU-2 year Reward Plus</v>
      </c>
      <c r="B1020" s="37" t="s">
        <v>13</v>
      </c>
      <c r="C1020" s="49">
        <v>20</v>
      </c>
      <c r="D1020" s="2" t="s">
        <v>29</v>
      </c>
      <c r="E1020" s="50" t="s">
        <v>87</v>
      </c>
      <c r="F1020" s="38" t="s">
        <v>88</v>
      </c>
      <c r="G1020" s="51">
        <v>1.7</v>
      </c>
      <c r="H1020" s="2" t="s">
        <v>69</v>
      </c>
      <c r="I1020" s="39">
        <v>0.82699999999999996</v>
      </c>
      <c r="J1020" s="39">
        <v>0.17649999999999999</v>
      </c>
      <c r="K1020" s="39">
        <v>0.14209999999999998</v>
      </c>
      <c r="L1020" s="39">
        <v>0.11220000000000001</v>
      </c>
      <c r="M1020" s="40">
        <v>5000</v>
      </c>
      <c r="N1020" s="52">
        <v>1000000</v>
      </c>
    </row>
    <row r="1021" spans="1:14" ht="15" customHeight="1" x14ac:dyDescent="0.25">
      <c r="A1021" s="64" t="str">
        <f t="shared" si="15"/>
        <v>1.7-21-0-TOU-2 year Reward Plus</v>
      </c>
      <c r="B1021" s="37" t="s">
        <v>13</v>
      </c>
      <c r="C1021" s="49">
        <v>21</v>
      </c>
      <c r="D1021" s="2" t="s">
        <v>30</v>
      </c>
      <c r="E1021" s="50" t="s">
        <v>87</v>
      </c>
      <c r="F1021" s="38" t="s">
        <v>88</v>
      </c>
      <c r="G1021" s="51">
        <v>1.7</v>
      </c>
      <c r="H1021" s="2" t="s">
        <v>69</v>
      </c>
      <c r="I1021" s="39">
        <v>0.92300000000000004</v>
      </c>
      <c r="J1021" s="39">
        <v>0.18659999999999999</v>
      </c>
      <c r="K1021" s="39">
        <v>0.1502</v>
      </c>
      <c r="L1021" s="39">
        <v>0.1186</v>
      </c>
      <c r="M1021" s="40">
        <v>5000</v>
      </c>
      <c r="N1021" s="52">
        <v>1000000</v>
      </c>
    </row>
    <row r="1022" spans="1:14" ht="15" customHeight="1" x14ac:dyDescent="0.25">
      <c r="A1022" s="64" t="str">
        <f t="shared" si="15"/>
        <v>1.7-22-0-TOU-2 year Reward Plus</v>
      </c>
      <c r="B1022" s="37" t="s">
        <v>13</v>
      </c>
      <c r="C1022" s="49">
        <v>22</v>
      </c>
      <c r="D1022" s="2" t="s">
        <v>31</v>
      </c>
      <c r="E1022" s="50" t="s">
        <v>87</v>
      </c>
      <c r="F1022" s="38" t="s">
        <v>88</v>
      </c>
      <c r="G1022" s="51">
        <v>1.7</v>
      </c>
      <c r="H1022" s="2" t="s">
        <v>69</v>
      </c>
      <c r="I1022" s="39">
        <v>0.90400000000000003</v>
      </c>
      <c r="J1022" s="39">
        <v>0.18719999999999998</v>
      </c>
      <c r="K1022" s="39">
        <v>0.1507</v>
      </c>
      <c r="L1022" s="39">
        <v>0.11900000000000001</v>
      </c>
      <c r="M1022" s="40">
        <v>5000</v>
      </c>
      <c r="N1022" s="52">
        <v>1000000</v>
      </c>
    </row>
    <row r="1023" spans="1:14" ht="15" customHeight="1" x14ac:dyDescent="0.25">
      <c r="A1023" s="64" t="str">
        <f t="shared" si="15"/>
        <v>1.7-23-0-TOU-2 year Reward Plus</v>
      </c>
      <c r="B1023" s="37" t="s">
        <v>13</v>
      </c>
      <c r="C1023" s="49">
        <v>23</v>
      </c>
      <c r="D1023" s="2" t="s">
        <v>32</v>
      </c>
      <c r="E1023" s="50" t="s">
        <v>87</v>
      </c>
      <c r="F1023" s="38" t="s">
        <v>88</v>
      </c>
      <c r="G1023" s="51">
        <v>1.7</v>
      </c>
      <c r="H1023" s="2" t="s">
        <v>69</v>
      </c>
      <c r="I1023" s="39">
        <v>0.90600000000000003</v>
      </c>
      <c r="J1023" s="39">
        <v>0.17889999999999998</v>
      </c>
      <c r="K1023" s="39">
        <v>0.14409999999999998</v>
      </c>
      <c r="L1023" s="39">
        <v>0.1137</v>
      </c>
      <c r="M1023" s="40">
        <v>5000</v>
      </c>
      <c r="N1023" s="52">
        <v>1000000</v>
      </c>
    </row>
    <row r="1024" spans="1:14" ht="15" customHeight="1" x14ac:dyDescent="0.25">
      <c r="A1024" s="64" t="str">
        <f t="shared" si="15"/>
        <v>1.8-10-0-TOU-2 year Reward Plus</v>
      </c>
      <c r="B1024" s="37" t="s">
        <v>13</v>
      </c>
      <c r="C1024" s="49">
        <v>10</v>
      </c>
      <c r="D1024" s="2" t="s">
        <v>14</v>
      </c>
      <c r="E1024" s="50" t="s">
        <v>87</v>
      </c>
      <c r="F1024" s="38" t="s">
        <v>88</v>
      </c>
      <c r="G1024" s="51">
        <v>1.8</v>
      </c>
      <c r="H1024" s="2" t="s">
        <v>69</v>
      </c>
      <c r="I1024" s="39">
        <v>0.88100000000000001</v>
      </c>
      <c r="J1024" s="39">
        <v>0.17599999999999999</v>
      </c>
      <c r="K1024" s="39">
        <v>0.14169999999999999</v>
      </c>
      <c r="L1024" s="39">
        <v>0.1119</v>
      </c>
      <c r="M1024" s="40">
        <v>5000</v>
      </c>
      <c r="N1024" s="52">
        <v>1000000</v>
      </c>
    </row>
    <row r="1025" spans="1:14" ht="15" customHeight="1" x14ac:dyDescent="0.25">
      <c r="A1025" s="64" t="str">
        <f t="shared" si="15"/>
        <v>1.8-11-0-TOU-2 year Reward Plus</v>
      </c>
      <c r="B1025" s="37" t="s">
        <v>13</v>
      </c>
      <c r="C1025" s="49">
        <v>11</v>
      </c>
      <c r="D1025" s="2" t="s">
        <v>20</v>
      </c>
      <c r="E1025" s="50" t="s">
        <v>87</v>
      </c>
      <c r="F1025" s="38" t="s">
        <v>88</v>
      </c>
      <c r="G1025" s="51">
        <v>1.8</v>
      </c>
      <c r="H1025" s="2" t="s">
        <v>69</v>
      </c>
      <c r="I1025" s="39">
        <v>0.86099999999999999</v>
      </c>
      <c r="J1025" s="39">
        <v>0.17909999999999998</v>
      </c>
      <c r="K1025" s="39">
        <v>0.14419999999999999</v>
      </c>
      <c r="L1025" s="39">
        <v>0.1138</v>
      </c>
      <c r="M1025" s="40">
        <v>5000</v>
      </c>
      <c r="N1025" s="52">
        <v>1000000</v>
      </c>
    </row>
    <row r="1026" spans="1:14" ht="15" customHeight="1" x14ac:dyDescent="0.25">
      <c r="A1026" s="64" t="str">
        <f t="shared" si="15"/>
        <v>1.8-12-0-TOU-2 year Reward Plus</v>
      </c>
      <c r="B1026" s="37" t="s">
        <v>13</v>
      </c>
      <c r="C1026" s="49">
        <v>12</v>
      </c>
      <c r="D1026" s="2" t="s">
        <v>21</v>
      </c>
      <c r="E1026" s="50" t="s">
        <v>87</v>
      </c>
      <c r="F1026" s="38" t="s">
        <v>88</v>
      </c>
      <c r="G1026" s="51">
        <v>1.8</v>
      </c>
      <c r="H1026" s="2" t="s">
        <v>69</v>
      </c>
      <c r="I1026" s="39">
        <v>0.90300000000000002</v>
      </c>
      <c r="J1026" s="39">
        <v>0.17559999999999998</v>
      </c>
      <c r="K1026" s="39">
        <v>0.1414</v>
      </c>
      <c r="L1026" s="39">
        <v>0.1116</v>
      </c>
      <c r="M1026" s="40">
        <v>5000</v>
      </c>
      <c r="N1026" s="52">
        <v>1000000</v>
      </c>
    </row>
    <row r="1027" spans="1:14" ht="15" customHeight="1" x14ac:dyDescent="0.25">
      <c r="A1027" s="64" t="str">
        <f t="shared" ref="A1027:A1090" si="16">IF(E1027="OP","",CONCATENATE(G1027,"-",C1027,"-",RIGHT(F1027,1),"-",E1027,"-",H1027))</f>
        <v>1.8-13-0-TOU-2 year Reward Plus</v>
      </c>
      <c r="B1027" s="37" t="s">
        <v>13</v>
      </c>
      <c r="C1027" s="49">
        <v>13</v>
      </c>
      <c r="D1027" s="2" t="s">
        <v>22</v>
      </c>
      <c r="E1027" s="50" t="s">
        <v>87</v>
      </c>
      <c r="F1027" s="38" t="s">
        <v>88</v>
      </c>
      <c r="G1027" s="51">
        <v>1.8</v>
      </c>
      <c r="H1027" s="2" t="s">
        <v>69</v>
      </c>
      <c r="I1027" s="39">
        <v>0.88100000000000001</v>
      </c>
      <c r="J1027" s="39">
        <v>0.18869999999999998</v>
      </c>
      <c r="K1027" s="39">
        <v>0.152</v>
      </c>
      <c r="L1027" s="39">
        <v>0.12000000000000001</v>
      </c>
      <c r="M1027" s="40">
        <v>5000</v>
      </c>
      <c r="N1027" s="52">
        <v>1000000</v>
      </c>
    </row>
    <row r="1028" spans="1:14" ht="15" customHeight="1" x14ac:dyDescent="0.25">
      <c r="A1028" s="64" t="str">
        <f t="shared" si="16"/>
        <v>1.8-14-0-TOU-2 year Reward Plus</v>
      </c>
      <c r="B1028" s="37" t="s">
        <v>13</v>
      </c>
      <c r="C1028" s="49">
        <v>14</v>
      </c>
      <c r="D1028" s="2" t="s">
        <v>23</v>
      </c>
      <c r="E1028" s="50" t="s">
        <v>87</v>
      </c>
      <c r="F1028" s="38" t="s">
        <v>88</v>
      </c>
      <c r="G1028" s="51">
        <v>1.8</v>
      </c>
      <c r="H1028" s="2" t="s">
        <v>69</v>
      </c>
      <c r="I1028" s="39">
        <v>0.89</v>
      </c>
      <c r="J1028" s="39">
        <v>0.18009999999999998</v>
      </c>
      <c r="K1028" s="39">
        <v>0.14499999999999999</v>
      </c>
      <c r="L1028" s="39">
        <v>0.1145</v>
      </c>
      <c r="M1028" s="40">
        <v>5000</v>
      </c>
      <c r="N1028" s="52">
        <v>1000000</v>
      </c>
    </row>
    <row r="1029" spans="1:14" ht="15" customHeight="1" x14ac:dyDescent="0.25">
      <c r="A1029" s="64" t="str">
        <f t="shared" si="16"/>
        <v>1.8-15-0-TOU-2 year Reward Plus</v>
      </c>
      <c r="B1029" s="37" t="s">
        <v>13</v>
      </c>
      <c r="C1029" s="49">
        <v>15</v>
      </c>
      <c r="D1029" s="2" t="s">
        <v>24</v>
      </c>
      <c r="E1029" s="50" t="s">
        <v>87</v>
      </c>
      <c r="F1029" s="38" t="s">
        <v>88</v>
      </c>
      <c r="G1029" s="51">
        <v>1.8</v>
      </c>
      <c r="H1029" s="2" t="s">
        <v>69</v>
      </c>
      <c r="I1029" s="39">
        <v>0.96</v>
      </c>
      <c r="J1029" s="39">
        <v>0.17989999999999998</v>
      </c>
      <c r="K1029" s="39">
        <v>0.14479999999999998</v>
      </c>
      <c r="L1029" s="39">
        <v>0.1143</v>
      </c>
      <c r="M1029" s="40">
        <v>5000</v>
      </c>
      <c r="N1029" s="52">
        <v>1000000</v>
      </c>
    </row>
    <row r="1030" spans="1:14" ht="15" customHeight="1" x14ac:dyDescent="0.25">
      <c r="A1030" s="64" t="str">
        <f t="shared" si="16"/>
        <v>1.8-16-0-TOU-2 year Reward Plus</v>
      </c>
      <c r="B1030" s="37" t="s">
        <v>13</v>
      </c>
      <c r="C1030" s="49">
        <v>16</v>
      </c>
      <c r="D1030" s="2" t="s">
        <v>25</v>
      </c>
      <c r="E1030" s="50" t="s">
        <v>87</v>
      </c>
      <c r="F1030" s="38" t="s">
        <v>88</v>
      </c>
      <c r="G1030" s="51">
        <v>1.8</v>
      </c>
      <c r="H1030" s="2" t="s">
        <v>69</v>
      </c>
      <c r="I1030" s="39">
        <v>0.72699999999999998</v>
      </c>
      <c r="J1030" s="39">
        <v>0.1792</v>
      </c>
      <c r="K1030" s="39">
        <v>0.14429999999999998</v>
      </c>
      <c r="L1030" s="39">
        <v>0.1139</v>
      </c>
      <c r="M1030" s="40">
        <v>5000</v>
      </c>
      <c r="N1030" s="52">
        <v>1000000</v>
      </c>
    </row>
    <row r="1031" spans="1:14" ht="15" customHeight="1" x14ac:dyDescent="0.25">
      <c r="A1031" s="64" t="str">
        <f t="shared" si="16"/>
        <v>1.8-17-0-TOU-2 year Reward Plus</v>
      </c>
      <c r="B1031" s="37" t="s">
        <v>13</v>
      </c>
      <c r="C1031" s="49">
        <v>17</v>
      </c>
      <c r="D1031" s="2" t="s">
        <v>26</v>
      </c>
      <c r="E1031" s="50" t="s">
        <v>87</v>
      </c>
      <c r="F1031" s="38" t="s">
        <v>88</v>
      </c>
      <c r="G1031" s="51">
        <v>1.8</v>
      </c>
      <c r="H1031" s="2" t="s">
        <v>69</v>
      </c>
      <c r="I1031" s="39">
        <v>1.67</v>
      </c>
      <c r="J1031" s="39">
        <v>0.19819999999999999</v>
      </c>
      <c r="K1031" s="39">
        <v>0.15959999999999999</v>
      </c>
      <c r="L1031" s="39">
        <v>0.126</v>
      </c>
      <c r="M1031" s="40">
        <v>5000</v>
      </c>
      <c r="N1031" s="52">
        <v>1000000</v>
      </c>
    </row>
    <row r="1032" spans="1:14" ht="15" customHeight="1" x14ac:dyDescent="0.25">
      <c r="A1032" s="64" t="str">
        <f t="shared" si="16"/>
        <v>1.8-18-0-TOU-2 year Reward Plus</v>
      </c>
      <c r="B1032" s="37" t="s">
        <v>13</v>
      </c>
      <c r="C1032" s="49">
        <v>18</v>
      </c>
      <c r="D1032" s="2" t="s">
        <v>27</v>
      </c>
      <c r="E1032" s="50" t="s">
        <v>87</v>
      </c>
      <c r="F1032" s="38" t="s">
        <v>88</v>
      </c>
      <c r="G1032" s="51">
        <v>1.8</v>
      </c>
      <c r="H1032" s="2" t="s">
        <v>69</v>
      </c>
      <c r="I1032" s="39">
        <v>0.89900000000000002</v>
      </c>
      <c r="J1032" s="39">
        <v>0.1787</v>
      </c>
      <c r="K1032" s="39">
        <v>0.1439</v>
      </c>
      <c r="L1032" s="39">
        <v>0.11360000000000001</v>
      </c>
      <c r="M1032" s="40">
        <v>5000</v>
      </c>
      <c r="N1032" s="52">
        <v>1000000</v>
      </c>
    </row>
    <row r="1033" spans="1:14" ht="15" customHeight="1" x14ac:dyDescent="0.25">
      <c r="A1033" s="64" t="str">
        <f t="shared" si="16"/>
        <v>1.8-19-0-TOU-2 year Reward Plus</v>
      </c>
      <c r="B1033" s="37" t="s">
        <v>13</v>
      </c>
      <c r="C1033" s="49">
        <v>19</v>
      </c>
      <c r="D1033" s="2" t="s">
        <v>28</v>
      </c>
      <c r="E1033" s="50" t="s">
        <v>87</v>
      </c>
      <c r="F1033" s="38" t="s">
        <v>88</v>
      </c>
      <c r="G1033" s="51">
        <v>1.8</v>
      </c>
      <c r="H1033" s="2" t="s">
        <v>69</v>
      </c>
      <c r="I1033" s="39">
        <v>0.77800000000000002</v>
      </c>
      <c r="J1033" s="39">
        <v>0.17749999999999999</v>
      </c>
      <c r="K1033" s="39">
        <v>0.1429</v>
      </c>
      <c r="L1033" s="39">
        <v>0.1128</v>
      </c>
      <c r="M1033" s="40">
        <v>5000</v>
      </c>
      <c r="N1033" s="52">
        <v>1000000</v>
      </c>
    </row>
    <row r="1034" spans="1:14" ht="15" customHeight="1" x14ac:dyDescent="0.25">
      <c r="A1034" s="64" t="str">
        <f t="shared" si="16"/>
        <v>1.8-20-0-TOU-2 year Reward Plus</v>
      </c>
      <c r="B1034" s="37" t="s">
        <v>13</v>
      </c>
      <c r="C1034" s="49">
        <v>20</v>
      </c>
      <c r="D1034" s="2" t="s">
        <v>29</v>
      </c>
      <c r="E1034" s="50" t="s">
        <v>87</v>
      </c>
      <c r="F1034" s="38" t="s">
        <v>88</v>
      </c>
      <c r="G1034" s="51">
        <v>1.8</v>
      </c>
      <c r="H1034" s="2" t="s">
        <v>69</v>
      </c>
      <c r="I1034" s="39">
        <v>0.82699999999999996</v>
      </c>
      <c r="J1034" s="39">
        <v>0.17759999999999998</v>
      </c>
      <c r="K1034" s="39">
        <v>0.14299999999999999</v>
      </c>
      <c r="L1034" s="39">
        <v>0.1129</v>
      </c>
      <c r="M1034" s="40">
        <v>5000</v>
      </c>
      <c r="N1034" s="52">
        <v>1000000</v>
      </c>
    </row>
    <row r="1035" spans="1:14" ht="15" customHeight="1" x14ac:dyDescent="0.25">
      <c r="A1035" s="64" t="str">
        <f t="shared" si="16"/>
        <v>1.8-21-0-TOU-2 year Reward Plus</v>
      </c>
      <c r="B1035" s="37" t="s">
        <v>13</v>
      </c>
      <c r="C1035" s="49">
        <v>21</v>
      </c>
      <c r="D1035" s="2" t="s">
        <v>30</v>
      </c>
      <c r="E1035" s="50" t="s">
        <v>87</v>
      </c>
      <c r="F1035" s="38" t="s">
        <v>88</v>
      </c>
      <c r="G1035" s="51">
        <v>1.8</v>
      </c>
      <c r="H1035" s="2" t="s">
        <v>69</v>
      </c>
      <c r="I1035" s="39">
        <v>0.92300000000000004</v>
      </c>
      <c r="J1035" s="39">
        <v>0.18779999999999999</v>
      </c>
      <c r="K1035" s="39">
        <v>0.1512</v>
      </c>
      <c r="L1035" s="39">
        <v>0.11940000000000001</v>
      </c>
      <c r="M1035" s="40">
        <v>5000</v>
      </c>
      <c r="N1035" s="52">
        <v>1000000</v>
      </c>
    </row>
    <row r="1036" spans="1:14" ht="15" customHeight="1" x14ac:dyDescent="0.25">
      <c r="A1036" s="64" t="str">
        <f t="shared" si="16"/>
        <v>1.8-22-0-TOU-2 year Reward Plus</v>
      </c>
      <c r="B1036" s="37" t="s">
        <v>13</v>
      </c>
      <c r="C1036" s="49">
        <v>22</v>
      </c>
      <c r="D1036" s="2" t="s">
        <v>31</v>
      </c>
      <c r="E1036" s="50" t="s">
        <v>87</v>
      </c>
      <c r="F1036" s="38" t="s">
        <v>88</v>
      </c>
      <c r="G1036" s="51">
        <v>1.8</v>
      </c>
      <c r="H1036" s="2" t="s">
        <v>69</v>
      </c>
      <c r="I1036" s="39">
        <v>0.90400000000000003</v>
      </c>
      <c r="J1036" s="39">
        <v>0.18839999999999998</v>
      </c>
      <c r="K1036" s="39">
        <v>0.1517</v>
      </c>
      <c r="L1036" s="39">
        <v>0.1197</v>
      </c>
      <c r="M1036" s="40">
        <v>5000</v>
      </c>
      <c r="N1036" s="52">
        <v>1000000</v>
      </c>
    </row>
    <row r="1037" spans="1:14" ht="15" customHeight="1" x14ac:dyDescent="0.25">
      <c r="A1037" s="64" t="str">
        <f t="shared" si="16"/>
        <v>1.8-23-0-TOU-2 year Reward Plus</v>
      </c>
      <c r="B1037" s="37" t="s">
        <v>13</v>
      </c>
      <c r="C1037" s="49">
        <v>23</v>
      </c>
      <c r="D1037" s="2" t="s">
        <v>32</v>
      </c>
      <c r="E1037" s="50" t="s">
        <v>87</v>
      </c>
      <c r="F1037" s="38" t="s">
        <v>88</v>
      </c>
      <c r="G1037" s="51">
        <v>1.8</v>
      </c>
      <c r="H1037" s="2" t="s">
        <v>69</v>
      </c>
      <c r="I1037" s="39">
        <v>0.90600000000000003</v>
      </c>
      <c r="J1037" s="39">
        <v>0.18009999999999998</v>
      </c>
      <c r="K1037" s="39">
        <v>0.14499999999999999</v>
      </c>
      <c r="L1037" s="39">
        <v>0.1145</v>
      </c>
      <c r="M1037" s="40">
        <v>5000</v>
      </c>
      <c r="N1037" s="52">
        <v>1000000</v>
      </c>
    </row>
    <row r="1038" spans="1:14" ht="15" customHeight="1" x14ac:dyDescent="0.25">
      <c r="A1038" s="64" t="str">
        <f t="shared" si="16"/>
        <v>1.9-10-0-TOU-2 year Reward Plus</v>
      </c>
      <c r="B1038" s="37" t="s">
        <v>13</v>
      </c>
      <c r="C1038" s="49">
        <v>10</v>
      </c>
      <c r="D1038" s="2" t="s">
        <v>14</v>
      </c>
      <c r="E1038" s="50" t="s">
        <v>87</v>
      </c>
      <c r="F1038" s="38" t="s">
        <v>88</v>
      </c>
      <c r="G1038" s="51">
        <v>1.9</v>
      </c>
      <c r="H1038" s="2" t="s">
        <v>69</v>
      </c>
      <c r="I1038" s="39">
        <v>0.88100000000000001</v>
      </c>
      <c r="J1038" s="39">
        <v>0.1772</v>
      </c>
      <c r="K1038" s="39">
        <v>0.14259999999999998</v>
      </c>
      <c r="L1038" s="39">
        <v>0.11260000000000001</v>
      </c>
      <c r="M1038" s="40">
        <v>5000</v>
      </c>
      <c r="N1038" s="52">
        <v>1000000</v>
      </c>
    </row>
    <row r="1039" spans="1:14" ht="15" customHeight="1" x14ac:dyDescent="0.25">
      <c r="A1039" s="64" t="str">
        <f t="shared" si="16"/>
        <v>1.9-11-0-TOU-2 year Reward Plus</v>
      </c>
      <c r="B1039" s="37" t="s">
        <v>13</v>
      </c>
      <c r="C1039" s="49">
        <v>11</v>
      </c>
      <c r="D1039" s="2" t="s">
        <v>20</v>
      </c>
      <c r="E1039" s="50" t="s">
        <v>87</v>
      </c>
      <c r="F1039" s="38" t="s">
        <v>88</v>
      </c>
      <c r="G1039" s="51">
        <v>1.9</v>
      </c>
      <c r="H1039" s="2" t="s">
        <v>69</v>
      </c>
      <c r="I1039" s="39">
        <v>0.86099999999999999</v>
      </c>
      <c r="J1039" s="39">
        <v>0.1802</v>
      </c>
      <c r="K1039" s="39">
        <v>0.14509999999999998</v>
      </c>
      <c r="L1039" s="39">
        <v>0.11460000000000001</v>
      </c>
      <c r="M1039" s="40">
        <v>5000</v>
      </c>
      <c r="N1039" s="52">
        <v>1000000</v>
      </c>
    </row>
    <row r="1040" spans="1:14" ht="15" customHeight="1" x14ac:dyDescent="0.25">
      <c r="A1040" s="64" t="str">
        <f t="shared" si="16"/>
        <v>1.9-12-0-TOU-2 year Reward Plus</v>
      </c>
      <c r="B1040" s="37" t="s">
        <v>13</v>
      </c>
      <c r="C1040" s="49">
        <v>12</v>
      </c>
      <c r="D1040" s="2" t="s">
        <v>21</v>
      </c>
      <c r="E1040" s="50" t="s">
        <v>87</v>
      </c>
      <c r="F1040" s="38" t="s">
        <v>88</v>
      </c>
      <c r="G1040" s="51">
        <v>1.9</v>
      </c>
      <c r="H1040" s="2" t="s">
        <v>69</v>
      </c>
      <c r="I1040" s="39">
        <v>0.90300000000000002</v>
      </c>
      <c r="J1040" s="39">
        <v>0.17679999999999998</v>
      </c>
      <c r="K1040" s="39">
        <v>0.1424</v>
      </c>
      <c r="L1040" s="39">
        <v>0.1124</v>
      </c>
      <c r="M1040" s="40">
        <v>5000</v>
      </c>
      <c r="N1040" s="52">
        <v>1000000</v>
      </c>
    </row>
    <row r="1041" spans="1:14" ht="15" customHeight="1" x14ac:dyDescent="0.25">
      <c r="A1041" s="64" t="str">
        <f t="shared" si="16"/>
        <v>1.9-13-0-TOU-2 year Reward Plus</v>
      </c>
      <c r="B1041" s="37" t="s">
        <v>13</v>
      </c>
      <c r="C1041" s="49">
        <v>13</v>
      </c>
      <c r="D1041" s="2" t="s">
        <v>22</v>
      </c>
      <c r="E1041" s="50" t="s">
        <v>87</v>
      </c>
      <c r="F1041" s="38" t="s">
        <v>88</v>
      </c>
      <c r="G1041" s="51">
        <v>1.9</v>
      </c>
      <c r="H1041" s="2" t="s">
        <v>69</v>
      </c>
      <c r="I1041" s="39">
        <v>0.88100000000000001</v>
      </c>
      <c r="J1041" s="39">
        <v>0.18989999999999999</v>
      </c>
      <c r="K1041" s="39">
        <v>0.15289999999999998</v>
      </c>
      <c r="L1041" s="39">
        <v>0.1207</v>
      </c>
      <c r="M1041" s="40">
        <v>5000</v>
      </c>
      <c r="N1041" s="52">
        <v>1000000</v>
      </c>
    </row>
    <row r="1042" spans="1:14" ht="15" customHeight="1" x14ac:dyDescent="0.25">
      <c r="A1042" s="64" t="str">
        <f t="shared" si="16"/>
        <v>1.9-14-0-TOU-2 year Reward Plus</v>
      </c>
      <c r="B1042" s="37" t="s">
        <v>13</v>
      </c>
      <c r="C1042" s="49">
        <v>14</v>
      </c>
      <c r="D1042" s="2" t="s">
        <v>23</v>
      </c>
      <c r="E1042" s="50" t="s">
        <v>87</v>
      </c>
      <c r="F1042" s="38" t="s">
        <v>88</v>
      </c>
      <c r="G1042" s="51">
        <v>1.9</v>
      </c>
      <c r="H1042" s="2" t="s">
        <v>69</v>
      </c>
      <c r="I1042" s="39">
        <v>0.89</v>
      </c>
      <c r="J1042" s="39">
        <v>0.18129999999999999</v>
      </c>
      <c r="K1042" s="39">
        <v>0.14599999999999999</v>
      </c>
      <c r="L1042" s="39">
        <v>0.1152</v>
      </c>
      <c r="M1042" s="40">
        <v>5000</v>
      </c>
      <c r="N1042" s="52">
        <v>1000000</v>
      </c>
    </row>
    <row r="1043" spans="1:14" ht="15" customHeight="1" x14ac:dyDescent="0.25">
      <c r="A1043" s="64" t="str">
        <f t="shared" si="16"/>
        <v>1.9-15-0-TOU-2 year Reward Plus</v>
      </c>
      <c r="B1043" s="37" t="s">
        <v>13</v>
      </c>
      <c r="C1043" s="49">
        <v>15</v>
      </c>
      <c r="D1043" s="2" t="s">
        <v>24</v>
      </c>
      <c r="E1043" s="50" t="s">
        <v>87</v>
      </c>
      <c r="F1043" s="38" t="s">
        <v>88</v>
      </c>
      <c r="G1043" s="51">
        <v>1.9</v>
      </c>
      <c r="H1043" s="2" t="s">
        <v>69</v>
      </c>
      <c r="I1043" s="39">
        <v>0.96</v>
      </c>
      <c r="J1043" s="39">
        <v>0.18109999999999998</v>
      </c>
      <c r="K1043" s="39">
        <v>0.14579999999999999</v>
      </c>
      <c r="L1043" s="39">
        <v>0.11510000000000001</v>
      </c>
      <c r="M1043" s="40">
        <v>5000</v>
      </c>
      <c r="N1043" s="52">
        <v>1000000</v>
      </c>
    </row>
    <row r="1044" spans="1:14" ht="15" customHeight="1" x14ac:dyDescent="0.25">
      <c r="A1044" s="64" t="str">
        <f t="shared" si="16"/>
        <v>1.9-16-0-TOU-2 year Reward Plus</v>
      </c>
      <c r="B1044" s="37" t="s">
        <v>13</v>
      </c>
      <c r="C1044" s="49">
        <v>16</v>
      </c>
      <c r="D1044" s="2" t="s">
        <v>25</v>
      </c>
      <c r="E1044" s="50" t="s">
        <v>87</v>
      </c>
      <c r="F1044" s="38" t="s">
        <v>88</v>
      </c>
      <c r="G1044" s="51">
        <v>1.9</v>
      </c>
      <c r="H1044" s="2" t="s">
        <v>69</v>
      </c>
      <c r="I1044" s="39">
        <v>0.72699999999999998</v>
      </c>
      <c r="J1044" s="39">
        <v>0.18039999999999998</v>
      </c>
      <c r="K1044" s="39">
        <v>0.1452</v>
      </c>
      <c r="L1044" s="39">
        <v>0.11459999999999999</v>
      </c>
      <c r="M1044" s="40">
        <v>5000</v>
      </c>
      <c r="N1044" s="52">
        <v>1000000</v>
      </c>
    </row>
    <row r="1045" spans="1:14" ht="15" customHeight="1" x14ac:dyDescent="0.25">
      <c r="A1045" s="64" t="str">
        <f t="shared" si="16"/>
        <v>1.9-17-0-TOU-2 year Reward Plus</v>
      </c>
      <c r="B1045" s="37" t="s">
        <v>13</v>
      </c>
      <c r="C1045" s="49">
        <v>17</v>
      </c>
      <c r="D1045" s="2" t="s">
        <v>26</v>
      </c>
      <c r="E1045" s="50" t="s">
        <v>87</v>
      </c>
      <c r="F1045" s="38" t="s">
        <v>88</v>
      </c>
      <c r="G1045" s="51">
        <v>1.9</v>
      </c>
      <c r="H1045" s="2" t="s">
        <v>69</v>
      </c>
      <c r="I1045" s="39">
        <v>1.67</v>
      </c>
      <c r="J1045" s="39">
        <v>0.19939999999999999</v>
      </c>
      <c r="K1045" s="39">
        <v>0.16049999999999998</v>
      </c>
      <c r="L1045" s="39">
        <v>0.12669999999999998</v>
      </c>
      <c r="M1045" s="40">
        <v>5000</v>
      </c>
      <c r="N1045" s="52">
        <v>1000000</v>
      </c>
    </row>
    <row r="1046" spans="1:14" ht="15" customHeight="1" x14ac:dyDescent="0.25">
      <c r="A1046" s="64" t="str">
        <f t="shared" si="16"/>
        <v>1.9-18-0-TOU-2 year Reward Plus</v>
      </c>
      <c r="B1046" s="37" t="s">
        <v>13</v>
      </c>
      <c r="C1046" s="49">
        <v>18</v>
      </c>
      <c r="D1046" s="2" t="s">
        <v>27</v>
      </c>
      <c r="E1046" s="50" t="s">
        <v>87</v>
      </c>
      <c r="F1046" s="38" t="s">
        <v>88</v>
      </c>
      <c r="G1046" s="51">
        <v>1.9</v>
      </c>
      <c r="H1046" s="2" t="s">
        <v>69</v>
      </c>
      <c r="I1046" s="39">
        <v>0.89900000000000002</v>
      </c>
      <c r="J1046" s="39">
        <v>0.17989999999999998</v>
      </c>
      <c r="K1046" s="39">
        <v>0.14479999999999998</v>
      </c>
      <c r="L1046" s="39">
        <v>0.1143</v>
      </c>
      <c r="M1046" s="40">
        <v>5000</v>
      </c>
      <c r="N1046" s="52">
        <v>1000000</v>
      </c>
    </row>
    <row r="1047" spans="1:14" ht="15" customHeight="1" x14ac:dyDescent="0.25">
      <c r="A1047" s="64" t="str">
        <f t="shared" si="16"/>
        <v>1.9-19-0-TOU-2 year Reward Plus</v>
      </c>
      <c r="B1047" s="37" t="s">
        <v>13</v>
      </c>
      <c r="C1047" s="49">
        <v>19</v>
      </c>
      <c r="D1047" s="2" t="s">
        <v>28</v>
      </c>
      <c r="E1047" s="50" t="s">
        <v>87</v>
      </c>
      <c r="F1047" s="38" t="s">
        <v>88</v>
      </c>
      <c r="G1047" s="51">
        <v>1.9</v>
      </c>
      <c r="H1047" s="2" t="s">
        <v>69</v>
      </c>
      <c r="I1047" s="39">
        <v>0.77800000000000002</v>
      </c>
      <c r="J1047" s="39">
        <v>0.1787</v>
      </c>
      <c r="K1047" s="39">
        <v>0.1439</v>
      </c>
      <c r="L1047" s="39">
        <v>0.11360000000000001</v>
      </c>
      <c r="M1047" s="40">
        <v>5000</v>
      </c>
      <c r="N1047" s="52">
        <v>1000000</v>
      </c>
    </row>
    <row r="1048" spans="1:14" ht="15" customHeight="1" x14ac:dyDescent="0.25">
      <c r="A1048" s="64" t="str">
        <f t="shared" si="16"/>
        <v>1.9-20-0-TOU-2 year Reward Plus</v>
      </c>
      <c r="B1048" s="37" t="s">
        <v>13</v>
      </c>
      <c r="C1048" s="49">
        <v>20</v>
      </c>
      <c r="D1048" s="2" t="s">
        <v>29</v>
      </c>
      <c r="E1048" s="50" t="s">
        <v>87</v>
      </c>
      <c r="F1048" s="38" t="s">
        <v>88</v>
      </c>
      <c r="G1048" s="51">
        <v>1.9</v>
      </c>
      <c r="H1048" s="2" t="s">
        <v>69</v>
      </c>
      <c r="I1048" s="39">
        <v>0.82699999999999996</v>
      </c>
      <c r="J1048" s="39">
        <v>0.17879999999999999</v>
      </c>
      <c r="K1048" s="39">
        <v>0.14399999999999999</v>
      </c>
      <c r="L1048" s="39">
        <v>0.11370000000000001</v>
      </c>
      <c r="M1048" s="40">
        <v>5000</v>
      </c>
      <c r="N1048" s="52">
        <v>1000000</v>
      </c>
    </row>
    <row r="1049" spans="1:14" ht="15" customHeight="1" x14ac:dyDescent="0.25">
      <c r="A1049" s="64" t="str">
        <f t="shared" si="16"/>
        <v>1.9-21-0-TOU-2 year Reward Plus</v>
      </c>
      <c r="B1049" s="37" t="s">
        <v>13</v>
      </c>
      <c r="C1049" s="49">
        <v>21</v>
      </c>
      <c r="D1049" s="2" t="s">
        <v>30</v>
      </c>
      <c r="E1049" s="50" t="s">
        <v>87</v>
      </c>
      <c r="F1049" s="38" t="s">
        <v>88</v>
      </c>
      <c r="G1049" s="51">
        <v>1.9</v>
      </c>
      <c r="H1049" s="2" t="s">
        <v>69</v>
      </c>
      <c r="I1049" s="39">
        <v>0.92300000000000004</v>
      </c>
      <c r="J1049" s="39">
        <v>0.189</v>
      </c>
      <c r="K1049" s="39">
        <v>0.15209999999999999</v>
      </c>
      <c r="L1049" s="39">
        <v>0.1201</v>
      </c>
      <c r="M1049" s="40">
        <v>5000</v>
      </c>
      <c r="N1049" s="52">
        <v>1000000</v>
      </c>
    </row>
    <row r="1050" spans="1:14" ht="15" customHeight="1" x14ac:dyDescent="0.25">
      <c r="A1050" s="64" t="str">
        <f t="shared" si="16"/>
        <v>1.9-22-0-TOU-2 year Reward Plus</v>
      </c>
      <c r="B1050" s="37" t="s">
        <v>13</v>
      </c>
      <c r="C1050" s="49">
        <v>22</v>
      </c>
      <c r="D1050" s="2" t="s">
        <v>31</v>
      </c>
      <c r="E1050" s="50" t="s">
        <v>87</v>
      </c>
      <c r="F1050" s="38" t="s">
        <v>88</v>
      </c>
      <c r="G1050" s="51">
        <v>1.9</v>
      </c>
      <c r="H1050" s="2" t="s">
        <v>69</v>
      </c>
      <c r="I1050" s="39">
        <v>0.90400000000000003</v>
      </c>
      <c r="J1050" s="39">
        <v>0.18959999999999999</v>
      </c>
      <c r="K1050" s="39">
        <v>0.15259999999999999</v>
      </c>
      <c r="L1050" s="39">
        <v>0.1205</v>
      </c>
      <c r="M1050" s="40">
        <v>5000</v>
      </c>
      <c r="N1050" s="52">
        <v>1000000</v>
      </c>
    </row>
    <row r="1051" spans="1:14" ht="15" customHeight="1" x14ac:dyDescent="0.25">
      <c r="A1051" s="64" t="str">
        <f t="shared" si="16"/>
        <v>1.9-23-0-TOU-2 year Reward Plus</v>
      </c>
      <c r="B1051" s="37" t="s">
        <v>13</v>
      </c>
      <c r="C1051" s="49">
        <v>23</v>
      </c>
      <c r="D1051" s="2" t="s">
        <v>32</v>
      </c>
      <c r="E1051" s="50" t="s">
        <v>87</v>
      </c>
      <c r="F1051" s="38" t="s">
        <v>88</v>
      </c>
      <c r="G1051" s="51">
        <v>1.9</v>
      </c>
      <c r="H1051" s="2" t="s">
        <v>69</v>
      </c>
      <c r="I1051" s="39">
        <v>0.90600000000000003</v>
      </c>
      <c r="J1051" s="39">
        <v>0.18129999999999999</v>
      </c>
      <c r="K1051" s="39">
        <v>0.14599999999999999</v>
      </c>
      <c r="L1051" s="39">
        <v>0.1152</v>
      </c>
      <c r="M1051" s="40">
        <v>5000</v>
      </c>
      <c r="N1051" s="52">
        <v>1000000</v>
      </c>
    </row>
    <row r="1052" spans="1:14" ht="15" customHeight="1" x14ac:dyDescent="0.25">
      <c r="A1052" s="64" t="str">
        <f t="shared" si="16"/>
        <v>2-10-0-TOU-2 year Reward Plus</v>
      </c>
      <c r="B1052" s="37" t="s">
        <v>13</v>
      </c>
      <c r="C1052" s="49">
        <v>10</v>
      </c>
      <c r="D1052" s="2" t="s">
        <v>14</v>
      </c>
      <c r="E1052" s="50" t="s">
        <v>87</v>
      </c>
      <c r="F1052" s="38" t="s">
        <v>88</v>
      </c>
      <c r="G1052" s="51">
        <v>2</v>
      </c>
      <c r="H1052" s="2" t="s">
        <v>69</v>
      </c>
      <c r="I1052" s="39">
        <v>0.88100000000000001</v>
      </c>
      <c r="J1052" s="39">
        <v>0.17829999999999999</v>
      </c>
      <c r="K1052" s="39">
        <v>0.14359999999999998</v>
      </c>
      <c r="L1052" s="39">
        <v>0.1134</v>
      </c>
      <c r="M1052" s="40">
        <v>5000</v>
      </c>
      <c r="N1052" s="52">
        <v>1000000</v>
      </c>
    </row>
    <row r="1053" spans="1:14" ht="15" customHeight="1" x14ac:dyDescent="0.25">
      <c r="A1053" s="64" t="str">
        <f t="shared" si="16"/>
        <v>2-11-0-TOU-2 year Reward Plus</v>
      </c>
      <c r="B1053" s="37" t="s">
        <v>13</v>
      </c>
      <c r="C1053" s="49">
        <v>11</v>
      </c>
      <c r="D1053" s="2" t="s">
        <v>20</v>
      </c>
      <c r="E1053" s="50" t="s">
        <v>87</v>
      </c>
      <c r="F1053" s="38" t="s">
        <v>88</v>
      </c>
      <c r="G1053" s="51">
        <v>2</v>
      </c>
      <c r="H1053" s="2" t="s">
        <v>69</v>
      </c>
      <c r="I1053" s="39">
        <v>0.86099999999999999</v>
      </c>
      <c r="J1053" s="39">
        <v>0.18139999999999998</v>
      </c>
      <c r="K1053" s="39">
        <v>0.14609999999999998</v>
      </c>
      <c r="L1053" s="39">
        <v>0.1153</v>
      </c>
      <c r="M1053" s="40">
        <v>5000</v>
      </c>
      <c r="N1053" s="52">
        <v>1000000</v>
      </c>
    </row>
    <row r="1054" spans="1:14" ht="15" customHeight="1" x14ac:dyDescent="0.25">
      <c r="A1054" s="64" t="str">
        <f t="shared" si="16"/>
        <v>2-12-0-TOU-2 year Reward Plus</v>
      </c>
      <c r="B1054" s="37" t="s">
        <v>13</v>
      </c>
      <c r="C1054" s="49">
        <v>12</v>
      </c>
      <c r="D1054" s="2" t="s">
        <v>21</v>
      </c>
      <c r="E1054" s="50" t="s">
        <v>87</v>
      </c>
      <c r="F1054" s="38" t="s">
        <v>88</v>
      </c>
      <c r="G1054" s="51">
        <v>2</v>
      </c>
      <c r="H1054" s="2" t="s">
        <v>69</v>
      </c>
      <c r="I1054" s="39">
        <v>0.90300000000000002</v>
      </c>
      <c r="J1054" s="39">
        <v>0.17799999999999999</v>
      </c>
      <c r="K1054" s="39">
        <v>0.14329999999999998</v>
      </c>
      <c r="L1054" s="39">
        <v>0.11310000000000001</v>
      </c>
      <c r="M1054" s="40">
        <v>5000</v>
      </c>
      <c r="N1054" s="52">
        <v>1000000</v>
      </c>
    </row>
    <row r="1055" spans="1:14" ht="15" customHeight="1" x14ac:dyDescent="0.25">
      <c r="A1055" s="64" t="str">
        <f t="shared" si="16"/>
        <v>2-13-0-TOU-2 year Reward Plus</v>
      </c>
      <c r="B1055" s="37" t="s">
        <v>13</v>
      </c>
      <c r="C1055" s="49">
        <v>13</v>
      </c>
      <c r="D1055" s="2" t="s">
        <v>22</v>
      </c>
      <c r="E1055" s="50" t="s">
        <v>87</v>
      </c>
      <c r="F1055" s="38" t="s">
        <v>88</v>
      </c>
      <c r="G1055" s="51">
        <v>2</v>
      </c>
      <c r="H1055" s="2" t="s">
        <v>69</v>
      </c>
      <c r="I1055" s="39">
        <v>0.88100000000000001</v>
      </c>
      <c r="J1055" s="39">
        <v>0.19109999999999999</v>
      </c>
      <c r="K1055" s="39">
        <v>0.15389999999999998</v>
      </c>
      <c r="L1055" s="39">
        <v>0.1215</v>
      </c>
      <c r="M1055" s="40">
        <v>5000</v>
      </c>
      <c r="N1055" s="52">
        <v>1000000</v>
      </c>
    </row>
    <row r="1056" spans="1:14" ht="15" customHeight="1" x14ac:dyDescent="0.25">
      <c r="A1056" s="64" t="str">
        <f t="shared" si="16"/>
        <v>2-14-0-TOU-2 year Reward Plus</v>
      </c>
      <c r="B1056" s="37" t="s">
        <v>13</v>
      </c>
      <c r="C1056" s="49">
        <v>14</v>
      </c>
      <c r="D1056" s="2" t="s">
        <v>23</v>
      </c>
      <c r="E1056" s="50" t="s">
        <v>87</v>
      </c>
      <c r="F1056" s="38" t="s">
        <v>88</v>
      </c>
      <c r="G1056" s="51">
        <v>2</v>
      </c>
      <c r="H1056" s="2" t="s">
        <v>69</v>
      </c>
      <c r="I1056" s="39">
        <v>0.89</v>
      </c>
      <c r="J1056" s="39">
        <v>0.1825</v>
      </c>
      <c r="K1056" s="39">
        <v>0.1469</v>
      </c>
      <c r="L1056" s="39">
        <v>0.11600000000000001</v>
      </c>
      <c r="M1056" s="40">
        <v>5000</v>
      </c>
      <c r="N1056" s="52">
        <v>1000000</v>
      </c>
    </row>
    <row r="1057" spans="1:14" ht="15" customHeight="1" x14ac:dyDescent="0.25">
      <c r="A1057" s="64" t="str">
        <f t="shared" si="16"/>
        <v>2-15-0-TOU-2 year Reward Plus</v>
      </c>
      <c r="B1057" s="37" t="s">
        <v>13</v>
      </c>
      <c r="C1057" s="49">
        <v>15</v>
      </c>
      <c r="D1057" s="2" t="s">
        <v>24</v>
      </c>
      <c r="E1057" s="50" t="s">
        <v>87</v>
      </c>
      <c r="F1057" s="38" t="s">
        <v>88</v>
      </c>
      <c r="G1057" s="51">
        <v>2</v>
      </c>
      <c r="H1057" s="2" t="s">
        <v>69</v>
      </c>
      <c r="I1057" s="39">
        <v>0.96</v>
      </c>
      <c r="J1057" s="39">
        <v>0.1822</v>
      </c>
      <c r="K1057" s="39">
        <v>0.1467</v>
      </c>
      <c r="L1057" s="39">
        <v>0.1158</v>
      </c>
      <c r="M1057" s="40">
        <v>5000</v>
      </c>
      <c r="N1057" s="52">
        <v>1000000</v>
      </c>
    </row>
    <row r="1058" spans="1:14" ht="15" customHeight="1" x14ac:dyDescent="0.25">
      <c r="A1058" s="64" t="str">
        <f t="shared" si="16"/>
        <v>2-16-0-TOU-2 year Reward Plus</v>
      </c>
      <c r="B1058" s="37" t="s">
        <v>13</v>
      </c>
      <c r="C1058" s="49">
        <v>16</v>
      </c>
      <c r="D1058" s="2" t="s">
        <v>25</v>
      </c>
      <c r="E1058" s="50" t="s">
        <v>87</v>
      </c>
      <c r="F1058" s="38" t="s">
        <v>88</v>
      </c>
      <c r="G1058" s="51">
        <v>2</v>
      </c>
      <c r="H1058" s="2" t="s">
        <v>69</v>
      </c>
      <c r="I1058" s="39">
        <v>0.72699999999999998</v>
      </c>
      <c r="J1058" s="39">
        <v>0.18149999999999999</v>
      </c>
      <c r="K1058" s="39">
        <v>0.1462</v>
      </c>
      <c r="L1058" s="39">
        <v>0.1154</v>
      </c>
      <c r="M1058" s="40">
        <v>5000</v>
      </c>
      <c r="N1058" s="52">
        <v>1000000</v>
      </c>
    </row>
    <row r="1059" spans="1:14" ht="15" customHeight="1" x14ac:dyDescent="0.25">
      <c r="A1059" s="64" t="str">
        <f t="shared" si="16"/>
        <v>2-17-0-TOU-2 year Reward Plus</v>
      </c>
      <c r="B1059" s="37" t="s">
        <v>13</v>
      </c>
      <c r="C1059" s="49">
        <v>17</v>
      </c>
      <c r="D1059" s="2" t="s">
        <v>26</v>
      </c>
      <c r="E1059" s="50" t="s">
        <v>87</v>
      </c>
      <c r="F1059" s="38" t="s">
        <v>88</v>
      </c>
      <c r="G1059" s="51">
        <v>2</v>
      </c>
      <c r="H1059" s="2" t="s">
        <v>69</v>
      </c>
      <c r="I1059" s="39">
        <v>1.67</v>
      </c>
      <c r="J1059" s="39">
        <v>0.20049999999999998</v>
      </c>
      <c r="K1059" s="39">
        <v>0.16149999999999998</v>
      </c>
      <c r="L1059" s="39">
        <v>0.1275</v>
      </c>
      <c r="M1059" s="40">
        <v>5000</v>
      </c>
      <c r="N1059" s="52">
        <v>1000000</v>
      </c>
    </row>
    <row r="1060" spans="1:14" ht="15" customHeight="1" x14ac:dyDescent="0.25">
      <c r="A1060" s="64" t="str">
        <f t="shared" si="16"/>
        <v>2-18-0-TOU-2 year Reward Plus</v>
      </c>
      <c r="B1060" s="37" t="s">
        <v>13</v>
      </c>
      <c r="C1060" s="49">
        <v>18</v>
      </c>
      <c r="D1060" s="2" t="s">
        <v>27</v>
      </c>
      <c r="E1060" s="50" t="s">
        <v>87</v>
      </c>
      <c r="F1060" s="38" t="s">
        <v>88</v>
      </c>
      <c r="G1060" s="51">
        <v>2</v>
      </c>
      <c r="H1060" s="2" t="s">
        <v>69</v>
      </c>
      <c r="I1060" s="39">
        <v>0.89900000000000002</v>
      </c>
      <c r="J1060" s="39">
        <v>0.18109999999999998</v>
      </c>
      <c r="K1060" s="39">
        <v>0.14579999999999999</v>
      </c>
      <c r="L1060" s="39">
        <v>0.11510000000000001</v>
      </c>
      <c r="M1060" s="40">
        <v>5000</v>
      </c>
      <c r="N1060" s="52">
        <v>1000000</v>
      </c>
    </row>
    <row r="1061" spans="1:14" ht="15" customHeight="1" x14ac:dyDescent="0.25">
      <c r="A1061" s="64" t="str">
        <f t="shared" si="16"/>
        <v>2-19-0-TOU-2 year Reward Plus</v>
      </c>
      <c r="B1061" s="37" t="s">
        <v>13</v>
      </c>
      <c r="C1061" s="49">
        <v>19</v>
      </c>
      <c r="D1061" s="2" t="s">
        <v>28</v>
      </c>
      <c r="E1061" s="50" t="s">
        <v>87</v>
      </c>
      <c r="F1061" s="38" t="s">
        <v>88</v>
      </c>
      <c r="G1061" s="51">
        <v>2</v>
      </c>
      <c r="H1061" s="2" t="s">
        <v>69</v>
      </c>
      <c r="I1061" s="39">
        <v>0.77800000000000002</v>
      </c>
      <c r="J1061" s="39">
        <v>0.17989999999999998</v>
      </c>
      <c r="K1061" s="39">
        <v>0.14479999999999998</v>
      </c>
      <c r="L1061" s="39">
        <v>0.1143</v>
      </c>
      <c r="M1061" s="40">
        <v>5000</v>
      </c>
      <c r="N1061" s="52">
        <v>1000000</v>
      </c>
    </row>
    <row r="1062" spans="1:14" ht="15" customHeight="1" x14ac:dyDescent="0.25">
      <c r="A1062" s="64" t="str">
        <f t="shared" si="16"/>
        <v>2-20-0-TOU-2 year Reward Plus</v>
      </c>
      <c r="B1062" s="37" t="s">
        <v>13</v>
      </c>
      <c r="C1062" s="49">
        <v>20</v>
      </c>
      <c r="D1062" s="2" t="s">
        <v>29</v>
      </c>
      <c r="E1062" s="50" t="s">
        <v>87</v>
      </c>
      <c r="F1062" s="38" t="s">
        <v>88</v>
      </c>
      <c r="G1062" s="51">
        <v>2</v>
      </c>
      <c r="H1062" s="2" t="s">
        <v>69</v>
      </c>
      <c r="I1062" s="39">
        <v>0.82699999999999996</v>
      </c>
      <c r="J1062" s="39">
        <v>0.18</v>
      </c>
      <c r="K1062" s="39">
        <v>0.1449</v>
      </c>
      <c r="L1062" s="39">
        <v>0.1144</v>
      </c>
      <c r="M1062" s="40">
        <v>5000</v>
      </c>
      <c r="N1062" s="52">
        <v>1000000</v>
      </c>
    </row>
    <row r="1063" spans="1:14" ht="15" customHeight="1" x14ac:dyDescent="0.25">
      <c r="A1063" s="64" t="str">
        <f t="shared" si="16"/>
        <v>2-21-0-TOU-2 year Reward Plus</v>
      </c>
      <c r="B1063" s="37" t="s">
        <v>13</v>
      </c>
      <c r="C1063" s="49">
        <v>21</v>
      </c>
      <c r="D1063" s="2" t="s">
        <v>30</v>
      </c>
      <c r="E1063" s="50" t="s">
        <v>87</v>
      </c>
      <c r="F1063" s="38" t="s">
        <v>88</v>
      </c>
      <c r="G1063" s="51">
        <v>2</v>
      </c>
      <c r="H1063" s="2" t="s">
        <v>69</v>
      </c>
      <c r="I1063" s="39">
        <v>0.92300000000000004</v>
      </c>
      <c r="J1063" s="39">
        <v>0.19009999999999999</v>
      </c>
      <c r="K1063" s="39">
        <v>0.15309999999999999</v>
      </c>
      <c r="L1063" s="39">
        <v>0.12090000000000001</v>
      </c>
      <c r="M1063" s="40">
        <v>5000</v>
      </c>
      <c r="N1063" s="52">
        <v>1000000</v>
      </c>
    </row>
    <row r="1064" spans="1:14" ht="15" customHeight="1" x14ac:dyDescent="0.25">
      <c r="A1064" s="64" t="str">
        <f t="shared" si="16"/>
        <v>2-22-0-TOU-2 year Reward Plus</v>
      </c>
      <c r="B1064" s="37" t="s">
        <v>13</v>
      </c>
      <c r="C1064" s="49">
        <v>22</v>
      </c>
      <c r="D1064" s="2" t="s">
        <v>31</v>
      </c>
      <c r="E1064" s="50" t="s">
        <v>87</v>
      </c>
      <c r="F1064" s="38" t="s">
        <v>88</v>
      </c>
      <c r="G1064" s="51">
        <v>2</v>
      </c>
      <c r="H1064" s="2" t="s">
        <v>69</v>
      </c>
      <c r="I1064" s="39">
        <v>0.90400000000000003</v>
      </c>
      <c r="J1064" s="39">
        <v>0.19069999999999998</v>
      </c>
      <c r="K1064" s="39">
        <v>0.15359999999999999</v>
      </c>
      <c r="L1064" s="39">
        <v>0.1212</v>
      </c>
      <c r="M1064" s="40">
        <v>5000</v>
      </c>
      <c r="N1064" s="52">
        <v>1000000</v>
      </c>
    </row>
    <row r="1065" spans="1:14" ht="15" customHeight="1" x14ac:dyDescent="0.25">
      <c r="A1065" s="64" t="str">
        <f t="shared" si="16"/>
        <v>2-23-0-TOU-2 year Reward Plus</v>
      </c>
      <c r="B1065" s="37" t="s">
        <v>13</v>
      </c>
      <c r="C1065" s="49">
        <v>23</v>
      </c>
      <c r="D1065" s="2" t="s">
        <v>32</v>
      </c>
      <c r="E1065" s="50" t="s">
        <v>87</v>
      </c>
      <c r="F1065" s="38" t="s">
        <v>88</v>
      </c>
      <c r="G1065" s="51">
        <v>2</v>
      </c>
      <c r="H1065" s="2" t="s">
        <v>69</v>
      </c>
      <c r="I1065" s="39">
        <v>0.90600000000000003</v>
      </c>
      <c r="J1065" s="39">
        <v>0.1825</v>
      </c>
      <c r="K1065" s="39">
        <v>0.1469</v>
      </c>
      <c r="L1065" s="39">
        <v>0.11600000000000001</v>
      </c>
      <c r="M1065" s="40">
        <v>5000</v>
      </c>
      <c r="N1065" s="52">
        <v>1000000</v>
      </c>
    </row>
    <row r="1066" spans="1:14" ht="15" customHeight="1" x14ac:dyDescent="0.25">
      <c r="A1066" s="64" t="str">
        <f t="shared" si="16"/>
        <v>2.1-10-0-TOU-2 year Reward Plus</v>
      </c>
      <c r="B1066" s="37" t="s">
        <v>13</v>
      </c>
      <c r="C1066" s="49">
        <v>10</v>
      </c>
      <c r="D1066" s="2" t="s">
        <v>14</v>
      </c>
      <c r="E1066" s="50" t="s">
        <v>87</v>
      </c>
      <c r="F1066" s="38" t="s">
        <v>88</v>
      </c>
      <c r="G1066" s="51">
        <v>2.1</v>
      </c>
      <c r="H1066" s="2" t="s">
        <v>69</v>
      </c>
      <c r="I1066" s="39">
        <v>0.88100000000000001</v>
      </c>
      <c r="J1066" s="39">
        <v>0.17949999999999999</v>
      </c>
      <c r="K1066" s="39">
        <v>0.14449999999999999</v>
      </c>
      <c r="L1066" s="39">
        <v>0.11410000000000001</v>
      </c>
      <c r="M1066" s="40">
        <v>5000</v>
      </c>
      <c r="N1066" s="52">
        <v>1000000</v>
      </c>
    </row>
    <row r="1067" spans="1:14" ht="15" customHeight="1" x14ac:dyDescent="0.25">
      <c r="A1067" s="64" t="str">
        <f t="shared" si="16"/>
        <v>2.1-11-0-TOU-2 year Reward Plus</v>
      </c>
      <c r="B1067" s="37" t="s">
        <v>13</v>
      </c>
      <c r="C1067" s="49">
        <v>11</v>
      </c>
      <c r="D1067" s="2" t="s">
        <v>20</v>
      </c>
      <c r="E1067" s="50" t="s">
        <v>87</v>
      </c>
      <c r="F1067" s="38" t="s">
        <v>88</v>
      </c>
      <c r="G1067" s="51">
        <v>2.1</v>
      </c>
      <c r="H1067" s="2" t="s">
        <v>69</v>
      </c>
      <c r="I1067" s="39">
        <v>0.86099999999999999</v>
      </c>
      <c r="J1067" s="39">
        <v>0.18259999999999998</v>
      </c>
      <c r="K1067" s="39">
        <v>0.14699999999999999</v>
      </c>
      <c r="L1067" s="39">
        <v>0.11610000000000001</v>
      </c>
      <c r="M1067" s="40">
        <v>5000</v>
      </c>
      <c r="N1067" s="52">
        <v>1000000</v>
      </c>
    </row>
    <row r="1068" spans="1:14" ht="15" customHeight="1" x14ac:dyDescent="0.25">
      <c r="A1068" s="64" t="str">
        <f t="shared" si="16"/>
        <v>2.1-12-0-TOU-2 year Reward Plus</v>
      </c>
      <c r="B1068" s="37" t="s">
        <v>13</v>
      </c>
      <c r="C1068" s="49">
        <v>12</v>
      </c>
      <c r="D1068" s="2" t="s">
        <v>21</v>
      </c>
      <c r="E1068" s="50" t="s">
        <v>87</v>
      </c>
      <c r="F1068" s="38" t="s">
        <v>88</v>
      </c>
      <c r="G1068" s="51">
        <v>2.1</v>
      </c>
      <c r="H1068" s="2" t="s">
        <v>69</v>
      </c>
      <c r="I1068" s="39">
        <v>0.90300000000000002</v>
      </c>
      <c r="J1068" s="39">
        <v>0.1792</v>
      </c>
      <c r="K1068" s="39">
        <v>0.14429999999999998</v>
      </c>
      <c r="L1068" s="39">
        <v>0.1139</v>
      </c>
      <c r="M1068" s="40">
        <v>5000</v>
      </c>
      <c r="N1068" s="52">
        <v>1000000</v>
      </c>
    </row>
    <row r="1069" spans="1:14" ht="15" customHeight="1" x14ac:dyDescent="0.25">
      <c r="A1069" s="64" t="str">
        <f t="shared" si="16"/>
        <v>2.1-13-0-TOU-2 year Reward Plus</v>
      </c>
      <c r="B1069" s="37" t="s">
        <v>13</v>
      </c>
      <c r="C1069" s="49">
        <v>13</v>
      </c>
      <c r="D1069" s="2" t="s">
        <v>22</v>
      </c>
      <c r="E1069" s="50" t="s">
        <v>87</v>
      </c>
      <c r="F1069" s="38" t="s">
        <v>88</v>
      </c>
      <c r="G1069" s="51">
        <v>2.1</v>
      </c>
      <c r="H1069" s="2" t="s">
        <v>69</v>
      </c>
      <c r="I1069" s="39">
        <v>0.88100000000000001</v>
      </c>
      <c r="J1069" s="39">
        <v>0.1923</v>
      </c>
      <c r="K1069" s="39">
        <v>0.15479999999999999</v>
      </c>
      <c r="L1069" s="39">
        <v>0.1222</v>
      </c>
      <c r="M1069" s="40">
        <v>5000</v>
      </c>
      <c r="N1069" s="52">
        <v>1000000</v>
      </c>
    </row>
    <row r="1070" spans="1:14" ht="15" customHeight="1" x14ac:dyDescent="0.25">
      <c r="A1070" s="64" t="str">
        <f t="shared" si="16"/>
        <v>2.1-14-0-TOU-2 year Reward Plus</v>
      </c>
      <c r="B1070" s="37" t="s">
        <v>13</v>
      </c>
      <c r="C1070" s="49">
        <v>14</v>
      </c>
      <c r="D1070" s="2" t="s">
        <v>23</v>
      </c>
      <c r="E1070" s="50" t="s">
        <v>87</v>
      </c>
      <c r="F1070" s="38" t="s">
        <v>88</v>
      </c>
      <c r="G1070" s="51">
        <v>2.1</v>
      </c>
      <c r="H1070" s="2" t="s">
        <v>69</v>
      </c>
      <c r="I1070" s="39">
        <v>0.89</v>
      </c>
      <c r="J1070" s="39">
        <v>0.1837</v>
      </c>
      <c r="K1070" s="39">
        <v>0.14789999999999998</v>
      </c>
      <c r="L1070" s="39">
        <v>0.1167</v>
      </c>
      <c r="M1070" s="40">
        <v>5000</v>
      </c>
      <c r="N1070" s="52">
        <v>1000000</v>
      </c>
    </row>
    <row r="1071" spans="1:14" ht="15" customHeight="1" x14ac:dyDescent="0.25">
      <c r="A1071" s="64" t="str">
        <f t="shared" si="16"/>
        <v>2.1-15-0-TOU-2 year Reward Plus</v>
      </c>
      <c r="B1071" s="37" t="s">
        <v>13</v>
      </c>
      <c r="C1071" s="49">
        <v>15</v>
      </c>
      <c r="D1071" s="2" t="s">
        <v>24</v>
      </c>
      <c r="E1071" s="50" t="s">
        <v>87</v>
      </c>
      <c r="F1071" s="38" t="s">
        <v>88</v>
      </c>
      <c r="G1071" s="51">
        <v>2.1</v>
      </c>
      <c r="H1071" s="2" t="s">
        <v>69</v>
      </c>
      <c r="I1071" s="39">
        <v>0.96</v>
      </c>
      <c r="J1071" s="39">
        <v>0.18339999999999998</v>
      </c>
      <c r="K1071" s="39">
        <v>0.1477</v>
      </c>
      <c r="L1071" s="39">
        <v>0.11660000000000001</v>
      </c>
      <c r="M1071" s="40">
        <v>5000</v>
      </c>
      <c r="N1071" s="52">
        <v>1000000</v>
      </c>
    </row>
    <row r="1072" spans="1:14" ht="15" customHeight="1" x14ac:dyDescent="0.25">
      <c r="A1072" s="64" t="str">
        <f t="shared" si="16"/>
        <v>2.1-16-0-TOU-2 year Reward Plus</v>
      </c>
      <c r="B1072" s="37" t="s">
        <v>13</v>
      </c>
      <c r="C1072" s="49">
        <v>16</v>
      </c>
      <c r="D1072" s="2" t="s">
        <v>25</v>
      </c>
      <c r="E1072" s="50" t="s">
        <v>87</v>
      </c>
      <c r="F1072" s="38" t="s">
        <v>88</v>
      </c>
      <c r="G1072" s="51">
        <v>2.1</v>
      </c>
      <c r="H1072" s="2" t="s">
        <v>69</v>
      </c>
      <c r="I1072" s="39">
        <v>0.72699999999999998</v>
      </c>
      <c r="J1072" s="39">
        <v>0.1827</v>
      </c>
      <c r="K1072" s="39">
        <v>0.14709999999999998</v>
      </c>
      <c r="L1072" s="39">
        <v>0.11609999999999999</v>
      </c>
      <c r="M1072" s="40">
        <v>5000</v>
      </c>
      <c r="N1072" s="52">
        <v>1000000</v>
      </c>
    </row>
    <row r="1073" spans="1:14" ht="15" customHeight="1" x14ac:dyDescent="0.25">
      <c r="A1073" s="64" t="str">
        <f t="shared" si="16"/>
        <v>2.1-17-0-TOU-2 year Reward Plus</v>
      </c>
      <c r="B1073" s="37" t="s">
        <v>13</v>
      </c>
      <c r="C1073" s="49">
        <v>17</v>
      </c>
      <c r="D1073" s="2" t="s">
        <v>26</v>
      </c>
      <c r="E1073" s="50" t="s">
        <v>87</v>
      </c>
      <c r="F1073" s="38" t="s">
        <v>88</v>
      </c>
      <c r="G1073" s="51">
        <v>2.1</v>
      </c>
      <c r="H1073" s="2" t="s">
        <v>69</v>
      </c>
      <c r="I1073" s="39">
        <v>1.67</v>
      </c>
      <c r="J1073" s="39">
        <v>0.20169999999999999</v>
      </c>
      <c r="K1073" s="39">
        <v>0.16239999999999999</v>
      </c>
      <c r="L1073" s="39">
        <v>0.12819999999999998</v>
      </c>
      <c r="M1073" s="40">
        <v>5000</v>
      </c>
      <c r="N1073" s="52">
        <v>1000000</v>
      </c>
    </row>
    <row r="1074" spans="1:14" ht="15" customHeight="1" x14ac:dyDescent="0.25">
      <c r="A1074" s="64" t="str">
        <f t="shared" si="16"/>
        <v>2.1-18-0-TOU-2 year Reward Plus</v>
      </c>
      <c r="B1074" s="37" t="s">
        <v>13</v>
      </c>
      <c r="C1074" s="49">
        <v>18</v>
      </c>
      <c r="D1074" s="2" t="s">
        <v>27</v>
      </c>
      <c r="E1074" s="50" t="s">
        <v>87</v>
      </c>
      <c r="F1074" s="38" t="s">
        <v>88</v>
      </c>
      <c r="G1074" s="51">
        <v>2.1</v>
      </c>
      <c r="H1074" s="2" t="s">
        <v>69</v>
      </c>
      <c r="I1074" s="39">
        <v>0.89900000000000002</v>
      </c>
      <c r="J1074" s="39">
        <v>0.1822</v>
      </c>
      <c r="K1074" s="39">
        <v>0.1467</v>
      </c>
      <c r="L1074" s="39">
        <v>0.1158</v>
      </c>
      <c r="M1074" s="40">
        <v>5000</v>
      </c>
      <c r="N1074" s="52">
        <v>1000000</v>
      </c>
    </row>
    <row r="1075" spans="1:14" ht="15" customHeight="1" x14ac:dyDescent="0.25">
      <c r="A1075" s="64" t="str">
        <f t="shared" si="16"/>
        <v>2.1-19-0-TOU-2 year Reward Plus</v>
      </c>
      <c r="B1075" s="37" t="s">
        <v>13</v>
      </c>
      <c r="C1075" s="49">
        <v>19</v>
      </c>
      <c r="D1075" s="2" t="s">
        <v>28</v>
      </c>
      <c r="E1075" s="50" t="s">
        <v>87</v>
      </c>
      <c r="F1075" s="38" t="s">
        <v>88</v>
      </c>
      <c r="G1075" s="51">
        <v>2.1</v>
      </c>
      <c r="H1075" s="2" t="s">
        <v>69</v>
      </c>
      <c r="I1075" s="39">
        <v>0.77800000000000002</v>
      </c>
      <c r="J1075" s="39">
        <v>0.18109999999999998</v>
      </c>
      <c r="K1075" s="39">
        <v>0.14579999999999999</v>
      </c>
      <c r="L1075" s="39">
        <v>0.11510000000000001</v>
      </c>
      <c r="M1075" s="40">
        <v>5000</v>
      </c>
      <c r="N1075" s="52">
        <v>1000000</v>
      </c>
    </row>
    <row r="1076" spans="1:14" ht="15" customHeight="1" x14ac:dyDescent="0.25">
      <c r="A1076" s="64" t="str">
        <f t="shared" si="16"/>
        <v>2.1-20-0-TOU-2 year Reward Plus</v>
      </c>
      <c r="B1076" s="37" t="s">
        <v>13</v>
      </c>
      <c r="C1076" s="49">
        <v>20</v>
      </c>
      <c r="D1076" s="2" t="s">
        <v>29</v>
      </c>
      <c r="E1076" s="50" t="s">
        <v>87</v>
      </c>
      <c r="F1076" s="38" t="s">
        <v>88</v>
      </c>
      <c r="G1076" s="51">
        <v>2.1</v>
      </c>
      <c r="H1076" s="2" t="s">
        <v>69</v>
      </c>
      <c r="I1076" s="39">
        <v>0.82699999999999996</v>
      </c>
      <c r="J1076" s="39">
        <v>0.1812</v>
      </c>
      <c r="K1076" s="39">
        <v>0.1459</v>
      </c>
      <c r="L1076" s="39">
        <v>0.1152</v>
      </c>
      <c r="M1076" s="40">
        <v>5000</v>
      </c>
      <c r="N1076" s="52">
        <v>1000000</v>
      </c>
    </row>
    <row r="1077" spans="1:14" ht="15" customHeight="1" x14ac:dyDescent="0.25">
      <c r="A1077" s="64" t="str">
        <f t="shared" si="16"/>
        <v>2.1-21-0-TOU-2 year Reward Plus</v>
      </c>
      <c r="B1077" s="37" t="s">
        <v>13</v>
      </c>
      <c r="C1077" s="49">
        <v>21</v>
      </c>
      <c r="D1077" s="2" t="s">
        <v>30</v>
      </c>
      <c r="E1077" s="50" t="s">
        <v>87</v>
      </c>
      <c r="F1077" s="38" t="s">
        <v>88</v>
      </c>
      <c r="G1077" s="51">
        <v>2.1</v>
      </c>
      <c r="H1077" s="2" t="s">
        <v>69</v>
      </c>
      <c r="I1077" s="39">
        <v>0.92300000000000004</v>
      </c>
      <c r="J1077" s="39">
        <v>0.1913</v>
      </c>
      <c r="K1077" s="39">
        <v>0.154</v>
      </c>
      <c r="L1077" s="39">
        <v>0.1216</v>
      </c>
      <c r="M1077" s="40">
        <v>5000</v>
      </c>
      <c r="N1077" s="52">
        <v>1000000</v>
      </c>
    </row>
    <row r="1078" spans="1:14" ht="15" customHeight="1" x14ac:dyDescent="0.25">
      <c r="A1078" s="64" t="str">
        <f t="shared" si="16"/>
        <v>2.1-22-0-TOU-2 year Reward Plus</v>
      </c>
      <c r="B1078" s="37" t="s">
        <v>13</v>
      </c>
      <c r="C1078" s="49">
        <v>22</v>
      </c>
      <c r="D1078" s="2" t="s">
        <v>31</v>
      </c>
      <c r="E1078" s="50" t="s">
        <v>87</v>
      </c>
      <c r="F1078" s="38" t="s">
        <v>88</v>
      </c>
      <c r="G1078" s="51">
        <v>2.1</v>
      </c>
      <c r="H1078" s="2" t="s">
        <v>69</v>
      </c>
      <c r="I1078" s="39">
        <v>0.90400000000000003</v>
      </c>
      <c r="J1078" s="39">
        <v>0.19189999999999999</v>
      </c>
      <c r="K1078" s="39">
        <v>0.1545</v>
      </c>
      <c r="L1078" s="39">
        <v>0.122</v>
      </c>
      <c r="M1078" s="40">
        <v>5000</v>
      </c>
      <c r="N1078" s="52">
        <v>1000000</v>
      </c>
    </row>
    <row r="1079" spans="1:14" ht="15" customHeight="1" x14ac:dyDescent="0.25">
      <c r="A1079" s="64" t="str">
        <f t="shared" si="16"/>
        <v>2.1-23-0-TOU-2 year Reward Plus</v>
      </c>
      <c r="B1079" s="37" t="s">
        <v>13</v>
      </c>
      <c r="C1079" s="49">
        <v>23</v>
      </c>
      <c r="D1079" s="2" t="s">
        <v>32</v>
      </c>
      <c r="E1079" s="50" t="s">
        <v>87</v>
      </c>
      <c r="F1079" s="38" t="s">
        <v>88</v>
      </c>
      <c r="G1079" s="51">
        <v>2.1</v>
      </c>
      <c r="H1079" s="2" t="s">
        <v>69</v>
      </c>
      <c r="I1079" s="39">
        <v>0.90600000000000003</v>
      </c>
      <c r="J1079" s="39">
        <v>0.1837</v>
      </c>
      <c r="K1079" s="39">
        <v>0.14789999999999998</v>
      </c>
      <c r="L1079" s="39">
        <v>0.1167</v>
      </c>
      <c r="M1079" s="40">
        <v>5000</v>
      </c>
      <c r="N1079" s="52">
        <v>1000000</v>
      </c>
    </row>
    <row r="1080" spans="1:14" ht="15" customHeight="1" x14ac:dyDescent="0.25">
      <c r="A1080" s="64" t="str">
        <f t="shared" si="16"/>
        <v>2.2-10-0-TOU-2 year Reward Plus</v>
      </c>
      <c r="B1080" s="37" t="s">
        <v>13</v>
      </c>
      <c r="C1080" s="49">
        <v>10</v>
      </c>
      <c r="D1080" s="2" t="s">
        <v>14</v>
      </c>
      <c r="E1080" s="50" t="s">
        <v>87</v>
      </c>
      <c r="F1080" s="38" t="s">
        <v>88</v>
      </c>
      <c r="G1080" s="51">
        <v>2.2000000000000002</v>
      </c>
      <c r="H1080" s="2" t="s">
        <v>69</v>
      </c>
      <c r="I1080" s="39">
        <v>0.88100000000000001</v>
      </c>
      <c r="J1080" s="39">
        <v>0.1807</v>
      </c>
      <c r="K1080" s="39">
        <v>0.14549999999999999</v>
      </c>
      <c r="L1080" s="39">
        <v>0.1149</v>
      </c>
      <c r="M1080" s="40">
        <v>5000</v>
      </c>
      <c r="N1080" s="52">
        <v>1000000</v>
      </c>
    </row>
    <row r="1081" spans="1:14" ht="15" customHeight="1" x14ac:dyDescent="0.25">
      <c r="A1081" s="64" t="str">
        <f t="shared" si="16"/>
        <v>2.2-11-0-TOU-2 year Reward Plus</v>
      </c>
      <c r="B1081" s="37" t="s">
        <v>13</v>
      </c>
      <c r="C1081" s="49">
        <v>11</v>
      </c>
      <c r="D1081" s="2" t="s">
        <v>20</v>
      </c>
      <c r="E1081" s="50" t="s">
        <v>87</v>
      </c>
      <c r="F1081" s="38" t="s">
        <v>88</v>
      </c>
      <c r="G1081" s="51">
        <v>2.2000000000000002</v>
      </c>
      <c r="H1081" s="2" t="s">
        <v>69</v>
      </c>
      <c r="I1081" s="39">
        <v>0.86099999999999999</v>
      </c>
      <c r="J1081" s="39">
        <v>0.18379999999999999</v>
      </c>
      <c r="K1081" s="39">
        <v>0.14799999999999999</v>
      </c>
      <c r="L1081" s="39">
        <v>0.1168</v>
      </c>
      <c r="M1081" s="40">
        <v>5000</v>
      </c>
      <c r="N1081" s="52">
        <v>1000000</v>
      </c>
    </row>
    <row r="1082" spans="1:14" ht="15" customHeight="1" x14ac:dyDescent="0.25">
      <c r="A1082" s="64" t="str">
        <f t="shared" si="16"/>
        <v>2.2-12-0-TOU-2 year Reward Plus</v>
      </c>
      <c r="B1082" s="37" t="s">
        <v>13</v>
      </c>
      <c r="C1082" s="49">
        <v>12</v>
      </c>
      <c r="D1082" s="2" t="s">
        <v>21</v>
      </c>
      <c r="E1082" s="50" t="s">
        <v>87</v>
      </c>
      <c r="F1082" s="38" t="s">
        <v>88</v>
      </c>
      <c r="G1082" s="51">
        <v>2.2000000000000002</v>
      </c>
      <c r="H1082" s="2" t="s">
        <v>69</v>
      </c>
      <c r="I1082" s="39">
        <v>0.90300000000000002</v>
      </c>
      <c r="J1082" s="39">
        <v>0.18039999999999998</v>
      </c>
      <c r="K1082" s="39">
        <v>0.1452</v>
      </c>
      <c r="L1082" s="39">
        <v>0.11459999999999999</v>
      </c>
      <c r="M1082" s="40">
        <v>5000</v>
      </c>
      <c r="N1082" s="52">
        <v>1000000</v>
      </c>
    </row>
    <row r="1083" spans="1:14" ht="15" customHeight="1" x14ac:dyDescent="0.25">
      <c r="A1083" s="64" t="str">
        <f t="shared" si="16"/>
        <v>2.2-13-0-TOU-2 year Reward Plus</v>
      </c>
      <c r="B1083" s="37" t="s">
        <v>13</v>
      </c>
      <c r="C1083" s="49">
        <v>13</v>
      </c>
      <c r="D1083" s="2" t="s">
        <v>22</v>
      </c>
      <c r="E1083" s="50" t="s">
        <v>87</v>
      </c>
      <c r="F1083" s="38" t="s">
        <v>88</v>
      </c>
      <c r="G1083" s="51">
        <v>2.2000000000000002</v>
      </c>
      <c r="H1083" s="2" t="s">
        <v>69</v>
      </c>
      <c r="I1083" s="39">
        <v>0.88100000000000001</v>
      </c>
      <c r="J1083" s="39">
        <v>0.19349999999999998</v>
      </c>
      <c r="K1083" s="39">
        <v>0.15579999999999999</v>
      </c>
      <c r="L1083" s="39">
        <v>0.123</v>
      </c>
      <c r="M1083" s="40">
        <v>5000</v>
      </c>
      <c r="N1083" s="52">
        <v>1000000</v>
      </c>
    </row>
    <row r="1084" spans="1:14" ht="15" customHeight="1" x14ac:dyDescent="0.25">
      <c r="A1084" s="64" t="str">
        <f t="shared" si="16"/>
        <v>2.2-14-0-TOU-2 year Reward Plus</v>
      </c>
      <c r="B1084" s="37" t="s">
        <v>13</v>
      </c>
      <c r="C1084" s="49">
        <v>14</v>
      </c>
      <c r="D1084" s="2" t="s">
        <v>23</v>
      </c>
      <c r="E1084" s="50" t="s">
        <v>87</v>
      </c>
      <c r="F1084" s="38" t="s">
        <v>88</v>
      </c>
      <c r="G1084" s="51">
        <v>2.2000000000000002</v>
      </c>
      <c r="H1084" s="2" t="s">
        <v>69</v>
      </c>
      <c r="I1084" s="39">
        <v>0.89</v>
      </c>
      <c r="J1084" s="39">
        <v>0.18479999999999999</v>
      </c>
      <c r="K1084" s="39">
        <v>0.14879999999999999</v>
      </c>
      <c r="L1084" s="39">
        <v>0.11750000000000001</v>
      </c>
      <c r="M1084" s="40">
        <v>5000</v>
      </c>
      <c r="N1084" s="52">
        <v>1000000</v>
      </c>
    </row>
    <row r="1085" spans="1:14" ht="15" customHeight="1" x14ac:dyDescent="0.25">
      <c r="A1085" s="64" t="str">
        <f t="shared" si="16"/>
        <v>2.2-15-0-TOU-2 year Reward Plus</v>
      </c>
      <c r="B1085" s="37" t="s">
        <v>13</v>
      </c>
      <c r="C1085" s="49">
        <v>15</v>
      </c>
      <c r="D1085" s="2" t="s">
        <v>24</v>
      </c>
      <c r="E1085" s="50" t="s">
        <v>87</v>
      </c>
      <c r="F1085" s="38" t="s">
        <v>88</v>
      </c>
      <c r="G1085" s="51">
        <v>2.2000000000000002</v>
      </c>
      <c r="H1085" s="2" t="s">
        <v>69</v>
      </c>
      <c r="I1085" s="39">
        <v>0.96</v>
      </c>
      <c r="J1085" s="39">
        <v>0.18459999999999999</v>
      </c>
      <c r="K1085" s="39">
        <v>0.14859999999999998</v>
      </c>
      <c r="L1085" s="39">
        <v>0.1173</v>
      </c>
      <c r="M1085" s="40">
        <v>5000</v>
      </c>
      <c r="N1085" s="52">
        <v>1000000</v>
      </c>
    </row>
    <row r="1086" spans="1:14" ht="15" customHeight="1" x14ac:dyDescent="0.25">
      <c r="A1086" s="64" t="str">
        <f t="shared" si="16"/>
        <v>2.2-16-0-TOU-2 year Reward Plus</v>
      </c>
      <c r="B1086" s="37" t="s">
        <v>13</v>
      </c>
      <c r="C1086" s="49">
        <v>16</v>
      </c>
      <c r="D1086" s="2" t="s">
        <v>25</v>
      </c>
      <c r="E1086" s="50" t="s">
        <v>87</v>
      </c>
      <c r="F1086" s="38" t="s">
        <v>88</v>
      </c>
      <c r="G1086" s="51">
        <v>2.2000000000000002</v>
      </c>
      <c r="H1086" s="2" t="s">
        <v>69</v>
      </c>
      <c r="I1086" s="39">
        <v>0.72699999999999998</v>
      </c>
      <c r="J1086" s="39">
        <v>0.18389999999999998</v>
      </c>
      <c r="K1086" s="39">
        <v>0.14809999999999998</v>
      </c>
      <c r="L1086" s="39">
        <v>0.1169</v>
      </c>
      <c r="M1086" s="40">
        <v>5000</v>
      </c>
      <c r="N1086" s="52">
        <v>1000000</v>
      </c>
    </row>
    <row r="1087" spans="1:14" ht="15" customHeight="1" x14ac:dyDescent="0.25">
      <c r="A1087" s="64" t="str">
        <f t="shared" si="16"/>
        <v>2.2-17-0-TOU-2 year Reward Plus</v>
      </c>
      <c r="B1087" s="37" t="s">
        <v>13</v>
      </c>
      <c r="C1087" s="49">
        <v>17</v>
      </c>
      <c r="D1087" s="2" t="s">
        <v>26</v>
      </c>
      <c r="E1087" s="50" t="s">
        <v>87</v>
      </c>
      <c r="F1087" s="38" t="s">
        <v>88</v>
      </c>
      <c r="G1087" s="51">
        <v>2.2000000000000002</v>
      </c>
      <c r="H1087" s="2" t="s">
        <v>69</v>
      </c>
      <c r="I1087" s="39">
        <v>1.67</v>
      </c>
      <c r="J1087" s="39">
        <v>0.2029</v>
      </c>
      <c r="K1087" s="39">
        <v>0.16339999999999999</v>
      </c>
      <c r="L1087" s="39">
        <v>0.12899999999999998</v>
      </c>
      <c r="M1087" s="40">
        <v>5000</v>
      </c>
      <c r="N1087" s="52">
        <v>1000000</v>
      </c>
    </row>
    <row r="1088" spans="1:14" ht="15" customHeight="1" x14ac:dyDescent="0.25">
      <c r="A1088" s="64" t="str">
        <f t="shared" si="16"/>
        <v>2.2-18-0-TOU-2 year Reward Plus</v>
      </c>
      <c r="B1088" s="37" t="s">
        <v>13</v>
      </c>
      <c r="C1088" s="49">
        <v>18</v>
      </c>
      <c r="D1088" s="2" t="s">
        <v>27</v>
      </c>
      <c r="E1088" s="50" t="s">
        <v>87</v>
      </c>
      <c r="F1088" s="38" t="s">
        <v>88</v>
      </c>
      <c r="G1088" s="51">
        <v>2.2000000000000002</v>
      </c>
      <c r="H1088" s="2" t="s">
        <v>69</v>
      </c>
      <c r="I1088" s="39">
        <v>0.89900000000000002</v>
      </c>
      <c r="J1088" s="39">
        <v>0.18339999999999998</v>
      </c>
      <c r="K1088" s="39">
        <v>0.1477</v>
      </c>
      <c r="L1088" s="39">
        <v>0.11660000000000001</v>
      </c>
      <c r="M1088" s="40">
        <v>5000</v>
      </c>
      <c r="N1088" s="52">
        <v>1000000</v>
      </c>
    </row>
    <row r="1089" spans="1:14" ht="15" customHeight="1" x14ac:dyDescent="0.25">
      <c r="A1089" s="64" t="str">
        <f t="shared" si="16"/>
        <v>2.2-19-0-TOU-2 year Reward Plus</v>
      </c>
      <c r="B1089" s="37" t="s">
        <v>13</v>
      </c>
      <c r="C1089" s="49">
        <v>19</v>
      </c>
      <c r="D1089" s="2" t="s">
        <v>28</v>
      </c>
      <c r="E1089" s="50" t="s">
        <v>87</v>
      </c>
      <c r="F1089" s="38" t="s">
        <v>88</v>
      </c>
      <c r="G1089" s="51">
        <v>2.2000000000000002</v>
      </c>
      <c r="H1089" s="2" t="s">
        <v>69</v>
      </c>
      <c r="I1089" s="39">
        <v>0.77800000000000002</v>
      </c>
      <c r="J1089" s="39">
        <v>0.1822</v>
      </c>
      <c r="K1089" s="39">
        <v>0.1467</v>
      </c>
      <c r="L1089" s="39">
        <v>0.1158</v>
      </c>
      <c r="M1089" s="40">
        <v>5000</v>
      </c>
      <c r="N1089" s="52">
        <v>1000000</v>
      </c>
    </row>
    <row r="1090" spans="1:14" ht="15" customHeight="1" x14ac:dyDescent="0.25">
      <c r="A1090" s="64" t="str">
        <f t="shared" si="16"/>
        <v>2.2-20-0-TOU-2 year Reward Plus</v>
      </c>
      <c r="B1090" s="37" t="s">
        <v>13</v>
      </c>
      <c r="C1090" s="49">
        <v>20</v>
      </c>
      <c r="D1090" s="2" t="s">
        <v>29</v>
      </c>
      <c r="E1090" s="50" t="s">
        <v>87</v>
      </c>
      <c r="F1090" s="38" t="s">
        <v>88</v>
      </c>
      <c r="G1090" s="51">
        <v>2.2000000000000002</v>
      </c>
      <c r="H1090" s="2" t="s">
        <v>69</v>
      </c>
      <c r="I1090" s="39">
        <v>0.82699999999999996</v>
      </c>
      <c r="J1090" s="39">
        <v>0.18239999999999998</v>
      </c>
      <c r="K1090" s="39">
        <v>0.14679999999999999</v>
      </c>
      <c r="L1090" s="39">
        <v>0.1159</v>
      </c>
      <c r="M1090" s="40">
        <v>5000</v>
      </c>
      <c r="N1090" s="52">
        <v>1000000</v>
      </c>
    </row>
    <row r="1091" spans="1:14" ht="15" customHeight="1" x14ac:dyDescent="0.25">
      <c r="A1091" s="64" t="str">
        <f t="shared" ref="A1091:A1154" si="17">IF(E1091="OP","",CONCATENATE(G1091,"-",C1091,"-",RIGHT(F1091,1),"-",E1091,"-",H1091))</f>
        <v>2.2-21-0-TOU-2 year Reward Plus</v>
      </c>
      <c r="B1091" s="37" t="s">
        <v>13</v>
      </c>
      <c r="C1091" s="49">
        <v>21</v>
      </c>
      <c r="D1091" s="2" t="s">
        <v>30</v>
      </c>
      <c r="E1091" s="50" t="s">
        <v>87</v>
      </c>
      <c r="F1091" s="38" t="s">
        <v>88</v>
      </c>
      <c r="G1091" s="51">
        <v>2.2000000000000002</v>
      </c>
      <c r="H1091" s="2" t="s">
        <v>69</v>
      </c>
      <c r="I1091" s="39">
        <v>0.92300000000000004</v>
      </c>
      <c r="J1091" s="39">
        <v>0.19249999999999998</v>
      </c>
      <c r="K1091" s="39">
        <v>0.155</v>
      </c>
      <c r="L1091" s="39">
        <v>0.12240000000000001</v>
      </c>
      <c r="M1091" s="40">
        <v>5000</v>
      </c>
      <c r="N1091" s="52">
        <v>1000000</v>
      </c>
    </row>
    <row r="1092" spans="1:14" ht="15" customHeight="1" x14ac:dyDescent="0.25">
      <c r="A1092" s="64" t="str">
        <f t="shared" si="17"/>
        <v>2.2-22-0-TOU-2 year Reward Plus</v>
      </c>
      <c r="B1092" s="37" t="s">
        <v>13</v>
      </c>
      <c r="C1092" s="49">
        <v>22</v>
      </c>
      <c r="D1092" s="2" t="s">
        <v>31</v>
      </c>
      <c r="E1092" s="50" t="s">
        <v>87</v>
      </c>
      <c r="F1092" s="38" t="s">
        <v>88</v>
      </c>
      <c r="G1092" s="51">
        <v>2.2000000000000002</v>
      </c>
      <c r="H1092" s="2" t="s">
        <v>69</v>
      </c>
      <c r="I1092" s="39">
        <v>0.90400000000000003</v>
      </c>
      <c r="J1092" s="39">
        <v>0.19309999999999999</v>
      </c>
      <c r="K1092" s="39">
        <v>0.1555</v>
      </c>
      <c r="L1092" s="39">
        <v>0.1227</v>
      </c>
      <c r="M1092" s="40">
        <v>5000</v>
      </c>
      <c r="N1092" s="52">
        <v>1000000</v>
      </c>
    </row>
    <row r="1093" spans="1:14" ht="15" customHeight="1" x14ac:dyDescent="0.25">
      <c r="A1093" s="64" t="str">
        <f t="shared" si="17"/>
        <v>2.2-23-0-TOU-2 year Reward Plus</v>
      </c>
      <c r="B1093" s="37" t="s">
        <v>13</v>
      </c>
      <c r="C1093" s="49">
        <v>23</v>
      </c>
      <c r="D1093" s="2" t="s">
        <v>32</v>
      </c>
      <c r="E1093" s="50" t="s">
        <v>87</v>
      </c>
      <c r="F1093" s="38" t="s">
        <v>88</v>
      </c>
      <c r="G1093" s="51">
        <v>2.2000000000000002</v>
      </c>
      <c r="H1093" s="2" t="s">
        <v>69</v>
      </c>
      <c r="I1093" s="39">
        <v>0.90600000000000003</v>
      </c>
      <c r="J1093" s="39">
        <v>0.18479999999999999</v>
      </c>
      <c r="K1093" s="39">
        <v>0.14879999999999999</v>
      </c>
      <c r="L1093" s="39">
        <v>0.11750000000000001</v>
      </c>
      <c r="M1093" s="40">
        <v>5000</v>
      </c>
      <c r="N1093" s="52">
        <v>1000000</v>
      </c>
    </row>
    <row r="1094" spans="1:14" ht="15" customHeight="1" x14ac:dyDescent="0.25">
      <c r="A1094" s="64" t="str">
        <f t="shared" si="17"/>
        <v>2.3-10-0-TOU-2 year Reward Plus</v>
      </c>
      <c r="B1094" s="37" t="s">
        <v>13</v>
      </c>
      <c r="C1094" s="49">
        <v>10</v>
      </c>
      <c r="D1094" s="2" t="s">
        <v>14</v>
      </c>
      <c r="E1094" s="50" t="s">
        <v>87</v>
      </c>
      <c r="F1094" s="38" t="s">
        <v>88</v>
      </c>
      <c r="G1094" s="51">
        <v>2.2999999999999998</v>
      </c>
      <c r="H1094" s="2" t="s">
        <v>69</v>
      </c>
      <c r="I1094" s="39">
        <v>0.88100000000000001</v>
      </c>
      <c r="J1094" s="39">
        <v>0.18189999999999998</v>
      </c>
      <c r="K1094" s="39">
        <v>0.1464</v>
      </c>
      <c r="L1094" s="39">
        <v>0.11560000000000001</v>
      </c>
      <c r="M1094" s="40">
        <v>5000</v>
      </c>
      <c r="N1094" s="52">
        <v>1000000</v>
      </c>
    </row>
    <row r="1095" spans="1:14" ht="15" customHeight="1" x14ac:dyDescent="0.25">
      <c r="A1095" s="64" t="str">
        <f t="shared" si="17"/>
        <v>2.3-11-0-TOU-2 year Reward Plus</v>
      </c>
      <c r="B1095" s="37" t="s">
        <v>13</v>
      </c>
      <c r="C1095" s="49">
        <v>11</v>
      </c>
      <c r="D1095" s="2" t="s">
        <v>20</v>
      </c>
      <c r="E1095" s="50" t="s">
        <v>87</v>
      </c>
      <c r="F1095" s="38" t="s">
        <v>88</v>
      </c>
      <c r="G1095" s="51">
        <v>2.2999999999999998</v>
      </c>
      <c r="H1095" s="2" t="s">
        <v>69</v>
      </c>
      <c r="I1095" s="39">
        <v>0.86099999999999999</v>
      </c>
      <c r="J1095" s="39">
        <v>0.185</v>
      </c>
      <c r="K1095" s="39">
        <v>0.14889999999999998</v>
      </c>
      <c r="L1095" s="39">
        <v>0.1176</v>
      </c>
      <c r="M1095" s="40">
        <v>5000</v>
      </c>
      <c r="N1095" s="52">
        <v>1000000</v>
      </c>
    </row>
    <row r="1096" spans="1:14" ht="15" customHeight="1" x14ac:dyDescent="0.25">
      <c r="A1096" s="64" t="str">
        <f t="shared" si="17"/>
        <v>2.3-12-0-TOU-2 year Reward Plus</v>
      </c>
      <c r="B1096" s="37" t="s">
        <v>13</v>
      </c>
      <c r="C1096" s="49">
        <v>12</v>
      </c>
      <c r="D1096" s="2" t="s">
        <v>21</v>
      </c>
      <c r="E1096" s="50" t="s">
        <v>87</v>
      </c>
      <c r="F1096" s="38" t="s">
        <v>88</v>
      </c>
      <c r="G1096" s="51">
        <v>2.2999999999999998</v>
      </c>
      <c r="H1096" s="2" t="s">
        <v>69</v>
      </c>
      <c r="I1096" s="39">
        <v>0.90300000000000002</v>
      </c>
      <c r="J1096" s="39">
        <v>0.18149999999999999</v>
      </c>
      <c r="K1096" s="39">
        <v>0.1462</v>
      </c>
      <c r="L1096" s="39">
        <v>0.1154</v>
      </c>
      <c r="M1096" s="40">
        <v>5000</v>
      </c>
      <c r="N1096" s="52">
        <v>1000000</v>
      </c>
    </row>
    <row r="1097" spans="1:14" ht="15" customHeight="1" x14ac:dyDescent="0.25">
      <c r="A1097" s="64" t="str">
        <f t="shared" si="17"/>
        <v>2.3-13-0-TOU-2 year Reward Plus</v>
      </c>
      <c r="B1097" s="37" t="s">
        <v>13</v>
      </c>
      <c r="C1097" s="49">
        <v>13</v>
      </c>
      <c r="D1097" s="2" t="s">
        <v>22</v>
      </c>
      <c r="E1097" s="50" t="s">
        <v>87</v>
      </c>
      <c r="F1097" s="38" t="s">
        <v>88</v>
      </c>
      <c r="G1097" s="51">
        <v>2.2999999999999998</v>
      </c>
      <c r="H1097" s="2" t="s">
        <v>69</v>
      </c>
      <c r="I1097" s="39">
        <v>0.88100000000000001</v>
      </c>
      <c r="J1097" s="39">
        <v>0.1946</v>
      </c>
      <c r="K1097" s="39">
        <v>0.15669999999999998</v>
      </c>
      <c r="L1097" s="39">
        <v>0.1237</v>
      </c>
      <c r="M1097" s="40">
        <v>5000</v>
      </c>
      <c r="N1097" s="52">
        <v>1000000</v>
      </c>
    </row>
    <row r="1098" spans="1:14" ht="15" customHeight="1" x14ac:dyDescent="0.25">
      <c r="A1098" s="64" t="str">
        <f t="shared" si="17"/>
        <v>2.3-14-0-TOU-2 year Reward Plus</v>
      </c>
      <c r="B1098" s="37" t="s">
        <v>13</v>
      </c>
      <c r="C1098" s="49">
        <v>14</v>
      </c>
      <c r="D1098" s="2" t="s">
        <v>23</v>
      </c>
      <c r="E1098" s="50" t="s">
        <v>87</v>
      </c>
      <c r="F1098" s="38" t="s">
        <v>88</v>
      </c>
      <c r="G1098" s="51">
        <v>2.2999999999999998</v>
      </c>
      <c r="H1098" s="2" t="s">
        <v>69</v>
      </c>
      <c r="I1098" s="39">
        <v>0.89</v>
      </c>
      <c r="J1098" s="39">
        <v>0.186</v>
      </c>
      <c r="K1098" s="39">
        <v>0.14979999999999999</v>
      </c>
      <c r="L1098" s="39">
        <v>0.1182</v>
      </c>
      <c r="M1098" s="40">
        <v>5000</v>
      </c>
      <c r="N1098" s="52">
        <v>1000000</v>
      </c>
    </row>
    <row r="1099" spans="1:14" ht="15" customHeight="1" x14ac:dyDescent="0.25">
      <c r="A1099" s="64" t="str">
        <f t="shared" si="17"/>
        <v>2.3-15-0-TOU-2 year Reward Plus</v>
      </c>
      <c r="B1099" s="37" t="s">
        <v>13</v>
      </c>
      <c r="C1099" s="49">
        <v>15</v>
      </c>
      <c r="D1099" s="2" t="s">
        <v>24</v>
      </c>
      <c r="E1099" s="50" t="s">
        <v>87</v>
      </c>
      <c r="F1099" s="38" t="s">
        <v>88</v>
      </c>
      <c r="G1099" s="51">
        <v>2.2999999999999998</v>
      </c>
      <c r="H1099" s="2" t="s">
        <v>69</v>
      </c>
      <c r="I1099" s="39">
        <v>0.96</v>
      </c>
      <c r="J1099" s="39">
        <v>0.18579999999999999</v>
      </c>
      <c r="K1099" s="39">
        <v>0.14959999999999998</v>
      </c>
      <c r="L1099" s="39">
        <v>0.1181</v>
      </c>
      <c r="M1099" s="40">
        <v>5000</v>
      </c>
      <c r="N1099" s="52">
        <v>1000000</v>
      </c>
    </row>
    <row r="1100" spans="1:14" ht="15" customHeight="1" x14ac:dyDescent="0.25">
      <c r="A1100" s="64" t="str">
        <f t="shared" si="17"/>
        <v>2.3-16-0-TOU-2 year Reward Plus</v>
      </c>
      <c r="B1100" s="37" t="s">
        <v>13</v>
      </c>
      <c r="C1100" s="49">
        <v>16</v>
      </c>
      <c r="D1100" s="2" t="s">
        <v>25</v>
      </c>
      <c r="E1100" s="50" t="s">
        <v>87</v>
      </c>
      <c r="F1100" s="38" t="s">
        <v>88</v>
      </c>
      <c r="G1100" s="51">
        <v>2.2999999999999998</v>
      </c>
      <c r="H1100" s="2" t="s">
        <v>69</v>
      </c>
      <c r="I1100" s="39">
        <v>0.72699999999999998</v>
      </c>
      <c r="J1100" s="39">
        <v>0.18509999999999999</v>
      </c>
      <c r="K1100" s="39">
        <v>0.14899999999999999</v>
      </c>
      <c r="L1100" s="39">
        <v>0.1176</v>
      </c>
      <c r="M1100" s="40">
        <v>5000</v>
      </c>
      <c r="N1100" s="52">
        <v>1000000</v>
      </c>
    </row>
    <row r="1101" spans="1:14" ht="15" customHeight="1" x14ac:dyDescent="0.25">
      <c r="A1101" s="64" t="str">
        <f t="shared" si="17"/>
        <v>2.3-17-0-TOU-2 year Reward Plus</v>
      </c>
      <c r="B1101" s="37" t="s">
        <v>13</v>
      </c>
      <c r="C1101" s="49">
        <v>17</v>
      </c>
      <c r="D1101" s="2" t="s">
        <v>26</v>
      </c>
      <c r="E1101" s="50" t="s">
        <v>87</v>
      </c>
      <c r="F1101" s="38" t="s">
        <v>88</v>
      </c>
      <c r="G1101" s="51">
        <v>2.2999999999999998</v>
      </c>
      <c r="H1101" s="2" t="s">
        <v>69</v>
      </c>
      <c r="I1101" s="39">
        <v>1.67</v>
      </c>
      <c r="J1101" s="39">
        <v>0.20409999999999998</v>
      </c>
      <c r="K1101" s="39">
        <v>0.1643</v>
      </c>
      <c r="L1101" s="39">
        <v>0.12969999999999998</v>
      </c>
      <c r="M1101" s="40">
        <v>5000</v>
      </c>
      <c r="N1101" s="52">
        <v>1000000</v>
      </c>
    </row>
    <row r="1102" spans="1:14" ht="15" customHeight="1" x14ac:dyDescent="0.25">
      <c r="A1102" s="64" t="str">
        <f t="shared" si="17"/>
        <v>2.3-18-0-TOU-2 year Reward Plus</v>
      </c>
      <c r="B1102" s="37" t="s">
        <v>13</v>
      </c>
      <c r="C1102" s="49">
        <v>18</v>
      </c>
      <c r="D1102" s="2" t="s">
        <v>27</v>
      </c>
      <c r="E1102" s="50" t="s">
        <v>87</v>
      </c>
      <c r="F1102" s="38" t="s">
        <v>88</v>
      </c>
      <c r="G1102" s="51">
        <v>2.2999999999999998</v>
      </c>
      <c r="H1102" s="2" t="s">
        <v>69</v>
      </c>
      <c r="I1102" s="39">
        <v>0.89900000000000002</v>
      </c>
      <c r="J1102" s="39">
        <v>0.18459999999999999</v>
      </c>
      <c r="K1102" s="39">
        <v>0.14859999999999998</v>
      </c>
      <c r="L1102" s="39">
        <v>0.1173</v>
      </c>
      <c r="M1102" s="40">
        <v>5000</v>
      </c>
      <c r="N1102" s="52">
        <v>1000000</v>
      </c>
    </row>
    <row r="1103" spans="1:14" ht="15" customHeight="1" x14ac:dyDescent="0.25">
      <c r="A1103" s="64" t="str">
        <f t="shared" si="17"/>
        <v>2.3-19-0-TOU-2 year Reward Plus</v>
      </c>
      <c r="B1103" s="37" t="s">
        <v>13</v>
      </c>
      <c r="C1103" s="49">
        <v>19</v>
      </c>
      <c r="D1103" s="2" t="s">
        <v>28</v>
      </c>
      <c r="E1103" s="50" t="s">
        <v>87</v>
      </c>
      <c r="F1103" s="38" t="s">
        <v>88</v>
      </c>
      <c r="G1103" s="51">
        <v>2.2999999999999998</v>
      </c>
      <c r="H1103" s="2" t="s">
        <v>69</v>
      </c>
      <c r="I1103" s="39">
        <v>0.77800000000000002</v>
      </c>
      <c r="J1103" s="39">
        <v>0.18339999999999998</v>
      </c>
      <c r="K1103" s="39">
        <v>0.1477</v>
      </c>
      <c r="L1103" s="39">
        <v>0.11660000000000001</v>
      </c>
      <c r="M1103" s="40">
        <v>5000</v>
      </c>
      <c r="N1103" s="52">
        <v>1000000</v>
      </c>
    </row>
    <row r="1104" spans="1:14" ht="15" customHeight="1" x14ac:dyDescent="0.25">
      <c r="A1104" s="64" t="str">
        <f t="shared" si="17"/>
        <v>2.3-20-0-TOU-2 year Reward Plus</v>
      </c>
      <c r="B1104" s="37" t="s">
        <v>13</v>
      </c>
      <c r="C1104" s="49">
        <v>20</v>
      </c>
      <c r="D1104" s="2" t="s">
        <v>29</v>
      </c>
      <c r="E1104" s="50" t="s">
        <v>87</v>
      </c>
      <c r="F1104" s="38" t="s">
        <v>88</v>
      </c>
      <c r="G1104" s="51">
        <v>2.2999999999999998</v>
      </c>
      <c r="H1104" s="2" t="s">
        <v>69</v>
      </c>
      <c r="I1104" s="39">
        <v>0.82699999999999996</v>
      </c>
      <c r="J1104" s="39">
        <v>0.1835</v>
      </c>
      <c r="K1104" s="39">
        <v>0.14779999999999999</v>
      </c>
      <c r="L1104" s="39">
        <v>0.1167</v>
      </c>
      <c r="M1104" s="40">
        <v>5000</v>
      </c>
      <c r="N1104" s="52">
        <v>1000000</v>
      </c>
    </row>
    <row r="1105" spans="1:14" ht="15" customHeight="1" x14ac:dyDescent="0.25">
      <c r="A1105" s="64" t="str">
        <f t="shared" si="17"/>
        <v>2.3-21-0-TOU-2 year Reward Plus</v>
      </c>
      <c r="B1105" s="37" t="s">
        <v>13</v>
      </c>
      <c r="C1105" s="49">
        <v>21</v>
      </c>
      <c r="D1105" s="2" t="s">
        <v>30</v>
      </c>
      <c r="E1105" s="50" t="s">
        <v>87</v>
      </c>
      <c r="F1105" s="38" t="s">
        <v>88</v>
      </c>
      <c r="G1105" s="51">
        <v>2.2999999999999998</v>
      </c>
      <c r="H1105" s="2" t="s">
        <v>69</v>
      </c>
      <c r="I1105" s="39">
        <v>0.92300000000000004</v>
      </c>
      <c r="J1105" s="39">
        <v>0.19369999999999998</v>
      </c>
      <c r="K1105" s="39">
        <v>0.15589999999999998</v>
      </c>
      <c r="L1105" s="39">
        <v>0.1231</v>
      </c>
      <c r="M1105" s="40">
        <v>5000</v>
      </c>
      <c r="N1105" s="52">
        <v>1000000</v>
      </c>
    </row>
    <row r="1106" spans="1:14" ht="15" customHeight="1" x14ac:dyDescent="0.25">
      <c r="A1106" s="64" t="str">
        <f t="shared" si="17"/>
        <v>2.3-22-0-TOU-2 year Reward Plus</v>
      </c>
      <c r="B1106" s="37" t="s">
        <v>13</v>
      </c>
      <c r="C1106" s="49">
        <v>22</v>
      </c>
      <c r="D1106" s="2" t="s">
        <v>31</v>
      </c>
      <c r="E1106" s="50" t="s">
        <v>87</v>
      </c>
      <c r="F1106" s="38" t="s">
        <v>88</v>
      </c>
      <c r="G1106" s="51">
        <v>2.2999999999999998</v>
      </c>
      <c r="H1106" s="2" t="s">
        <v>69</v>
      </c>
      <c r="I1106" s="39">
        <v>0.90400000000000003</v>
      </c>
      <c r="J1106" s="39">
        <v>0.1943</v>
      </c>
      <c r="K1106" s="39">
        <v>0.15639999999999998</v>
      </c>
      <c r="L1106" s="39">
        <v>0.1235</v>
      </c>
      <c r="M1106" s="40">
        <v>5000</v>
      </c>
      <c r="N1106" s="52">
        <v>1000000</v>
      </c>
    </row>
    <row r="1107" spans="1:14" ht="15" customHeight="1" x14ac:dyDescent="0.25">
      <c r="A1107" s="64" t="str">
        <f t="shared" si="17"/>
        <v>2.3-23-0-TOU-2 year Reward Plus</v>
      </c>
      <c r="B1107" s="37" t="s">
        <v>13</v>
      </c>
      <c r="C1107" s="49">
        <v>23</v>
      </c>
      <c r="D1107" s="2" t="s">
        <v>32</v>
      </c>
      <c r="E1107" s="50" t="s">
        <v>87</v>
      </c>
      <c r="F1107" s="38" t="s">
        <v>88</v>
      </c>
      <c r="G1107" s="51">
        <v>2.2999999999999998</v>
      </c>
      <c r="H1107" s="2" t="s">
        <v>69</v>
      </c>
      <c r="I1107" s="39">
        <v>0.90600000000000003</v>
      </c>
      <c r="J1107" s="39">
        <v>0.186</v>
      </c>
      <c r="K1107" s="39">
        <v>0.14979999999999999</v>
      </c>
      <c r="L1107" s="39">
        <v>0.1182</v>
      </c>
      <c r="M1107" s="40">
        <v>5000</v>
      </c>
      <c r="N1107" s="52">
        <v>1000000</v>
      </c>
    </row>
    <row r="1108" spans="1:14" ht="15" customHeight="1" x14ac:dyDescent="0.25">
      <c r="A1108" s="64" t="str">
        <f t="shared" si="17"/>
        <v>2.4-10-0-TOU-2 year Reward Plus</v>
      </c>
      <c r="B1108" s="37" t="s">
        <v>13</v>
      </c>
      <c r="C1108" s="49">
        <v>10</v>
      </c>
      <c r="D1108" s="2" t="s">
        <v>14</v>
      </c>
      <c r="E1108" s="50" t="s">
        <v>87</v>
      </c>
      <c r="F1108" s="38" t="s">
        <v>88</v>
      </c>
      <c r="G1108" s="51">
        <v>2.4</v>
      </c>
      <c r="H1108" s="2" t="s">
        <v>69</v>
      </c>
      <c r="I1108" s="39">
        <v>0.88100000000000001</v>
      </c>
      <c r="J1108" s="39">
        <v>0.18309999999999998</v>
      </c>
      <c r="K1108" s="39">
        <v>0.14739999999999998</v>
      </c>
      <c r="L1108" s="39">
        <v>0.1164</v>
      </c>
      <c r="M1108" s="40">
        <v>5000</v>
      </c>
      <c r="N1108" s="52">
        <v>1000000</v>
      </c>
    </row>
    <row r="1109" spans="1:14" ht="15" customHeight="1" x14ac:dyDescent="0.25">
      <c r="A1109" s="64" t="str">
        <f t="shared" si="17"/>
        <v>2.4-11-0-TOU-2 year Reward Plus</v>
      </c>
      <c r="B1109" s="37" t="s">
        <v>13</v>
      </c>
      <c r="C1109" s="49">
        <v>11</v>
      </c>
      <c r="D1109" s="2" t="s">
        <v>20</v>
      </c>
      <c r="E1109" s="50" t="s">
        <v>87</v>
      </c>
      <c r="F1109" s="38" t="s">
        <v>88</v>
      </c>
      <c r="G1109" s="51">
        <v>2.4</v>
      </c>
      <c r="H1109" s="2" t="s">
        <v>69</v>
      </c>
      <c r="I1109" s="39">
        <v>0.86099999999999999</v>
      </c>
      <c r="J1109" s="39">
        <v>0.18609999999999999</v>
      </c>
      <c r="K1109" s="39">
        <v>0.14989999999999998</v>
      </c>
      <c r="L1109" s="39">
        <v>0.1183</v>
      </c>
      <c r="M1109" s="40">
        <v>5000</v>
      </c>
      <c r="N1109" s="52">
        <v>1000000</v>
      </c>
    </row>
    <row r="1110" spans="1:14" ht="15" customHeight="1" x14ac:dyDescent="0.25">
      <c r="A1110" s="64" t="str">
        <f t="shared" si="17"/>
        <v>2.4-12-0-TOU-2 year Reward Plus</v>
      </c>
      <c r="B1110" s="37" t="s">
        <v>13</v>
      </c>
      <c r="C1110" s="49">
        <v>12</v>
      </c>
      <c r="D1110" s="2" t="s">
        <v>21</v>
      </c>
      <c r="E1110" s="50" t="s">
        <v>87</v>
      </c>
      <c r="F1110" s="38" t="s">
        <v>88</v>
      </c>
      <c r="G1110" s="51">
        <v>2.4</v>
      </c>
      <c r="H1110" s="2" t="s">
        <v>69</v>
      </c>
      <c r="I1110" s="39">
        <v>0.90300000000000002</v>
      </c>
      <c r="J1110" s="39">
        <v>0.1827</v>
      </c>
      <c r="K1110" s="39">
        <v>0.14709999999999998</v>
      </c>
      <c r="L1110" s="39">
        <v>0.11609999999999999</v>
      </c>
      <c r="M1110" s="40">
        <v>5000</v>
      </c>
      <c r="N1110" s="52">
        <v>1000000</v>
      </c>
    </row>
    <row r="1111" spans="1:14" ht="15" customHeight="1" x14ac:dyDescent="0.25">
      <c r="A1111" s="64" t="str">
        <f t="shared" si="17"/>
        <v>2.4-13-0-TOU-2 year Reward Plus</v>
      </c>
      <c r="B1111" s="37" t="s">
        <v>13</v>
      </c>
      <c r="C1111" s="49">
        <v>13</v>
      </c>
      <c r="D1111" s="2" t="s">
        <v>22</v>
      </c>
      <c r="E1111" s="50" t="s">
        <v>87</v>
      </c>
      <c r="F1111" s="38" t="s">
        <v>88</v>
      </c>
      <c r="G1111" s="51">
        <v>2.4</v>
      </c>
      <c r="H1111" s="2" t="s">
        <v>69</v>
      </c>
      <c r="I1111" s="39">
        <v>0.88100000000000001</v>
      </c>
      <c r="J1111" s="39">
        <v>0.1958</v>
      </c>
      <c r="K1111" s="39">
        <v>0.15769999999999998</v>
      </c>
      <c r="L1111" s="39">
        <v>0.1245</v>
      </c>
      <c r="M1111" s="40">
        <v>5000</v>
      </c>
      <c r="N1111" s="52">
        <v>1000000</v>
      </c>
    </row>
    <row r="1112" spans="1:14" ht="15" customHeight="1" x14ac:dyDescent="0.25">
      <c r="A1112" s="64" t="str">
        <f t="shared" si="17"/>
        <v>2.4-14-0-TOU-2 year Reward Plus</v>
      </c>
      <c r="B1112" s="37" t="s">
        <v>13</v>
      </c>
      <c r="C1112" s="49">
        <v>14</v>
      </c>
      <c r="D1112" s="2" t="s">
        <v>23</v>
      </c>
      <c r="E1112" s="50" t="s">
        <v>87</v>
      </c>
      <c r="F1112" s="38" t="s">
        <v>88</v>
      </c>
      <c r="G1112" s="51">
        <v>2.4</v>
      </c>
      <c r="H1112" s="2" t="s">
        <v>69</v>
      </c>
      <c r="I1112" s="39">
        <v>0.89</v>
      </c>
      <c r="J1112" s="39">
        <v>0.18719999999999998</v>
      </c>
      <c r="K1112" s="39">
        <v>0.1507</v>
      </c>
      <c r="L1112" s="39">
        <v>0.11900000000000001</v>
      </c>
      <c r="M1112" s="40">
        <v>5000</v>
      </c>
      <c r="N1112" s="52">
        <v>1000000</v>
      </c>
    </row>
    <row r="1113" spans="1:14" ht="15" customHeight="1" x14ac:dyDescent="0.25">
      <c r="A1113" s="64" t="str">
        <f t="shared" si="17"/>
        <v>2.4-15-0-TOU-2 year Reward Plus</v>
      </c>
      <c r="B1113" s="37" t="s">
        <v>13</v>
      </c>
      <c r="C1113" s="49">
        <v>15</v>
      </c>
      <c r="D1113" s="2" t="s">
        <v>24</v>
      </c>
      <c r="E1113" s="50" t="s">
        <v>87</v>
      </c>
      <c r="F1113" s="38" t="s">
        <v>88</v>
      </c>
      <c r="G1113" s="51">
        <v>2.4</v>
      </c>
      <c r="H1113" s="2" t="s">
        <v>69</v>
      </c>
      <c r="I1113" s="39">
        <v>0.96</v>
      </c>
      <c r="J1113" s="39">
        <v>0.187</v>
      </c>
      <c r="K1113" s="39">
        <v>0.15049999999999999</v>
      </c>
      <c r="L1113" s="39">
        <v>0.1188</v>
      </c>
      <c r="M1113" s="40">
        <v>5000</v>
      </c>
      <c r="N1113" s="52">
        <v>1000000</v>
      </c>
    </row>
    <row r="1114" spans="1:14" ht="15" customHeight="1" x14ac:dyDescent="0.25">
      <c r="A1114" s="64" t="str">
        <f t="shared" si="17"/>
        <v>2.4-16-0-TOU-2 year Reward Plus</v>
      </c>
      <c r="B1114" s="37" t="s">
        <v>13</v>
      </c>
      <c r="C1114" s="49">
        <v>16</v>
      </c>
      <c r="D1114" s="2" t="s">
        <v>25</v>
      </c>
      <c r="E1114" s="50" t="s">
        <v>87</v>
      </c>
      <c r="F1114" s="38" t="s">
        <v>88</v>
      </c>
      <c r="G1114" s="51">
        <v>2.4</v>
      </c>
      <c r="H1114" s="2" t="s">
        <v>69</v>
      </c>
      <c r="I1114" s="39">
        <v>0.72699999999999998</v>
      </c>
      <c r="J1114" s="39">
        <v>0.18629999999999999</v>
      </c>
      <c r="K1114" s="39">
        <v>0.15</v>
      </c>
      <c r="L1114" s="39">
        <v>0.11840000000000001</v>
      </c>
      <c r="M1114" s="40">
        <v>5000</v>
      </c>
      <c r="N1114" s="52">
        <v>1000000</v>
      </c>
    </row>
    <row r="1115" spans="1:14" ht="15" customHeight="1" x14ac:dyDescent="0.25">
      <c r="A1115" s="64" t="str">
        <f t="shared" si="17"/>
        <v>2.4-17-0-TOU-2 year Reward Plus</v>
      </c>
      <c r="B1115" s="37" t="s">
        <v>13</v>
      </c>
      <c r="C1115" s="49">
        <v>17</v>
      </c>
      <c r="D1115" s="2" t="s">
        <v>26</v>
      </c>
      <c r="E1115" s="50" t="s">
        <v>87</v>
      </c>
      <c r="F1115" s="38" t="s">
        <v>88</v>
      </c>
      <c r="G1115" s="51">
        <v>2.4</v>
      </c>
      <c r="H1115" s="2" t="s">
        <v>69</v>
      </c>
      <c r="I1115" s="39">
        <v>1.67</v>
      </c>
      <c r="J1115" s="39">
        <v>0.20529999999999998</v>
      </c>
      <c r="K1115" s="39">
        <v>0.1653</v>
      </c>
      <c r="L1115" s="39">
        <v>0.13049999999999998</v>
      </c>
      <c r="M1115" s="40">
        <v>5000</v>
      </c>
      <c r="N1115" s="52">
        <v>1000000</v>
      </c>
    </row>
    <row r="1116" spans="1:14" ht="15" customHeight="1" x14ac:dyDescent="0.25">
      <c r="A1116" s="64" t="str">
        <f t="shared" si="17"/>
        <v>2.4-18-0-TOU-2 year Reward Plus</v>
      </c>
      <c r="B1116" s="37" t="s">
        <v>13</v>
      </c>
      <c r="C1116" s="49">
        <v>18</v>
      </c>
      <c r="D1116" s="2" t="s">
        <v>27</v>
      </c>
      <c r="E1116" s="50" t="s">
        <v>87</v>
      </c>
      <c r="F1116" s="38" t="s">
        <v>88</v>
      </c>
      <c r="G1116" s="51">
        <v>2.4</v>
      </c>
      <c r="H1116" s="2" t="s">
        <v>69</v>
      </c>
      <c r="I1116" s="39">
        <v>0.89900000000000002</v>
      </c>
      <c r="J1116" s="39">
        <v>0.18579999999999999</v>
      </c>
      <c r="K1116" s="39">
        <v>0.14959999999999998</v>
      </c>
      <c r="L1116" s="39">
        <v>0.1181</v>
      </c>
      <c r="M1116" s="40">
        <v>5000</v>
      </c>
      <c r="N1116" s="52">
        <v>1000000</v>
      </c>
    </row>
    <row r="1117" spans="1:14" ht="15" customHeight="1" x14ac:dyDescent="0.25">
      <c r="A1117" s="64" t="str">
        <f t="shared" si="17"/>
        <v>2.4-19-0-TOU-2 year Reward Plus</v>
      </c>
      <c r="B1117" s="37" t="s">
        <v>13</v>
      </c>
      <c r="C1117" s="49">
        <v>19</v>
      </c>
      <c r="D1117" s="2" t="s">
        <v>28</v>
      </c>
      <c r="E1117" s="50" t="s">
        <v>87</v>
      </c>
      <c r="F1117" s="38" t="s">
        <v>88</v>
      </c>
      <c r="G1117" s="51">
        <v>2.4</v>
      </c>
      <c r="H1117" s="2" t="s">
        <v>69</v>
      </c>
      <c r="I1117" s="39">
        <v>0.77800000000000002</v>
      </c>
      <c r="J1117" s="39">
        <v>0.18459999999999999</v>
      </c>
      <c r="K1117" s="39">
        <v>0.14859999999999998</v>
      </c>
      <c r="L1117" s="39">
        <v>0.1173</v>
      </c>
      <c r="M1117" s="40">
        <v>5000</v>
      </c>
      <c r="N1117" s="52">
        <v>1000000</v>
      </c>
    </row>
    <row r="1118" spans="1:14" ht="15" customHeight="1" x14ac:dyDescent="0.25">
      <c r="A1118" s="64" t="str">
        <f t="shared" si="17"/>
        <v>2.4-20-0-TOU-2 year Reward Plus</v>
      </c>
      <c r="B1118" s="37" t="s">
        <v>13</v>
      </c>
      <c r="C1118" s="49">
        <v>20</v>
      </c>
      <c r="D1118" s="2" t="s">
        <v>29</v>
      </c>
      <c r="E1118" s="50" t="s">
        <v>87</v>
      </c>
      <c r="F1118" s="38" t="s">
        <v>88</v>
      </c>
      <c r="G1118" s="51">
        <v>2.4</v>
      </c>
      <c r="H1118" s="2" t="s">
        <v>69</v>
      </c>
      <c r="I1118" s="39">
        <v>0.82699999999999996</v>
      </c>
      <c r="J1118" s="39">
        <v>0.18469999999999998</v>
      </c>
      <c r="K1118" s="39">
        <v>0.1487</v>
      </c>
      <c r="L1118" s="39">
        <v>0.1174</v>
      </c>
      <c r="M1118" s="40">
        <v>5000</v>
      </c>
      <c r="N1118" s="52">
        <v>1000000</v>
      </c>
    </row>
    <row r="1119" spans="1:14" ht="15" customHeight="1" x14ac:dyDescent="0.25">
      <c r="A1119" s="64" t="str">
        <f t="shared" si="17"/>
        <v>2.4-21-0-TOU-2 year Reward Plus</v>
      </c>
      <c r="B1119" s="37" t="s">
        <v>13</v>
      </c>
      <c r="C1119" s="49">
        <v>21</v>
      </c>
      <c r="D1119" s="2" t="s">
        <v>30</v>
      </c>
      <c r="E1119" s="50" t="s">
        <v>87</v>
      </c>
      <c r="F1119" s="38" t="s">
        <v>88</v>
      </c>
      <c r="G1119" s="51">
        <v>2.4</v>
      </c>
      <c r="H1119" s="2" t="s">
        <v>69</v>
      </c>
      <c r="I1119" s="39">
        <v>0.92300000000000004</v>
      </c>
      <c r="J1119" s="39">
        <v>0.19489999999999999</v>
      </c>
      <c r="K1119" s="39">
        <v>0.15689999999999998</v>
      </c>
      <c r="L1119" s="39">
        <v>0.1239</v>
      </c>
      <c r="M1119" s="40">
        <v>5000</v>
      </c>
      <c r="N1119" s="52">
        <v>1000000</v>
      </c>
    </row>
    <row r="1120" spans="1:14" ht="15" customHeight="1" x14ac:dyDescent="0.25">
      <c r="A1120" s="64" t="str">
        <f t="shared" si="17"/>
        <v>2.4-22-0-TOU-2 year Reward Plus</v>
      </c>
      <c r="B1120" s="37" t="s">
        <v>13</v>
      </c>
      <c r="C1120" s="49">
        <v>22</v>
      </c>
      <c r="D1120" s="2" t="s">
        <v>31</v>
      </c>
      <c r="E1120" s="50" t="s">
        <v>87</v>
      </c>
      <c r="F1120" s="38" t="s">
        <v>88</v>
      </c>
      <c r="G1120" s="51">
        <v>2.4</v>
      </c>
      <c r="H1120" s="2" t="s">
        <v>69</v>
      </c>
      <c r="I1120" s="39">
        <v>0.90400000000000003</v>
      </c>
      <c r="J1120" s="39">
        <v>0.19549999999999998</v>
      </c>
      <c r="K1120" s="39">
        <v>0.15739999999999998</v>
      </c>
      <c r="L1120" s="39">
        <v>0.1242</v>
      </c>
      <c r="M1120" s="40">
        <v>5000</v>
      </c>
      <c r="N1120" s="52">
        <v>1000000</v>
      </c>
    </row>
    <row r="1121" spans="1:14" ht="15" customHeight="1" x14ac:dyDescent="0.25">
      <c r="A1121" s="64" t="str">
        <f t="shared" si="17"/>
        <v>2.4-23-0-TOU-2 year Reward Plus</v>
      </c>
      <c r="B1121" s="37" t="s">
        <v>13</v>
      </c>
      <c r="C1121" s="49">
        <v>23</v>
      </c>
      <c r="D1121" s="2" t="s">
        <v>32</v>
      </c>
      <c r="E1121" s="50" t="s">
        <v>87</v>
      </c>
      <c r="F1121" s="38" t="s">
        <v>88</v>
      </c>
      <c r="G1121" s="51">
        <v>2.4</v>
      </c>
      <c r="H1121" s="2" t="s">
        <v>69</v>
      </c>
      <c r="I1121" s="39">
        <v>0.90600000000000003</v>
      </c>
      <c r="J1121" s="39">
        <v>0.18719999999999998</v>
      </c>
      <c r="K1121" s="39">
        <v>0.1507</v>
      </c>
      <c r="L1121" s="39">
        <v>0.11900000000000001</v>
      </c>
      <c r="M1121" s="40">
        <v>5000</v>
      </c>
      <c r="N1121" s="52">
        <v>1000000</v>
      </c>
    </row>
    <row r="1122" spans="1:14" ht="15" customHeight="1" x14ac:dyDescent="0.25">
      <c r="A1122" s="64" t="str">
        <f t="shared" si="17"/>
        <v>2.5-10-0-TOU-2 year Reward Plus</v>
      </c>
      <c r="B1122" s="37" t="s">
        <v>13</v>
      </c>
      <c r="C1122" s="49">
        <v>10</v>
      </c>
      <c r="D1122" s="2" t="s">
        <v>14</v>
      </c>
      <c r="E1122" s="50" t="s">
        <v>87</v>
      </c>
      <c r="F1122" s="38" t="s">
        <v>88</v>
      </c>
      <c r="G1122" s="51">
        <v>2.5</v>
      </c>
      <c r="H1122" s="2" t="s">
        <v>69</v>
      </c>
      <c r="I1122" s="39">
        <v>0.88100000000000001</v>
      </c>
      <c r="J1122" s="39">
        <v>0.1842</v>
      </c>
      <c r="K1122" s="39">
        <v>0.14829999999999999</v>
      </c>
      <c r="L1122" s="39">
        <v>0.11710000000000001</v>
      </c>
      <c r="M1122" s="40">
        <v>5000</v>
      </c>
      <c r="N1122" s="52">
        <v>1000000</v>
      </c>
    </row>
    <row r="1123" spans="1:14" ht="15" customHeight="1" x14ac:dyDescent="0.25">
      <c r="A1123" s="64" t="str">
        <f t="shared" si="17"/>
        <v>2.5-11-0-TOU-2 year Reward Plus</v>
      </c>
      <c r="B1123" s="37" t="s">
        <v>13</v>
      </c>
      <c r="C1123" s="49">
        <v>11</v>
      </c>
      <c r="D1123" s="2" t="s">
        <v>20</v>
      </c>
      <c r="E1123" s="50" t="s">
        <v>87</v>
      </c>
      <c r="F1123" s="38" t="s">
        <v>88</v>
      </c>
      <c r="G1123" s="51">
        <v>2.5</v>
      </c>
      <c r="H1123" s="2" t="s">
        <v>69</v>
      </c>
      <c r="I1123" s="39">
        <v>0.86099999999999999</v>
      </c>
      <c r="J1123" s="39">
        <v>0.18729999999999999</v>
      </c>
      <c r="K1123" s="39">
        <v>0.15079999999999999</v>
      </c>
      <c r="L1123" s="39">
        <v>0.1191</v>
      </c>
      <c r="M1123" s="40">
        <v>5000</v>
      </c>
      <c r="N1123" s="52">
        <v>1000000</v>
      </c>
    </row>
    <row r="1124" spans="1:14" ht="15" customHeight="1" x14ac:dyDescent="0.25">
      <c r="A1124" s="64" t="str">
        <f t="shared" si="17"/>
        <v>2.5-12-0-TOU-2 year Reward Plus</v>
      </c>
      <c r="B1124" s="37" t="s">
        <v>13</v>
      </c>
      <c r="C1124" s="49">
        <v>12</v>
      </c>
      <c r="D1124" s="2" t="s">
        <v>21</v>
      </c>
      <c r="E1124" s="50" t="s">
        <v>87</v>
      </c>
      <c r="F1124" s="38" t="s">
        <v>88</v>
      </c>
      <c r="G1124" s="51">
        <v>2.5</v>
      </c>
      <c r="H1124" s="2" t="s">
        <v>69</v>
      </c>
      <c r="I1124" s="39">
        <v>0.90300000000000002</v>
      </c>
      <c r="J1124" s="39">
        <v>0.18389999999999998</v>
      </c>
      <c r="K1124" s="39">
        <v>0.14809999999999998</v>
      </c>
      <c r="L1124" s="39">
        <v>0.1169</v>
      </c>
      <c r="M1124" s="40">
        <v>5000</v>
      </c>
      <c r="N1124" s="52">
        <v>1000000</v>
      </c>
    </row>
    <row r="1125" spans="1:14" ht="15" customHeight="1" x14ac:dyDescent="0.25">
      <c r="A1125" s="64" t="str">
        <f t="shared" si="17"/>
        <v>2.5-13-0-TOU-2 year Reward Plus</v>
      </c>
      <c r="B1125" s="37" t="s">
        <v>13</v>
      </c>
      <c r="C1125" s="49">
        <v>13</v>
      </c>
      <c r="D1125" s="2" t="s">
        <v>22</v>
      </c>
      <c r="E1125" s="50" t="s">
        <v>87</v>
      </c>
      <c r="F1125" s="38" t="s">
        <v>88</v>
      </c>
      <c r="G1125" s="51">
        <v>2.5</v>
      </c>
      <c r="H1125" s="2" t="s">
        <v>69</v>
      </c>
      <c r="I1125" s="39">
        <v>0.88100000000000001</v>
      </c>
      <c r="J1125" s="39">
        <v>0.19699999999999998</v>
      </c>
      <c r="K1125" s="39">
        <v>0.15859999999999999</v>
      </c>
      <c r="L1125" s="39">
        <v>0.12519999999999998</v>
      </c>
      <c r="M1125" s="40">
        <v>5000</v>
      </c>
      <c r="N1125" s="52">
        <v>1000000</v>
      </c>
    </row>
    <row r="1126" spans="1:14" ht="15" customHeight="1" x14ac:dyDescent="0.25">
      <c r="A1126" s="64" t="str">
        <f t="shared" si="17"/>
        <v>2.5-14-0-TOU-2 year Reward Plus</v>
      </c>
      <c r="B1126" s="37" t="s">
        <v>13</v>
      </c>
      <c r="C1126" s="49">
        <v>14</v>
      </c>
      <c r="D1126" s="2" t="s">
        <v>23</v>
      </c>
      <c r="E1126" s="50" t="s">
        <v>87</v>
      </c>
      <c r="F1126" s="38" t="s">
        <v>88</v>
      </c>
      <c r="G1126" s="51">
        <v>2.5</v>
      </c>
      <c r="H1126" s="2" t="s">
        <v>69</v>
      </c>
      <c r="I1126" s="39">
        <v>0.89</v>
      </c>
      <c r="J1126" s="39">
        <v>0.18839999999999998</v>
      </c>
      <c r="K1126" s="39">
        <v>0.1517</v>
      </c>
      <c r="L1126" s="39">
        <v>0.1197</v>
      </c>
      <c r="M1126" s="40">
        <v>5000</v>
      </c>
      <c r="N1126" s="52">
        <v>1000000</v>
      </c>
    </row>
    <row r="1127" spans="1:14" ht="15" customHeight="1" x14ac:dyDescent="0.25">
      <c r="A1127" s="64" t="str">
        <f t="shared" si="17"/>
        <v>2.5-15-0-TOU-2 year Reward Plus</v>
      </c>
      <c r="B1127" s="37" t="s">
        <v>13</v>
      </c>
      <c r="C1127" s="49">
        <v>15</v>
      </c>
      <c r="D1127" s="2" t="s">
        <v>24</v>
      </c>
      <c r="E1127" s="50" t="s">
        <v>87</v>
      </c>
      <c r="F1127" s="38" t="s">
        <v>88</v>
      </c>
      <c r="G1127" s="51">
        <v>2.5</v>
      </c>
      <c r="H1127" s="2" t="s">
        <v>69</v>
      </c>
      <c r="I1127" s="39">
        <v>0.96</v>
      </c>
      <c r="J1127" s="39">
        <v>0.18809999999999999</v>
      </c>
      <c r="K1127" s="39">
        <v>0.1515</v>
      </c>
      <c r="L1127" s="39">
        <v>0.1196</v>
      </c>
      <c r="M1127" s="40">
        <v>5000</v>
      </c>
      <c r="N1127" s="52">
        <v>1000000</v>
      </c>
    </row>
    <row r="1128" spans="1:14" ht="15" customHeight="1" x14ac:dyDescent="0.25">
      <c r="A1128" s="64" t="str">
        <f t="shared" si="17"/>
        <v>2.5-16-0-TOU-2 year Reward Plus</v>
      </c>
      <c r="B1128" s="37" t="s">
        <v>13</v>
      </c>
      <c r="C1128" s="49">
        <v>16</v>
      </c>
      <c r="D1128" s="2" t="s">
        <v>25</v>
      </c>
      <c r="E1128" s="50" t="s">
        <v>87</v>
      </c>
      <c r="F1128" s="38" t="s">
        <v>88</v>
      </c>
      <c r="G1128" s="51">
        <v>2.5</v>
      </c>
      <c r="H1128" s="2" t="s">
        <v>69</v>
      </c>
      <c r="I1128" s="39">
        <v>0.72699999999999998</v>
      </c>
      <c r="J1128" s="39">
        <v>0.18739999999999998</v>
      </c>
      <c r="K1128" s="39">
        <v>0.15089999999999998</v>
      </c>
      <c r="L1128" s="39">
        <v>0.1191</v>
      </c>
      <c r="M1128" s="40">
        <v>5000</v>
      </c>
      <c r="N1128" s="52">
        <v>1000000</v>
      </c>
    </row>
    <row r="1129" spans="1:14" ht="15" customHeight="1" x14ac:dyDescent="0.25">
      <c r="A1129" s="64" t="str">
        <f t="shared" si="17"/>
        <v>2.5-17-0-TOU-2 year Reward Plus</v>
      </c>
      <c r="B1129" s="37" t="s">
        <v>13</v>
      </c>
      <c r="C1129" s="49">
        <v>17</v>
      </c>
      <c r="D1129" s="2" t="s">
        <v>26</v>
      </c>
      <c r="E1129" s="50" t="s">
        <v>87</v>
      </c>
      <c r="F1129" s="38" t="s">
        <v>88</v>
      </c>
      <c r="G1129" s="51">
        <v>2.5</v>
      </c>
      <c r="H1129" s="2" t="s">
        <v>69</v>
      </c>
      <c r="I1129" s="39">
        <v>1.67</v>
      </c>
      <c r="J1129" s="39">
        <v>0.2064</v>
      </c>
      <c r="K1129" s="39">
        <v>0.16619999999999999</v>
      </c>
      <c r="L1129" s="39">
        <v>0.13119999999999998</v>
      </c>
      <c r="M1129" s="40">
        <v>5000</v>
      </c>
      <c r="N1129" s="52">
        <v>1000000</v>
      </c>
    </row>
    <row r="1130" spans="1:14" ht="15" customHeight="1" x14ac:dyDescent="0.25">
      <c r="A1130" s="64" t="str">
        <f t="shared" si="17"/>
        <v>2.5-18-0-TOU-2 year Reward Plus</v>
      </c>
      <c r="B1130" s="37" t="s">
        <v>13</v>
      </c>
      <c r="C1130" s="49">
        <v>18</v>
      </c>
      <c r="D1130" s="2" t="s">
        <v>27</v>
      </c>
      <c r="E1130" s="50" t="s">
        <v>87</v>
      </c>
      <c r="F1130" s="38" t="s">
        <v>88</v>
      </c>
      <c r="G1130" s="51">
        <v>2.5</v>
      </c>
      <c r="H1130" s="2" t="s">
        <v>69</v>
      </c>
      <c r="I1130" s="39">
        <v>0.89900000000000002</v>
      </c>
      <c r="J1130" s="39">
        <v>0.187</v>
      </c>
      <c r="K1130" s="39">
        <v>0.15049999999999999</v>
      </c>
      <c r="L1130" s="39">
        <v>0.1188</v>
      </c>
      <c r="M1130" s="40">
        <v>5000</v>
      </c>
      <c r="N1130" s="52">
        <v>1000000</v>
      </c>
    </row>
    <row r="1131" spans="1:14" ht="15" customHeight="1" x14ac:dyDescent="0.25">
      <c r="A1131" s="64" t="str">
        <f t="shared" si="17"/>
        <v>2.5-19-0-TOU-2 year Reward Plus</v>
      </c>
      <c r="B1131" s="37" t="s">
        <v>13</v>
      </c>
      <c r="C1131" s="49">
        <v>19</v>
      </c>
      <c r="D1131" s="2" t="s">
        <v>28</v>
      </c>
      <c r="E1131" s="50" t="s">
        <v>87</v>
      </c>
      <c r="F1131" s="38" t="s">
        <v>88</v>
      </c>
      <c r="G1131" s="51">
        <v>2.5</v>
      </c>
      <c r="H1131" s="2" t="s">
        <v>69</v>
      </c>
      <c r="I1131" s="39">
        <v>0.77800000000000002</v>
      </c>
      <c r="J1131" s="39">
        <v>0.18579999999999999</v>
      </c>
      <c r="K1131" s="39">
        <v>0.14959999999999998</v>
      </c>
      <c r="L1131" s="39">
        <v>0.1181</v>
      </c>
      <c r="M1131" s="40">
        <v>5000</v>
      </c>
      <c r="N1131" s="52">
        <v>1000000</v>
      </c>
    </row>
    <row r="1132" spans="1:14" ht="15" customHeight="1" x14ac:dyDescent="0.25">
      <c r="A1132" s="64" t="str">
        <f t="shared" si="17"/>
        <v>2.5-20-0-TOU-2 year Reward Plus</v>
      </c>
      <c r="B1132" s="37" t="s">
        <v>13</v>
      </c>
      <c r="C1132" s="49">
        <v>20</v>
      </c>
      <c r="D1132" s="2" t="s">
        <v>29</v>
      </c>
      <c r="E1132" s="50" t="s">
        <v>87</v>
      </c>
      <c r="F1132" s="38" t="s">
        <v>88</v>
      </c>
      <c r="G1132" s="51">
        <v>2.5</v>
      </c>
      <c r="H1132" s="2" t="s">
        <v>69</v>
      </c>
      <c r="I1132" s="39">
        <v>0.82699999999999996</v>
      </c>
      <c r="J1132" s="39">
        <v>0.18589999999999998</v>
      </c>
      <c r="K1132" s="39">
        <v>0.1497</v>
      </c>
      <c r="L1132" s="39">
        <v>0.1182</v>
      </c>
      <c r="M1132" s="40">
        <v>5000</v>
      </c>
      <c r="N1132" s="52">
        <v>1000000</v>
      </c>
    </row>
    <row r="1133" spans="1:14" ht="15" customHeight="1" x14ac:dyDescent="0.25">
      <c r="A1133" s="64" t="str">
        <f t="shared" si="17"/>
        <v>2.5-21-0-TOU-2 year Reward Plus</v>
      </c>
      <c r="B1133" s="37" t="s">
        <v>13</v>
      </c>
      <c r="C1133" s="49">
        <v>21</v>
      </c>
      <c r="D1133" s="2" t="s">
        <v>30</v>
      </c>
      <c r="E1133" s="50" t="s">
        <v>87</v>
      </c>
      <c r="F1133" s="38" t="s">
        <v>88</v>
      </c>
      <c r="G1133" s="51">
        <v>2.5</v>
      </c>
      <c r="H1133" s="2" t="s">
        <v>69</v>
      </c>
      <c r="I1133" s="39">
        <v>0.92300000000000004</v>
      </c>
      <c r="J1133" s="39">
        <v>0.19599999999999998</v>
      </c>
      <c r="K1133" s="39">
        <v>0.1578</v>
      </c>
      <c r="L1133" s="39">
        <v>0.1246</v>
      </c>
      <c r="M1133" s="40">
        <v>5000</v>
      </c>
      <c r="N1133" s="52">
        <v>1000000</v>
      </c>
    </row>
    <row r="1134" spans="1:14" ht="15" customHeight="1" x14ac:dyDescent="0.25">
      <c r="A1134" s="64" t="str">
        <f t="shared" si="17"/>
        <v>2.5-22-0-TOU-2 year Reward Plus</v>
      </c>
      <c r="B1134" s="37" t="s">
        <v>13</v>
      </c>
      <c r="C1134" s="49">
        <v>22</v>
      </c>
      <c r="D1134" s="2" t="s">
        <v>31</v>
      </c>
      <c r="E1134" s="50" t="s">
        <v>87</v>
      </c>
      <c r="F1134" s="38" t="s">
        <v>88</v>
      </c>
      <c r="G1134" s="51">
        <v>2.5</v>
      </c>
      <c r="H1134" s="2" t="s">
        <v>69</v>
      </c>
      <c r="I1134" s="39">
        <v>0.90400000000000003</v>
      </c>
      <c r="J1134" s="39">
        <v>0.1966</v>
      </c>
      <c r="K1134" s="39">
        <v>0.1583</v>
      </c>
      <c r="L1134" s="39">
        <v>0.125</v>
      </c>
      <c r="M1134" s="40">
        <v>5000</v>
      </c>
      <c r="N1134" s="52">
        <v>1000000</v>
      </c>
    </row>
    <row r="1135" spans="1:14" ht="15" customHeight="1" x14ac:dyDescent="0.25">
      <c r="A1135" s="64" t="str">
        <f t="shared" si="17"/>
        <v>2.5-23-0-TOU-2 year Reward Plus</v>
      </c>
      <c r="B1135" s="37" t="s">
        <v>13</v>
      </c>
      <c r="C1135" s="49">
        <v>23</v>
      </c>
      <c r="D1135" s="2" t="s">
        <v>32</v>
      </c>
      <c r="E1135" s="50" t="s">
        <v>87</v>
      </c>
      <c r="F1135" s="38" t="s">
        <v>88</v>
      </c>
      <c r="G1135" s="51">
        <v>2.5</v>
      </c>
      <c r="H1135" s="2" t="s">
        <v>69</v>
      </c>
      <c r="I1135" s="39">
        <v>0.90600000000000003</v>
      </c>
      <c r="J1135" s="39">
        <v>0.18839999999999998</v>
      </c>
      <c r="K1135" s="39">
        <v>0.1517</v>
      </c>
      <c r="L1135" s="39">
        <v>0.1197</v>
      </c>
      <c r="M1135" s="40">
        <v>5000</v>
      </c>
      <c r="N1135" s="52">
        <v>1000000</v>
      </c>
    </row>
    <row r="1136" spans="1:14" ht="15" customHeight="1" x14ac:dyDescent="0.25">
      <c r="A1136" s="64" t="str">
        <f t="shared" si="17"/>
        <v>2.6-10-0-TOU-2 year Reward Plus</v>
      </c>
      <c r="B1136" s="37" t="s">
        <v>13</v>
      </c>
      <c r="C1136" s="49">
        <v>10</v>
      </c>
      <c r="D1136" s="2" t="s">
        <v>14</v>
      </c>
      <c r="E1136" s="50" t="s">
        <v>87</v>
      </c>
      <c r="F1136" s="38" t="s">
        <v>88</v>
      </c>
      <c r="G1136" s="51">
        <v>2.6</v>
      </c>
      <c r="H1136" s="2" t="s">
        <v>69</v>
      </c>
      <c r="I1136" s="39">
        <v>0.88100000000000001</v>
      </c>
      <c r="J1136" s="39">
        <v>0.18539999999999998</v>
      </c>
      <c r="K1136" s="39">
        <v>0.14929999999999999</v>
      </c>
      <c r="L1136" s="39">
        <v>0.1179</v>
      </c>
      <c r="M1136" s="40">
        <v>5000</v>
      </c>
      <c r="N1136" s="52">
        <v>1000000</v>
      </c>
    </row>
    <row r="1137" spans="1:14" ht="15" customHeight="1" x14ac:dyDescent="0.25">
      <c r="A1137" s="64" t="str">
        <f t="shared" si="17"/>
        <v>2.6-11-0-TOU-2 year Reward Plus</v>
      </c>
      <c r="B1137" s="37" t="s">
        <v>13</v>
      </c>
      <c r="C1137" s="49">
        <v>11</v>
      </c>
      <c r="D1137" s="2" t="s">
        <v>20</v>
      </c>
      <c r="E1137" s="50" t="s">
        <v>87</v>
      </c>
      <c r="F1137" s="38" t="s">
        <v>88</v>
      </c>
      <c r="G1137" s="51">
        <v>2.6</v>
      </c>
      <c r="H1137" s="2" t="s">
        <v>69</v>
      </c>
      <c r="I1137" s="39">
        <v>0.86099999999999999</v>
      </c>
      <c r="J1137" s="39">
        <v>0.1885</v>
      </c>
      <c r="K1137" s="39">
        <v>0.15179999999999999</v>
      </c>
      <c r="L1137" s="39">
        <v>0.1198</v>
      </c>
      <c r="M1137" s="40">
        <v>5000</v>
      </c>
      <c r="N1137" s="52">
        <v>1000000</v>
      </c>
    </row>
    <row r="1138" spans="1:14" ht="15" customHeight="1" x14ac:dyDescent="0.25">
      <c r="A1138" s="64" t="str">
        <f t="shared" si="17"/>
        <v>2.6-12-0-TOU-2 year Reward Plus</v>
      </c>
      <c r="B1138" s="37" t="s">
        <v>13</v>
      </c>
      <c r="C1138" s="49">
        <v>12</v>
      </c>
      <c r="D1138" s="2" t="s">
        <v>21</v>
      </c>
      <c r="E1138" s="50" t="s">
        <v>87</v>
      </c>
      <c r="F1138" s="38" t="s">
        <v>88</v>
      </c>
      <c r="G1138" s="51">
        <v>2.6</v>
      </c>
      <c r="H1138" s="2" t="s">
        <v>69</v>
      </c>
      <c r="I1138" s="39">
        <v>0.90300000000000002</v>
      </c>
      <c r="J1138" s="39">
        <v>0.18509999999999999</v>
      </c>
      <c r="K1138" s="39">
        <v>0.14899999999999999</v>
      </c>
      <c r="L1138" s="39">
        <v>0.1176</v>
      </c>
      <c r="M1138" s="40">
        <v>5000</v>
      </c>
      <c r="N1138" s="52">
        <v>1000000</v>
      </c>
    </row>
    <row r="1139" spans="1:14" ht="15" customHeight="1" x14ac:dyDescent="0.25">
      <c r="A1139" s="64" t="str">
        <f t="shared" si="17"/>
        <v>2.6-13-0-TOU-2 year Reward Plus</v>
      </c>
      <c r="B1139" s="37" t="s">
        <v>13</v>
      </c>
      <c r="C1139" s="49">
        <v>13</v>
      </c>
      <c r="D1139" s="2" t="s">
        <v>22</v>
      </c>
      <c r="E1139" s="50" t="s">
        <v>87</v>
      </c>
      <c r="F1139" s="38" t="s">
        <v>88</v>
      </c>
      <c r="G1139" s="51">
        <v>2.6</v>
      </c>
      <c r="H1139" s="2" t="s">
        <v>69</v>
      </c>
      <c r="I1139" s="39">
        <v>0.88100000000000001</v>
      </c>
      <c r="J1139" s="39">
        <v>0.19819999999999999</v>
      </c>
      <c r="K1139" s="39">
        <v>0.15959999999999999</v>
      </c>
      <c r="L1139" s="39">
        <v>0.126</v>
      </c>
      <c r="M1139" s="40">
        <v>5000</v>
      </c>
      <c r="N1139" s="52">
        <v>1000000</v>
      </c>
    </row>
    <row r="1140" spans="1:14" ht="15" customHeight="1" x14ac:dyDescent="0.25">
      <c r="A1140" s="64" t="str">
        <f t="shared" si="17"/>
        <v>2.6-14-0-TOU-2 year Reward Plus</v>
      </c>
      <c r="B1140" s="37" t="s">
        <v>13</v>
      </c>
      <c r="C1140" s="49">
        <v>14</v>
      </c>
      <c r="D1140" s="2" t="s">
        <v>23</v>
      </c>
      <c r="E1140" s="50" t="s">
        <v>87</v>
      </c>
      <c r="F1140" s="38" t="s">
        <v>88</v>
      </c>
      <c r="G1140" s="51">
        <v>2.6</v>
      </c>
      <c r="H1140" s="2" t="s">
        <v>69</v>
      </c>
      <c r="I1140" s="39">
        <v>0.89</v>
      </c>
      <c r="J1140" s="39">
        <v>0.18959999999999999</v>
      </c>
      <c r="K1140" s="39">
        <v>0.15259999999999999</v>
      </c>
      <c r="L1140" s="39">
        <v>0.1205</v>
      </c>
      <c r="M1140" s="40">
        <v>5000</v>
      </c>
      <c r="N1140" s="52">
        <v>1000000</v>
      </c>
    </row>
    <row r="1141" spans="1:14" ht="15" customHeight="1" x14ac:dyDescent="0.25">
      <c r="A1141" s="64" t="str">
        <f t="shared" si="17"/>
        <v>2.6-15-0-TOU-2 year Reward Plus</v>
      </c>
      <c r="B1141" s="37" t="s">
        <v>13</v>
      </c>
      <c r="C1141" s="49">
        <v>15</v>
      </c>
      <c r="D1141" s="2" t="s">
        <v>24</v>
      </c>
      <c r="E1141" s="50" t="s">
        <v>87</v>
      </c>
      <c r="F1141" s="38" t="s">
        <v>88</v>
      </c>
      <c r="G1141" s="51">
        <v>2.6</v>
      </c>
      <c r="H1141" s="2" t="s">
        <v>69</v>
      </c>
      <c r="I1141" s="39">
        <v>0.96</v>
      </c>
      <c r="J1141" s="39">
        <v>0.1893</v>
      </c>
      <c r="K1141" s="39">
        <v>0.15239999999999998</v>
      </c>
      <c r="L1141" s="39">
        <v>0.1203</v>
      </c>
      <c r="M1141" s="40">
        <v>5000</v>
      </c>
      <c r="N1141" s="52">
        <v>1000000</v>
      </c>
    </row>
    <row r="1142" spans="1:14" ht="15" customHeight="1" x14ac:dyDescent="0.25">
      <c r="A1142" s="64" t="str">
        <f t="shared" si="17"/>
        <v>2.6-16-0-TOU-2 year Reward Plus</v>
      </c>
      <c r="B1142" s="37" t="s">
        <v>13</v>
      </c>
      <c r="C1142" s="49">
        <v>16</v>
      </c>
      <c r="D1142" s="2" t="s">
        <v>25</v>
      </c>
      <c r="E1142" s="50" t="s">
        <v>87</v>
      </c>
      <c r="F1142" s="38" t="s">
        <v>88</v>
      </c>
      <c r="G1142" s="51">
        <v>2.6</v>
      </c>
      <c r="H1142" s="2" t="s">
        <v>69</v>
      </c>
      <c r="I1142" s="39">
        <v>0.72699999999999998</v>
      </c>
      <c r="J1142" s="39">
        <v>0.18859999999999999</v>
      </c>
      <c r="K1142" s="39">
        <v>0.15189999999999998</v>
      </c>
      <c r="L1142" s="39">
        <v>0.11990000000000001</v>
      </c>
      <c r="M1142" s="40">
        <v>5000</v>
      </c>
      <c r="N1142" s="52">
        <v>1000000</v>
      </c>
    </row>
    <row r="1143" spans="1:14" ht="15" customHeight="1" x14ac:dyDescent="0.25">
      <c r="A1143" s="64" t="str">
        <f t="shared" si="17"/>
        <v>2.6-17-0-TOU-2 year Reward Plus</v>
      </c>
      <c r="B1143" s="37" t="s">
        <v>13</v>
      </c>
      <c r="C1143" s="49">
        <v>17</v>
      </c>
      <c r="D1143" s="2" t="s">
        <v>26</v>
      </c>
      <c r="E1143" s="50" t="s">
        <v>87</v>
      </c>
      <c r="F1143" s="38" t="s">
        <v>88</v>
      </c>
      <c r="G1143" s="51">
        <v>2.6</v>
      </c>
      <c r="H1143" s="2" t="s">
        <v>69</v>
      </c>
      <c r="I1143" s="39">
        <v>1.67</v>
      </c>
      <c r="J1143" s="39">
        <v>0.20759999999999998</v>
      </c>
      <c r="K1143" s="39">
        <v>0.16719999999999999</v>
      </c>
      <c r="L1143" s="39">
        <v>0.13199999999999998</v>
      </c>
      <c r="M1143" s="40">
        <v>5000</v>
      </c>
      <c r="N1143" s="52">
        <v>1000000</v>
      </c>
    </row>
    <row r="1144" spans="1:14" ht="15" customHeight="1" x14ac:dyDescent="0.25">
      <c r="A1144" s="64" t="str">
        <f t="shared" si="17"/>
        <v>2.6-18-0-TOU-2 year Reward Plus</v>
      </c>
      <c r="B1144" s="37" t="s">
        <v>13</v>
      </c>
      <c r="C1144" s="49">
        <v>18</v>
      </c>
      <c r="D1144" s="2" t="s">
        <v>27</v>
      </c>
      <c r="E1144" s="50" t="s">
        <v>87</v>
      </c>
      <c r="F1144" s="38" t="s">
        <v>88</v>
      </c>
      <c r="G1144" s="51">
        <v>2.6</v>
      </c>
      <c r="H1144" s="2" t="s">
        <v>69</v>
      </c>
      <c r="I1144" s="39">
        <v>0.89900000000000002</v>
      </c>
      <c r="J1144" s="39">
        <v>0.18809999999999999</v>
      </c>
      <c r="K1144" s="39">
        <v>0.1515</v>
      </c>
      <c r="L1144" s="39">
        <v>0.1196</v>
      </c>
      <c r="M1144" s="40">
        <v>5000</v>
      </c>
      <c r="N1144" s="52">
        <v>1000000</v>
      </c>
    </row>
    <row r="1145" spans="1:14" ht="15" customHeight="1" x14ac:dyDescent="0.25">
      <c r="A1145" s="64" t="str">
        <f t="shared" si="17"/>
        <v>2.6-19-0-TOU-2 year Reward Plus</v>
      </c>
      <c r="B1145" s="37" t="s">
        <v>13</v>
      </c>
      <c r="C1145" s="49">
        <v>19</v>
      </c>
      <c r="D1145" s="2" t="s">
        <v>28</v>
      </c>
      <c r="E1145" s="50" t="s">
        <v>87</v>
      </c>
      <c r="F1145" s="38" t="s">
        <v>88</v>
      </c>
      <c r="G1145" s="51">
        <v>2.6</v>
      </c>
      <c r="H1145" s="2" t="s">
        <v>69</v>
      </c>
      <c r="I1145" s="39">
        <v>0.77800000000000002</v>
      </c>
      <c r="J1145" s="39">
        <v>0.187</v>
      </c>
      <c r="K1145" s="39">
        <v>0.15049999999999999</v>
      </c>
      <c r="L1145" s="39">
        <v>0.1188</v>
      </c>
      <c r="M1145" s="40">
        <v>5000</v>
      </c>
      <c r="N1145" s="52">
        <v>1000000</v>
      </c>
    </row>
    <row r="1146" spans="1:14" ht="15" customHeight="1" x14ac:dyDescent="0.25">
      <c r="A1146" s="64" t="str">
        <f t="shared" si="17"/>
        <v>2.6-20-0-TOU-2 year Reward Plus</v>
      </c>
      <c r="B1146" s="37" t="s">
        <v>13</v>
      </c>
      <c r="C1146" s="49">
        <v>20</v>
      </c>
      <c r="D1146" s="2" t="s">
        <v>29</v>
      </c>
      <c r="E1146" s="50" t="s">
        <v>87</v>
      </c>
      <c r="F1146" s="38" t="s">
        <v>88</v>
      </c>
      <c r="G1146" s="51">
        <v>2.6</v>
      </c>
      <c r="H1146" s="2" t="s">
        <v>69</v>
      </c>
      <c r="I1146" s="39">
        <v>0.82699999999999996</v>
      </c>
      <c r="J1146" s="39">
        <v>0.18709999999999999</v>
      </c>
      <c r="K1146" s="39">
        <v>0.15059999999999998</v>
      </c>
      <c r="L1146" s="39">
        <v>0.11890000000000001</v>
      </c>
      <c r="M1146" s="40">
        <v>5000</v>
      </c>
      <c r="N1146" s="52">
        <v>1000000</v>
      </c>
    </row>
    <row r="1147" spans="1:14" ht="15" customHeight="1" x14ac:dyDescent="0.25">
      <c r="A1147" s="64" t="str">
        <f t="shared" si="17"/>
        <v>2.6-21-0-TOU-2 year Reward Plus</v>
      </c>
      <c r="B1147" s="37" t="s">
        <v>13</v>
      </c>
      <c r="C1147" s="49">
        <v>21</v>
      </c>
      <c r="D1147" s="2" t="s">
        <v>30</v>
      </c>
      <c r="E1147" s="50" t="s">
        <v>87</v>
      </c>
      <c r="F1147" s="38" t="s">
        <v>88</v>
      </c>
      <c r="G1147" s="51">
        <v>2.6</v>
      </c>
      <c r="H1147" s="2" t="s">
        <v>69</v>
      </c>
      <c r="I1147" s="39">
        <v>0.92300000000000004</v>
      </c>
      <c r="J1147" s="39">
        <v>0.19719999999999999</v>
      </c>
      <c r="K1147" s="39">
        <v>0.1588</v>
      </c>
      <c r="L1147" s="39">
        <v>0.12539999999999998</v>
      </c>
      <c r="M1147" s="40">
        <v>5000</v>
      </c>
      <c r="N1147" s="52">
        <v>1000000</v>
      </c>
    </row>
    <row r="1148" spans="1:14" ht="15" customHeight="1" x14ac:dyDescent="0.25">
      <c r="A1148" s="64" t="str">
        <f t="shared" si="17"/>
        <v>2.6-22-0-TOU-2 year Reward Plus</v>
      </c>
      <c r="B1148" s="37" t="s">
        <v>13</v>
      </c>
      <c r="C1148" s="49">
        <v>22</v>
      </c>
      <c r="D1148" s="2" t="s">
        <v>31</v>
      </c>
      <c r="E1148" s="50" t="s">
        <v>87</v>
      </c>
      <c r="F1148" s="38" t="s">
        <v>88</v>
      </c>
      <c r="G1148" s="51">
        <v>2.6</v>
      </c>
      <c r="H1148" s="2" t="s">
        <v>69</v>
      </c>
      <c r="I1148" s="39">
        <v>0.90400000000000003</v>
      </c>
      <c r="J1148" s="39">
        <v>0.19779999999999998</v>
      </c>
      <c r="K1148" s="39">
        <v>0.1593</v>
      </c>
      <c r="L1148" s="39">
        <v>0.12570000000000001</v>
      </c>
      <c r="M1148" s="40">
        <v>5000</v>
      </c>
      <c r="N1148" s="52">
        <v>1000000</v>
      </c>
    </row>
    <row r="1149" spans="1:14" ht="15" customHeight="1" x14ac:dyDescent="0.25">
      <c r="A1149" s="64" t="str">
        <f t="shared" si="17"/>
        <v>2.6-23-0-TOU-2 year Reward Plus</v>
      </c>
      <c r="B1149" s="37" t="s">
        <v>13</v>
      </c>
      <c r="C1149" s="49">
        <v>23</v>
      </c>
      <c r="D1149" s="2" t="s">
        <v>32</v>
      </c>
      <c r="E1149" s="50" t="s">
        <v>87</v>
      </c>
      <c r="F1149" s="38" t="s">
        <v>88</v>
      </c>
      <c r="G1149" s="51">
        <v>2.6</v>
      </c>
      <c r="H1149" s="2" t="s">
        <v>69</v>
      </c>
      <c r="I1149" s="39">
        <v>0.90600000000000003</v>
      </c>
      <c r="J1149" s="39">
        <v>0.18959999999999999</v>
      </c>
      <c r="K1149" s="39">
        <v>0.15259999999999999</v>
      </c>
      <c r="L1149" s="39">
        <v>0.1205</v>
      </c>
      <c r="M1149" s="40">
        <v>5000</v>
      </c>
      <c r="N1149" s="52">
        <v>1000000</v>
      </c>
    </row>
    <row r="1150" spans="1:14" ht="15" customHeight="1" x14ac:dyDescent="0.25">
      <c r="A1150" s="64" t="str">
        <f t="shared" si="17"/>
        <v>2.7-10-0-TOU-2 year Reward Plus</v>
      </c>
      <c r="B1150" s="37" t="s">
        <v>13</v>
      </c>
      <c r="C1150" s="49">
        <v>10</v>
      </c>
      <c r="D1150" s="2" t="s">
        <v>14</v>
      </c>
      <c r="E1150" s="50" t="s">
        <v>87</v>
      </c>
      <c r="F1150" s="38" t="s">
        <v>88</v>
      </c>
      <c r="G1150" s="51">
        <v>2.7</v>
      </c>
      <c r="H1150" s="2" t="s">
        <v>69</v>
      </c>
      <c r="I1150" s="39">
        <v>0.88100000000000001</v>
      </c>
      <c r="J1150" s="39">
        <v>0.18659999999999999</v>
      </c>
      <c r="K1150" s="39">
        <v>0.1502</v>
      </c>
      <c r="L1150" s="39">
        <v>0.1186</v>
      </c>
      <c r="M1150" s="40">
        <v>5000</v>
      </c>
      <c r="N1150" s="52">
        <v>1000000</v>
      </c>
    </row>
    <row r="1151" spans="1:14" ht="15" customHeight="1" x14ac:dyDescent="0.25">
      <c r="A1151" s="64" t="str">
        <f t="shared" si="17"/>
        <v>2.7-11-0-TOU-2 year Reward Plus</v>
      </c>
      <c r="B1151" s="37" t="s">
        <v>13</v>
      </c>
      <c r="C1151" s="49">
        <v>11</v>
      </c>
      <c r="D1151" s="2" t="s">
        <v>20</v>
      </c>
      <c r="E1151" s="50" t="s">
        <v>87</v>
      </c>
      <c r="F1151" s="38" t="s">
        <v>88</v>
      </c>
      <c r="G1151" s="51">
        <v>2.7</v>
      </c>
      <c r="H1151" s="2" t="s">
        <v>69</v>
      </c>
      <c r="I1151" s="39">
        <v>0.86099999999999999</v>
      </c>
      <c r="J1151" s="39">
        <v>0.18969999999999998</v>
      </c>
      <c r="K1151" s="39">
        <v>0.1527</v>
      </c>
      <c r="L1151" s="39">
        <v>0.1206</v>
      </c>
      <c r="M1151" s="40">
        <v>5000</v>
      </c>
      <c r="N1151" s="52">
        <v>1000000</v>
      </c>
    </row>
    <row r="1152" spans="1:14" ht="15" customHeight="1" x14ac:dyDescent="0.25">
      <c r="A1152" s="64" t="str">
        <f t="shared" si="17"/>
        <v>2.7-12-0-TOU-2 year Reward Plus</v>
      </c>
      <c r="B1152" s="37" t="s">
        <v>13</v>
      </c>
      <c r="C1152" s="49">
        <v>12</v>
      </c>
      <c r="D1152" s="2" t="s">
        <v>21</v>
      </c>
      <c r="E1152" s="50" t="s">
        <v>87</v>
      </c>
      <c r="F1152" s="38" t="s">
        <v>88</v>
      </c>
      <c r="G1152" s="51">
        <v>2.7</v>
      </c>
      <c r="H1152" s="2" t="s">
        <v>69</v>
      </c>
      <c r="I1152" s="39">
        <v>0.90300000000000002</v>
      </c>
      <c r="J1152" s="39">
        <v>0.18629999999999999</v>
      </c>
      <c r="K1152" s="39">
        <v>0.15</v>
      </c>
      <c r="L1152" s="39">
        <v>0.11840000000000001</v>
      </c>
      <c r="M1152" s="40">
        <v>5000</v>
      </c>
      <c r="N1152" s="52">
        <v>1000000</v>
      </c>
    </row>
    <row r="1153" spans="1:14" ht="15" customHeight="1" x14ac:dyDescent="0.25">
      <c r="A1153" s="64" t="str">
        <f t="shared" si="17"/>
        <v>2.7-13-0-TOU-2 year Reward Plus</v>
      </c>
      <c r="B1153" s="37" t="s">
        <v>13</v>
      </c>
      <c r="C1153" s="49">
        <v>13</v>
      </c>
      <c r="D1153" s="2" t="s">
        <v>22</v>
      </c>
      <c r="E1153" s="50" t="s">
        <v>87</v>
      </c>
      <c r="F1153" s="38" t="s">
        <v>88</v>
      </c>
      <c r="G1153" s="51">
        <v>2.7</v>
      </c>
      <c r="H1153" s="2" t="s">
        <v>69</v>
      </c>
      <c r="I1153" s="39">
        <v>0.88100000000000001</v>
      </c>
      <c r="J1153" s="39">
        <v>0.19939999999999999</v>
      </c>
      <c r="K1153" s="39">
        <v>0.16049999999999998</v>
      </c>
      <c r="L1153" s="39">
        <v>0.12669999999999998</v>
      </c>
      <c r="M1153" s="40">
        <v>5000</v>
      </c>
      <c r="N1153" s="52">
        <v>1000000</v>
      </c>
    </row>
    <row r="1154" spans="1:14" ht="15" customHeight="1" x14ac:dyDescent="0.25">
      <c r="A1154" s="64" t="str">
        <f t="shared" si="17"/>
        <v>2.7-14-0-TOU-2 year Reward Plus</v>
      </c>
      <c r="B1154" s="37" t="s">
        <v>13</v>
      </c>
      <c r="C1154" s="49">
        <v>14</v>
      </c>
      <c r="D1154" s="2" t="s">
        <v>23</v>
      </c>
      <c r="E1154" s="50" t="s">
        <v>87</v>
      </c>
      <c r="F1154" s="38" t="s">
        <v>88</v>
      </c>
      <c r="G1154" s="51">
        <v>2.7</v>
      </c>
      <c r="H1154" s="2" t="s">
        <v>69</v>
      </c>
      <c r="I1154" s="39">
        <v>0.89</v>
      </c>
      <c r="J1154" s="39">
        <v>0.19069999999999998</v>
      </c>
      <c r="K1154" s="39">
        <v>0.15359999999999999</v>
      </c>
      <c r="L1154" s="39">
        <v>0.1212</v>
      </c>
      <c r="M1154" s="40">
        <v>5000</v>
      </c>
      <c r="N1154" s="52">
        <v>1000000</v>
      </c>
    </row>
    <row r="1155" spans="1:14" ht="15" customHeight="1" x14ac:dyDescent="0.25">
      <c r="A1155" s="64" t="str">
        <f t="shared" ref="A1155:A1218" si="18">IF(E1155="OP","",CONCATENATE(G1155,"-",C1155,"-",RIGHT(F1155,1),"-",E1155,"-",H1155))</f>
        <v>2.7-15-0-TOU-2 year Reward Plus</v>
      </c>
      <c r="B1155" s="37" t="s">
        <v>13</v>
      </c>
      <c r="C1155" s="49">
        <v>15</v>
      </c>
      <c r="D1155" s="2" t="s">
        <v>24</v>
      </c>
      <c r="E1155" s="50" t="s">
        <v>87</v>
      </c>
      <c r="F1155" s="38" t="s">
        <v>88</v>
      </c>
      <c r="G1155" s="51">
        <v>2.7</v>
      </c>
      <c r="H1155" s="2" t="s">
        <v>69</v>
      </c>
      <c r="I1155" s="39">
        <v>0.96</v>
      </c>
      <c r="J1155" s="39">
        <v>0.1905</v>
      </c>
      <c r="K1155" s="39">
        <v>0.15339999999999998</v>
      </c>
      <c r="L1155" s="39">
        <v>0.1211</v>
      </c>
      <c r="M1155" s="40">
        <v>5000</v>
      </c>
      <c r="N1155" s="52">
        <v>1000000</v>
      </c>
    </row>
    <row r="1156" spans="1:14" ht="15" customHeight="1" x14ac:dyDescent="0.25">
      <c r="A1156" s="64" t="str">
        <f t="shared" si="18"/>
        <v>2.7-16-0-TOU-2 year Reward Plus</v>
      </c>
      <c r="B1156" s="37" t="s">
        <v>13</v>
      </c>
      <c r="C1156" s="49">
        <v>16</v>
      </c>
      <c r="D1156" s="2" t="s">
        <v>25</v>
      </c>
      <c r="E1156" s="50" t="s">
        <v>87</v>
      </c>
      <c r="F1156" s="38" t="s">
        <v>88</v>
      </c>
      <c r="G1156" s="51">
        <v>2.7</v>
      </c>
      <c r="H1156" s="2" t="s">
        <v>69</v>
      </c>
      <c r="I1156" s="39">
        <v>0.72699999999999998</v>
      </c>
      <c r="J1156" s="39">
        <v>0.1898</v>
      </c>
      <c r="K1156" s="39">
        <v>0.15279999999999999</v>
      </c>
      <c r="L1156" s="39">
        <v>0.1206</v>
      </c>
      <c r="M1156" s="40">
        <v>5000</v>
      </c>
      <c r="N1156" s="52">
        <v>1000000</v>
      </c>
    </row>
    <row r="1157" spans="1:14" ht="15" customHeight="1" x14ac:dyDescent="0.25">
      <c r="A1157" s="64" t="str">
        <f t="shared" si="18"/>
        <v>2.7-17-0-TOU-2 year Reward Plus</v>
      </c>
      <c r="B1157" s="37" t="s">
        <v>13</v>
      </c>
      <c r="C1157" s="49">
        <v>17</v>
      </c>
      <c r="D1157" s="2" t="s">
        <v>26</v>
      </c>
      <c r="E1157" s="50" t="s">
        <v>87</v>
      </c>
      <c r="F1157" s="38" t="s">
        <v>88</v>
      </c>
      <c r="G1157" s="51">
        <v>2.7</v>
      </c>
      <c r="H1157" s="2" t="s">
        <v>69</v>
      </c>
      <c r="I1157" s="39">
        <v>1.67</v>
      </c>
      <c r="J1157" s="39">
        <v>0.20879999999999999</v>
      </c>
      <c r="K1157" s="39">
        <v>0.1681</v>
      </c>
      <c r="L1157" s="39">
        <v>0.13269999999999998</v>
      </c>
      <c r="M1157" s="40">
        <v>5000</v>
      </c>
      <c r="N1157" s="52">
        <v>1000000</v>
      </c>
    </row>
    <row r="1158" spans="1:14" ht="15" customHeight="1" x14ac:dyDescent="0.25">
      <c r="A1158" s="64" t="str">
        <f t="shared" si="18"/>
        <v>2.7-18-0-TOU-2 year Reward Plus</v>
      </c>
      <c r="B1158" s="37" t="s">
        <v>13</v>
      </c>
      <c r="C1158" s="49">
        <v>18</v>
      </c>
      <c r="D1158" s="2" t="s">
        <v>27</v>
      </c>
      <c r="E1158" s="50" t="s">
        <v>87</v>
      </c>
      <c r="F1158" s="38" t="s">
        <v>88</v>
      </c>
      <c r="G1158" s="51">
        <v>2.7</v>
      </c>
      <c r="H1158" s="2" t="s">
        <v>69</v>
      </c>
      <c r="I1158" s="39">
        <v>0.89900000000000002</v>
      </c>
      <c r="J1158" s="39">
        <v>0.1893</v>
      </c>
      <c r="K1158" s="39">
        <v>0.15239999999999998</v>
      </c>
      <c r="L1158" s="39">
        <v>0.1203</v>
      </c>
      <c r="M1158" s="40">
        <v>5000</v>
      </c>
      <c r="N1158" s="52">
        <v>1000000</v>
      </c>
    </row>
    <row r="1159" spans="1:14" ht="15" customHeight="1" x14ac:dyDescent="0.25">
      <c r="A1159" s="64" t="str">
        <f t="shared" si="18"/>
        <v>2.7-19-0-TOU-2 year Reward Plus</v>
      </c>
      <c r="B1159" s="37" t="s">
        <v>13</v>
      </c>
      <c r="C1159" s="49">
        <v>19</v>
      </c>
      <c r="D1159" s="2" t="s">
        <v>28</v>
      </c>
      <c r="E1159" s="50" t="s">
        <v>87</v>
      </c>
      <c r="F1159" s="38" t="s">
        <v>88</v>
      </c>
      <c r="G1159" s="51">
        <v>2.7</v>
      </c>
      <c r="H1159" s="2" t="s">
        <v>69</v>
      </c>
      <c r="I1159" s="39">
        <v>0.77800000000000002</v>
      </c>
      <c r="J1159" s="39">
        <v>0.18809999999999999</v>
      </c>
      <c r="K1159" s="39">
        <v>0.1515</v>
      </c>
      <c r="L1159" s="39">
        <v>0.1196</v>
      </c>
      <c r="M1159" s="40">
        <v>5000</v>
      </c>
      <c r="N1159" s="52">
        <v>1000000</v>
      </c>
    </row>
    <row r="1160" spans="1:14" ht="15" customHeight="1" x14ac:dyDescent="0.25">
      <c r="A1160" s="64" t="str">
        <f t="shared" si="18"/>
        <v>2.7-20-0-TOU-2 year Reward Plus</v>
      </c>
      <c r="B1160" s="37" t="s">
        <v>13</v>
      </c>
      <c r="C1160" s="49">
        <v>20</v>
      </c>
      <c r="D1160" s="2" t="s">
        <v>29</v>
      </c>
      <c r="E1160" s="50" t="s">
        <v>87</v>
      </c>
      <c r="F1160" s="38" t="s">
        <v>88</v>
      </c>
      <c r="G1160" s="51">
        <v>2.7</v>
      </c>
      <c r="H1160" s="2" t="s">
        <v>69</v>
      </c>
      <c r="I1160" s="39">
        <v>0.82699999999999996</v>
      </c>
      <c r="J1160" s="39">
        <v>0.1883</v>
      </c>
      <c r="K1160" s="39">
        <v>0.15159999999999998</v>
      </c>
      <c r="L1160" s="39">
        <v>0.1197</v>
      </c>
      <c r="M1160" s="40">
        <v>5000</v>
      </c>
      <c r="N1160" s="52">
        <v>1000000</v>
      </c>
    </row>
    <row r="1161" spans="1:14" ht="15" customHeight="1" x14ac:dyDescent="0.25">
      <c r="A1161" s="64" t="str">
        <f t="shared" si="18"/>
        <v>2.7-21-0-TOU-2 year Reward Plus</v>
      </c>
      <c r="B1161" s="37" t="s">
        <v>13</v>
      </c>
      <c r="C1161" s="49">
        <v>21</v>
      </c>
      <c r="D1161" s="2" t="s">
        <v>30</v>
      </c>
      <c r="E1161" s="50" t="s">
        <v>87</v>
      </c>
      <c r="F1161" s="38" t="s">
        <v>88</v>
      </c>
      <c r="G1161" s="51">
        <v>2.7</v>
      </c>
      <c r="H1161" s="2" t="s">
        <v>69</v>
      </c>
      <c r="I1161" s="39">
        <v>0.92300000000000004</v>
      </c>
      <c r="J1161" s="39">
        <v>0.19839999999999999</v>
      </c>
      <c r="K1161" s="39">
        <v>0.15969999999999998</v>
      </c>
      <c r="L1161" s="39">
        <v>0.12609999999999999</v>
      </c>
      <c r="M1161" s="40">
        <v>5000</v>
      </c>
      <c r="N1161" s="52">
        <v>1000000</v>
      </c>
    </row>
    <row r="1162" spans="1:14" ht="15" customHeight="1" x14ac:dyDescent="0.25">
      <c r="A1162" s="64" t="str">
        <f t="shared" si="18"/>
        <v>2.7-22-0-TOU-2 year Reward Plus</v>
      </c>
      <c r="B1162" s="37" t="s">
        <v>13</v>
      </c>
      <c r="C1162" s="49">
        <v>22</v>
      </c>
      <c r="D1162" s="2" t="s">
        <v>31</v>
      </c>
      <c r="E1162" s="50" t="s">
        <v>87</v>
      </c>
      <c r="F1162" s="38" t="s">
        <v>88</v>
      </c>
      <c r="G1162" s="51">
        <v>2.7</v>
      </c>
      <c r="H1162" s="2" t="s">
        <v>69</v>
      </c>
      <c r="I1162" s="39">
        <v>0.90400000000000003</v>
      </c>
      <c r="J1162" s="39">
        <v>0.19899999999999998</v>
      </c>
      <c r="K1162" s="39">
        <v>0.16019999999999998</v>
      </c>
      <c r="L1162" s="39">
        <v>0.1265</v>
      </c>
      <c r="M1162" s="40">
        <v>5000</v>
      </c>
      <c r="N1162" s="52">
        <v>1000000</v>
      </c>
    </row>
    <row r="1163" spans="1:14" ht="15" customHeight="1" x14ac:dyDescent="0.25">
      <c r="A1163" s="64" t="str">
        <f t="shared" si="18"/>
        <v>2.7-23-0-TOU-2 year Reward Plus</v>
      </c>
      <c r="B1163" s="37" t="s">
        <v>13</v>
      </c>
      <c r="C1163" s="49">
        <v>23</v>
      </c>
      <c r="D1163" s="2" t="s">
        <v>32</v>
      </c>
      <c r="E1163" s="50" t="s">
        <v>87</v>
      </c>
      <c r="F1163" s="38" t="s">
        <v>88</v>
      </c>
      <c r="G1163" s="51">
        <v>2.7</v>
      </c>
      <c r="H1163" s="2" t="s">
        <v>69</v>
      </c>
      <c r="I1163" s="39">
        <v>0.90600000000000003</v>
      </c>
      <c r="J1163" s="39">
        <v>0.19069999999999998</v>
      </c>
      <c r="K1163" s="39">
        <v>0.15359999999999999</v>
      </c>
      <c r="L1163" s="39">
        <v>0.1212</v>
      </c>
      <c r="M1163" s="40">
        <v>5000</v>
      </c>
      <c r="N1163" s="52">
        <v>1000000</v>
      </c>
    </row>
    <row r="1164" spans="1:14" ht="15" customHeight="1" x14ac:dyDescent="0.25">
      <c r="A1164" s="64" t="str">
        <f t="shared" si="18"/>
        <v>2.8-10-0-TOU-2 year Reward Plus</v>
      </c>
      <c r="B1164" s="37" t="s">
        <v>13</v>
      </c>
      <c r="C1164" s="49">
        <v>10</v>
      </c>
      <c r="D1164" s="2" t="s">
        <v>14</v>
      </c>
      <c r="E1164" s="50" t="s">
        <v>87</v>
      </c>
      <c r="F1164" s="38" t="s">
        <v>88</v>
      </c>
      <c r="G1164" s="51">
        <v>2.8</v>
      </c>
      <c r="H1164" s="2" t="s">
        <v>69</v>
      </c>
      <c r="I1164" s="39">
        <v>0.88100000000000001</v>
      </c>
      <c r="J1164" s="39">
        <v>0.18779999999999999</v>
      </c>
      <c r="K1164" s="39">
        <v>0.1512</v>
      </c>
      <c r="L1164" s="39">
        <v>0.11940000000000001</v>
      </c>
      <c r="M1164" s="40">
        <v>5000</v>
      </c>
      <c r="N1164" s="52">
        <v>1000000</v>
      </c>
    </row>
    <row r="1165" spans="1:14" ht="15" customHeight="1" x14ac:dyDescent="0.25">
      <c r="A1165" s="64" t="str">
        <f t="shared" si="18"/>
        <v>2.8-11-0-TOU-2 year Reward Plus</v>
      </c>
      <c r="B1165" s="37" t="s">
        <v>13</v>
      </c>
      <c r="C1165" s="49">
        <v>11</v>
      </c>
      <c r="D1165" s="2" t="s">
        <v>20</v>
      </c>
      <c r="E1165" s="50" t="s">
        <v>87</v>
      </c>
      <c r="F1165" s="38" t="s">
        <v>88</v>
      </c>
      <c r="G1165" s="51">
        <v>2.8</v>
      </c>
      <c r="H1165" s="2" t="s">
        <v>69</v>
      </c>
      <c r="I1165" s="39">
        <v>0.86099999999999999</v>
      </c>
      <c r="J1165" s="39">
        <v>0.19089999999999999</v>
      </c>
      <c r="K1165" s="39">
        <v>0.15369999999999998</v>
      </c>
      <c r="L1165" s="39">
        <v>0.12130000000000001</v>
      </c>
      <c r="M1165" s="40">
        <v>5000</v>
      </c>
      <c r="N1165" s="52">
        <v>1000000</v>
      </c>
    </row>
    <row r="1166" spans="1:14" ht="15" customHeight="1" x14ac:dyDescent="0.25">
      <c r="A1166" s="64" t="str">
        <f t="shared" si="18"/>
        <v>2.8-12-0-TOU-2 year Reward Plus</v>
      </c>
      <c r="B1166" s="37" t="s">
        <v>13</v>
      </c>
      <c r="C1166" s="49">
        <v>12</v>
      </c>
      <c r="D1166" s="2" t="s">
        <v>21</v>
      </c>
      <c r="E1166" s="50" t="s">
        <v>87</v>
      </c>
      <c r="F1166" s="38" t="s">
        <v>88</v>
      </c>
      <c r="G1166" s="51">
        <v>2.8</v>
      </c>
      <c r="H1166" s="2" t="s">
        <v>69</v>
      </c>
      <c r="I1166" s="39">
        <v>0.90300000000000002</v>
      </c>
      <c r="J1166" s="39">
        <v>0.18739999999999998</v>
      </c>
      <c r="K1166" s="39">
        <v>0.15089999999999998</v>
      </c>
      <c r="L1166" s="39">
        <v>0.1191</v>
      </c>
      <c r="M1166" s="40">
        <v>5000</v>
      </c>
      <c r="N1166" s="52">
        <v>1000000</v>
      </c>
    </row>
    <row r="1167" spans="1:14" ht="15" customHeight="1" x14ac:dyDescent="0.25">
      <c r="A1167" s="64" t="str">
        <f t="shared" si="18"/>
        <v>2.8-13-0-TOU-2 year Reward Plus</v>
      </c>
      <c r="B1167" s="37" t="s">
        <v>13</v>
      </c>
      <c r="C1167" s="49">
        <v>13</v>
      </c>
      <c r="D1167" s="2" t="s">
        <v>22</v>
      </c>
      <c r="E1167" s="50" t="s">
        <v>87</v>
      </c>
      <c r="F1167" s="38" t="s">
        <v>88</v>
      </c>
      <c r="G1167" s="51">
        <v>2.8</v>
      </c>
      <c r="H1167" s="2" t="s">
        <v>69</v>
      </c>
      <c r="I1167" s="39">
        <v>0.88100000000000001</v>
      </c>
      <c r="J1167" s="39">
        <v>0.20049999999999998</v>
      </c>
      <c r="K1167" s="39">
        <v>0.16149999999999998</v>
      </c>
      <c r="L1167" s="39">
        <v>0.1275</v>
      </c>
      <c r="M1167" s="40">
        <v>5000</v>
      </c>
      <c r="N1167" s="52">
        <v>1000000</v>
      </c>
    </row>
    <row r="1168" spans="1:14" ht="15" customHeight="1" x14ac:dyDescent="0.25">
      <c r="A1168" s="64" t="str">
        <f t="shared" si="18"/>
        <v>2.8-14-0-TOU-2 year Reward Plus</v>
      </c>
      <c r="B1168" s="37" t="s">
        <v>13</v>
      </c>
      <c r="C1168" s="49">
        <v>14</v>
      </c>
      <c r="D1168" s="2" t="s">
        <v>23</v>
      </c>
      <c r="E1168" s="50" t="s">
        <v>87</v>
      </c>
      <c r="F1168" s="38" t="s">
        <v>88</v>
      </c>
      <c r="G1168" s="51">
        <v>2.8</v>
      </c>
      <c r="H1168" s="2" t="s">
        <v>69</v>
      </c>
      <c r="I1168" s="39">
        <v>0.89</v>
      </c>
      <c r="J1168" s="39">
        <v>0.19189999999999999</v>
      </c>
      <c r="K1168" s="39">
        <v>0.1545</v>
      </c>
      <c r="L1168" s="39">
        <v>0.122</v>
      </c>
      <c r="M1168" s="40">
        <v>5000</v>
      </c>
      <c r="N1168" s="52">
        <v>1000000</v>
      </c>
    </row>
    <row r="1169" spans="1:14" ht="15" customHeight="1" x14ac:dyDescent="0.25">
      <c r="A1169" s="64" t="str">
        <f t="shared" si="18"/>
        <v>2.8-15-0-TOU-2 year Reward Plus</v>
      </c>
      <c r="B1169" s="37" t="s">
        <v>13</v>
      </c>
      <c r="C1169" s="49">
        <v>15</v>
      </c>
      <c r="D1169" s="2" t="s">
        <v>24</v>
      </c>
      <c r="E1169" s="50" t="s">
        <v>87</v>
      </c>
      <c r="F1169" s="38" t="s">
        <v>88</v>
      </c>
      <c r="G1169" s="51">
        <v>2.8</v>
      </c>
      <c r="H1169" s="2" t="s">
        <v>69</v>
      </c>
      <c r="I1169" s="39">
        <v>0.96</v>
      </c>
      <c r="J1169" s="39">
        <v>0.19169999999999998</v>
      </c>
      <c r="K1169" s="39">
        <v>0.15429999999999999</v>
      </c>
      <c r="L1169" s="39">
        <v>0.12180000000000001</v>
      </c>
      <c r="M1169" s="40">
        <v>5000</v>
      </c>
      <c r="N1169" s="52">
        <v>1000000</v>
      </c>
    </row>
    <row r="1170" spans="1:14" ht="15" customHeight="1" x14ac:dyDescent="0.25">
      <c r="A1170" s="64" t="str">
        <f t="shared" si="18"/>
        <v>2.8-16-0-TOU-2 year Reward Plus</v>
      </c>
      <c r="B1170" s="37" t="s">
        <v>13</v>
      </c>
      <c r="C1170" s="49">
        <v>16</v>
      </c>
      <c r="D1170" s="2" t="s">
        <v>25</v>
      </c>
      <c r="E1170" s="50" t="s">
        <v>87</v>
      </c>
      <c r="F1170" s="38" t="s">
        <v>88</v>
      </c>
      <c r="G1170" s="51">
        <v>2.8</v>
      </c>
      <c r="H1170" s="2" t="s">
        <v>69</v>
      </c>
      <c r="I1170" s="39">
        <v>0.72699999999999998</v>
      </c>
      <c r="J1170" s="39">
        <v>0.19099999999999998</v>
      </c>
      <c r="K1170" s="39">
        <v>0.15379999999999999</v>
      </c>
      <c r="L1170" s="39">
        <v>0.12140000000000001</v>
      </c>
      <c r="M1170" s="40">
        <v>5000</v>
      </c>
      <c r="N1170" s="52">
        <v>1000000</v>
      </c>
    </row>
    <row r="1171" spans="1:14" ht="15" customHeight="1" x14ac:dyDescent="0.25">
      <c r="A1171" s="64" t="str">
        <f t="shared" si="18"/>
        <v>2.8-17-0-TOU-2 year Reward Plus</v>
      </c>
      <c r="B1171" s="37" t="s">
        <v>13</v>
      </c>
      <c r="C1171" s="49">
        <v>17</v>
      </c>
      <c r="D1171" s="2" t="s">
        <v>26</v>
      </c>
      <c r="E1171" s="50" t="s">
        <v>87</v>
      </c>
      <c r="F1171" s="38" t="s">
        <v>88</v>
      </c>
      <c r="G1171" s="51">
        <v>2.8</v>
      </c>
      <c r="H1171" s="2" t="s">
        <v>69</v>
      </c>
      <c r="I1171" s="39">
        <v>1.67</v>
      </c>
      <c r="J1171" s="39">
        <v>0.21</v>
      </c>
      <c r="K1171" s="39">
        <v>0.1691</v>
      </c>
      <c r="L1171" s="39">
        <v>0.13349999999999998</v>
      </c>
      <c r="M1171" s="40">
        <v>5000</v>
      </c>
      <c r="N1171" s="52">
        <v>1000000</v>
      </c>
    </row>
    <row r="1172" spans="1:14" ht="15" customHeight="1" x14ac:dyDescent="0.25">
      <c r="A1172" s="64" t="str">
        <f t="shared" si="18"/>
        <v>2.8-18-0-TOU-2 year Reward Plus</v>
      </c>
      <c r="B1172" s="37" t="s">
        <v>13</v>
      </c>
      <c r="C1172" s="49">
        <v>18</v>
      </c>
      <c r="D1172" s="2" t="s">
        <v>27</v>
      </c>
      <c r="E1172" s="50" t="s">
        <v>87</v>
      </c>
      <c r="F1172" s="38" t="s">
        <v>88</v>
      </c>
      <c r="G1172" s="51">
        <v>2.8</v>
      </c>
      <c r="H1172" s="2" t="s">
        <v>69</v>
      </c>
      <c r="I1172" s="39">
        <v>0.89900000000000002</v>
      </c>
      <c r="J1172" s="39">
        <v>0.1905</v>
      </c>
      <c r="K1172" s="39">
        <v>0.15339999999999998</v>
      </c>
      <c r="L1172" s="39">
        <v>0.1211</v>
      </c>
      <c r="M1172" s="40">
        <v>5000</v>
      </c>
      <c r="N1172" s="52">
        <v>1000000</v>
      </c>
    </row>
    <row r="1173" spans="1:14" ht="15" customHeight="1" x14ac:dyDescent="0.25">
      <c r="A1173" s="64" t="str">
        <f t="shared" si="18"/>
        <v>2.8-19-0-TOU-2 year Reward Plus</v>
      </c>
      <c r="B1173" s="37" t="s">
        <v>13</v>
      </c>
      <c r="C1173" s="49">
        <v>19</v>
      </c>
      <c r="D1173" s="2" t="s">
        <v>28</v>
      </c>
      <c r="E1173" s="50" t="s">
        <v>87</v>
      </c>
      <c r="F1173" s="38" t="s">
        <v>88</v>
      </c>
      <c r="G1173" s="51">
        <v>2.8</v>
      </c>
      <c r="H1173" s="2" t="s">
        <v>69</v>
      </c>
      <c r="I1173" s="39">
        <v>0.77800000000000002</v>
      </c>
      <c r="J1173" s="39">
        <v>0.1893</v>
      </c>
      <c r="K1173" s="39">
        <v>0.15239999999999998</v>
      </c>
      <c r="L1173" s="39">
        <v>0.1203</v>
      </c>
      <c r="M1173" s="40">
        <v>5000</v>
      </c>
      <c r="N1173" s="52">
        <v>1000000</v>
      </c>
    </row>
    <row r="1174" spans="1:14" ht="15" customHeight="1" x14ac:dyDescent="0.25">
      <c r="A1174" s="64" t="str">
        <f t="shared" si="18"/>
        <v>2.8-20-0-TOU-2 year Reward Plus</v>
      </c>
      <c r="B1174" s="37" t="s">
        <v>13</v>
      </c>
      <c r="C1174" s="49">
        <v>20</v>
      </c>
      <c r="D1174" s="2" t="s">
        <v>29</v>
      </c>
      <c r="E1174" s="50" t="s">
        <v>87</v>
      </c>
      <c r="F1174" s="38" t="s">
        <v>88</v>
      </c>
      <c r="G1174" s="51">
        <v>2.8</v>
      </c>
      <c r="H1174" s="2" t="s">
        <v>69</v>
      </c>
      <c r="I1174" s="39">
        <v>0.82699999999999996</v>
      </c>
      <c r="J1174" s="39">
        <v>0.18939999999999999</v>
      </c>
      <c r="K1174" s="39">
        <v>0.1525</v>
      </c>
      <c r="L1174" s="39">
        <v>0.12040000000000001</v>
      </c>
      <c r="M1174" s="40">
        <v>5000</v>
      </c>
      <c r="N1174" s="52">
        <v>1000000</v>
      </c>
    </row>
    <row r="1175" spans="1:14" ht="15" customHeight="1" x14ac:dyDescent="0.25">
      <c r="A1175" s="64" t="str">
        <f t="shared" si="18"/>
        <v>2.8-21-0-TOU-2 year Reward Plus</v>
      </c>
      <c r="B1175" s="37" t="s">
        <v>13</v>
      </c>
      <c r="C1175" s="49">
        <v>21</v>
      </c>
      <c r="D1175" s="2" t="s">
        <v>30</v>
      </c>
      <c r="E1175" s="50" t="s">
        <v>87</v>
      </c>
      <c r="F1175" s="38" t="s">
        <v>88</v>
      </c>
      <c r="G1175" s="51">
        <v>2.8</v>
      </c>
      <c r="H1175" s="2" t="s">
        <v>69</v>
      </c>
      <c r="I1175" s="39">
        <v>0.92300000000000004</v>
      </c>
      <c r="J1175" s="39">
        <v>0.1996</v>
      </c>
      <c r="K1175" s="39">
        <v>0.16069999999999998</v>
      </c>
      <c r="L1175" s="39">
        <v>0.12689999999999999</v>
      </c>
      <c r="M1175" s="40">
        <v>5000</v>
      </c>
      <c r="N1175" s="52">
        <v>1000000</v>
      </c>
    </row>
    <row r="1176" spans="1:14" ht="15" customHeight="1" x14ac:dyDescent="0.25">
      <c r="A1176" s="64" t="str">
        <f t="shared" si="18"/>
        <v>2.8-22-0-TOU-2 year Reward Plus</v>
      </c>
      <c r="B1176" s="37" t="s">
        <v>13</v>
      </c>
      <c r="C1176" s="49">
        <v>22</v>
      </c>
      <c r="D1176" s="2" t="s">
        <v>31</v>
      </c>
      <c r="E1176" s="50" t="s">
        <v>87</v>
      </c>
      <c r="F1176" s="38" t="s">
        <v>88</v>
      </c>
      <c r="G1176" s="51">
        <v>2.8</v>
      </c>
      <c r="H1176" s="2" t="s">
        <v>69</v>
      </c>
      <c r="I1176" s="39">
        <v>0.90400000000000003</v>
      </c>
      <c r="J1176" s="39">
        <v>0.20019999999999999</v>
      </c>
      <c r="K1176" s="39">
        <v>0.16119999999999998</v>
      </c>
      <c r="L1176" s="39">
        <v>0.12720000000000001</v>
      </c>
      <c r="M1176" s="40">
        <v>5000</v>
      </c>
      <c r="N1176" s="52">
        <v>1000000</v>
      </c>
    </row>
    <row r="1177" spans="1:14" ht="15" customHeight="1" x14ac:dyDescent="0.25">
      <c r="A1177" s="64" t="str">
        <f t="shared" si="18"/>
        <v>2.8-23-0-TOU-2 year Reward Plus</v>
      </c>
      <c r="B1177" s="37" t="s">
        <v>13</v>
      </c>
      <c r="C1177" s="49">
        <v>23</v>
      </c>
      <c r="D1177" s="2" t="s">
        <v>32</v>
      </c>
      <c r="E1177" s="50" t="s">
        <v>87</v>
      </c>
      <c r="F1177" s="38" t="s">
        <v>88</v>
      </c>
      <c r="G1177" s="51">
        <v>2.8</v>
      </c>
      <c r="H1177" s="2" t="s">
        <v>69</v>
      </c>
      <c r="I1177" s="39">
        <v>0.90600000000000003</v>
      </c>
      <c r="J1177" s="39">
        <v>0.19189999999999999</v>
      </c>
      <c r="K1177" s="39">
        <v>0.1545</v>
      </c>
      <c r="L1177" s="39">
        <v>0.122</v>
      </c>
      <c r="M1177" s="40">
        <v>5000</v>
      </c>
      <c r="N1177" s="52">
        <v>1000000</v>
      </c>
    </row>
    <row r="1178" spans="1:14" ht="15" customHeight="1" x14ac:dyDescent="0.25">
      <c r="A1178" s="64" t="str">
        <f t="shared" si="18"/>
        <v>2.9-10-0-TOU-2 year Reward Plus</v>
      </c>
      <c r="B1178" s="62" t="s">
        <v>13</v>
      </c>
      <c r="C1178" s="54">
        <v>10</v>
      </c>
      <c r="D1178" s="59" t="s">
        <v>14</v>
      </c>
      <c r="E1178" s="59" t="s">
        <v>87</v>
      </c>
      <c r="F1178" s="38" t="s">
        <v>88</v>
      </c>
      <c r="G1178" s="51">
        <v>2.9</v>
      </c>
      <c r="H1178" s="60" t="s">
        <v>69</v>
      </c>
      <c r="I1178" s="39">
        <v>0.88100000000000001</v>
      </c>
      <c r="J1178" s="39">
        <v>0.189</v>
      </c>
      <c r="K1178" s="39">
        <v>0.15209999999999999</v>
      </c>
      <c r="L1178" s="39">
        <v>0.1201</v>
      </c>
      <c r="M1178" s="61">
        <v>5000</v>
      </c>
      <c r="N1178" s="61">
        <v>1000000</v>
      </c>
    </row>
    <row r="1179" spans="1:14" ht="15" customHeight="1" x14ac:dyDescent="0.25">
      <c r="A1179" s="64" t="str">
        <f t="shared" si="18"/>
        <v>2.9-11-0-TOU-2 year Reward Plus</v>
      </c>
      <c r="B1179" s="62" t="s">
        <v>13</v>
      </c>
      <c r="C1179" s="54">
        <v>11</v>
      </c>
      <c r="D1179" s="59" t="s">
        <v>20</v>
      </c>
      <c r="E1179" s="59" t="s">
        <v>87</v>
      </c>
      <c r="F1179" s="38" t="s">
        <v>88</v>
      </c>
      <c r="G1179" s="51">
        <v>2.9</v>
      </c>
      <c r="H1179" s="60" t="s">
        <v>69</v>
      </c>
      <c r="I1179" s="39">
        <v>0.86099999999999999</v>
      </c>
      <c r="J1179" s="39">
        <v>0.19199999999999998</v>
      </c>
      <c r="K1179" s="39">
        <v>0.15459999999999999</v>
      </c>
      <c r="L1179" s="39">
        <v>0.1221</v>
      </c>
      <c r="M1179" s="61">
        <v>5000</v>
      </c>
      <c r="N1179" s="61">
        <v>1000000</v>
      </c>
    </row>
    <row r="1180" spans="1:14" ht="15" customHeight="1" x14ac:dyDescent="0.25">
      <c r="A1180" s="64" t="str">
        <f t="shared" si="18"/>
        <v>2.9-12-0-TOU-2 year Reward Plus</v>
      </c>
      <c r="B1180" s="62" t="s">
        <v>13</v>
      </c>
      <c r="C1180" s="54">
        <v>12</v>
      </c>
      <c r="D1180" s="59" t="s">
        <v>21</v>
      </c>
      <c r="E1180" s="59" t="s">
        <v>87</v>
      </c>
      <c r="F1180" s="38" t="s">
        <v>88</v>
      </c>
      <c r="G1180" s="51">
        <v>2.9</v>
      </c>
      <c r="H1180" s="60" t="s">
        <v>69</v>
      </c>
      <c r="I1180" s="39">
        <v>0.90300000000000002</v>
      </c>
      <c r="J1180" s="39">
        <v>0.18859999999999999</v>
      </c>
      <c r="K1180" s="39">
        <v>0.15189999999999998</v>
      </c>
      <c r="L1180" s="39">
        <v>0.11990000000000001</v>
      </c>
      <c r="M1180" s="61">
        <v>5000</v>
      </c>
      <c r="N1180" s="61">
        <v>1000000</v>
      </c>
    </row>
    <row r="1181" spans="1:14" ht="15" customHeight="1" x14ac:dyDescent="0.25">
      <c r="A1181" s="64" t="str">
        <f t="shared" si="18"/>
        <v>2.9-13-0-TOU-2 year Reward Plus</v>
      </c>
      <c r="B1181" s="62" t="s">
        <v>13</v>
      </c>
      <c r="C1181" s="54">
        <v>13</v>
      </c>
      <c r="D1181" s="59" t="s">
        <v>22</v>
      </c>
      <c r="E1181" s="59" t="s">
        <v>87</v>
      </c>
      <c r="F1181" s="38" t="s">
        <v>88</v>
      </c>
      <c r="G1181" s="51">
        <v>2.9</v>
      </c>
      <c r="H1181" s="60" t="s">
        <v>69</v>
      </c>
      <c r="I1181" s="39">
        <v>0.88100000000000001</v>
      </c>
      <c r="J1181" s="39">
        <v>0.20169999999999999</v>
      </c>
      <c r="K1181" s="39">
        <v>0.16239999999999999</v>
      </c>
      <c r="L1181" s="39">
        <v>0.12819999999999998</v>
      </c>
      <c r="M1181" s="61">
        <v>5000</v>
      </c>
      <c r="N1181" s="61">
        <v>1000000</v>
      </c>
    </row>
    <row r="1182" spans="1:14" ht="15" customHeight="1" x14ac:dyDescent="0.25">
      <c r="A1182" s="64" t="str">
        <f t="shared" si="18"/>
        <v>2.9-14-0-TOU-2 year Reward Plus</v>
      </c>
      <c r="B1182" s="62" t="s">
        <v>13</v>
      </c>
      <c r="C1182" s="54">
        <v>14</v>
      </c>
      <c r="D1182" s="59" t="s">
        <v>23</v>
      </c>
      <c r="E1182" s="59" t="s">
        <v>87</v>
      </c>
      <c r="F1182" s="38" t="s">
        <v>88</v>
      </c>
      <c r="G1182" s="51">
        <v>2.9</v>
      </c>
      <c r="H1182" s="60" t="s">
        <v>69</v>
      </c>
      <c r="I1182" s="39">
        <v>0.89</v>
      </c>
      <c r="J1182" s="39">
        <v>0.19309999999999999</v>
      </c>
      <c r="K1182" s="39">
        <v>0.1555</v>
      </c>
      <c r="L1182" s="39">
        <v>0.1227</v>
      </c>
      <c r="M1182" s="61">
        <v>5000</v>
      </c>
      <c r="N1182" s="61">
        <v>1000000</v>
      </c>
    </row>
    <row r="1183" spans="1:14" ht="15" customHeight="1" x14ac:dyDescent="0.25">
      <c r="A1183" s="64" t="str">
        <f t="shared" si="18"/>
        <v>2.9-15-0-TOU-2 year Reward Plus</v>
      </c>
      <c r="B1183" s="62" t="s">
        <v>13</v>
      </c>
      <c r="C1183" s="54">
        <v>15</v>
      </c>
      <c r="D1183" s="59" t="s">
        <v>24</v>
      </c>
      <c r="E1183" s="59" t="s">
        <v>87</v>
      </c>
      <c r="F1183" s="38" t="s">
        <v>88</v>
      </c>
      <c r="G1183" s="51">
        <v>2.9</v>
      </c>
      <c r="H1183" s="60" t="s">
        <v>69</v>
      </c>
      <c r="I1183" s="39">
        <v>0.96</v>
      </c>
      <c r="J1183" s="39">
        <v>0.19289999999999999</v>
      </c>
      <c r="K1183" s="39">
        <v>0.15529999999999999</v>
      </c>
      <c r="L1183" s="39">
        <v>0.1226</v>
      </c>
      <c r="M1183" s="61">
        <v>5000</v>
      </c>
      <c r="N1183" s="61">
        <v>1000000</v>
      </c>
    </row>
    <row r="1184" spans="1:14" ht="15" customHeight="1" x14ac:dyDescent="0.25">
      <c r="A1184" s="64" t="str">
        <f t="shared" si="18"/>
        <v>2.9-16-0-TOU-2 year Reward Plus</v>
      </c>
      <c r="B1184" s="62" t="s">
        <v>13</v>
      </c>
      <c r="C1184" s="54">
        <v>16</v>
      </c>
      <c r="D1184" s="59" t="s">
        <v>25</v>
      </c>
      <c r="E1184" s="59" t="s">
        <v>87</v>
      </c>
      <c r="F1184" s="38" t="s">
        <v>88</v>
      </c>
      <c r="G1184" s="51">
        <v>2.9</v>
      </c>
      <c r="H1184" s="60" t="s">
        <v>69</v>
      </c>
      <c r="I1184" s="39">
        <v>0.72699999999999998</v>
      </c>
      <c r="J1184" s="39">
        <v>0.19219999999999998</v>
      </c>
      <c r="K1184" s="39">
        <v>0.15469999999999998</v>
      </c>
      <c r="L1184" s="39">
        <v>0.1221</v>
      </c>
      <c r="M1184" s="61">
        <v>5000</v>
      </c>
      <c r="N1184" s="61">
        <v>1000000</v>
      </c>
    </row>
    <row r="1185" spans="1:14" ht="15" customHeight="1" x14ac:dyDescent="0.25">
      <c r="A1185" s="64" t="str">
        <f t="shared" si="18"/>
        <v>2.9-17-0-TOU-2 year Reward Plus</v>
      </c>
      <c r="B1185" s="62" t="s">
        <v>13</v>
      </c>
      <c r="C1185" s="54">
        <v>17</v>
      </c>
      <c r="D1185" s="59" t="s">
        <v>26</v>
      </c>
      <c r="E1185" s="59" t="s">
        <v>87</v>
      </c>
      <c r="F1185" s="38" t="s">
        <v>88</v>
      </c>
      <c r="G1185" s="51">
        <v>2.9</v>
      </c>
      <c r="H1185" s="60" t="s">
        <v>69</v>
      </c>
      <c r="I1185" s="39">
        <v>1.67</v>
      </c>
      <c r="J1185" s="39">
        <v>0.2112</v>
      </c>
      <c r="K1185" s="39">
        <v>0.16999999999999998</v>
      </c>
      <c r="L1185" s="39">
        <v>0.13419999999999999</v>
      </c>
      <c r="M1185" s="61">
        <v>5000</v>
      </c>
      <c r="N1185" s="61">
        <v>1000000</v>
      </c>
    </row>
    <row r="1186" spans="1:14" ht="15" customHeight="1" x14ac:dyDescent="0.25">
      <c r="A1186" s="64" t="str">
        <f t="shared" si="18"/>
        <v>2.9-18-0-TOU-2 year Reward Plus</v>
      </c>
      <c r="B1186" s="62" t="s">
        <v>13</v>
      </c>
      <c r="C1186" s="54">
        <v>18</v>
      </c>
      <c r="D1186" s="59" t="s">
        <v>27</v>
      </c>
      <c r="E1186" s="59" t="s">
        <v>87</v>
      </c>
      <c r="F1186" s="38" t="s">
        <v>88</v>
      </c>
      <c r="G1186" s="51">
        <v>2.9</v>
      </c>
      <c r="H1186" s="60" t="s">
        <v>69</v>
      </c>
      <c r="I1186" s="39">
        <v>0.89900000000000002</v>
      </c>
      <c r="J1186" s="39">
        <v>0.19169999999999998</v>
      </c>
      <c r="K1186" s="39">
        <v>0.15429999999999999</v>
      </c>
      <c r="L1186" s="39">
        <v>0.12180000000000001</v>
      </c>
      <c r="M1186" s="61">
        <v>5000</v>
      </c>
      <c r="N1186" s="61">
        <v>1000000</v>
      </c>
    </row>
    <row r="1187" spans="1:14" ht="15" customHeight="1" x14ac:dyDescent="0.25">
      <c r="A1187" s="64" t="str">
        <f t="shared" si="18"/>
        <v>2.9-19-0-TOU-2 year Reward Plus</v>
      </c>
      <c r="B1187" s="62" t="s">
        <v>13</v>
      </c>
      <c r="C1187" s="54">
        <v>19</v>
      </c>
      <c r="D1187" s="59" t="s">
        <v>28</v>
      </c>
      <c r="E1187" s="59" t="s">
        <v>87</v>
      </c>
      <c r="F1187" s="38" t="s">
        <v>88</v>
      </c>
      <c r="G1187" s="51">
        <v>2.9</v>
      </c>
      <c r="H1187" s="60" t="s">
        <v>69</v>
      </c>
      <c r="I1187" s="39">
        <v>0.77800000000000002</v>
      </c>
      <c r="J1187" s="39">
        <v>0.1905</v>
      </c>
      <c r="K1187" s="39">
        <v>0.15339999999999998</v>
      </c>
      <c r="L1187" s="39">
        <v>0.1211</v>
      </c>
      <c r="M1187" s="61">
        <v>5000</v>
      </c>
      <c r="N1187" s="61">
        <v>1000000</v>
      </c>
    </row>
    <row r="1188" spans="1:14" ht="15" customHeight="1" x14ac:dyDescent="0.25">
      <c r="A1188" s="64" t="str">
        <f t="shared" si="18"/>
        <v>2.9-20-0-TOU-2 year Reward Plus</v>
      </c>
      <c r="B1188" s="62" t="s">
        <v>13</v>
      </c>
      <c r="C1188" s="54">
        <v>20</v>
      </c>
      <c r="D1188" s="59" t="s">
        <v>29</v>
      </c>
      <c r="E1188" s="59" t="s">
        <v>87</v>
      </c>
      <c r="F1188" s="38" t="s">
        <v>88</v>
      </c>
      <c r="G1188" s="51">
        <v>2.9</v>
      </c>
      <c r="H1188" s="60" t="s">
        <v>69</v>
      </c>
      <c r="I1188" s="39">
        <v>0.82699999999999996</v>
      </c>
      <c r="J1188" s="39">
        <v>0.19059999999999999</v>
      </c>
      <c r="K1188" s="39">
        <v>0.1535</v>
      </c>
      <c r="L1188" s="39">
        <v>0.1212</v>
      </c>
      <c r="M1188" s="61">
        <v>5000</v>
      </c>
      <c r="N1188" s="61">
        <v>1000000</v>
      </c>
    </row>
    <row r="1189" spans="1:14" ht="15" customHeight="1" x14ac:dyDescent="0.25">
      <c r="A1189" s="64" t="str">
        <f t="shared" si="18"/>
        <v>2.9-21-0-TOU-2 year Reward Plus</v>
      </c>
      <c r="B1189" s="62" t="s">
        <v>13</v>
      </c>
      <c r="C1189" s="54">
        <v>21</v>
      </c>
      <c r="D1189" s="59" t="s">
        <v>30</v>
      </c>
      <c r="E1189" s="59" t="s">
        <v>87</v>
      </c>
      <c r="F1189" s="38" t="s">
        <v>88</v>
      </c>
      <c r="G1189" s="51">
        <v>2.9</v>
      </c>
      <c r="H1189" s="60" t="s">
        <v>69</v>
      </c>
      <c r="I1189" s="39">
        <v>0.92300000000000004</v>
      </c>
      <c r="J1189" s="39">
        <v>0.20079999999999998</v>
      </c>
      <c r="K1189" s="39">
        <v>0.16159999999999999</v>
      </c>
      <c r="L1189" s="39">
        <v>0.12759999999999999</v>
      </c>
      <c r="M1189" s="61">
        <v>5000</v>
      </c>
      <c r="N1189" s="61">
        <v>1000000</v>
      </c>
    </row>
    <row r="1190" spans="1:14" ht="15" customHeight="1" x14ac:dyDescent="0.25">
      <c r="A1190" s="64" t="str">
        <f t="shared" si="18"/>
        <v>2.9-22-0-TOU-2 year Reward Plus</v>
      </c>
      <c r="B1190" s="62" t="s">
        <v>13</v>
      </c>
      <c r="C1190" s="54">
        <v>22</v>
      </c>
      <c r="D1190" s="59" t="s">
        <v>31</v>
      </c>
      <c r="E1190" s="59" t="s">
        <v>87</v>
      </c>
      <c r="F1190" s="38" t="s">
        <v>88</v>
      </c>
      <c r="G1190" s="51">
        <v>2.9</v>
      </c>
      <c r="H1190" s="60" t="s">
        <v>69</v>
      </c>
      <c r="I1190" s="39">
        <v>0.90400000000000003</v>
      </c>
      <c r="J1190" s="39">
        <v>0.2014</v>
      </c>
      <c r="K1190" s="39">
        <v>0.16209999999999999</v>
      </c>
      <c r="L1190" s="39">
        <v>0.128</v>
      </c>
      <c r="M1190" s="61">
        <v>5000</v>
      </c>
      <c r="N1190" s="61">
        <v>1000000</v>
      </c>
    </row>
    <row r="1191" spans="1:14" ht="15" customHeight="1" x14ac:dyDescent="0.25">
      <c r="A1191" s="64" t="str">
        <f t="shared" si="18"/>
        <v>2.9-23-0-TOU-2 year Reward Plus</v>
      </c>
      <c r="B1191" s="62" t="s">
        <v>13</v>
      </c>
      <c r="C1191" s="54">
        <v>23</v>
      </c>
      <c r="D1191" s="59" t="s">
        <v>32</v>
      </c>
      <c r="E1191" s="59" t="s">
        <v>87</v>
      </c>
      <c r="F1191" s="38" t="s">
        <v>88</v>
      </c>
      <c r="G1191" s="51">
        <v>2.9</v>
      </c>
      <c r="H1191" s="60" t="s">
        <v>69</v>
      </c>
      <c r="I1191" s="39">
        <v>0.90600000000000003</v>
      </c>
      <c r="J1191" s="39">
        <v>0.19309999999999999</v>
      </c>
      <c r="K1191" s="39">
        <v>0.1555</v>
      </c>
      <c r="L1191" s="39">
        <v>0.1227</v>
      </c>
      <c r="M1191" s="61">
        <v>5000</v>
      </c>
      <c r="N1191" s="61">
        <v>1000000</v>
      </c>
    </row>
    <row r="1192" spans="1:14" ht="15" customHeight="1" x14ac:dyDescent="0.25">
      <c r="A1192" s="64" t="str">
        <f t="shared" si="18"/>
        <v>3-10-0-TOU-2 year Reward Plus</v>
      </c>
      <c r="B1192" s="62" t="s">
        <v>13</v>
      </c>
      <c r="C1192" s="54">
        <v>10</v>
      </c>
      <c r="D1192" s="59" t="s">
        <v>14</v>
      </c>
      <c r="E1192" s="59" t="s">
        <v>87</v>
      </c>
      <c r="F1192" s="38" t="s">
        <v>88</v>
      </c>
      <c r="G1192" s="51">
        <v>3</v>
      </c>
      <c r="H1192" s="60" t="s">
        <v>69</v>
      </c>
      <c r="I1192" s="39">
        <v>0.88100000000000001</v>
      </c>
      <c r="J1192" s="39">
        <v>0.19009999999999999</v>
      </c>
      <c r="K1192" s="39">
        <v>0.15309999999999999</v>
      </c>
      <c r="L1192" s="39">
        <v>0.12090000000000001</v>
      </c>
      <c r="M1192" s="61">
        <v>5000</v>
      </c>
      <c r="N1192" s="61">
        <v>1000000</v>
      </c>
    </row>
    <row r="1193" spans="1:14" ht="15" customHeight="1" x14ac:dyDescent="0.25">
      <c r="A1193" s="64" t="str">
        <f t="shared" si="18"/>
        <v>3-11-0-TOU-2 year Reward Plus</v>
      </c>
      <c r="B1193" s="62" t="s">
        <v>13</v>
      </c>
      <c r="C1193" s="54">
        <v>11</v>
      </c>
      <c r="D1193" s="59" t="s">
        <v>20</v>
      </c>
      <c r="E1193" s="59" t="s">
        <v>87</v>
      </c>
      <c r="F1193" s="38" t="s">
        <v>88</v>
      </c>
      <c r="G1193" s="51">
        <v>3</v>
      </c>
      <c r="H1193" s="60" t="s">
        <v>69</v>
      </c>
      <c r="I1193" s="39">
        <v>0.86099999999999999</v>
      </c>
      <c r="J1193" s="39">
        <v>0.19319999999999998</v>
      </c>
      <c r="K1193" s="39">
        <v>0.15559999999999999</v>
      </c>
      <c r="L1193" s="39">
        <v>0.12280000000000001</v>
      </c>
      <c r="M1193" s="61">
        <v>5000</v>
      </c>
      <c r="N1193" s="61">
        <v>1000000</v>
      </c>
    </row>
    <row r="1194" spans="1:14" ht="15" customHeight="1" x14ac:dyDescent="0.25">
      <c r="A1194" s="64" t="str">
        <f t="shared" si="18"/>
        <v>3-12-0-TOU-2 year Reward Plus</v>
      </c>
      <c r="B1194" s="62" t="s">
        <v>13</v>
      </c>
      <c r="C1194" s="54">
        <v>12</v>
      </c>
      <c r="D1194" s="59" t="s">
        <v>21</v>
      </c>
      <c r="E1194" s="59" t="s">
        <v>87</v>
      </c>
      <c r="F1194" s="38" t="s">
        <v>88</v>
      </c>
      <c r="G1194" s="51">
        <v>3</v>
      </c>
      <c r="H1194" s="60" t="s">
        <v>69</v>
      </c>
      <c r="I1194" s="39">
        <v>0.90300000000000002</v>
      </c>
      <c r="J1194" s="39">
        <v>0.1898</v>
      </c>
      <c r="K1194" s="39">
        <v>0.15279999999999999</v>
      </c>
      <c r="L1194" s="39">
        <v>0.1206</v>
      </c>
      <c r="M1194" s="61">
        <v>5000</v>
      </c>
      <c r="N1194" s="61">
        <v>1000000</v>
      </c>
    </row>
    <row r="1195" spans="1:14" ht="15" customHeight="1" x14ac:dyDescent="0.25">
      <c r="A1195" s="64" t="str">
        <f t="shared" si="18"/>
        <v>3-13-0-TOU-2 year Reward Plus</v>
      </c>
      <c r="B1195" s="62" t="s">
        <v>13</v>
      </c>
      <c r="C1195" s="54">
        <v>13</v>
      </c>
      <c r="D1195" s="59" t="s">
        <v>22</v>
      </c>
      <c r="E1195" s="59" t="s">
        <v>87</v>
      </c>
      <c r="F1195" s="38" t="s">
        <v>88</v>
      </c>
      <c r="G1195" s="51">
        <v>3</v>
      </c>
      <c r="H1195" s="60" t="s">
        <v>69</v>
      </c>
      <c r="I1195" s="39">
        <v>0.88100000000000001</v>
      </c>
      <c r="J1195" s="39">
        <v>0.2029</v>
      </c>
      <c r="K1195" s="39">
        <v>0.16339999999999999</v>
      </c>
      <c r="L1195" s="39">
        <v>0.12899999999999998</v>
      </c>
      <c r="M1195" s="61">
        <v>5000</v>
      </c>
      <c r="N1195" s="61">
        <v>1000000</v>
      </c>
    </row>
    <row r="1196" spans="1:14" ht="15" customHeight="1" x14ac:dyDescent="0.25">
      <c r="A1196" s="64" t="str">
        <f t="shared" si="18"/>
        <v>3-14-0-TOU-2 year Reward Plus</v>
      </c>
      <c r="B1196" s="62" t="s">
        <v>13</v>
      </c>
      <c r="C1196" s="54">
        <v>14</v>
      </c>
      <c r="D1196" s="59" t="s">
        <v>23</v>
      </c>
      <c r="E1196" s="59" t="s">
        <v>87</v>
      </c>
      <c r="F1196" s="38" t="s">
        <v>88</v>
      </c>
      <c r="G1196" s="51">
        <v>3</v>
      </c>
      <c r="H1196" s="60" t="s">
        <v>69</v>
      </c>
      <c r="I1196" s="39">
        <v>0.89</v>
      </c>
      <c r="J1196" s="39">
        <v>0.1943</v>
      </c>
      <c r="K1196" s="39">
        <v>0.15639999999999998</v>
      </c>
      <c r="L1196" s="39">
        <v>0.1235</v>
      </c>
      <c r="M1196" s="61">
        <v>5000</v>
      </c>
      <c r="N1196" s="61">
        <v>1000000</v>
      </c>
    </row>
    <row r="1197" spans="1:14" ht="15" customHeight="1" x14ac:dyDescent="0.25">
      <c r="A1197" s="64" t="str">
        <f t="shared" si="18"/>
        <v>3-15-0-TOU-2 year Reward Plus</v>
      </c>
      <c r="B1197" s="62" t="s">
        <v>13</v>
      </c>
      <c r="C1197" s="54">
        <v>15</v>
      </c>
      <c r="D1197" s="59" t="s">
        <v>24</v>
      </c>
      <c r="E1197" s="59" t="s">
        <v>87</v>
      </c>
      <c r="F1197" s="38" t="s">
        <v>88</v>
      </c>
      <c r="G1197" s="51">
        <v>3</v>
      </c>
      <c r="H1197" s="60" t="s">
        <v>69</v>
      </c>
      <c r="I1197" s="39">
        <v>0.96</v>
      </c>
      <c r="J1197" s="39">
        <v>0.19399999999999998</v>
      </c>
      <c r="K1197" s="39">
        <v>0.15619999999999998</v>
      </c>
      <c r="L1197" s="39">
        <v>0.12330000000000001</v>
      </c>
      <c r="M1197" s="61">
        <v>5000</v>
      </c>
      <c r="N1197" s="61">
        <v>1000000</v>
      </c>
    </row>
    <row r="1198" spans="1:14" ht="15" customHeight="1" x14ac:dyDescent="0.25">
      <c r="A1198" s="64" t="str">
        <f t="shared" si="18"/>
        <v>3-16-0-TOU-2 year Reward Plus</v>
      </c>
      <c r="B1198" s="62" t="s">
        <v>13</v>
      </c>
      <c r="C1198" s="54">
        <v>16</v>
      </c>
      <c r="D1198" s="59" t="s">
        <v>25</v>
      </c>
      <c r="E1198" s="59" t="s">
        <v>87</v>
      </c>
      <c r="F1198" s="38" t="s">
        <v>88</v>
      </c>
      <c r="G1198" s="51">
        <v>3</v>
      </c>
      <c r="H1198" s="60" t="s">
        <v>69</v>
      </c>
      <c r="I1198" s="39">
        <v>0.72699999999999998</v>
      </c>
      <c r="J1198" s="39">
        <v>0.1933</v>
      </c>
      <c r="K1198" s="39">
        <v>0.15569999999999998</v>
      </c>
      <c r="L1198" s="39">
        <v>0.12290000000000001</v>
      </c>
      <c r="M1198" s="61">
        <v>5000</v>
      </c>
      <c r="N1198" s="61">
        <v>1000000</v>
      </c>
    </row>
    <row r="1199" spans="1:14" ht="15" customHeight="1" x14ac:dyDescent="0.25">
      <c r="A1199" s="64" t="str">
        <f t="shared" si="18"/>
        <v>3-17-0-TOU-2 year Reward Plus</v>
      </c>
      <c r="B1199" s="62" t="s">
        <v>13</v>
      </c>
      <c r="C1199" s="54">
        <v>17</v>
      </c>
      <c r="D1199" s="59" t="s">
        <v>26</v>
      </c>
      <c r="E1199" s="59" t="s">
        <v>87</v>
      </c>
      <c r="F1199" s="38" t="s">
        <v>88</v>
      </c>
      <c r="G1199" s="51">
        <v>3</v>
      </c>
      <c r="H1199" s="60" t="s">
        <v>69</v>
      </c>
      <c r="I1199" s="39">
        <v>1.67</v>
      </c>
      <c r="J1199" s="39">
        <v>0.21229999999999999</v>
      </c>
      <c r="K1199" s="39">
        <v>0.17099999999999999</v>
      </c>
      <c r="L1199" s="39">
        <v>0.13499999999999998</v>
      </c>
      <c r="M1199" s="61">
        <v>5000</v>
      </c>
      <c r="N1199" s="61">
        <v>1000000</v>
      </c>
    </row>
    <row r="1200" spans="1:14" ht="15" customHeight="1" x14ac:dyDescent="0.25">
      <c r="A1200" s="64" t="str">
        <f t="shared" si="18"/>
        <v>3-18-0-TOU-2 year Reward Plus</v>
      </c>
      <c r="B1200" s="62" t="s">
        <v>13</v>
      </c>
      <c r="C1200" s="54">
        <v>18</v>
      </c>
      <c r="D1200" s="59" t="s">
        <v>27</v>
      </c>
      <c r="E1200" s="59" t="s">
        <v>87</v>
      </c>
      <c r="F1200" s="38" t="s">
        <v>88</v>
      </c>
      <c r="G1200" s="51">
        <v>3</v>
      </c>
      <c r="H1200" s="60" t="s">
        <v>69</v>
      </c>
      <c r="I1200" s="39">
        <v>0.89900000000000002</v>
      </c>
      <c r="J1200" s="39">
        <v>0.19289999999999999</v>
      </c>
      <c r="K1200" s="39">
        <v>0.15529999999999999</v>
      </c>
      <c r="L1200" s="39">
        <v>0.1226</v>
      </c>
      <c r="M1200" s="61">
        <v>5000</v>
      </c>
      <c r="N1200" s="61">
        <v>1000000</v>
      </c>
    </row>
    <row r="1201" spans="1:14" ht="15" customHeight="1" x14ac:dyDescent="0.25">
      <c r="A1201" s="64" t="str">
        <f t="shared" si="18"/>
        <v>3-19-0-TOU-2 year Reward Plus</v>
      </c>
      <c r="B1201" s="62" t="s">
        <v>13</v>
      </c>
      <c r="C1201" s="54">
        <v>19</v>
      </c>
      <c r="D1201" s="59" t="s">
        <v>28</v>
      </c>
      <c r="E1201" s="59" t="s">
        <v>87</v>
      </c>
      <c r="F1201" s="38" t="s">
        <v>88</v>
      </c>
      <c r="G1201" s="51">
        <v>3</v>
      </c>
      <c r="H1201" s="60" t="s">
        <v>69</v>
      </c>
      <c r="I1201" s="39">
        <v>0.77800000000000002</v>
      </c>
      <c r="J1201" s="39">
        <v>0.19169999999999998</v>
      </c>
      <c r="K1201" s="39">
        <v>0.15429999999999999</v>
      </c>
      <c r="L1201" s="39">
        <v>0.12180000000000001</v>
      </c>
      <c r="M1201" s="61">
        <v>5000</v>
      </c>
      <c r="N1201" s="61">
        <v>1000000</v>
      </c>
    </row>
    <row r="1202" spans="1:14" ht="15" customHeight="1" x14ac:dyDescent="0.25">
      <c r="A1202" s="64" t="str">
        <f t="shared" si="18"/>
        <v>3-20-0-TOU-2 year Reward Plus</v>
      </c>
      <c r="B1202" s="62" t="s">
        <v>13</v>
      </c>
      <c r="C1202" s="54">
        <v>20</v>
      </c>
      <c r="D1202" s="59" t="s">
        <v>29</v>
      </c>
      <c r="E1202" s="59" t="s">
        <v>87</v>
      </c>
      <c r="F1202" s="38" t="s">
        <v>88</v>
      </c>
      <c r="G1202" s="51">
        <v>3</v>
      </c>
      <c r="H1202" s="60" t="s">
        <v>69</v>
      </c>
      <c r="I1202" s="39">
        <v>0.82699999999999996</v>
      </c>
      <c r="J1202" s="39">
        <v>0.1918</v>
      </c>
      <c r="K1202" s="39">
        <v>0.15439999999999998</v>
      </c>
      <c r="L1202" s="39">
        <v>0.12190000000000001</v>
      </c>
      <c r="M1202" s="61">
        <v>5000</v>
      </c>
      <c r="N1202" s="61">
        <v>1000000</v>
      </c>
    </row>
    <row r="1203" spans="1:14" ht="15" customHeight="1" x14ac:dyDescent="0.25">
      <c r="A1203" s="64" t="str">
        <f t="shared" si="18"/>
        <v>3-21-0-TOU-2 year Reward Plus</v>
      </c>
      <c r="B1203" s="62" t="s">
        <v>13</v>
      </c>
      <c r="C1203" s="54">
        <v>21</v>
      </c>
      <c r="D1203" s="59" t="s">
        <v>30</v>
      </c>
      <c r="E1203" s="59" t="s">
        <v>87</v>
      </c>
      <c r="F1203" s="38" t="s">
        <v>88</v>
      </c>
      <c r="G1203" s="51">
        <v>3</v>
      </c>
      <c r="H1203" s="60" t="s">
        <v>69</v>
      </c>
      <c r="I1203" s="39">
        <v>0.92300000000000004</v>
      </c>
      <c r="J1203" s="39">
        <v>0.2019</v>
      </c>
      <c r="K1203" s="39">
        <v>0.16259999999999999</v>
      </c>
      <c r="L1203" s="39">
        <v>0.12839999999999999</v>
      </c>
      <c r="M1203" s="61">
        <v>5000</v>
      </c>
      <c r="N1203" s="61">
        <v>1000000</v>
      </c>
    </row>
    <row r="1204" spans="1:14" ht="15" customHeight="1" x14ac:dyDescent="0.25">
      <c r="A1204" s="64" t="str">
        <f t="shared" si="18"/>
        <v>3-22-0-TOU-2 year Reward Plus</v>
      </c>
      <c r="B1204" s="62" t="s">
        <v>13</v>
      </c>
      <c r="C1204" s="54">
        <v>22</v>
      </c>
      <c r="D1204" s="59" t="s">
        <v>31</v>
      </c>
      <c r="E1204" s="59" t="s">
        <v>87</v>
      </c>
      <c r="F1204" s="38" t="s">
        <v>88</v>
      </c>
      <c r="G1204" s="51">
        <v>3</v>
      </c>
      <c r="H1204" s="60" t="s">
        <v>69</v>
      </c>
      <c r="I1204" s="39">
        <v>0.90400000000000003</v>
      </c>
      <c r="J1204" s="39">
        <v>0.20249999999999999</v>
      </c>
      <c r="K1204" s="39">
        <v>0.16309999999999999</v>
      </c>
      <c r="L1204" s="39">
        <v>0.12870000000000001</v>
      </c>
      <c r="M1204" s="61">
        <v>5000</v>
      </c>
      <c r="N1204" s="61">
        <v>1000000</v>
      </c>
    </row>
    <row r="1205" spans="1:14" ht="15" customHeight="1" x14ac:dyDescent="0.25">
      <c r="A1205" s="64" t="str">
        <f t="shared" si="18"/>
        <v>3-23-0-TOU-2 year Reward Plus</v>
      </c>
      <c r="B1205" s="62" t="s">
        <v>13</v>
      </c>
      <c r="C1205" s="54">
        <v>23</v>
      </c>
      <c r="D1205" s="59" t="s">
        <v>32</v>
      </c>
      <c r="E1205" s="59" t="s">
        <v>87</v>
      </c>
      <c r="F1205" s="38" t="s">
        <v>88</v>
      </c>
      <c r="G1205" s="51">
        <v>3</v>
      </c>
      <c r="H1205" s="60" t="s">
        <v>69</v>
      </c>
      <c r="I1205" s="39">
        <v>0.90600000000000003</v>
      </c>
      <c r="J1205" s="39">
        <v>0.1943</v>
      </c>
      <c r="K1205" s="39">
        <v>0.15639999999999998</v>
      </c>
      <c r="L1205" s="39">
        <v>0.1235</v>
      </c>
      <c r="M1205" s="61">
        <v>5000</v>
      </c>
      <c r="N1205" s="61">
        <v>1000000</v>
      </c>
    </row>
    <row r="1206" spans="1:14" ht="15" customHeight="1" x14ac:dyDescent="0.25">
      <c r="A1206" s="64" t="str">
        <f t="shared" si="18"/>
        <v>0.1-10-0-TOU-3 year APR - Reward</v>
      </c>
      <c r="B1206" s="62" t="s">
        <v>13</v>
      </c>
      <c r="C1206" s="54">
        <v>10</v>
      </c>
      <c r="D1206" s="59" t="s">
        <v>14</v>
      </c>
      <c r="E1206" s="59" t="s">
        <v>87</v>
      </c>
      <c r="F1206" s="38" t="s">
        <v>88</v>
      </c>
      <c r="G1206" s="51">
        <v>0.1</v>
      </c>
      <c r="H1206" s="60" t="s">
        <v>70</v>
      </c>
      <c r="I1206" s="39">
        <v>0.877</v>
      </c>
      <c r="J1206" s="39">
        <v>0.1419</v>
      </c>
      <c r="K1206" s="39">
        <v>0.1142</v>
      </c>
      <c r="L1206" s="39">
        <v>9.0200000000000002E-2</v>
      </c>
      <c r="M1206" s="61">
        <v>5000</v>
      </c>
      <c r="N1206" s="61">
        <v>1000000</v>
      </c>
    </row>
    <row r="1207" spans="1:14" ht="15" customHeight="1" x14ac:dyDescent="0.25">
      <c r="A1207" s="64" t="str">
        <f t="shared" si="18"/>
        <v>0.1-11-0-TOU-3 year APR - Reward</v>
      </c>
      <c r="B1207" s="62" t="s">
        <v>13</v>
      </c>
      <c r="C1207" s="54">
        <v>11</v>
      </c>
      <c r="D1207" s="59" t="s">
        <v>20</v>
      </c>
      <c r="E1207" s="59" t="s">
        <v>87</v>
      </c>
      <c r="F1207" s="38" t="s">
        <v>88</v>
      </c>
      <c r="G1207" s="51">
        <v>0.1</v>
      </c>
      <c r="H1207" s="60" t="s">
        <v>70</v>
      </c>
      <c r="I1207" s="39">
        <v>0.85699999999999998</v>
      </c>
      <c r="J1207" s="39">
        <v>0.14409999999999998</v>
      </c>
      <c r="K1207" s="39">
        <v>0.11600000000000001</v>
      </c>
      <c r="L1207" s="39">
        <v>9.1600000000000001E-2</v>
      </c>
      <c r="M1207" s="61">
        <v>5000</v>
      </c>
      <c r="N1207" s="61">
        <v>1000000</v>
      </c>
    </row>
    <row r="1208" spans="1:14" ht="15" customHeight="1" x14ac:dyDescent="0.25">
      <c r="A1208" s="64" t="str">
        <f t="shared" si="18"/>
        <v>0.1-12-0-TOU-3 year APR - Reward</v>
      </c>
      <c r="B1208" s="62" t="s">
        <v>13</v>
      </c>
      <c r="C1208" s="54">
        <v>12</v>
      </c>
      <c r="D1208" s="59" t="s">
        <v>21</v>
      </c>
      <c r="E1208" s="59" t="s">
        <v>87</v>
      </c>
      <c r="F1208" s="38" t="s">
        <v>88</v>
      </c>
      <c r="G1208" s="51">
        <v>0.1</v>
      </c>
      <c r="H1208" s="60" t="s">
        <v>70</v>
      </c>
      <c r="I1208" s="39">
        <v>0.89900000000000002</v>
      </c>
      <c r="J1208" s="39">
        <v>0.1414</v>
      </c>
      <c r="K1208" s="39">
        <v>0.1139</v>
      </c>
      <c r="L1208" s="39">
        <v>8.9900000000000008E-2</v>
      </c>
      <c r="M1208" s="61">
        <v>5000</v>
      </c>
      <c r="N1208" s="61">
        <v>1000000</v>
      </c>
    </row>
    <row r="1209" spans="1:14" ht="15" customHeight="1" x14ac:dyDescent="0.25">
      <c r="A1209" s="64" t="str">
        <f t="shared" si="18"/>
        <v>0.1-13-0-TOU-3 year APR - Reward</v>
      </c>
      <c r="B1209" s="62" t="s">
        <v>13</v>
      </c>
      <c r="C1209" s="54">
        <v>13</v>
      </c>
      <c r="D1209" s="59" t="s">
        <v>22</v>
      </c>
      <c r="E1209" s="59" t="s">
        <v>87</v>
      </c>
      <c r="F1209" s="38" t="s">
        <v>88</v>
      </c>
      <c r="G1209" s="51">
        <v>0.1</v>
      </c>
      <c r="H1209" s="60" t="s">
        <v>70</v>
      </c>
      <c r="I1209" s="39">
        <v>0.877</v>
      </c>
      <c r="J1209" s="39">
        <v>0.15359999999999999</v>
      </c>
      <c r="K1209" s="39">
        <v>0.1236</v>
      </c>
      <c r="L1209" s="39">
        <v>9.7600000000000006E-2</v>
      </c>
      <c r="M1209" s="61">
        <v>5000</v>
      </c>
      <c r="N1209" s="61">
        <v>1000000</v>
      </c>
    </row>
    <row r="1210" spans="1:14" ht="15" customHeight="1" x14ac:dyDescent="0.25">
      <c r="A1210" s="64" t="str">
        <f t="shared" si="18"/>
        <v>0.1-14-0-TOU-3 year APR - Reward</v>
      </c>
      <c r="B1210" s="62" t="s">
        <v>13</v>
      </c>
      <c r="C1210" s="54">
        <v>14</v>
      </c>
      <c r="D1210" s="59" t="s">
        <v>23</v>
      </c>
      <c r="E1210" s="59" t="s">
        <v>87</v>
      </c>
      <c r="F1210" s="38" t="s">
        <v>88</v>
      </c>
      <c r="G1210" s="51">
        <v>0.1</v>
      </c>
      <c r="H1210" s="60" t="s">
        <v>70</v>
      </c>
      <c r="I1210" s="39">
        <v>0.88600000000000001</v>
      </c>
      <c r="J1210" s="39">
        <v>0.14509999999999998</v>
      </c>
      <c r="K1210" s="39">
        <v>0.1168</v>
      </c>
      <c r="L1210" s="39">
        <v>9.2200000000000004E-2</v>
      </c>
      <c r="M1210" s="61">
        <v>5000</v>
      </c>
      <c r="N1210" s="61">
        <v>1000000</v>
      </c>
    </row>
    <row r="1211" spans="1:14" ht="15" customHeight="1" x14ac:dyDescent="0.25">
      <c r="A1211" s="64" t="str">
        <f t="shared" si="18"/>
        <v>0.1-15-0-TOU-3 year APR - Reward</v>
      </c>
      <c r="B1211" s="62" t="s">
        <v>13</v>
      </c>
      <c r="C1211" s="54">
        <v>15</v>
      </c>
      <c r="D1211" s="59" t="s">
        <v>24</v>
      </c>
      <c r="E1211" s="59" t="s">
        <v>87</v>
      </c>
      <c r="F1211" s="38" t="s">
        <v>88</v>
      </c>
      <c r="G1211" s="51">
        <v>0.1</v>
      </c>
      <c r="H1211" s="60" t="s">
        <v>70</v>
      </c>
      <c r="I1211" s="39">
        <v>0.95599999999999996</v>
      </c>
      <c r="J1211" s="39">
        <v>0.1459</v>
      </c>
      <c r="K1211" s="39">
        <v>0.11750000000000001</v>
      </c>
      <c r="L1211" s="39">
        <v>9.2700000000000005E-2</v>
      </c>
      <c r="M1211" s="61">
        <v>5000</v>
      </c>
      <c r="N1211" s="61">
        <v>1000000</v>
      </c>
    </row>
    <row r="1212" spans="1:14" ht="15" customHeight="1" x14ac:dyDescent="0.25">
      <c r="A1212" s="64" t="str">
        <f t="shared" si="18"/>
        <v>0.1-16-0-TOU-3 year APR - Reward</v>
      </c>
      <c r="B1212" s="62" t="s">
        <v>13</v>
      </c>
      <c r="C1212" s="54">
        <v>16</v>
      </c>
      <c r="D1212" s="59" t="s">
        <v>25</v>
      </c>
      <c r="E1212" s="59" t="s">
        <v>87</v>
      </c>
      <c r="F1212" s="38" t="s">
        <v>88</v>
      </c>
      <c r="G1212" s="51">
        <v>0.1</v>
      </c>
      <c r="H1212" s="60" t="s">
        <v>70</v>
      </c>
      <c r="I1212" s="39">
        <v>0.72399999999999998</v>
      </c>
      <c r="J1212" s="39">
        <v>0.1447</v>
      </c>
      <c r="K1212" s="39">
        <v>0.11650000000000001</v>
      </c>
      <c r="L1212" s="39">
        <v>9.1999999999999998E-2</v>
      </c>
      <c r="M1212" s="61">
        <v>5000</v>
      </c>
      <c r="N1212" s="61">
        <v>1000000</v>
      </c>
    </row>
    <row r="1213" spans="1:14" ht="15" customHeight="1" x14ac:dyDescent="0.25">
      <c r="A1213" s="64" t="str">
        <f t="shared" si="18"/>
        <v>0.1-17-0-TOU-3 year APR - Reward</v>
      </c>
      <c r="B1213" s="62" t="s">
        <v>13</v>
      </c>
      <c r="C1213" s="54">
        <v>17</v>
      </c>
      <c r="D1213" s="59" t="s">
        <v>26</v>
      </c>
      <c r="E1213" s="59" t="s">
        <v>87</v>
      </c>
      <c r="F1213" s="38" t="s">
        <v>88</v>
      </c>
      <c r="G1213" s="51">
        <v>0.1</v>
      </c>
      <c r="H1213" s="60" t="s">
        <v>70</v>
      </c>
      <c r="I1213" s="39">
        <v>1.4770000000000001</v>
      </c>
      <c r="J1213" s="39">
        <v>0.16309999999999999</v>
      </c>
      <c r="K1213" s="39">
        <v>0.1313</v>
      </c>
      <c r="L1213" s="39">
        <v>0.1037</v>
      </c>
      <c r="M1213" s="61">
        <v>5000</v>
      </c>
      <c r="N1213" s="61">
        <v>1000000</v>
      </c>
    </row>
    <row r="1214" spans="1:14" ht="15" customHeight="1" x14ac:dyDescent="0.25">
      <c r="A1214" s="64" t="str">
        <f t="shared" si="18"/>
        <v>0.1-18-0-TOU-3 year APR - Reward</v>
      </c>
      <c r="B1214" s="62" t="s">
        <v>13</v>
      </c>
      <c r="C1214" s="54">
        <v>18</v>
      </c>
      <c r="D1214" s="59" t="s">
        <v>27</v>
      </c>
      <c r="E1214" s="59" t="s">
        <v>87</v>
      </c>
      <c r="F1214" s="38" t="s">
        <v>88</v>
      </c>
      <c r="G1214" s="51">
        <v>0.1</v>
      </c>
      <c r="H1214" s="60" t="s">
        <v>70</v>
      </c>
      <c r="I1214" s="39">
        <v>0.89500000000000002</v>
      </c>
      <c r="J1214" s="39">
        <v>0.1439</v>
      </c>
      <c r="K1214" s="39">
        <v>0.1159</v>
      </c>
      <c r="L1214" s="39">
        <v>9.1499999999999998E-2</v>
      </c>
      <c r="M1214" s="61">
        <v>5000</v>
      </c>
      <c r="N1214" s="61">
        <v>1000000</v>
      </c>
    </row>
    <row r="1215" spans="1:14" ht="15" customHeight="1" x14ac:dyDescent="0.25">
      <c r="A1215" s="64" t="str">
        <f t="shared" si="18"/>
        <v>0.1-19-0-TOU-3 year APR - Reward</v>
      </c>
      <c r="B1215" s="62" t="s">
        <v>13</v>
      </c>
      <c r="C1215" s="54">
        <v>19</v>
      </c>
      <c r="D1215" s="59" t="s">
        <v>28</v>
      </c>
      <c r="E1215" s="59" t="s">
        <v>87</v>
      </c>
      <c r="F1215" s="38" t="s">
        <v>88</v>
      </c>
      <c r="G1215" s="51">
        <v>0.1</v>
      </c>
      <c r="H1215" s="60" t="s">
        <v>70</v>
      </c>
      <c r="I1215" s="39">
        <v>0.77400000000000002</v>
      </c>
      <c r="J1215" s="39">
        <v>0.14309999999999998</v>
      </c>
      <c r="K1215" s="39">
        <v>0.1152</v>
      </c>
      <c r="L1215" s="39">
        <v>9.0899999999999995E-2</v>
      </c>
      <c r="M1215" s="61">
        <v>5000</v>
      </c>
      <c r="N1215" s="61">
        <v>1000000</v>
      </c>
    </row>
    <row r="1216" spans="1:14" ht="15" customHeight="1" x14ac:dyDescent="0.25">
      <c r="A1216" s="64" t="str">
        <f t="shared" si="18"/>
        <v>0.1-20-0-TOU-3 year APR - Reward</v>
      </c>
      <c r="B1216" s="62" t="s">
        <v>13</v>
      </c>
      <c r="C1216" s="54">
        <v>20</v>
      </c>
      <c r="D1216" s="59" t="s">
        <v>29</v>
      </c>
      <c r="E1216" s="59" t="s">
        <v>87</v>
      </c>
      <c r="F1216" s="38" t="s">
        <v>88</v>
      </c>
      <c r="G1216" s="51">
        <v>0.1</v>
      </c>
      <c r="H1216" s="60" t="s">
        <v>70</v>
      </c>
      <c r="I1216" s="39">
        <v>0.82299999999999995</v>
      </c>
      <c r="J1216" s="39">
        <v>0.14269999999999999</v>
      </c>
      <c r="K1216" s="39">
        <v>0.1149</v>
      </c>
      <c r="L1216" s="39">
        <v>9.0700000000000003E-2</v>
      </c>
      <c r="M1216" s="61">
        <v>5000</v>
      </c>
      <c r="N1216" s="61">
        <v>1000000</v>
      </c>
    </row>
    <row r="1217" spans="1:14" ht="15" customHeight="1" x14ac:dyDescent="0.25">
      <c r="A1217" s="64" t="str">
        <f t="shared" si="18"/>
        <v>0.1-21-0-TOU-3 year APR - Reward</v>
      </c>
      <c r="B1217" s="62" t="s">
        <v>13</v>
      </c>
      <c r="C1217" s="54">
        <v>21</v>
      </c>
      <c r="D1217" s="59" t="s">
        <v>30</v>
      </c>
      <c r="E1217" s="59" t="s">
        <v>87</v>
      </c>
      <c r="F1217" s="38" t="s">
        <v>88</v>
      </c>
      <c r="G1217" s="51">
        <v>0.1</v>
      </c>
      <c r="H1217" s="60" t="s">
        <v>70</v>
      </c>
      <c r="I1217" s="39">
        <v>0.91900000000000004</v>
      </c>
      <c r="J1217" s="39">
        <v>0.15259999999999999</v>
      </c>
      <c r="K1217" s="39">
        <v>0.12290000000000001</v>
      </c>
      <c r="L1217" s="39">
        <v>9.7000000000000003E-2</v>
      </c>
      <c r="M1217" s="61">
        <v>5000</v>
      </c>
      <c r="N1217" s="61">
        <v>1000000</v>
      </c>
    </row>
    <row r="1218" spans="1:14" ht="15" customHeight="1" x14ac:dyDescent="0.25">
      <c r="A1218" s="64" t="str">
        <f t="shared" si="18"/>
        <v>0.1-22-0-TOU-3 year APR - Reward</v>
      </c>
      <c r="B1218" s="62" t="s">
        <v>13</v>
      </c>
      <c r="C1218" s="54">
        <v>22</v>
      </c>
      <c r="D1218" s="59" t="s">
        <v>31</v>
      </c>
      <c r="E1218" s="59" t="s">
        <v>87</v>
      </c>
      <c r="F1218" s="38" t="s">
        <v>88</v>
      </c>
      <c r="G1218" s="51">
        <v>0.1</v>
      </c>
      <c r="H1218" s="60" t="s">
        <v>70</v>
      </c>
      <c r="I1218" s="39">
        <v>0.9</v>
      </c>
      <c r="J1218" s="39">
        <v>0.1532</v>
      </c>
      <c r="K1218" s="39">
        <v>0.12340000000000001</v>
      </c>
      <c r="L1218" s="39">
        <v>9.74E-2</v>
      </c>
      <c r="M1218" s="61">
        <v>5000</v>
      </c>
      <c r="N1218" s="61">
        <v>1000000</v>
      </c>
    </row>
    <row r="1219" spans="1:14" ht="15" customHeight="1" x14ac:dyDescent="0.25">
      <c r="A1219" s="64" t="str">
        <f t="shared" ref="A1219:A1282" si="19">IF(E1219="OP","",CONCATENATE(G1219,"-",C1219,"-",RIGHT(F1219,1),"-",E1219,"-",H1219))</f>
        <v>0.1-23-0-TOU-3 year APR - Reward</v>
      </c>
      <c r="B1219" s="62" t="s">
        <v>13</v>
      </c>
      <c r="C1219" s="54">
        <v>23</v>
      </c>
      <c r="D1219" s="59" t="s">
        <v>32</v>
      </c>
      <c r="E1219" s="59" t="s">
        <v>87</v>
      </c>
      <c r="F1219" s="38" t="s">
        <v>88</v>
      </c>
      <c r="G1219" s="51">
        <v>0.1</v>
      </c>
      <c r="H1219" s="60" t="s">
        <v>70</v>
      </c>
      <c r="I1219" s="39">
        <v>0.90200000000000002</v>
      </c>
      <c r="J1219" s="39">
        <v>0.14579999999999999</v>
      </c>
      <c r="K1219" s="39">
        <v>0.1174</v>
      </c>
      <c r="L1219" s="39">
        <v>9.2700000000000005E-2</v>
      </c>
      <c r="M1219" s="61">
        <v>5000</v>
      </c>
      <c r="N1219" s="61">
        <v>1000000</v>
      </c>
    </row>
    <row r="1220" spans="1:14" ht="15" customHeight="1" x14ac:dyDescent="0.25">
      <c r="A1220" s="64" t="str">
        <f t="shared" si="19"/>
        <v>0.2-10-0-TOU-3 year APR - Reward</v>
      </c>
      <c r="B1220" s="62" t="s">
        <v>13</v>
      </c>
      <c r="C1220" s="54">
        <v>10</v>
      </c>
      <c r="D1220" s="59" t="s">
        <v>14</v>
      </c>
      <c r="E1220" s="59" t="s">
        <v>87</v>
      </c>
      <c r="F1220" s="38" t="s">
        <v>88</v>
      </c>
      <c r="G1220" s="51">
        <v>0.2</v>
      </c>
      <c r="H1220" s="60" t="s">
        <v>70</v>
      </c>
      <c r="I1220" s="39">
        <v>0.877</v>
      </c>
      <c r="J1220" s="39">
        <v>0.14309999999999998</v>
      </c>
      <c r="K1220" s="39">
        <v>0.1152</v>
      </c>
      <c r="L1220" s="39">
        <v>9.0899999999999995E-2</v>
      </c>
      <c r="M1220" s="61">
        <v>5000</v>
      </c>
      <c r="N1220" s="61">
        <v>1000000</v>
      </c>
    </row>
    <row r="1221" spans="1:14" ht="15" customHeight="1" x14ac:dyDescent="0.25">
      <c r="A1221" s="64" t="str">
        <f t="shared" si="19"/>
        <v>0.2-11-0-TOU-3 year APR - Reward</v>
      </c>
      <c r="B1221" s="62" t="s">
        <v>13</v>
      </c>
      <c r="C1221" s="54">
        <v>11</v>
      </c>
      <c r="D1221" s="59" t="s">
        <v>20</v>
      </c>
      <c r="E1221" s="59" t="s">
        <v>87</v>
      </c>
      <c r="F1221" s="38" t="s">
        <v>88</v>
      </c>
      <c r="G1221" s="51">
        <v>0.2</v>
      </c>
      <c r="H1221" s="60" t="s">
        <v>70</v>
      </c>
      <c r="I1221" s="39">
        <v>0.85699999999999998</v>
      </c>
      <c r="J1221" s="39">
        <v>0.14529999999999998</v>
      </c>
      <c r="K1221" s="39">
        <v>0.11700000000000001</v>
      </c>
      <c r="L1221" s="39">
        <v>9.2399999999999996E-2</v>
      </c>
      <c r="M1221" s="61">
        <v>5000</v>
      </c>
      <c r="N1221" s="61">
        <v>1000000</v>
      </c>
    </row>
    <row r="1222" spans="1:14" ht="15" customHeight="1" x14ac:dyDescent="0.25">
      <c r="A1222" s="64" t="str">
        <f t="shared" si="19"/>
        <v>0.2-12-0-TOU-3 year APR - Reward</v>
      </c>
      <c r="B1222" s="62" t="s">
        <v>13</v>
      </c>
      <c r="C1222" s="54">
        <v>12</v>
      </c>
      <c r="D1222" s="59" t="s">
        <v>21</v>
      </c>
      <c r="E1222" s="59" t="s">
        <v>87</v>
      </c>
      <c r="F1222" s="38" t="s">
        <v>88</v>
      </c>
      <c r="G1222" s="51">
        <v>0.2</v>
      </c>
      <c r="H1222" s="60" t="s">
        <v>70</v>
      </c>
      <c r="I1222" s="39">
        <v>0.89900000000000002</v>
      </c>
      <c r="J1222" s="39">
        <v>0.14259999999999998</v>
      </c>
      <c r="K1222" s="39">
        <v>0.1148</v>
      </c>
      <c r="L1222" s="39">
        <v>9.06E-2</v>
      </c>
      <c r="M1222" s="61">
        <v>5000</v>
      </c>
      <c r="N1222" s="61">
        <v>1000000</v>
      </c>
    </row>
    <row r="1223" spans="1:14" ht="15" customHeight="1" x14ac:dyDescent="0.25">
      <c r="A1223" s="64" t="str">
        <f t="shared" si="19"/>
        <v>0.2-13-0-TOU-3 year APR - Reward</v>
      </c>
      <c r="B1223" s="62" t="s">
        <v>13</v>
      </c>
      <c r="C1223" s="54">
        <v>13</v>
      </c>
      <c r="D1223" s="59" t="s">
        <v>22</v>
      </c>
      <c r="E1223" s="59" t="s">
        <v>87</v>
      </c>
      <c r="F1223" s="38" t="s">
        <v>88</v>
      </c>
      <c r="G1223" s="51">
        <v>0.2</v>
      </c>
      <c r="H1223" s="60" t="s">
        <v>70</v>
      </c>
      <c r="I1223" s="39">
        <v>0.877</v>
      </c>
      <c r="J1223" s="39">
        <v>0.15469999999999998</v>
      </c>
      <c r="K1223" s="39">
        <v>0.1246</v>
      </c>
      <c r="L1223" s="39">
        <v>9.8400000000000001E-2</v>
      </c>
      <c r="M1223" s="61">
        <v>5000</v>
      </c>
      <c r="N1223" s="61">
        <v>1000000</v>
      </c>
    </row>
    <row r="1224" spans="1:14" ht="15" customHeight="1" x14ac:dyDescent="0.25">
      <c r="A1224" s="64" t="str">
        <f t="shared" si="19"/>
        <v>0.2-14-0-TOU-3 year APR - Reward</v>
      </c>
      <c r="B1224" s="62" t="s">
        <v>13</v>
      </c>
      <c r="C1224" s="54">
        <v>14</v>
      </c>
      <c r="D1224" s="59" t="s">
        <v>23</v>
      </c>
      <c r="E1224" s="59" t="s">
        <v>87</v>
      </c>
      <c r="F1224" s="38" t="s">
        <v>88</v>
      </c>
      <c r="G1224" s="51">
        <v>0.2</v>
      </c>
      <c r="H1224" s="60" t="s">
        <v>70</v>
      </c>
      <c r="I1224" s="39">
        <v>0.88600000000000001</v>
      </c>
      <c r="J1224" s="39">
        <v>0.14629999999999999</v>
      </c>
      <c r="K1224" s="39">
        <v>0.1178</v>
      </c>
      <c r="L1224" s="39">
        <v>9.2999999999999999E-2</v>
      </c>
      <c r="M1224" s="61">
        <v>5000</v>
      </c>
      <c r="N1224" s="61">
        <v>1000000</v>
      </c>
    </row>
    <row r="1225" spans="1:14" ht="15" customHeight="1" x14ac:dyDescent="0.25">
      <c r="A1225" s="64" t="str">
        <f t="shared" si="19"/>
        <v>0.2-15-0-TOU-3 year APR - Reward</v>
      </c>
      <c r="B1225" s="62" t="s">
        <v>13</v>
      </c>
      <c r="C1225" s="54">
        <v>15</v>
      </c>
      <c r="D1225" s="59" t="s">
        <v>24</v>
      </c>
      <c r="E1225" s="59" t="s">
        <v>87</v>
      </c>
      <c r="F1225" s="38" t="s">
        <v>88</v>
      </c>
      <c r="G1225" s="51">
        <v>0.2</v>
      </c>
      <c r="H1225" s="60" t="s">
        <v>70</v>
      </c>
      <c r="I1225" s="39">
        <v>0.95599999999999996</v>
      </c>
      <c r="J1225" s="39">
        <v>0.14709999999999998</v>
      </c>
      <c r="K1225" s="39">
        <v>0.11840000000000001</v>
      </c>
      <c r="L1225" s="39">
        <v>9.35E-2</v>
      </c>
      <c r="M1225" s="61">
        <v>5000</v>
      </c>
      <c r="N1225" s="61">
        <v>1000000</v>
      </c>
    </row>
    <row r="1226" spans="1:14" ht="15" customHeight="1" x14ac:dyDescent="0.25">
      <c r="A1226" s="64" t="str">
        <f t="shared" si="19"/>
        <v>0.2-16-0-TOU-3 year APR - Reward</v>
      </c>
      <c r="B1226" s="62" t="s">
        <v>13</v>
      </c>
      <c r="C1226" s="54">
        <v>16</v>
      </c>
      <c r="D1226" s="59" t="s">
        <v>25</v>
      </c>
      <c r="E1226" s="59" t="s">
        <v>87</v>
      </c>
      <c r="F1226" s="38" t="s">
        <v>88</v>
      </c>
      <c r="G1226" s="51">
        <v>0.2</v>
      </c>
      <c r="H1226" s="60" t="s">
        <v>70</v>
      </c>
      <c r="I1226" s="39">
        <v>0.72399999999999998</v>
      </c>
      <c r="J1226" s="39">
        <v>0.1459</v>
      </c>
      <c r="K1226" s="39">
        <v>0.11750000000000001</v>
      </c>
      <c r="L1226" s="39">
        <v>9.2700000000000005E-2</v>
      </c>
      <c r="M1226" s="61">
        <v>5000</v>
      </c>
      <c r="N1226" s="61">
        <v>1000000</v>
      </c>
    </row>
    <row r="1227" spans="1:14" ht="15" customHeight="1" x14ac:dyDescent="0.25">
      <c r="A1227" s="64" t="str">
        <f t="shared" si="19"/>
        <v>0.2-17-0-TOU-3 year APR - Reward</v>
      </c>
      <c r="B1227" s="62" t="s">
        <v>13</v>
      </c>
      <c r="C1227" s="54">
        <v>17</v>
      </c>
      <c r="D1227" s="59" t="s">
        <v>26</v>
      </c>
      <c r="E1227" s="59" t="s">
        <v>87</v>
      </c>
      <c r="F1227" s="38" t="s">
        <v>88</v>
      </c>
      <c r="G1227" s="51">
        <v>0.2</v>
      </c>
      <c r="H1227" s="60" t="s">
        <v>70</v>
      </c>
      <c r="I1227" s="39">
        <v>1.4770000000000001</v>
      </c>
      <c r="J1227" s="39">
        <v>0.1643</v>
      </c>
      <c r="K1227" s="39">
        <v>0.1323</v>
      </c>
      <c r="L1227" s="39">
        <v>0.10440000000000001</v>
      </c>
      <c r="M1227" s="61">
        <v>5000</v>
      </c>
      <c r="N1227" s="61">
        <v>1000000</v>
      </c>
    </row>
    <row r="1228" spans="1:14" ht="15" customHeight="1" x14ac:dyDescent="0.25">
      <c r="A1228" s="64" t="str">
        <f t="shared" si="19"/>
        <v>0.2-18-0-TOU-3 year APR - Reward</v>
      </c>
      <c r="B1228" s="62" t="s">
        <v>13</v>
      </c>
      <c r="C1228" s="54">
        <v>18</v>
      </c>
      <c r="D1228" s="59" t="s">
        <v>27</v>
      </c>
      <c r="E1228" s="59" t="s">
        <v>87</v>
      </c>
      <c r="F1228" s="38" t="s">
        <v>88</v>
      </c>
      <c r="G1228" s="51">
        <v>0.2</v>
      </c>
      <c r="H1228" s="60" t="s">
        <v>70</v>
      </c>
      <c r="I1228" s="39">
        <v>0.89500000000000002</v>
      </c>
      <c r="J1228" s="39">
        <v>0.14509999999999998</v>
      </c>
      <c r="K1228" s="39">
        <v>0.1168</v>
      </c>
      <c r="L1228" s="39">
        <v>9.2200000000000004E-2</v>
      </c>
      <c r="M1228" s="61">
        <v>5000</v>
      </c>
      <c r="N1228" s="61">
        <v>1000000</v>
      </c>
    </row>
    <row r="1229" spans="1:14" ht="15" customHeight="1" x14ac:dyDescent="0.25">
      <c r="A1229" s="64" t="str">
        <f t="shared" si="19"/>
        <v>0.2-19-0-TOU-3 year APR - Reward</v>
      </c>
      <c r="B1229" s="62" t="s">
        <v>13</v>
      </c>
      <c r="C1229" s="54">
        <v>19</v>
      </c>
      <c r="D1229" s="59" t="s">
        <v>28</v>
      </c>
      <c r="E1229" s="59" t="s">
        <v>87</v>
      </c>
      <c r="F1229" s="38" t="s">
        <v>88</v>
      </c>
      <c r="G1229" s="51">
        <v>0.2</v>
      </c>
      <c r="H1229" s="60" t="s">
        <v>70</v>
      </c>
      <c r="I1229" s="39">
        <v>0.77400000000000002</v>
      </c>
      <c r="J1229" s="39">
        <v>0.14419999999999999</v>
      </c>
      <c r="K1229" s="39">
        <v>0.11610000000000001</v>
      </c>
      <c r="L1229" s="39">
        <v>9.1700000000000004E-2</v>
      </c>
      <c r="M1229" s="61">
        <v>5000</v>
      </c>
      <c r="N1229" s="61">
        <v>1000000</v>
      </c>
    </row>
    <row r="1230" spans="1:14" ht="15" customHeight="1" x14ac:dyDescent="0.25">
      <c r="A1230" s="64" t="str">
        <f t="shared" si="19"/>
        <v>0.2-20-0-TOU-3 year APR - Reward</v>
      </c>
      <c r="B1230" s="62" t="s">
        <v>13</v>
      </c>
      <c r="C1230" s="54">
        <v>20</v>
      </c>
      <c r="D1230" s="59" t="s">
        <v>29</v>
      </c>
      <c r="E1230" s="59" t="s">
        <v>87</v>
      </c>
      <c r="F1230" s="38" t="s">
        <v>88</v>
      </c>
      <c r="G1230" s="51">
        <v>0.2</v>
      </c>
      <c r="H1230" s="60" t="s">
        <v>70</v>
      </c>
      <c r="I1230" s="39">
        <v>0.82299999999999995</v>
      </c>
      <c r="J1230" s="39">
        <v>0.1439</v>
      </c>
      <c r="K1230" s="39">
        <v>0.1159</v>
      </c>
      <c r="L1230" s="39">
        <v>9.1499999999999998E-2</v>
      </c>
      <c r="M1230" s="61">
        <v>5000</v>
      </c>
      <c r="N1230" s="61">
        <v>1000000</v>
      </c>
    </row>
    <row r="1231" spans="1:14" ht="15" customHeight="1" x14ac:dyDescent="0.25">
      <c r="A1231" s="64" t="str">
        <f t="shared" si="19"/>
        <v>0.2-21-0-TOU-3 year APR - Reward</v>
      </c>
      <c r="B1231" s="62" t="s">
        <v>13</v>
      </c>
      <c r="C1231" s="54">
        <v>21</v>
      </c>
      <c r="D1231" s="59" t="s">
        <v>30</v>
      </c>
      <c r="E1231" s="59" t="s">
        <v>87</v>
      </c>
      <c r="F1231" s="38" t="s">
        <v>88</v>
      </c>
      <c r="G1231" s="51">
        <v>0.2</v>
      </c>
      <c r="H1231" s="60" t="s">
        <v>70</v>
      </c>
      <c r="I1231" s="39">
        <v>0.91900000000000004</v>
      </c>
      <c r="J1231" s="39">
        <v>0.15379999999999999</v>
      </c>
      <c r="K1231" s="39">
        <v>0.12380000000000001</v>
      </c>
      <c r="L1231" s="39">
        <v>9.7799999999999998E-2</v>
      </c>
      <c r="M1231" s="61">
        <v>5000</v>
      </c>
      <c r="N1231" s="61">
        <v>1000000</v>
      </c>
    </row>
    <row r="1232" spans="1:14" ht="15" customHeight="1" x14ac:dyDescent="0.25">
      <c r="A1232" s="64" t="str">
        <f t="shared" si="19"/>
        <v>0.2-22-0-TOU-3 year APR - Reward</v>
      </c>
      <c r="B1232" s="62" t="s">
        <v>13</v>
      </c>
      <c r="C1232" s="54">
        <v>22</v>
      </c>
      <c r="D1232" s="59" t="s">
        <v>31</v>
      </c>
      <c r="E1232" s="59" t="s">
        <v>87</v>
      </c>
      <c r="F1232" s="38" t="s">
        <v>88</v>
      </c>
      <c r="G1232" s="51">
        <v>0.2</v>
      </c>
      <c r="H1232" s="60" t="s">
        <v>70</v>
      </c>
      <c r="I1232" s="39">
        <v>0.9</v>
      </c>
      <c r="J1232" s="39">
        <v>0.15439999999999998</v>
      </c>
      <c r="K1232" s="39">
        <v>0.12430000000000001</v>
      </c>
      <c r="L1232" s="39">
        <v>9.8100000000000007E-2</v>
      </c>
      <c r="M1232" s="61">
        <v>5000</v>
      </c>
      <c r="N1232" s="61">
        <v>1000000</v>
      </c>
    </row>
    <row r="1233" spans="1:14" ht="15" customHeight="1" x14ac:dyDescent="0.25">
      <c r="A1233" s="64" t="str">
        <f t="shared" si="19"/>
        <v>0.2-23-0-TOU-3 year APR - Reward</v>
      </c>
      <c r="B1233" s="62" t="s">
        <v>13</v>
      </c>
      <c r="C1233" s="54">
        <v>23</v>
      </c>
      <c r="D1233" s="59" t="s">
        <v>32</v>
      </c>
      <c r="E1233" s="59" t="s">
        <v>87</v>
      </c>
      <c r="F1233" s="38" t="s">
        <v>88</v>
      </c>
      <c r="G1233" s="51">
        <v>0.2</v>
      </c>
      <c r="H1233" s="60" t="s">
        <v>70</v>
      </c>
      <c r="I1233" s="39">
        <v>0.90200000000000002</v>
      </c>
      <c r="J1233" s="39">
        <v>0.14699999999999999</v>
      </c>
      <c r="K1233" s="39">
        <v>0.1183</v>
      </c>
      <c r="L1233" s="39">
        <v>9.3399999999999997E-2</v>
      </c>
      <c r="M1233" s="61">
        <v>5000</v>
      </c>
      <c r="N1233" s="61">
        <v>1000000</v>
      </c>
    </row>
    <row r="1234" spans="1:14" ht="15" customHeight="1" x14ac:dyDescent="0.25">
      <c r="A1234" s="64" t="str">
        <f t="shared" si="19"/>
        <v>0.3-10-0-TOU-3 year APR - Reward</v>
      </c>
      <c r="B1234" s="62" t="s">
        <v>13</v>
      </c>
      <c r="C1234" s="54">
        <v>10</v>
      </c>
      <c r="D1234" s="59" t="s">
        <v>14</v>
      </c>
      <c r="E1234" s="59" t="s">
        <v>87</v>
      </c>
      <c r="F1234" s="38" t="s">
        <v>88</v>
      </c>
      <c r="G1234" s="51">
        <v>0.3</v>
      </c>
      <c r="H1234" s="60" t="s">
        <v>70</v>
      </c>
      <c r="I1234" s="39">
        <v>0.877</v>
      </c>
      <c r="J1234" s="39">
        <v>0.14419999999999999</v>
      </c>
      <c r="K1234" s="39">
        <v>0.11610000000000001</v>
      </c>
      <c r="L1234" s="39">
        <v>9.1700000000000004E-2</v>
      </c>
      <c r="M1234" s="61">
        <v>5000</v>
      </c>
      <c r="N1234" s="61">
        <v>1000000</v>
      </c>
    </row>
    <row r="1235" spans="1:14" ht="15" customHeight="1" x14ac:dyDescent="0.25">
      <c r="A1235" s="64" t="str">
        <f t="shared" si="19"/>
        <v>0.3-11-0-TOU-3 year APR - Reward</v>
      </c>
      <c r="B1235" s="62" t="s">
        <v>13</v>
      </c>
      <c r="C1235" s="54">
        <v>11</v>
      </c>
      <c r="D1235" s="59" t="s">
        <v>20</v>
      </c>
      <c r="E1235" s="59" t="s">
        <v>87</v>
      </c>
      <c r="F1235" s="38" t="s">
        <v>88</v>
      </c>
      <c r="G1235" s="51">
        <v>0.3</v>
      </c>
      <c r="H1235" s="60" t="s">
        <v>70</v>
      </c>
      <c r="I1235" s="39">
        <v>0.85699999999999998</v>
      </c>
      <c r="J1235" s="39">
        <v>0.14649999999999999</v>
      </c>
      <c r="K1235" s="39">
        <v>0.1179</v>
      </c>
      <c r="L1235" s="39">
        <v>9.3100000000000002E-2</v>
      </c>
      <c r="M1235" s="61">
        <v>5000</v>
      </c>
      <c r="N1235" s="61">
        <v>1000000</v>
      </c>
    </row>
    <row r="1236" spans="1:14" ht="15" customHeight="1" x14ac:dyDescent="0.25">
      <c r="A1236" s="64" t="str">
        <f t="shared" si="19"/>
        <v>0.3-12-0-TOU-3 year APR - Reward</v>
      </c>
      <c r="B1236" s="62" t="s">
        <v>13</v>
      </c>
      <c r="C1236" s="54">
        <v>12</v>
      </c>
      <c r="D1236" s="59" t="s">
        <v>21</v>
      </c>
      <c r="E1236" s="59" t="s">
        <v>87</v>
      </c>
      <c r="F1236" s="38" t="s">
        <v>88</v>
      </c>
      <c r="G1236" s="51">
        <v>0.3</v>
      </c>
      <c r="H1236" s="60" t="s">
        <v>70</v>
      </c>
      <c r="I1236" s="39">
        <v>0.89900000000000002</v>
      </c>
      <c r="J1236" s="39">
        <v>0.14379999999999998</v>
      </c>
      <c r="K1236" s="39">
        <v>0.1158</v>
      </c>
      <c r="L1236" s="39">
        <v>9.1400000000000009E-2</v>
      </c>
      <c r="M1236" s="61">
        <v>5000</v>
      </c>
      <c r="N1236" s="61">
        <v>1000000</v>
      </c>
    </row>
    <row r="1237" spans="1:14" ht="15" customHeight="1" x14ac:dyDescent="0.25">
      <c r="A1237" s="64" t="str">
        <f t="shared" si="19"/>
        <v>0.3-13-0-TOU-3 year APR - Reward</v>
      </c>
      <c r="B1237" s="62" t="s">
        <v>13</v>
      </c>
      <c r="C1237" s="54">
        <v>13</v>
      </c>
      <c r="D1237" s="59" t="s">
        <v>22</v>
      </c>
      <c r="E1237" s="59" t="s">
        <v>87</v>
      </c>
      <c r="F1237" s="38" t="s">
        <v>88</v>
      </c>
      <c r="G1237" s="51">
        <v>0.3</v>
      </c>
      <c r="H1237" s="60" t="s">
        <v>70</v>
      </c>
      <c r="I1237" s="39">
        <v>0.877</v>
      </c>
      <c r="J1237" s="39">
        <v>0.15589999999999998</v>
      </c>
      <c r="K1237" s="39">
        <v>0.1255</v>
      </c>
      <c r="L1237" s="39">
        <v>9.9100000000000008E-2</v>
      </c>
      <c r="M1237" s="61">
        <v>5000</v>
      </c>
      <c r="N1237" s="61">
        <v>1000000</v>
      </c>
    </row>
    <row r="1238" spans="1:14" ht="15" customHeight="1" x14ac:dyDescent="0.25">
      <c r="A1238" s="64" t="str">
        <f t="shared" si="19"/>
        <v>0.3-14-0-TOU-3 year APR - Reward</v>
      </c>
      <c r="B1238" s="62" t="s">
        <v>13</v>
      </c>
      <c r="C1238" s="54">
        <v>14</v>
      </c>
      <c r="D1238" s="59" t="s">
        <v>23</v>
      </c>
      <c r="E1238" s="59" t="s">
        <v>87</v>
      </c>
      <c r="F1238" s="38" t="s">
        <v>88</v>
      </c>
      <c r="G1238" s="51">
        <v>0.3</v>
      </c>
      <c r="H1238" s="60" t="s">
        <v>70</v>
      </c>
      <c r="I1238" s="39">
        <v>0.88600000000000001</v>
      </c>
      <c r="J1238" s="39">
        <v>0.14739999999999998</v>
      </c>
      <c r="K1238" s="39">
        <v>0.1187</v>
      </c>
      <c r="L1238" s="39">
        <v>9.3700000000000006E-2</v>
      </c>
      <c r="M1238" s="61">
        <v>5000</v>
      </c>
      <c r="N1238" s="61">
        <v>1000000</v>
      </c>
    </row>
    <row r="1239" spans="1:14" ht="15" customHeight="1" x14ac:dyDescent="0.25">
      <c r="A1239" s="64" t="str">
        <f t="shared" si="19"/>
        <v>0.3-15-0-TOU-3 year APR - Reward</v>
      </c>
      <c r="B1239" s="62" t="s">
        <v>13</v>
      </c>
      <c r="C1239" s="54">
        <v>15</v>
      </c>
      <c r="D1239" s="59" t="s">
        <v>24</v>
      </c>
      <c r="E1239" s="59" t="s">
        <v>87</v>
      </c>
      <c r="F1239" s="38" t="s">
        <v>88</v>
      </c>
      <c r="G1239" s="51">
        <v>0.3</v>
      </c>
      <c r="H1239" s="60" t="s">
        <v>70</v>
      </c>
      <c r="I1239" s="39">
        <v>0.95599999999999996</v>
      </c>
      <c r="J1239" s="39">
        <v>0.14829999999999999</v>
      </c>
      <c r="K1239" s="39">
        <v>0.11940000000000001</v>
      </c>
      <c r="L1239" s="39">
        <v>9.4200000000000006E-2</v>
      </c>
      <c r="M1239" s="61">
        <v>5000</v>
      </c>
      <c r="N1239" s="61">
        <v>1000000</v>
      </c>
    </row>
    <row r="1240" spans="1:14" ht="15" customHeight="1" x14ac:dyDescent="0.25">
      <c r="A1240" s="64" t="str">
        <f t="shared" si="19"/>
        <v>0.3-16-0-TOU-3 year APR - Reward</v>
      </c>
      <c r="B1240" s="62" t="s">
        <v>13</v>
      </c>
      <c r="C1240" s="54">
        <v>16</v>
      </c>
      <c r="D1240" s="59" t="s">
        <v>25</v>
      </c>
      <c r="E1240" s="59" t="s">
        <v>87</v>
      </c>
      <c r="F1240" s="38" t="s">
        <v>88</v>
      </c>
      <c r="G1240" s="51">
        <v>0.3</v>
      </c>
      <c r="H1240" s="60" t="s">
        <v>70</v>
      </c>
      <c r="I1240" s="39">
        <v>0.72399999999999998</v>
      </c>
      <c r="J1240" s="39">
        <v>0.14709999999999998</v>
      </c>
      <c r="K1240" s="39">
        <v>0.11840000000000001</v>
      </c>
      <c r="L1240" s="39">
        <v>9.35E-2</v>
      </c>
      <c r="M1240" s="61">
        <v>5000</v>
      </c>
      <c r="N1240" s="61">
        <v>1000000</v>
      </c>
    </row>
    <row r="1241" spans="1:14" ht="15" customHeight="1" x14ac:dyDescent="0.25">
      <c r="A1241" s="64" t="str">
        <f t="shared" si="19"/>
        <v>0.3-17-0-TOU-3 year APR - Reward</v>
      </c>
      <c r="B1241" s="62" t="s">
        <v>13</v>
      </c>
      <c r="C1241" s="54">
        <v>17</v>
      </c>
      <c r="D1241" s="59" t="s">
        <v>26</v>
      </c>
      <c r="E1241" s="59" t="s">
        <v>87</v>
      </c>
      <c r="F1241" s="38" t="s">
        <v>88</v>
      </c>
      <c r="G1241" s="51">
        <v>0.3</v>
      </c>
      <c r="H1241" s="60" t="s">
        <v>70</v>
      </c>
      <c r="I1241" s="39">
        <v>1.4770000000000001</v>
      </c>
      <c r="J1241" s="39">
        <v>0.16549999999999998</v>
      </c>
      <c r="K1241" s="39">
        <v>0.13319999999999999</v>
      </c>
      <c r="L1241" s="39">
        <v>0.1052</v>
      </c>
      <c r="M1241" s="61">
        <v>5000</v>
      </c>
      <c r="N1241" s="61">
        <v>1000000</v>
      </c>
    </row>
    <row r="1242" spans="1:14" ht="15" customHeight="1" x14ac:dyDescent="0.25">
      <c r="A1242" s="64" t="str">
        <f t="shared" si="19"/>
        <v>0.3-18-0-TOU-3 year APR - Reward</v>
      </c>
      <c r="B1242" s="62" t="s">
        <v>13</v>
      </c>
      <c r="C1242" s="54">
        <v>18</v>
      </c>
      <c r="D1242" s="59" t="s">
        <v>27</v>
      </c>
      <c r="E1242" s="59" t="s">
        <v>87</v>
      </c>
      <c r="F1242" s="38" t="s">
        <v>88</v>
      </c>
      <c r="G1242" s="51">
        <v>0.3</v>
      </c>
      <c r="H1242" s="60" t="s">
        <v>70</v>
      </c>
      <c r="I1242" s="39">
        <v>0.89500000000000002</v>
      </c>
      <c r="J1242" s="39">
        <v>0.14629999999999999</v>
      </c>
      <c r="K1242" s="39">
        <v>0.1178</v>
      </c>
      <c r="L1242" s="39">
        <v>9.2999999999999999E-2</v>
      </c>
      <c r="M1242" s="61">
        <v>5000</v>
      </c>
      <c r="N1242" s="61">
        <v>1000000</v>
      </c>
    </row>
    <row r="1243" spans="1:14" ht="15" customHeight="1" x14ac:dyDescent="0.25">
      <c r="A1243" s="64" t="str">
        <f t="shared" si="19"/>
        <v>0.3-19-0-TOU-3 year APR - Reward</v>
      </c>
      <c r="B1243" s="62" t="s">
        <v>13</v>
      </c>
      <c r="C1243" s="54">
        <v>19</v>
      </c>
      <c r="D1243" s="59" t="s">
        <v>28</v>
      </c>
      <c r="E1243" s="59" t="s">
        <v>87</v>
      </c>
      <c r="F1243" s="38" t="s">
        <v>88</v>
      </c>
      <c r="G1243" s="51">
        <v>0.3</v>
      </c>
      <c r="H1243" s="60" t="s">
        <v>70</v>
      </c>
      <c r="I1243" s="39">
        <v>0.77400000000000002</v>
      </c>
      <c r="J1243" s="39">
        <v>0.1454</v>
      </c>
      <c r="K1243" s="39">
        <v>0.11710000000000001</v>
      </c>
      <c r="L1243" s="39">
        <v>9.2399999999999996E-2</v>
      </c>
      <c r="M1243" s="61">
        <v>5000</v>
      </c>
      <c r="N1243" s="61">
        <v>1000000</v>
      </c>
    </row>
    <row r="1244" spans="1:14" ht="15" customHeight="1" x14ac:dyDescent="0.25">
      <c r="A1244" s="64" t="str">
        <f t="shared" si="19"/>
        <v>0.3-20-0-TOU-3 year APR - Reward</v>
      </c>
      <c r="B1244" s="62" t="s">
        <v>13</v>
      </c>
      <c r="C1244" s="54">
        <v>20</v>
      </c>
      <c r="D1244" s="59" t="s">
        <v>29</v>
      </c>
      <c r="E1244" s="59" t="s">
        <v>87</v>
      </c>
      <c r="F1244" s="38" t="s">
        <v>88</v>
      </c>
      <c r="G1244" s="51">
        <v>0.3</v>
      </c>
      <c r="H1244" s="60" t="s">
        <v>70</v>
      </c>
      <c r="I1244" s="39">
        <v>0.82299999999999995</v>
      </c>
      <c r="J1244" s="39">
        <v>0.14509999999999998</v>
      </c>
      <c r="K1244" s="39">
        <v>0.1168</v>
      </c>
      <c r="L1244" s="39">
        <v>9.2200000000000004E-2</v>
      </c>
      <c r="M1244" s="61">
        <v>5000</v>
      </c>
      <c r="N1244" s="61">
        <v>1000000</v>
      </c>
    </row>
    <row r="1245" spans="1:14" ht="15" customHeight="1" x14ac:dyDescent="0.25">
      <c r="A1245" s="64" t="str">
        <f t="shared" si="19"/>
        <v>0.3-21-0-TOU-3 year APR - Reward</v>
      </c>
      <c r="B1245" s="62" t="s">
        <v>13</v>
      </c>
      <c r="C1245" s="54">
        <v>21</v>
      </c>
      <c r="D1245" s="59" t="s">
        <v>30</v>
      </c>
      <c r="E1245" s="59" t="s">
        <v>87</v>
      </c>
      <c r="F1245" s="38" t="s">
        <v>88</v>
      </c>
      <c r="G1245" s="51">
        <v>0.3</v>
      </c>
      <c r="H1245" s="60" t="s">
        <v>70</v>
      </c>
      <c r="I1245" s="39">
        <v>0.91900000000000004</v>
      </c>
      <c r="J1245" s="39">
        <v>0.155</v>
      </c>
      <c r="K1245" s="39">
        <v>0.12480000000000001</v>
      </c>
      <c r="L1245" s="39">
        <v>9.8500000000000004E-2</v>
      </c>
      <c r="M1245" s="61">
        <v>5000</v>
      </c>
      <c r="N1245" s="61">
        <v>1000000</v>
      </c>
    </row>
    <row r="1246" spans="1:14" ht="15" customHeight="1" x14ac:dyDescent="0.25">
      <c r="A1246" s="64" t="str">
        <f t="shared" si="19"/>
        <v>0.3-22-0-TOU-3 year APR - Reward</v>
      </c>
      <c r="B1246" s="62" t="s">
        <v>13</v>
      </c>
      <c r="C1246" s="54">
        <v>22</v>
      </c>
      <c r="D1246" s="59" t="s">
        <v>31</v>
      </c>
      <c r="E1246" s="59" t="s">
        <v>87</v>
      </c>
      <c r="F1246" s="38" t="s">
        <v>88</v>
      </c>
      <c r="G1246" s="51">
        <v>0.3</v>
      </c>
      <c r="H1246" s="60" t="s">
        <v>70</v>
      </c>
      <c r="I1246" s="39">
        <v>0.9</v>
      </c>
      <c r="J1246" s="39">
        <v>0.15559999999999999</v>
      </c>
      <c r="K1246" s="39">
        <v>0.12529999999999999</v>
      </c>
      <c r="L1246" s="39">
        <v>9.8900000000000002E-2</v>
      </c>
      <c r="M1246" s="61">
        <v>5000</v>
      </c>
      <c r="N1246" s="61">
        <v>1000000</v>
      </c>
    </row>
    <row r="1247" spans="1:14" ht="15" customHeight="1" x14ac:dyDescent="0.25">
      <c r="A1247" s="64" t="str">
        <f t="shared" si="19"/>
        <v>0.3-23-0-TOU-3 year APR - Reward</v>
      </c>
      <c r="B1247" s="62" t="s">
        <v>13</v>
      </c>
      <c r="C1247" s="54">
        <v>23</v>
      </c>
      <c r="D1247" s="59" t="s">
        <v>32</v>
      </c>
      <c r="E1247" s="59" t="s">
        <v>87</v>
      </c>
      <c r="F1247" s="38" t="s">
        <v>88</v>
      </c>
      <c r="G1247" s="51">
        <v>0.3</v>
      </c>
      <c r="H1247" s="60" t="s">
        <v>70</v>
      </c>
      <c r="I1247" s="39">
        <v>0.90200000000000002</v>
      </c>
      <c r="J1247" s="39">
        <v>0.14809999999999998</v>
      </c>
      <c r="K1247" s="39">
        <v>0.1193</v>
      </c>
      <c r="L1247" s="39">
        <v>9.4200000000000006E-2</v>
      </c>
      <c r="M1247" s="61">
        <v>5000</v>
      </c>
      <c r="N1247" s="61">
        <v>1000000</v>
      </c>
    </row>
    <row r="1248" spans="1:14" ht="15" customHeight="1" x14ac:dyDescent="0.25">
      <c r="A1248" s="64" t="str">
        <f t="shared" si="19"/>
        <v>0.4-10-0-TOU-3 year APR - Reward</v>
      </c>
      <c r="B1248" s="62" t="s">
        <v>13</v>
      </c>
      <c r="C1248" s="54">
        <v>10</v>
      </c>
      <c r="D1248" s="59" t="s">
        <v>14</v>
      </c>
      <c r="E1248" s="59" t="s">
        <v>87</v>
      </c>
      <c r="F1248" s="38" t="s">
        <v>88</v>
      </c>
      <c r="G1248" s="51">
        <v>0.4</v>
      </c>
      <c r="H1248" s="60" t="s">
        <v>70</v>
      </c>
      <c r="I1248" s="39">
        <v>0.877</v>
      </c>
      <c r="J1248" s="39">
        <v>0.1454</v>
      </c>
      <c r="K1248" s="39">
        <v>0.11710000000000001</v>
      </c>
      <c r="L1248" s="39">
        <v>9.2399999999999996E-2</v>
      </c>
      <c r="M1248" s="61">
        <v>5000</v>
      </c>
      <c r="N1248" s="61">
        <v>1000000</v>
      </c>
    </row>
    <row r="1249" spans="1:14" ht="15" customHeight="1" x14ac:dyDescent="0.25">
      <c r="A1249" s="64" t="str">
        <f t="shared" si="19"/>
        <v>0.4-11-0-TOU-3 year APR - Reward</v>
      </c>
      <c r="B1249" s="62" t="s">
        <v>13</v>
      </c>
      <c r="C1249" s="54">
        <v>11</v>
      </c>
      <c r="D1249" s="59" t="s">
        <v>20</v>
      </c>
      <c r="E1249" s="59" t="s">
        <v>87</v>
      </c>
      <c r="F1249" s="38" t="s">
        <v>88</v>
      </c>
      <c r="G1249" s="51">
        <v>0.4</v>
      </c>
      <c r="H1249" s="60" t="s">
        <v>70</v>
      </c>
      <c r="I1249" s="39">
        <v>0.85699999999999998</v>
      </c>
      <c r="J1249" s="39">
        <v>0.1477</v>
      </c>
      <c r="K1249" s="39">
        <v>0.11890000000000001</v>
      </c>
      <c r="L1249" s="39">
        <v>9.3899999999999997E-2</v>
      </c>
      <c r="M1249" s="61">
        <v>5000</v>
      </c>
      <c r="N1249" s="61">
        <v>1000000</v>
      </c>
    </row>
    <row r="1250" spans="1:14" ht="15" customHeight="1" x14ac:dyDescent="0.25">
      <c r="A1250" s="64" t="str">
        <f t="shared" si="19"/>
        <v>0.4-12-0-TOU-3 year APR - Reward</v>
      </c>
      <c r="B1250" s="62" t="s">
        <v>13</v>
      </c>
      <c r="C1250" s="54">
        <v>12</v>
      </c>
      <c r="D1250" s="59" t="s">
        <v>21</v>
      </c>
      <c r="E1250" s="59" t="s">
        <v>87</v>
      </c>
      <c r="F1250" s="38" t="s">
        <v>88</v>
      </c>
      <c r="G1250" s="51">
        <v>0.4</v>
      </c>
      <c r="H1250" s="60" t="s">
        <v>70</v>
      </c>
      <c r="I1250" s="39">
        <v>0.89900000000000002</v>
      </c>
      <c r="J1250" s="39">
        <v>0.14499999999999999</v>
      </c>
      <c r="K1250" s="39">
        <v>0.1167</v>
      </c>
      <c r="L1250" s="39">
        <v>9.2100000000000001E-2</v>
      </c>
      <c r="M1250" s="61">
        <v>5000</v>
      </c>
      <c r="N1250" s="61">
        <v>1000000</v>
      </c>
    </row>
    <row r="1251" spans="1:14" ht="15" customHeight="1" x14ac:dyDescent="0.25">
      <c r="A1251" s="64" t="str">
        <f t="shared" si="19"/>
        <v>0.4-13-0-TOU-3 year APR - Reward</v>
      </c>
      <c r="B1251" s="62" t="s">
        <v>13</v>
      </c>
      <c r="C1251" s="54">
        <v>13</v>
      </c>
      <c r="D1251" s="59" t="s">
        <v>22</v>
      </c>
      <c r="E1251" s="59" t="s">
        <v>87</v>
      </c>
      <c r="F1251" s="38" t="s">
        <v>88</v>
      </c>
      <c r="G1251" s="51">
        <v>0.4</v>
      </c>
      <c r="H1251" s="60" t="s">
        <v>70</v>
      </c>
      <c r="I1251" s="39">
        <v>0.877</v>
      </c>
      <c r="J1251" s="39">
        <v>0.15709999999999999</v>
      </c>
      <c r="K1251" s="39">
        <v>0.1265</v>
      </c>
      <c r="L1251" s="39">
        <v>9.9900000000000003E-2</v>
      </c>
      <c r="M1251" s="61">
        <v>5000</v>
      </c>
      <c r="N1251" s="61">
        <v>1000000</v>
      </c>
    </row>
    <row r="1252" spans="1:14" ht="15" customHeight="1" x14ac:dyDescent="0.25">
      <c r="A1252" s="64" t="str">
        <f t="shared" si="19"/>
        <v>0.4-14-0-TOU-3 year APR - Reward</v>
      </c>
      <c r="B1252" s="62" t="s">
        <v>13</v>
      </c>
      <c r="C1252" s="54">
        <v>14</v>
      </c>
      <c r="D1252" s="59" t="s">
        <v>23</v>
      </c>
      <c r="E1252" s="59" t="s">
        <v>87</v>
      </c>
      <c r="F1252" s="38" t="s">
        <v>88</v>
      </c>
      <c r="G1252" s="51">
        <v>0.4</v>
      </c>
      <c r="H1252" s="60" t="s">
        <v>70</v>
      </c>
      <c r="I1252" s="39">
        <v>0.88600000000000001</v>
      </c>
      <c r="J1252" s="39">
        <v>0.14859999999999998</v>
      </c>
      <c r="K1252" s="39">
        <v>0.1197</v>
      </c>
      <c r="L1252" s="39">
        <v>9.4500000000000001E-2</v>
      </c>
      <c r="M1252" s="61">
        <v>5000</v>
      </c>
      <c r="N1252" s="61">
        <v>1000000</v>
      </c>
    </row>
    <row r="1253" spans="1:14" ht="15" customHeight="1" x14ac:dyDescent="0.25">
      <c r="A1253" s="64" t="str">
        <f t="shared" si="19"/>
        <v>0.4-15-0-TOU-3 year APR - Reward</v>
      </c>
      <c r="B1253" s="62" t="s">
        <v>13</v>
      </c>
      <c r="C1253" s="54">
        <v>15</v>
      </c>
      <c r="D1253" s="59" t="s">
        <v>24</v>
      </c>
      <c r="E1253" s="59" t="s">
        <v>87</v>
      </c>
      <c r="F1253" s="38" t="s">
        <v>88</v>
      </c>
      <c r="G1253" s="51">
        <v>0.4</v>
      </c>
      <c r="H1253" s="60" t="s">
        <v>70</v>
      </c>
      <c r="I1253" s="39">
        <v>0.95599999999999996</v>
      </c>
      <c r="J1253" s="39">
        <v>0.14939999999999998</v>
      </c>
      <c r="K1253" s="39">
        <v>0.1203</v>
      </c>
      <c r="L1253" s="39">
        <v>9.5000000000000001E-2</v>
      </c>
      <c r="M1253" s="61">
        <v>5000</v>
      </c>
      <c r="N1253" s="61">
        <v>1000000</v>
      </c>
    </row>
    <row r="1254" spans="1:14" ht="15" customHeight="1" x14ac:dyDescent="0.25">
      <c r="A1254" s="64" t="str">
        <f t="shared" si="19"/>
        <v>0.4-16-0-TOU-3 year APR - Reward</v>
      </c>
      <c r="B1254" s="62" t="s">
        <v>13</v>
      </c>
      <c r="C1254" s="54">
        <v>16</v>
      </c>
      <c r="D1254" s="59" t="s">
        <v>25</v>
      </c>
      <c r="E1254" s="59" t="s">
        <v>87</v>
      </c>
      <c r="F1254" s="38" t="s">
        <v>88</v>
      </c>
      <c r="G1254" s="51">
        <v>0.4</v>
      </c>
      <c r="H1254" s="60" t="s">
        <v>70</v>
      </c>
      <c r="I1254" s="39">
        <v>0.72399999999999998</v>
      </c>
      <c r="J1254" s="39">
        <v>0.14829999999999999</v>
      </c>
      <c r="K1254" s="39">
        <v>0.11940000000000001</v>
      </c>
      <c r="L1254" s="39">
        <v>9.4200000000000006E-2</v>
      </c>
      <c r="M1254" s="61">
        <v>5000</v>
      </c>
      <c r="N1254" s="61">
        <v>1000000</v>
      </c>
    </row>
    <row r="1255" spans="1:14" ht="15" customHeight="1" x14ac:dyDescent="0.25">
      <c r="A1255" s="64" t="str">
        <f t="shared" si="19"/>
        <v>0.4-17-0-TOU-3 year APR - Reward</v>
      </c>
      <c r="B1255" s="62" t="s">
        <v>13</v>
      </c>
      <c r="C1255" s="54">
        <v>17</v>
      </c>
      <c r="D1255" s="59" t="s">
        <v>26</v>
      </c>
      <c r="E1255" s="59" t="s">
        <v>87</v>
      </c>
      <c r="F1255" s="38" t="s">
        <v>88</v>
      </c>
      <c r="G1255" s="51">
        <v>0.4</v>
      </c>
      <c r="H1255" s="60" t="s">
        <v>70</v>
      </c>
      <c r="I1255" s="39">
        <v>1.4770000000000001</v>
      </c>
      <c r="J1255" s="39">
        <v>0.16669999999999999</v>
      </c>
      <c r="K1255" s="39">
        <v>0.13419999999999999</v>
      </c>
      <c r="L1255" s="39">
        <v>0.10589999999999999</v>
      </c>
      <c r="M1255" s="61">
        <v>5000</v>
      </c>
      <c r="N1255" s="61">
        <v>1000000</v>
      </c>
    </row>
    <row r="1256" spans="1:14" ht="15" customHeight="1" x14ac:dyDescent="0.25">
      <c r="A1256" s="64" t="str">
        <f t="shared" si="19"/>
        <v>0.4-18-0-TOU-3 year APR - Reward</v>
      </c>
      <c r="B1256" s="62" t="s">
        <v>13</v>
      </c>
      <c r="C1256" s="54">
        <v>18</v>
      </c>
      <c r="D1256" s="59" t="s">
        <v>27</v>
      </c>
      <c r="E1256" s="59" t="s">
        <v>87</v>
      </c>
      <c r="F1256" s="38" t="s">
        <v>88</v>
      </c>
      <c r="G1256" s="51">
        <v>0.4</v>
      </c>
      <c r="H1256" s="60" t="s">
        <v>70</v>
      </c>
      <c r="I1256" s="39">
        <v>0.89500000000000002</v>
      </c>
      <c r="J1256" s="39">
        <v>0.14739999999999998</v>
      </c>
      <c r="K1256" s="39">
        <v>0.1187</v>
      </c>
      <c r="L1256" s="39">
        <v>9.3700000000000006E-2</v>
      </c>
      <c r="M1256" s="61">
        <v>5000</v>
      </c>
      <c r="N1256" s="61">
        <v>1000000</v>
      </c>
    </row>
    <row r="1257" spans="1:14" ht="15" customHeight="1" x14ac:dyDescent="0.25">
      <c r="A1257" s="64" t="str">
        <f t="shared" si="19"/>
        <v>0.4-19-0-TOU-3 year APR - Reward</v>
      </c>
      <c r="B1257" s="62" t="s">
        <v>13</v>
      </c>
      <c r="C1257" s="54">
        <v>19</v>
      </c>
      <c r="D1257" s="59" t="s">
        <v>28</v>
      </c>
      <c r="E1257" s="59" t="s">
        <v>87</v>
      </c>
      <c r="F1257" s="38" t="s">
        <v>88</v>
      </c>
      <c r="G1257" s="51">
        <v>0.4</v>
      </c>
      <c r="H1257" s="60" t="s">
        <v>70</v>
      </c>
      <c r="I1257" s="39">
        <v>0.77400000000000002</v>
      </c>
      <c r="J1257" s="39">
        <v>0.14659999999999998</v>
      </c>
      <c r="K1257" s="39">
        <v>0.11800000000000001</v>
      </c>
      <c r="L1257" s="39">
        <v>9.3200000000000005E-2</v>
      </c>
      <c r="M1257" s="61">
        <v>5000</v>
      </c>
      <c r="N1257" s="61">
        <v>1000000</v>
      </c>
    </row>
    <row r="1258" spans="1:14" ht="15" customHeight="1" x14ac:dyDescent="0.25">
      <c r="A1258" s="64" t="str">
        <f t="shared" si="19"/>
        <v>0.4-20-0-TOU-3 year APR - Reward</v>
      </c>
      <c r="B1258" s="62" t="s">
        <v>13</v>
      </c>
      <c r="C1258" s="54">
        <v>20</v>
      </c>
      <c r="D1258" s="59" t="s">
        <v>29</v>
      </c>
      <c r="E1258" s="59" t="s">
        <v>87</v>
      </c>
      <c r="F1258" s="38" t="s">
        <v>88</v>
      </c>
      <c r="G1258" s="51">
        <v>0.4</v>
      </c>
      <c r="H1258" s="60" t="s">
        <v>70</v>
      </c>
      <c r="I1258" s="39">
        <v>0.82299999999999995</v>
      </c>
      <c r="J1258" s="39">
        <v>0.14629999999999999</v>
      </c>
      <c r="K1258" s="39">
        <v>0.1178</v>
      </c>
      <c r="L1258" s="39">
        <v>9.2999999999999999E-2</v>
      </c>
      <c r="M1258" s="61">
        <v>5000</v>
      </c>
      <c r="N1258" s="61">
        <v>1000000</v>
      </c>
    </row>
    <row r="1259" spans="1:14" ht="15" customHeight="1" x14ac:dyDescent="0.25">
      <c r="A1259" s="64" t="str">
        <f t="shared" si="19"/>
        <v>0.4-21-0-TOU-3 year APR - Reward</v>
      </c>
      <c r="B1259" s="62" t="s">
        <v>13</v>
      </c>
      <c r="C1259" s="54">
        <v>21</v>
      </c>
      <c r="D1259" s="59" t="s">
        <v>30</v>
      </c>
      <c r="E1259" s="59" t="s">
        <v>87</v>
      </c>
      <c r="F1259" s="38" t="s">
        <v>88</v>
      </c>
      <c r="G1259" s="51">
        <v>0.4</v>
      </c>
      <c r="H1259" s="60" t="s">
        <v>70</v>
      </c>
      <c r="I1259" s="39">
        <v>0.91900000000000004</v>
      </c>
      <c r="J1259" s="39">
        <v>0.15619999999999998</v>
      </c>
      <c r="K1259" s="39">
        <v>0.12569999999999998</v>
      </c>
      <c r="L1259" s="39">
        <v>9.9299999999999999E-2</v>
      </c>
      <c r="M1259" s="61">
        <v>5000</v>
      </c>
      <c r="N1259" s="61">
        <v>1000000</v>
      </c>
    </row>
    <row r="1260" spans="1:14" ht="15" customHeight="1" x14ac:dyDescent="0.25">
      <c r="A1260" s="64" t="str">
        <f t="shared" si="19"/>
        <v>0.4-22-0-TOU-3 year APR - Reward</v>
      </c>
      <c r="B1260" s="62" t="s">
        <v>13</v>
      </c>
      <c r="C1260" s="54">
        <v>22</v>
      </c>
      <c r="D1260" s="59" t="s">
        <v>31</v>
      </c>
      <c r="E1260" s="59" t="s">
        <v>87</v>
      </c>
      <c r="F1260" s="38" t="s">
        <v>88</v>
      </c>
      <c r="G1260" s="51">
        <v>0.4</v>
      </c>
      <c r="H1260" s="60" t="s">
        <v>70</v>
      </c>
      <c r="I1260" s="39">
        <v>0.9</v>
      </c>
      <c r="J1260" s="39">
        <v>0.15679999999999999</v>
      </c>
      <c r="K1260" s="39">
        <v>0.12619999999999998</v>
      </c>
      <c r="L1260" s="39">
        <v>9.9599999999999994E-2</v>
      </c>
      <c r="M1260" s="61">
        <v>5000</v>
      </c>
      <c r="N1260" s="61">
        <v>1000000</v>
      </c>
    </row>
    <row r="1261" spans="1:14" ht="15" customHeight="1" x14ac:dyDescent="0.25">
      <c r="A1261" s="64" t="str">
        <f t="shared" si="19"/>
        <v>0.4-23-0-TOU-3 year APR - Reward</v>
      </c>
      <c r="B1261" s="62" t="s">
        <v>13</v>
      </c>
      <c r="C1261" s="54">
        <v>23</v>
      </c>
      <c r="D1261" s="59" t="s">
        <v>32</v>
      </c>
      <c r="E1261" s="59" t="s">
        <v>87</v>
      </c>
      <c r="F1261" s="38" t="s">
        <v>88</v>
      </c>
      <c r="G1261" s="51">
        <v>0.4</v>
      </c>
      <c r="H1261" s="60" t="s">
        <v>70</v>
      </c>
      <c r="I1261" s="39">
        <v>0.90200000000000002</v>
      </c>
      <c r="J1261" s="39">
        <v>0.14929999999999999</v>
      </c>
      <c r="K1261" s="39">
        <v>0.1202</v>
      </c>
      <c r="L1261" s="39">
        <v>9.4899999999999998E-2</v>
      </c>
      <c r="M1261" s="61">
        <v>5000</v>
      </c>
      <c r="N1261" s="61">
        <v>1000000</v>
      </c>
    </row>
    <row r="1262" spans="1:14" ht="15" customHeight="1" x14ac:dyDescent="0.25">
      <c r="A1262" s="64" t="str">
        <f t="shared" si="19"/>
        <v>0.5-10-0-TOU-3 year APR - Reward</v>
      </c>
      <c r="B1262" s="62" t="s">
        <v>13</v>
      </c>
      <c r="C1262" s="54">
        <v>10</v>
      </c>
      <c r="D1262" s="59" t="s">
        <v>14</v>
      </c>
      <c r="E1262" s="59" t="s">
        <v>87</v>
      </c>
      <c r="F1262" s="38" t="s">
        <v>88</v>
      </c>
      <c r="G1262" s="51">
        <v>0.5</v>
      </c>
      <c r="H1262" s="60" t="s">
        <v>70</v>
      </c>
      <c r="I1262" s="39">
        <v>0.877</v>
      </c>
      <c r="J1262" s="39">
        <v>0.14659999999999998</v>
      </c>
      <c r="K1262" s="39">
        <v>0.11800000000000001</v>
      </c>
      <c r="L1262" s="39">
        <v>9.3200000000000005E-2</v>
      </c>
      <c r="M1262" s="61">
        <v>5000</v>
      </c>
      <c r="N1262" s="61">
        <v>1000000</v>
      </c>
    </row>
    <row r="1263" spans="1:14" ht="15" customHeight="1" x14ac:dyDescent="0.25">
      <c r="A1263" s="64" t="str">
        <f t="shared" si="19"/>
        <v>0.5-11-0-TOU-3 year APR - Reward</v>
      </c>
      <c r="B1263" s="62" t="s">
        <v>13</v>
      </c>
      <c r="C1263" s="54">
        <v>11</v>
      </c>
      <c r="D1263" s="59" t="s">
        <v>20</v>
      </c>
      <c r="E1263" s="59" t="s">
        <v>87</v>
      </c>
      <c r="F1263" s="38" t="s">
        <v>88</v>
      </c>
      <c r="G1263" s="51">
        <v>0.5</v>
      </c>
      <c r="H1263" s="60" t="s">
        <v>70</v>
      </c>
      <c r="I1263" s="39">
        <v>0.85699999999999998</v>
      </c>
      <c r="J1263" s="39">
        <v>0.14879999999999999</v>
      </c>
      <c r="K1263" s="39">
        <v>0.1198</v>
      </c>
      <c r="L1263" s="39">
        <v>9.4600000000000004E-2</v>
      </c>
      <c r="M1263" s="61">
        <v>5000</v>
      </c>
      <c r="N1263" s="61">
        <v>1000000</v>
      </c>
    </row>
    <row r="1264" spans="1:14" ht="15" customHeight="1" x14ac:dyDescent="0.25">
      <c r="A1264" s="64" t="str">
        <f t="shared" si="19"/>
        <v>0.5-12-0-TOU-3 year APR - Reward</v>
      </c>
      <c r="B1264" s="62" t="s">
        <v>13</v>
      </c>
      <c r="C1264" s="54">
        <v>12</v>
      </c>
      <c r="D1264" s="59" t="s">
        <v>21</v>
      </c>
      <c r="E1264" s="59" t="s">
        <v>87</v>
      </c>
      <c r="F1264" s="38" t="s">
        <v>88</v>
      </c>
      <c r="G1264" s="51">
        <v>0.5</v>
      </c>
      <c r="H1264" s="60" t="s">
        <v>70</v>
      </c>
      <c r="I1264" s="39">
        <v>0.89900000000000002</v>
      </c>
      <c r="J1264" s="39">
        <v>0.14609999999999998</v>
      </c>
      <c r="K1264" s="39">
        <v>0.1177</v>
      </c>
      <c r="L1264" s="39">
        <v>9.2899999999999996E-2</v>
      </c>
      <c r="M1264" s="61">
        <v>5000</v>
      </c>
      <c r="N1264" s="61">
        <v>1000000</v>
      </c>
    </row>
    <row r="1265" spans="1:14" ht="15" customHeight="1" x14ac:dyDescent="0.25">
      <c r="A1265" s="64" t="str">
        <f t="shared" si="19"/>
        <v>0.5-13-0-TOU-3 year APR - Reward</v>
      </c>
      <c r="B1265" s="62" t="s">
        <v>13</v>
      </c>
      <c r="C1265" s="54">
        <v>13</v>
      </c>
      <c r="D1265" s="59" t="s">
        <v>22</v>
      </c>
      <c r="E1265" s="59" t="s">
        <v>87</v>
      </c>
      <c r="F1265" s="38" t="s">
        <v>88</v>
      </c>
      <c r="G1265" s="51">
        <v>0.5</v>
      </c>
      <c r="H1265" s="60" t="s">
        <v>70</v>
      </c>
      <c r="I1265" s="39">
        <v>0.877</v>
      </c>
      <c r="J1265" s="39">
        <v>0.1583</v>
      </c>
      <c r="K1265" s="39">
        <v>0.12739999999999999</v>
      </c>
      <c r="L1265" s="39">
        <v>0.10060000000000001</v>
      </c>
      <c r="M1265" s="61">
        <v>5000</v>
      </c>
      <c r="N1265" s="61">
        <v>1000000</v>
      </c>
    </row>
    <row r="1266" spans="1:14" ht="15" customHeight="1" x14ac:dyDescent="0.25">
      <c r="A1266" s="64" t="str">
        <f t="shared" si="19"/>
        <v>0.5-14-0-TOU-3 year APR - Reward</v>
      </c>
      <c r="B1266" s="62" t="s">
        <v>13</v>
      </c>
      <c r="C1266" s="54">
        <v>14</v>
      </c>
      <c r="D1266" s="59" t="s">
        <v>23</v>
      </c>
      <c r="E1266" s="59" t="s">
        <v>87</v>
      </c>
      <c r="F1266" s="38" t="s">
        <v>88</v>
      </c>
      <c r="G1266" s="51">
        <v>0.5</v>
      </c>
      <c r="H1266" s="60" t="s">
        <v>70</v>
      </c>
      <c r="I1266" s="39">
        <v>0.88600000000000001</v>
      </c>
      <c r="J1266" s="39">
        <v>0.14979999999999999</v>
      </c>
      <c r="K1266" s="39">
        <v>0.1206</v>
      </c>
      <c r="L1266" s="39">
        <v>9.5200000000000007E-2</v>
      </c>
      <c r="M1266" s="61">
        <v>5000</v>
      </c>
      <c r="N1266" s="61">
        <v>1000000</v>
      </c>
    </row>
    <row r="1267" spans="1:14" ht="15" customHeight="1" x14ac:dyDescent="0.25">
      <c r="A1267" s="64" t="str">
        <f t="shared" si="19"/>
        <v>0.5-15-0-TOU-3 year APR - Reward</v>
      </c>
      <c r="B1267" s="62" t="s">
        <v>13</v>
      </c>
      <c r="C1267" s="54">
        <v>15</v>
      </c>
      <c r="D1267" s="59" t="s">
        <v>24</v>
      </c>
      <c r="E1267" s="59" t="s">
        <v>87</v>
      </c>
      <c r="F1267" s="38" t="s">
        <v>88</v>
      </c>
      <c r="G1267" s="51">
        <v>0.5</v>
      </c>
      <c r="H1267" s="60" t="s">
        <v>70</v>
      </c>
      <c r="I1267" s="39">
        <v>0.95599999999999996</v>
      </c>
      <c r="J1267" s="39">
        <v>0.15059999999999998</v>
      </c>
      <c r="K1267" s="39">
        <v>0.12130000000000001</v>
      </c>
      <c r="L1267" s="39">
        <v>9.5699999999999993E-2</v>
      </c>
      <c r="M1267" s="61">
        <v>5000</v>
      </c>
      <c r="N1267" s="61">
        <v>1000000</v>
      </c>
    </row>
    <row r="1268" spans="1:14" ht="15" customHeight="1" x14ac:dyDescent="0.25">
      <c r="A1268" s="64" t="str">
        <f t="shared" si="19"/>
        <v>0.5-16-0-TOU-3 year APR - Reward</v>
      </c>
      <c r="B1268" s="62" t="s">
        <v>13</v>
      </c>
      <c r="C1268" s="54">
        <v>16</v>
      </c>
      <c r="D1268" s="59" t="s">
        <v>25</v>
      </c>
      <c r="E1268" s="59" t="s">
        <v>87</v>
      </c>
      <c r="F1268" s="38" t="s">
        <v>88</v>
      </c>
      <c r="G1268" s="51">
        <v>0.5</v>
      </c>
      <c r="H1268" s="60" t="s">
        <v>70</v>
      </c>
      <c r="I1268" s="39">
        <v>0.72399999999999998</v>
      </c>
      <c r="J1268" s="39">
        <v>0.14939999999999998</v>
      </c>
      <c r="K1268" s="39">
        <v>0.1203</v>
      </c>
      <c r="L1268" s="39">
        <v>9.5000000000000001E-2</v>
      </c>
      <c r="M1268" s="61">
        <v>5000</v>
      </c>
      <c r="N1268" s="61">
        <v>1000000</v>
      </c>
    </row>
    <row r="1269" spans="1:14" ht="15" customHeight="1" x14ac:dyDescent="0.25">
      <c r="A1269" s="64" t="str">
        <f t="shared" si="19"/>
        <v>0.5-17-0-TOU-3 year APR - Reward</v>
      </c>
      <c r="B1269" s="62" t="s">
        <v>13</v>
      </c>
      <c r="C1269" s="54">
        <v>17</v>
      </c>
      <c r="D1269" s="59" t="s">
        <v>26</v>
      </c>
      <c r="E1269" s="59" t="s">
        <v>87</v>
      </c>
      <c r="F1269" s="38" t="s">
        <v>88</v>
      </c>
      <c r="G1269" s="51">
        <v>0.5</v>
      </c>
      <c r="H1269" s="60" t="s">
        <v>70</v>
      </c>
      <c r="I1269" s="39">
        <v>1.4770000000000001</v>
      </c>
      <c r="J1269" s="39">
        <v>0.16779999999999998</v>
      </c>
      <c r="K1269" s="39">
        <v>0.1351</v>
      </c>
      <c r="L1269" s="39">
        <v>0.1067</v>
      </c>
      <c r="M1269" s="61">
        <v>5000</v>
      </c>
      <c r="N1269" s="61">
        <v>1000000</v>
      </c>
    </row>
    <row r="1270" spans="1:14" ht="15" customHeight="1" x14ac:dyDescent="0.25">
      <c r="A1270" s="64" t="str">
        <f t="shared" si="19"/>
        <v>0.5-18-0-TOU-3 year APR - Reward</v>
      </c>
      <c r="B1270" s="62" t="s">
        <v>13</v>
      </c>
      <c r="C1270" s="54">
        <v>18</v>
      </c>
      <c r="D1270" s="59" t="s">
        <v>27</v>
      </c>
      <c r="E1270" s="59" t="s">
        <v>87</v>
      </c>
      <c r="F1270" s="38" t="s">
        <v>88</v>
      </c>
      <c r="G1270" s="51">
        <v>0.5</v>
      </c>
      <c r="H1270" s="60" t="s">
        <v>70</v>
      </c>
      <c r="I1270" s="39">
        <v>0.89500000000000002</v>
      </c>
      <c r="J1270" s="39">
        <v>0.14859999999999998</v>
      </c>
      <c r="K1270" s="39">
        <v>0.1197</v>
      </c>
      <c r="L1270" s="39">
        <v>9.4500000000000001E-2</v>
      </c>
      <c r="M1270" s="61">
        <v>5000</v>
      </c>
      <c r="N1270" s="61">
        <v>1000000</v>
      </c>
    </row>
    <row r="1271" spans="1:14" ht="15" customHeight="1" x14ac:dyDescent="0.25">
      <c r="A1271" s="64" t="str">
        <f t="shared" si="19"/>
        <v>0.5-19-0-TOU-3 year APR - Reward</v>
      </c>
      <c r="B1271" s="62" t="s">
        <v>13</v>
      </c>
      <c r="C1271" s="54">
        <v>19</v>
      </c>
      <c r="D1271" s="59" t="s">
        <v>28</v>
      </c>
      <c r="E1271" s="59" t="s">
        <v>87</v>
      </c>
      <c r="F1271" s="38" t="s">
        <v>88</v>
      </c>
      <c r="G1271" s="51">
        <v>0.5</v>
      </c>
      <c r="H1271" s="60" t="s">
        <v>70</v>
      </c>
      <c r="I1271" s="39">
        <v>0.77400000000000002</v>
      </c>
      <c r="J1271" s="39">
        <v>0.14779999999999999</v>
      </c>
      <c r="K1271" s="39">
        <v>0.11900000000000001</v>
      </c>
      <c r="L1271" s="39">
        <v>9.3899999999999997E-2</v>
      </c>
      <c r="M1271" s="61">
        <v>5000</v>
      </c>
      <c r="N1271" s="61">
        <v>1000000</v>
      </c>
    </row>
    <row r="1272" spans="1:14" ht="15" customHeight="1" x14ac:dyDescent="0.25">
      <c r="A1272" s="64" t="str">
        <f t="shared" si="19"/>
        <v>0.5-20-0-TOU-3 year APR - Reward</v>
      </c>
      <c r="B1272" s="62" t="s">
        <v>13</v>
      </c>
      <c r="C1272" s="54">
        <v>20</v>
      </c>
      <c r="D1272" s="59" t="s">
        <v>29</v>
      </c>
      <c r="E1272" s="59" t="s">
        <v>87</v>
      </c>
      <c r="F1272" s="38" t="s">
        <v>88</v>
      </c>
      <c r="G1272" s="51">
        <v>0.5</v>
      </c>
      <c r="H1272" s="60" t="s">
        <v>70</v>
      </c>
      <c r="I1272" s="39">
        <v>0.82299999999999995</v>
      </c>
      <c r="J1272" s="39">
        <v>0.14739999999999998</v>
      </c>
      <c r="K1272" s="39">
        <v>0.1187</v>
      </c>
      <c r="L1272" s="39">
        <v>9.3700000000000006E-2</v>
      </c>
      <c r="M1272" s="61">
        <v>5000</v>
      </c>
      <c r="N1272" s="61">
        <v>1000000</v>
      </c>
    </row>
    <row r="1273" spans="1:14" ht="15" customHeight="1" x14ac:dyDescent="0.25">
      <c r="A1273" s="64" t="str">
        <f t="shared" si="19"/>
        <v>0.5-21-0-TOU-3 year APR - Reward</v>
      </c>
      <c r="B1273" s="62" t="s">
        <v>13</v>
      </c>
      <c r="C1273" s="54">
        <v>21</v>
      </c>
      <c r="D1273" s="59" t="s">
        <v>30</v>
      </c>
      <c r="E1273" s="59" t="s">
        <v>87</v>
      </c>
      <c r="F1273" s="38" t="s">
        <v>88</v>
      </c>
      <c r="G1273" s="51">
        <v>0.5</v>
      </c>
      <c r="H1273" s="60" t="s">
        <v>70</v>
      </c>
      <c r="I1273" s="39">
        <v>0.91900000000000004</v>
      </c>
      <c r="J1273" s="39">
        <v>0.1573</v>
      </c>
      <c r="K1273" s="39">
        <v>0.12669999999999998</v>
      </c>
      <c r="L1273" s="39">
        <v>0.1</v>
      </c>
      <c r="M1273" s="61">
        <v>5000</v>
      </c>
      <c r="N1273" s="61">
        <v>1000000</v>
      </c>
    </row>
    <row r="1274" spans="1:14" ht="15" customHeight="1" x14ac:dyDescent="0.25">
      <c r="A1274" s="64" t="str">
        <f t="shared" si="19"/>
        <v>0.5-22-0-TOU-3 year APR - Reward</v>
      </c>
      <c r="B1274" s="62" t="s">
        <v>13</v>
      </c>
      <c r="C1274" s="54">
        <v>22</v>
      </c>
      <c r="D1274" s="59" t="s">
        <v>31</v>
      </c>
      <c r="E1274" s="59" t="s">
        <v>87</v>
      </c>
      <c r="F1274" s="38" t="s">
        <v>88</v>
      </c>
      <c r="G1274" s="51">
        <v>0.5</v>
      </c>
      <c r="H1274" s="60" t="s">
        <v>70</v>
      </c>
      <c r="I1274" s="39">
        <v>0.9</v>
      </c>
      <c r="J1274" s="39">
        <v>0.15789999999999998</v>
      </c>
      <c r="K1274" s="39">
        <v>0.12719999999999998</v>
      </c>
      <c r="L1274" s="39">
        <v>0.1004</v>
      </c>
      <c r="M1274" s="61">
        <v>5000</v>
      </c>
      <c r="N1274" s="61">
        <v>1000000</v>
      </c>
    </row>
    <row r="1275" spans="1:14" ht="15" customHeight="1" x14ac:dyDescent="0.25">
      <c r="A1275" s="64" t="str">
        <f t="shared" si="19"/>
        <v>0.5-23-0-TOU-3 year APR - Reward</v>
      </c>
      <c r="B1275" s="62" t="s">
        <v>13</v>
      </c>
      <c r="C1275" s="54">
        <v>23</v>
      </c>
      <c r="D1275" s="59" t="s">
        <v>32</v>
      </c>
      <c r="E1275" s="59" t="s">
        <v>87</v>
      </c>
      <c r="F1275" s="38" t="s">
        <v>88</v>
      </c>
      <c r="G1275" s="51">
        <v>0.5</v>
      </c>
      <c r="H1275" s="60" t="s">
        <v>70</v>
      </c>
      <c r="I1275" s="39">
        <v>0.90200000000000002</v>
      </c>
      <c r="J1275" s="39">
        <v>0.15049999999999999</v>
      </c>
      <c r="K1275" s="39">
        <v>0.1212</v>
      </c>
      <c r="L1275" s="39">
        <v>9.5700000000000007E-2</v>
      </c>
      <c r="M1275" s="61">
        <v>5000</v>
      </c>
      <c r="N1275" s="61">
        <v>1000000</v>
      </c>
    </row>
    <row r="1276" spans="1:14" ht="15" customHeight="1" x14ac:dyDescent="0.25">
      <c r="A1276" s="64" t="str">
        <f t="shared" si="19"/>
        <v>0.6-10-0-TOU-3 year APR - Reward</v>
      </c>
      <c r="B1276" s="62" t="s">
        <v>13</v>
      </c>
      <c r="C1276" s="54">
        <v>10</v>
      </c>
      <c r="D1276" s="59" t="s">
        <v>14</v>
      </c>
      <c r="E1276" s="59" t="s">
        <v>87</v>
      </c>
      <c r="F1276" s="38" t="s">
        <v>88</v>
      </c>
      <c r="G1276" s="51">
        <v>0.6</v>
      </c>
      <c r="H1276" s="60" t="s">
        <v>70</v>
      </c>
      <c r="I1276" s="39">
        <v>0.877</v>
      </c>
      <c r="J1276" s="39">
        <v>0.14779999999999999</v>
      </c>
      <c r="K1276" s="39">
        <v>0.11900000000000001</v>
      </c>
      <c r="L1276" s="39">
        <v>9.3899999999999997E-2</v>
      </c>
      <c r="M1276" s="61">
        <v>5000</v>
      </c>
      <c r="N1276" s="61">
        <v>1000000</v>
      </c>
    </row>
    <row r="1277" spans="1:14" ht="15" customHeight="1" x14ac:dyDescent="0.25">
      <c r="A1277" s="64" t="str">
        <f t="shared" si="19"/>
        <v>0.6-11-0-TOU-3 year APR - Reward</v>
      </c>
      <c r="B1277" s="62" t="s">
        <v>13</v>
      </c>
      <c r="C1277" s="54">
        <v>11</v>
      </c>
      <c r="D1277" s="59" t="s">
        <v>20</v>
      </c>
      <c r="E1277" s="59" t="s">
        <v>87</v>
      </c>
      <c r="F1277" s="38" t="s">
        <v>88</v>
      </c>
      <c r="G1277" s="51">
        <v>0.6</v>
      </c>
      <c r="H1277" s="60" t="s">
        <v>70</v>
      </c>
      <c r="I1277" s="39">
        <v>0.85699999999999998</v>
      </c>
      <c r="J1277" s="39">
        <v>0.15</v>
      </c>
      <c r="K1277" s="39">
        <v>0.1208</v>
      </c>
      <c r="L1277" s="39">
        <v>9.5399999999999999E-2</v>
      </c>
      <c r="M1277" s="61">
        <v>5000</v>
      </c>
      <c r="N1277" s="61">
        <v>1000000</v>
      </c>
    </row>
    <row r="1278" spans="1:14" ht="15" customHeight="1" x14ac:dyDescent="0.25">
      <c r="A1278" s="64" t="str">
        <f t="shared" si="19"/>
        <v>0.6-12-0-TOU-3 year APR - Reward</v>
      </c>
      <c r="B1278" s="62" t="s">
        <v>13</v>
      </c>
      <c r="C1278" s="54">
        <v>12</v>
      </c>
      <c r="D1278" s="59" t="s">
        <v>21</v>
      </c>
      <c r="E1278" s="59" t="s">
        <v>87</v>
      </c>
      <c r="F1278" s="38" t="s">
        <v>88</v>
      </c>
      <c r="G1278" s="51">
        <v>0.6</v>
      </c>
      <c r="H1278" s="60" t="s">
        <v>70</v>
      </c>
      <c r="I1278" s="39">
        <v>0.89900000000000002</v>
      </c>
      <c r="J1278" s="39">
        <v>0.14729999999999999</v>
      </c>
      <c r="K1278" s="39">
        <v>0.1186</v>
      </c>
      <c r="L1278" s="39">
        <v>9.3600000000000003E-2</v>
      </c>
      <c r="M1278" s="61">
        <v>5000</v>
      </c>
      <c r="N1278" s="61">
        <v>1000000</v>
      </c>
    </row>
    <row r="1279" spans="1:14" ht="15" customHeight="1" x14ac:dyDescent="0.25">
      <c r="A1279" s="64" t="str">
        <f t="shared" si="19"/>
        <v>0.6-13-0-TOU-3 year APR - Reward</v>
      </c>
      <c r="B1279" s="62" t="s">
        <v>13</v>
      </c>
      <c r="C1279" s="54">
        <v>13</v>
      </c>
      <c r="D1279" s="59" t="s">
        <v>22</v>
      </c>
      <c r="E1279" s="59" t="s">
        <v>87</v>
      </c>
      <c r="F1279" s="38" t="s">
        <v>88</v>
      </c>
      <c r="G1279" s="51">
        <v>0.6</v>
      </c>
      <c r="H1279" s="60" t="s">
        <v>70</v>
      </c>
      <c r="I1279" s="39">
        <v>0.877</v>
      </c>
      <c r="J1279" s="39">
        <v>0.15949999999999998</v>
      </c>
      <c r="K1279" s="39">
        <v>0.12839999999999999</v>
      </c>
      <c r="L1279" s="39">
        <v>0.1014</v>
      </c>
      <c r="M1279" s="61">
        <v>5000</v>
      </c>
      <c r="N1279" s="61">
        <v>1000000</v>
      </c>
    </row>
    <row r="1280" spans="1:14" ht="15" customHeight="1" x14ac:dyDescent="0.25">
      <c r="A1280" s="64" t="str">
        <f t="shared" si="19"/>
        <v>0.6-14-0-TOU-3 year APR - Reward</v>
      </c>
      <c r="B1280" s="62" t="s">
        <v>13</v>
      </c>
      <c r="C1280" s="54">
        <v>14</v>
      </c>
      <c r="D1280" s="59" t="s">
        <v>23</v>
      </c>
      <c r="E1280" s="59" t="s">
        <v>87</v>
      </c>
      <c r="F1280" s="38" t="s">
        <v>88</v>
      </c>
      <c r="G1280" s="51">
        <v>0.6</v>
      </c>
      <c r="H1280" s="60" t="s">
        <v>70</v>
      </c>
      <c r="I1280" s="39">
        <v>0.88600000000000001</v>
      </c>
      <c r="J1280" s="39">
        <v>0.151</v>
      </c>
      <c r="K1280" s="39">
        <v>0.1216</v>
      </c>
      <c r="L1280" s="39">
        <v>9.6000000000000002E-2</v>
      </c>
      <c r="M1280" s="61">
        <v>5000</v>
      </c>
      <c r="N1280" s="61">
        <v>1000000</v>
      </c>
    </row>
    <row r="1281" spans="1:14" ht="15" customHeight="1" x14ac:dyDescent="0.25">
      <c r="A1281" s="64" t="str">
        <f t="shared" si="19"/>
        <v>0.6-15-0-TOU-3 year APR - Reward</v>
      </c>
      <c r="B1281" s="62" t="s">
        <v>13</v>
      </c>
      <c r="C1281" s="54">
        <v>15</v>
      </c>
      <c r="D1281" s="59" t="s">
        <v>24</v>
      </c>
      <c r="E1281" s="59" t="s">
        <v>87</v>
      </c>
      <c r="F1281" s="38" t="s">
        <v>88</v>
      </c>
      <c r="G1281" s="51">
        <v>0.6</v>
      </c>
      <c r="H1281" s="60" t="s">
        <v>70</v>
      </c>
      <c r="I1281" s="39">
        <v>0.95599999999999996</v>
      </c>
      <c r="J1281" s="39">
        <v>0.15179999999999999</v>
      </c>
      <c r="K1281" s="39">
        <v>0.1222</v>
      </c>
      <c r="L1281" s="39">
        <v>9.6500000000000002E-2</v>
      </c>
      <c r="M1281" s="61">
        <v>5000</v>
      </c>
      <c r="N1281" s="61">
        <v>1000000</v>
      </c>
    </row>
    <row r="1282" spans="1:14" ht="15" customHeight="1" x14ac:dyDescent="0.25">
      <c r="A1282" s="64" t="str">
        <f t="shared" si="19"/>
        <v>0.6-16-0-TOU-3 year APR - Reward</v>
      </c>
      <c r="B1282" s="62" t="s">
        <v>13</v>
      </c>
      <c r="C1282" s="54">
        <v>16</v>
      </c>
      <c r="D1282" s="59" t="s">
        <v>25</v>
      </c>
      <c r="E1282" s="59" t="s">
        <v>87</v>
      </c>
      <c r="F1282" s="38" t="s">
        <v>88</v>
      </c>
      <c r="G1282" s="51">
        <v>0.6</v>
      </c>
      <c r="H1282" s="60" t="s">
        <v>70</v>
      </c>
      <c r="I1282" s="39">
        <v>0.72399999999999998</v>
      </c>
      <c r="J1282" s="39">
        <v>0.15059999999999998</v>
      </c>
      <c r="K1282" s="39">
        <v>0.12130000000000001</v>
      </c>
      <c r="L1282" s="39">
        <v>9.5699999999999993E-2</v>
      </c>
      <c r="M1282" s="61">
        <v>5000</v>
      </c>
      <c r="N1282" s="61">
        <v>1000000</v>
      </c>
    </row>
    <row r="1283" spans="1:14" ht="15" customHeight="1" x14ac:dyDescent="0.25">
      <c r="A1283" s="64" t="str">
        <f t="shared" ref="A1283:A1346" si="20">IF(E1283="OP","",CONCATENATE(G1283,"-",C1283,"-",RIGHT(F1283,1),"-",E1283,"-",H1283))</f>
        <v>0.6-17-0-TOU-3 year APR - Reward</v>
      </c>
      <c r="B1283" s="62" t="s">
        <v>13</v>
      </c>
      <c r="C1283" s="54">
        <v>17</v>
      </c>
      <c r="D1283" s="59" t="s">
        <v>26</v>
      </c>
      <c r="E1283" s="59" t="s">
        <v>87</v>
      </c>
      <c r="F1283" s="38" t="s">
        <v>88</v>
      </c>
      <c r="G1283" s="51">
        <v>0.6</v>
      </c>
      <c r="H1283" s="60" t="s">
        <v>70</v>
      </c>
      <c r="I1283" s="39">
        <v>1.4770000000000001</v>
      </c>
      <c r="J1283" s="39">
        <v>0.16899999999999998</v>
      </c>
      <c r="K1283" s="39">
        <v>0.1361</v>
      </c>
      <c r="L1283" s="39">
        <v>0.1074</v>
      </c>
      <c r="M1283" s="61">
        <v>5000</v>
      </c>
      <c r="N1283" s="61">
        <v>1000000</v>
      </c>
    </row>
    <row r="1284" spans="1:14" ht="15" customHeight="1" x14ac:dyDescent="0.25">
      <c r="A1284" s="64" t="str">
        <f t="shared" si="20"/>
        <v>0.6-18-0-TOU-3 year APR - Reward</v>
      </c>
      <c r="B1284" s="62" t="s">
        <v>13</v>
      </c>
      <c r="C1284" s="54">
        <v>18</v>
      </c>
      <c r="D1284" s="59" t="s">
        <v>27</v>
      </c>
      <c r="E1284" s="59" t="s">
        <v>87</v>
      </c>
      <c r="F1284" s="38" t="s">
        <v>88</v>
      </c>
      <c r="G1284" s="51">
        <v>0.6</v>
      </c>
      <c r="H1284" s="60" t="s">
        <v>70</v>
      </c>
      <c r="I1284" s="39">
        <v>0.89500000000000002</v>
      </c>
      <c r="J1284" s="39">
        <v>0.14979999999999999</v>
      </c>
      <c r="K1284" s="39">
        <v>0.1206</v>
      </c>
      <c r="L1284" s="39">
        <v>9.5200000000000007E-2</v>
      </c>
      <c r="M1284" s="61">
        <v>5000</v>
      </c>
      <c r="N1284" s="61">
        <v>1000000</v>
      </c>
    </row>
    <row r="1285" spans="1:14" ht="15" customHeight="1" x14ac:dyDescent="0.25">
      <c r="A1285" s="64" t="str">
        <f t="shared" si="20"/>
        <v>0.6-19-0-TOU-3 year APR - Reward</v>
      </c>
      <c r="B1285" s="62" t="s">
        <v>13</v>
      </c>
      <c r="C1285" s="54">
        <v>19</v>
      </c>
      <c r="D1285" s="59" t="s">
        <v>28</v>
      </c>
      <c r="E1285" s="59" t="s">
        <v>87</v>
      </c>
      <c r="F1285" s="38" t="s">
        <v>88</v>
      </c>
      <c r="G1285" s="51">
        <v>0.6</v>
      </c>
      <c r="H1285" s="60" t="s">
        <v>70</v>
      </c>
      <c r="I1285" s="39">
        <v>0.77400000000000002</v>
      </c>
      <c r="J1285" s="39">
        <v>0.14899999999999999</v>
      </c>
      <c r="K1285" s="39">
        <v>0.11990000000000001</v>
      </c>
      <c r="L1285" s="39">
        <v>9.4700000000000006E-2</v>
      </c>
      <c r="M1285" s="61">
        <v>5000</v>
      </c>
      <c r="N1285" s="61">
        <v>1000000</v>
      </c>
    </row>
    <row r="1286" spans="1:14" ht="15" customHeight="1" x14ac:dyDescent="0.25">
      <c r="A1286" s="64" t="str">
        <f t="shared" si="20"/>
        <v>0.6-20-0-TOU-3 year APR - Reward</v>
      </c>
      <c r="B1286" s="62" t="s">
        <v>13</v>
      </c>
      <c r="C1286" s="54">
        <v>20</v>
      </c>
      <c r="D1286" s="59" t="s">
        <v>29</v>
      </c>
      <c r="E1286" s="59" t="s">
        <v>87</v>
      </c>
      <c r="F1286" s="38" t="s">
        <v>88</v>
      </c>
      <c r="G1286" s="51">
        <v>0.6</v>
      </c>
      <c r="H1286" s="60" t="s">
        <v>70</v>
      </c>
      <c r="I1286" s="39">
        <v>0.82299999999999995</v>
      </c>
      <c r="J1286" s="39">
        <v>0.14859999999999998</v>
      </c>
      <c r="K1286" s="39">
        <v>0.1197</v>
      </c>
      <c r="L1286" s="39">
        <v>9.4500000000000001E-2</v>
      </c>
      <c r="M1286" s="61">
        <v>5000</v>
      </c>
      <c r="N1286" s="61">
        <v>1000000</v>
      </c>
    </row>
    <row r="1287" spans="1:14" ht="15" customHeight="1" x14ac:dyDescent="0.25">
      <c r="A1287" s="64" t="str">
        <f t="shared" si="20"/>
        <v>0.6-21-0-TOU-3 year APR - Reward</v>
      </c>
      <c r="B1287" s="62" t="s">
        <v>13</v>
      </c>
      <c r="C1287" s="54">
        <v>21</v>
      </c>
      <c r="D1287" s="59" t="s">
        <v>30</v>
      </c>
      <c r="E1287" s="59" t="s">
        <v>87</v>
      </c>
      <c r="F1287" s="38" t="s">
        <v>88</v>
      </c>
      <c r="G1287" s="51">
        <v>0.6</v>
      </c>
      <c r="H1287" s="60" t="s">
        <v>70</v>
      </c>
      <c r="I1287" s="39">
        <v>0.91900000000000004</v>
      </c>
      <c r="J1287" s="39">
        <v>0.1585</v>
      </c>
      <c r="K1287" s="39">
        <v>0.12759999999999999</v>
      </c>
      <c r="L1287" s="39">
        <v>0.1008</v>
      </c>
      <c r="M1287" s="61">
        <v>5000</v>
      </c>
      <c r="N1287" s="61">
        <v>1000000</v>
      </c>
    </row>
    <row r="1288" spans="1:14" ht="15" customHeight="1" x14ac:dyDescent="0.25">
      <c r="A1288" s="64" t="str">
        <f t="shared" si="20"/>
        <v>0.6-22-0-TOU-3 year APR - Reward</v>
      </c>
      <c r="B1288" s="62" t="s">
        <v>13</v>
      </c>
      <c r="C1288" s="54">
        <v>22</v>
      </c>
      <c r="D1288" s="59" t="s">
        <v>31</v>
      </c>
      <c r="E1288" s="59" t="s">
        <v>87</v>
      </c>
      <c r="F1288" s="38" t="s">
        <v>88</v>
      </c>
      <c r="G1288" s="51">
        <v>0.6</v>
      </c>
      <c r="H1288" s="60" t="s">
        <v>70</v>
      </c>
      <c r="I1288" s="39">
        <v>0.9</v>
      </c>
      <c r="J1288" s="39">
        <v>0.15909999999999999</v>
      </c>
      <c r="K1288" s="39">
        <v>0.12809999999999999</v>
      </c>
      <c r="L1288" s="39">
        <v>0.1011</v>
      </c>
      <c r="M1288" s="61">
        <v>5000</v>
      </c>
      <c r="N1288" s="61">
        <v>1000000</v>
      </c>
    </row>
    <row r="1289" spans="1:14" ht="15" customHeight="1" x14ac:dyDescent="0.25">
      <c r="A1289" s="64" t="str">
        <f t="shared" si="20"/>
        <v>0.6-23-0-TOU-3 year APR - Reward</v>
      </c>
      <c r="B1289" s="62" t="s">
        <v>13</v>
      </c>
      <c r="C1289" s="54">
        <v>23</v>
      </c>
      <c r="D1289" s="59" t="s">
        <v>32</v>
      </c>
      <c r="E1289" s="59" t="s">
        <v>87</v>
      </c>
      <c r="F1289" s="38" t="s">
        <v>88</v>
      </c>
      <c r="G1289" s="51">
        <v>0.6</v>
      </c>
      <c r="H1289" s="60" t="s">
        <v>70</v>
      </c>
      <c r="I1289" s="39">
        <v>0.90200000000000002</v>
      </c>
      <c r="J1289" s="39">
        <v>0.1517</v>
      </c>
      <c r="K1289" s="39">
        <v>0.1221</v>
      </c>
      <c r="L1289" s="39">
        <v>9.64E-2</v>
      </c>
      <c r="M1289" s="61">
        <v>5000</v>
      </c>
      <c r="N1289" s="61">
        <v>1000000</v>
      </c>
    </row>
    <row r="1290" spans="1:14" ht="15" customHeight="1" x14ac:dyDescent="0.25">
      <c r="A1290" s="64" t="str">
        <f t="shared" si="20"/>
        <v>0.7-10-0-TOU-3 year APR - Reward</v>
      </c>
      <c r="B1290" s="62" t="s">
        <v>13</v>
      </c>
      <c r="C1290" s="54">
        <v>10</v>
      </c>
      <c r="D1290" s="59" t="s">
        <v>14</v>
      </c>
      <c r="E1290" s="59" t="s">
        <v>87</v>
      </c>
      <c r="F1290" s="38" t="s">
        <v>88</v>
      </c>
      <c r="G1290" s="51">
        <v>0.7</v>
      </c>
      <c r="H1290" s="60" t="s">
        <v>70</v>
      </c>
      <c r="I1290" s="39">
        <v>0.877</v>
      </c>
      <c r="J1290" s="39">
        <v>0.14899999999999999</v>
      </c>
      <c r="K1290" s="39">
        <v>0.11990000000000001</v>
      </c>
      <c r="L1290" s="39">
        <v>9.4700000000000006E-2</v>
      </c>
      <c r="M1290" s="61">
        <v>5000</v>
      </c>
      <c r="N1290" s="61">
        <v>1000000</v>
      </c>
    </row>
    <row r="1291" spans="1:14" ht="15" customHeight="1" x14ac:dyDescent="0.25">
      <c r="A1291" s="64" t="str">
        <f t="shared" si="20"/>
        <v>0.7-11-0-TOU-3 year APR - Reward</v>
      </c>
      <c r="B1291" s="62" t="s">
        <v>13</v>
      </c>
      <c r="C1291" s="54">
        <v>11</v>
      </c>
      <c r="D1291" s="59" t="s">
        <v>20</v>
      </c>
      <c r="E1291" s="59" t="s">
        <v>87</v>
      </c>
      <c r="F1291" s="38" t="s">
        <v>88</v>
      </c>
      <c r="G1291" s="51">
        <v>0.7</v>
      </c>
      <c r="H1291" s="60" t="s">
        <v>70</v>
      </c>
      <c r="I1291" s="39">
        <v>0.85699999999999998</v>
      </c>
      <c r="J1291" s="39">
        <v>0.1512</v>
      </c>
      <c r="K1291" s="39">
        <v>0.1217</v>
      </c>
      <c r="L1291" s="39">
        <v>9.6100000000000005E-2</v>
      </c>
      <c r="M1291" s="61">
        <v>5000</v>
      </c>
      <c r="N1291" s="61">
        <v>1000000</v>
      </c>
    </row>
    <row r="1292" spans="1:14" ht="15" customHeight="1" x14ac:dyDescent="0.25">
      <c r="A1292" s="64" t="str">
        <f t="shared" si="20"/>
        <v>0.7-12-0-TOU-3 year APR - Reward</v>
      </c>
      <c r="B1292" s="62" t="s">
        <v>13</v>
      </c>
      <c r="C1292" s="54">
        <v>12</v>
      </c>
      <c r="D1292" s="59" t="s">
        <v>21</v>
      </c>
      <c r="E1292" s="59" t="s">
        <v>87</v>
      </c>
      <c r="F1292" s="38" t="s">
        <v>88</v>
      </c>
      <c r="G1292" s="51">
        <v>0.7</v>
      </c>
      <c r="H1292" s="60" t="s">
        <v>70</v>
      </c>
      <c r="I1292" s="39">
        <v>0.89900000000000002</v>
      </c>
      <c r="J1292" s="39">
        <v>0.14849999999999999</v>
      </c>
      <c r="K1292" s="39">
        <v>0.1196</v>
      </c>
      <c r="L1292" s="39">
        <v>9.4399999999999998E-2</v>
      </c>
      <c r="M1292" s="61">
        <v>5000</v>
      </c>
      <c r="N1292" s="61">
        <v>1000000</v>
      </c>
    </row>
    <row r="1293" spans="1:14" ht="15" customHeight="1" x14ac:dyDescent="0.25">
      <c r="A1293" s="64" t="str">
        <f t="shared" si="20"/>
        <v>0.7-13-0-TOU-3 year APR - Reward</v>
      </c>
      <c r="B1293" s="62" t="s">
        <v>13</v>
      </c>
      <c r="C1293" s="54">
        <v>13</v>
      </c>
      <c r="D1293" s="59" t="s">
        <v>22</v>
      </c>
      <c r="E1293" s="59" t="s">
        <v>87</v>
      </c>
      <c r="F1293" s="38" t="s">
        <v>88</v>
      </c>
      <c r="G1293" s="51">
        <v>0.7</v>
      </c>
      <c r="H1293" s="60" t="s">
        <v>70</v>
      </c>
      <c r="I1293" s="39">
        <v>0.877</v>
      </c>
      <c r="J1293" s="39">
        <v>0.16059999999999999</v>
      </c>
      <c r="K1293" s="39">
        <v>0.1293</v>
      </c>
      <c r="L1293" s="39">
        <v>0.1021</v>
      </c>
      <c r="M1293" s="61">
        <v>5000</v>
      </c>
      <c r="N1293" s="61">
        <v>1000000</v>
      </c>
    </row>
    <row r="1294" spans="1:14" ht="15" customHeight="1" x14ac:dyDescent="0.25">
      <c r="A1294" s="64" t="str">
        <f t="shared" si="20"/>
        <v>0.7-14-0-TOU-3 year APR - Reward</v>
      </c>
      <c r="B1294" s="62" t="s">
        <v>13</v>
      </c>
      <c r="C1294" s="54">
        <v>14</v>
      </c>
      <c r="D1294" s="59" t="s">
        <v>23</v>
      </c>
      <c r="E1294" s="59" t="s">
        <v>87</v>
      </c>
      <c r="F1294" s="38" t="s">
        <v>88</v>
      </c>
      <c r="G1294" s="51">
        <v>0.7</v>
      </c>
      <c r="H1294" s="60" t="s">
        <v>70</v>
      </c>
      <c r="I1294" s="39">
        <v>0.88600000000000001</v>
      </c>
      <c r="J1294" s="39">
        <v>0.1522</v>
      </c>
      <c r="K1294" s="39">
        <v>0.1225</v>
      </c>
      <c r="L1294" s="39">
        <v>9.6700000000000008E-2</v>
      </c>
      <c r="M1294" s="61">
        <v>5000</v>
      </c>
      <c r="N1294" s="61">
        <v>1000000</v>
      </c>
    </row>
    <row r="1295" spans="1:14" ht="15" customHeight="1" x14ac:dyDescent="0.25">
      <c r="A1295" s="64" t="str">
        <f t="shared" si="20"/>
        <v>0.7-15-0-TOU-3 year APR - Reward</v>
      </c>
      <c r="B1295" s="62" t="s">
        <v>13</v>
      </c>
      <c r="C1295" s="54">
        <v>15</v>
      </c>
      <c r="D1295" s="59" t="s">
        <v>24</v>
      </c>
      <c r="E1295" s="59" t="s">
        <v>87</v>
      </c>
      <c r="F1295" s="38" t="s">
        <v>88</v>
      </c>
      <c r="G1295" s="51">
        <v>0.7</v>
      </c>
      <c r="H1295" s="60" t="s">
        <v>70</v>
      </c>
      <c r="I1295" s="39">
        <v>0.95599999999999996</v>
      </c>
      <c r="J1295" s="39">
        <v>0.153</v>
      </c>
      <c r="K1295" s="39">
        <v>0.1232</v>
      </c>
      <c r="L1295" s="39">
        <v>9.7199999999999995E-2</v>
      </c>
      <c r="M1295" s="61">
        <v>5000</v>
      </c>
      <c r="N1295" s="61">
        <v>1000000</v>
      </c>
    </row>
    <row r="1296" spans="1:14" ht="15" customHeight="1" x14ac:dyDescent="0.25">
      <c r="A1296" s="64" t="str">
        <f t="shared" si="20"/>
        <v>0.7-16-0-TOU-3 year APR - Reward</v>
      </c>
      <c r="B1296" s="62" t="s">
        <v>13</v>
      </c>
      <c r="C1296" s="54">
        <v>16</v>
      </c>
      <c r="D1296" s="59" t="s">
        <v>25</v>
      </c>
      <c r="E1296" s="59" t="s">
        <v>87</v>
      </c>
      <c r="F1296" s="38" t="s">
        <v>88</v>
      </c>
      <c r="G1296" s="51">
        <v>0.7</v>
      </c>
      <c r="H1296" s="60" t="s">
        <v>70</v>
      </c>
      <c r="I1296" s="39">
        <v>0.72399999999999998</v>
      </c>
      <c r="J1296" s="39">
        <v>0.15179999999999999</v>
      </c>
      <c r="K1296" s="39">
        <v>0.1222</v>
      </c>
      <c r="L1296" s="39">
        <v>9.6500000000000002E-2</v>
      </c>
      <c r="M1296" s="61">
        <v>5000</v>
      </c>
      <c r="N1296" s="61">
        <v>1000000</v>
      </c>
    </row>
    <row r="1297" spans="1:14" ht="15" customHeight="1" x14ac:dyDescent="0.25">
      <c r="A1297" s="64" t="str">
        <f t="shared" si="20"/>
        <v>0.7-17-0-TOU-3 year APR - Reward</v>
      </c>
      <c r="B1297" s="62" t="s">
        <v>13</v>
      </c>
      <c r="C1297" s="54">
        <v>17</v>
      </c>
      <c r="D1297" s="59" t="s">
        <v>26</v>
      </c>
      <c r="E1297" s="59" t="s">
        <v>87</v>
      </c>
      <c r="F1297" s="38" t="s">
        <v>88</v>
      </c>
      <c r="G1297" s="51">
        <v>0.7</v>
      </c>
      <c r="H1297" s="60" t="s">
        <v>70</v>
      </c>
      <c r="I1297" s="39">
        <v>1.4770000000000001</v>
      </c>
      <c r="J1297" s="39">
        <v>0.17019999999999999</v>
      </c>
      <c r="K1297" s="39">
        <v>0.13699999999999998</v>
      </c>
      <c r="L1297" s="39">
        <v>0.1082</v>
      </c>
      <c r="M1297" s="61">
        <v>5000</v>
      </c>
      <c r="N1297" s="61">
        <v>1000000</v>
      </c>
    </row>
    <row r="1298" spans="1:14" ht="15" customHeight="1" x14ac:dyDescent="0.25">
      <c r="A1298" s="64" t="str">
        <f t="shared" si="20"/>
        <v>0.7-18-0-TOU-3 year APR - Reward</v>
      </c>
      <c r="B1298" s="62" t="s">
        <v>13</v>
      </c>
      <c r="C1298" s="54">
        <v>18</v>
      </c>
      <c r="D1298" s="59" t="s">
        <v>27</v>
      </c>
      <c r="E1298" s="59" t="s">
        <v>87</v>
      </c>
      <c r="F1298" s="38" t="s">
        <v>88</v>
      </c>
      <c r="G1298" s="51">
        <v>0.7</v>
      </c>
      <c r="H1298" s="60" t="s">
        <v>70</v>
      </c>
      <c r="I1298" s="39">
        <v>0.89500000000000002</v>
      </c>
      <c r="J1298" s="39">
        <v>0.151</v>
      </c>
      <c r="K1298" s="39">
        <v>0.1216</v>
      </c>
      <c r="L1298" s="39">
        <v>9.6000000000000002E-2</v>
      </c>
      <c r="M1298" s="61">
        <v>5000</v>
      </c>
      <c r="N1298" s="61">
        <v>1000000</v>
      </c>
    </row>
    <row r="1299" spans="1:14" ht="15" customHeight="1" x14ac:dyDescent="0.25">
      <c r="A1299" s="64" t="str">
        <f t="shared" si="20"/>
        <v>0.7-19-0-TOU-3 year APR - Reward</v>
      </c>
      <c r="B1299" s="62" t="s">
        <v>13</v>
      </c>
      <c r="C1299" s="54">
        <v>19</v>
      </c>
      <c r="D1299" s="59" t="s">
        <v>28</v>
      </c>
      <c r="E1299" s="59" t="s">
        <v>87</v>
      </c>
      <c r="F1299" s="38" t="s">
        <v>88</v>
      </c>
      <c r="G1299" s="51">
        <v>0.7</v>
      </c>
      <c r="H1299" s="60" t="s">
        <v>70</v>
      </c>
      <c r="I1299" s="39">
        <v>0.77400000000000002</v>
      </c>
      <c r="J1299" s="39">
        <v>0.15009999999999998</v>
      </c>
      <c r="K1299" s="39">
        <v>0.12090000000000001</v>
      </c>
      <c r="L1299" s="39">
        <v>9.5399999999999999E-2</v>
      </c>
      <c r="M1299" s="61">
        <v>5000</v>
      </c>
      <c r="N1299" s="61">
        <v>1000000</v>
      </c>
    </row>
    <row r="1300" spans="1:14" ht="15" customHeight="1" x14ac:dyDescent="0.25">
      <c r="A1300" s="64" t="str">
        <f t="shared" si="20"/>
        <v>0.7-20-0-TOU-3 year APR - Reward</v>
      </c>
      <c r="B1300" s="62" t="s">
        <v>13</v>
      </c>
      <c r="C1300" s="54">
        <v>20</v>
      </c>
      <c r="D1300" s="59" t="s">
        <v>29</v>
      </c>
      <c r="E1300" s="59" t="s">
        <v>87</v>
      </c>
      <c r="F1300" s="38" t="s">
        <v>88</v>
      </c>
      <c r="G1300" s="51">
        <v>0.7</v>
      </c>
      <c r="H1300" s="60" t="s">
        <v>70</v>
      </c>
      <c r="I1300" s="39">
        <v>0.82299999999999995</v>
      </c>
      <c r="J1300" s="39">
        <v>0.14979999999999999</v>
      </c>
      <c r="K1300" s="39">
        <v>0.1206</v>
      </c>
      <c r="L1300" s="39">
        <v>9.5200000000000007E-2</v>
      </c>
      <c r="M1300" s="61">
        <v>5000</v>
      </c>
      <c r="N1300" s="61">
        <v>1000000</v>
      </c>
    </row>
    <row r="1301" spans="1:14" ht="15" customHeight="1" x14ac:dyDescent="0.25">
      <c r="A1301" s="64" t="str">
        <f t="shared" si="20"/>
        <v>0.7-21-0-TOU-3 year APR - Reward</v>
      </c>
      <c r="B1301" s="62" t="s">
        <v>13</v>
      </c>
      <c r="C1301" s="54">
        <v>21</v>
      </c>
      <c r="D1301" s="59" t="s">
        <v>30</v>
      </c>
      <c r="E1301" s="59" t="s">
        <v>87</v>
      </c>
      <c r="F1301" s="38" t="s">
        <v>88</v>
      </c>
      <c r="G1301" s="51">
        <v>0.7</v>
      </c>
      <c r="H1301" s="60" t="s">
        <v>70</v>
      </c>
      <c r="I1301" s="39">
        <v>0.91900000000000004</v>
      </c>
      <c r="J1301" s="39">
        <v>0.15969999999999998</v>
      </c>
      <c r="K1301" s="39">
        <v>0.12859999999999999</v>
      </c>
      <c r="L1301" s="39">
        <v>0.10150000000000001</v>
      </c>
      <c r="M1301" s="61">
        <v>5000</v>
      </c>
      <c r="N1301" s="61">
        <v>1000000</v>
      </c>
    </row>
    <row r="1302" spans="1:14" ht="15" customHeight="1" x14ac:dyDescent="0.25">
      <c r="A1302" s="64" t="str">
        <f t="shared" si="20"/>
        <v>0.7-22-0-TOU-3 year APR - Reward</v>
      </c>
      <c r="B1302" s="62" t="s">
        <v>13</v>
      </c>
      <c r="C1302" s="54">
        <v>22</v>
      </c>
      <c r="D1302" s="59" t="s">
        <v>31</v>
      </c>
      <c r="E1302" s="59" t="s">
        <v>87</v>
      </c>
      <c r="F1302" s="38" t="s">
        <v>88</v>
      </c>
      <c r="G1302" s="51">
        <v>0.7</v>
      </c>
      <c r="H1302" s="60" t="s">
        <v>70</v>
      </c>
      <c r="I1302" s="39">
        <v>0.9</v>
      </c>
      <c r="J1302" s="39">
        <v>0.1603</v>
      </c>
      <c r="K1302" s="39">
        <v>0.12909999999999999</v>
      </c>
      <c r="L1302" s="39">
        <v>0.1019</v>
      </c>
      <c r="M1302" s="61">
        <v>5000</v>
      </c>
      <c r="N1302" s="61">
        <v>1000000</v>
      </c>
    </row>
    <row r="1303" spans="1:14" ht="15" customHeight="1" x14ac:dyDescent="0.25">
      <c r="A1303" s="64" t="str">
        <f t="shared" si="20"/>
        <v>0.7-23-0-TOU-3 year APR - Reward</v>
      </c>
      <c r="B1303" s="62" t="s">
        <v>13</v>
      </c>
      <c r="C1303" s="54">
        <v>23</v>
      </c>
      <c r="D1303" s="59" t="s">
        <v>32</v>
      </c>
      <c r="E1303" s="59" t="s">
        <v>87</v>
      </c>
      <c r="F1303" s="38" t="s">
        <v>88</v>
      </c>
      <c r="G1303" s="51">
        <v>0.7</v>
      </c>
      <c r="H1303" s="60" t="s">
        <v>70</v>
      </c>
      <c r="I1303" s="39">
        <v>0.90200000000000002</v>
      </c>
      <c r="J1303" s="39">
        <v>0.15289999999999998</v>
      </c>
      <c r="K1303" s="39">
        <v>0.1231</v>
      </c>
      <c r="L1303" s="39">
        <v>9.7200000000000009E-2</v>
      </c>
      <c r="M1303" s="61">
        <v>5000</v>
      </c>
      <c r="N1303" s="61">
        <v>1000000</v>
      </c>
    </row>
    <row r="1304" spans="1:14" ht="15" customHeight="1" x14ac:dyDescent="0.25">
      <c r="A1304" s="64" t="str">
        <f t="shared" si="20"/>
        <v>0.8-10-0-TOU-3 year APR - Reward</v>
      </c>
      <c r="B1304" s="62" t="s">
        <v>13</v>
      </c>
      <c r="C1304" s="54">
        <v>10</v>
      </c>
      <c r="D1304" s="59" t="s">
        <v>14</v>
      </c>
      <c r="E1304" s="59" t="s">
        <v>87</v>
      </c>
      <c r="F1304" s="38" t="s">
        <v>88</v>
      </c>
      <c r="G1304" s="51">
        <v>0.8</v>
      </c>
      <c r="H1304" s="60" t="s">
        <v>70</v>
      </c>
      <c r="I1304" s="39">
        <v>0.877</v>
      </c>
      <c r="J1304" s="39">
        <v>0.15009999999999998</v>
      </c>
      <c r="K1304" s="39">
        <v>0.12090000000000001</v>
      </c>
      <c r="L1304" s="39">
        <v>9.5399999999999999E-2</v>
      </c>
      <c r="M1304" s="61">
        <v>5000</v>
      </c>
      <c r="N1304" s="61">
        <v>1000000</v>
      </c>
    </row>
    <row r="1305" spans="1:14" ht="15" customHeight="1" x14ac:dyDescent="0.25">
      <c r="A1305" s="64" t="str">
        <f t="shared" si="20"/>
        <v>0.8-11-0-TOU-3 year APR - Reward</v>
      </c>
      <c r="B1305" s="62" t="s">
        <v>13</v>
      </c>
      <c r="C1305" s="54">
        <v>11</v>
      </c>
      <c r="D1305" s="59" t="s">
        <v>20</v>
      </c>
      <c r="E1305" s="59" t="s">
        <v>87</v>
      </c>
      <c r="F1305" s="38" t="s">
        <v>88</v>
      </c>
      <c r="G1305" s="51">
        <v>0.8</v>
      </c>
      <c r="H1305" s="60" t="s">
        <v>70</v>
      </c>
      <c r="I1305" s="39">
        <v>0.85699999999999998</v>
      </c>
      <c r="J1305" s="39">
        <v>0.15239999999999998</v>
      </c>
      <c r="K1305" s="39">
        <v>0.1227</v>
      </c>
      <c r="L1305" s="39">
        <v>9.69E-2</v>
      </c>
      <c r="M1305" s="61">
        <v>5000</v>
      </c>
      <c r="N1305" s="61">
        <v>1000000</v>
      </c>
    </row>
    <row r="1306" spans="1:14" ht="15" customHeight="1" x14ac:dyDescent="0.25">
      <c r="A1306" s="64" t="str">
        <f t="shared" si="20"/>
        <v>0.8-12-0-TOU-3 year APR - Reward</v>
      </c>
      <c r="B1306" s="62" t="s">
        <v>13</v>
      </c>
      <c r="C1306" s="54">
        <v>12</v>
      </c>
      <c r="D1306" s="59" t="s">
        <v>21</v>
      </c>
      <c r="E1306" s="59" t="s">
        <v>87</v>
      </c>
      <c r="F1306" s="38" t="s">
        <v>88</v>
      </c>
      <c r="G1306" s="51">
        <v>0.8</v>
      </c>
      <c r="H1306" s="60" t="s">
        <v>70</v>
      </c>
      <c r="I1306" s="39">
        <v>0.89900000000000002</v>
      </c>
      <c r="J1306" s="39">
        <v>0.1497</v>
      </c>
      <c r="K1306" s="39">
        <v>0.1205</v>
      </c>
      <c r="L1306" s="39">
        <v>9.5100000000000004E-2</v>
      </c>
      <c r="M1306" s="61">
        <v>5000</v>
      </c>
      <c r="N1306" s="61">
        <v>1000000</v>
      </c>
    </row>
    <row r="1307" spans="1:14" ht="15" customHeight="1" x14ac:dyDescent="0.25">
      <c r="A1307" s="64" t="str">
        <f t="shared" si="20"/>
        <v>0.8-13-0-TOU-3 year APR - Reward</v>
      </c>
      <c r="B1307" s="62" t="s">
        <v>13</v>
      </c>
      <c r="C1307" s="54">
        <v>13</v>
      </c>
      <c r="D1307" s="59" t="s">
        <v>22</v>
      </c>
      <c r="E1307" s="59" t="s">
        <v>87</v>
      </c>
      <c r="F1307" s="38" t="s">
        <v>88</v>
      </c>
      <c r="G1307" s="51">
        <v>0.8</v>
      </c>
      <c r="H1307" s="60" t="s">
        <v>70</v>
      </c>
      <c r="I1307" s="39">
        <v>0.877</v>
      </c>
      <c r="J1307" s="39">
        <v>0.1618</v>
      </c>
      <c r="K1307" s="39">
        <v>0.1303</v>
      </c>
      <c r="L1307" s="39">
        <v>0.10290000000000001</v>
      </c>
      <c r="M1307" s="61">
        <v>5000</v>
      </c>
      <c r="N1307" s="61">
        <v>1000000</v>
      </c>
    </row>
    <row r="1308" spans="1:14" ht="15" customHeight="1" x14ac:dyDescent="0.25">
      <c r="A1308" s="64" t="str">
        <f t="shared" si="20"/>
        <v>0.8-14-0-TOU-3 year APR - Reward</v>
      </c>
      <c r="B1308" s="62" t="s">
        <v>13</v>
      </c>
      <c r="C1308" s="54">
        <v>14</v>
      </c>
      <c r="D1308" s="59" t="s">
        <v>23</v>
      </c>
      <c r="E1308" s="59" t="s">
        <v>87</v>
      </c>
      <c r="F1308" s="38" t="s">
        <v>88</v>
      </c>
      <c r="G1308" s="51">
        <v>0.8</v>
      </c>
      <c r="H1308" s="60" t="s">
        <v>70</v>
      </c>
      <c r="I1308" s="39">
        <v>0.88600000000000001</v>
      </c>
      <c r="J1308" s="39">
        <v>0.15329999999999999</v>
      </c>
      <c r="K1308" s="39">
        <v>0.1235</v>
      </c>
      <c r="L1308" s="39">
        <v>9.7500000000000003E-2</v>
      </c>
      <c r="M1308" s="61">
        <v>5000</v>
      </c>
      <c r="N1308" s="61">
        <v>1000000</v>
      </c>
    </row>
    <row r="1309" spans="1:14" ht="15" customHeight="1" x14ac:dyDescent="0.25">
      <c r="A1309" s="64" t="str">
        <f t="shared" si="20"/>
        <v>0.8-15-0-TOU-3 year APR - Reward</v>
      </c>
      <c r="B1309" s="62" t="s">
        <v>13</v>
      </c>
      <c r="C1309" s="54">
        <v>15</v>
      </c>
      <c r="D1309" s="59" t="s">
        <v>24</v>
      </c>
      <c r="E1309" s="59" t="s">
        <v>87</v>
      </c>
      <c r="F1309" s="38" t="s">
        <v>88</v>
      </c>
      <c r="G1309" s="51">
        <v>0.8</v>
      </c>
      <c r="H1309" s="60" t="s">
        <v>70</v>
      </c>
      <c r="I1309" s="39">
        <v>0.95599999999999996</v>
      </c>
      <c r="J1309" s="39">
        <v>0.15419999999999998</v>
      </c>
      <c r="K1309" s="39">
        <v>0.1241</v>
      </c>
      <c r="L1309" s="39">
        <v>9.8000000000000004E-2</v>
      </c>
      <c r="M1309" s="61">
        <v>5000</v>
      </c>
      <c r="N1309" s="61">
        <v>1000000</v>
      </c>
    </row>
    <row r="1310" spans="1:14" ht="15" customHeight="1" x14ac:dyDescent="0.25">
      <c r="A1310" s="64" t="str">
        <f t="shared" si="20"/>
        <v>0.8-16-0-TOU-3 year APR - Reward</v>
      </c>
      <c r="B1310" s="62" t="s">
        <v>13</v>
      </c>
      <c r="C1310" s="54">
        <v>16</v>
      </c>
      <c r="D1310" s="59" t="s">
        <v>25</v>
      </c>
      <c r="E1310" s="59" t="s">
        <v>87</v>
      </c>
      <c r="F1310" s="38" t="s">
        <v>88</v>
      </c>
      <c r="G1310" s="51">
        <v>0.8</v>
      </c>
      <c r="H1310" s="60" t="s">
        <v>70</v>
      </c>
      <c r="I1310" s="39">
        <v>0.72399999999999998</v>
      </c>
      <c r="J1310" s="39">
        <v>0.153</v>
      </c>
      <c r="K1310" s="39">
        <v>0.1232</v>
      </c>
      <c r="L1310" s="39">
        <v>9.7199999999999995E-2</v>
      </c>
      <c r="M1310" s="61">
        <v>5000</v>
      </c>
      <c r="N1310" s="61">
        <v>1000000</v>
      </c>
    </row>
    <row r="1311" spans="1:14" ht="15" customHeight="1" x14ac:dyDescent="0.25">
      <c r="A1311" s="64" t="str">
        <f t="shared" si="20"/>
        <v>0.8-17-0-TOU-3 year APR - Reward</v>
      </c>
      <c r="B1311" s="62" t="s">
        <v>13</v>
      </c>
      <c r="C1311" s="54">
        <v>17</v>
      </c>
      <c r="D1311" s="59" t="s">
        <v>26</v>
      </c>
      <c r="E1311" s="59" t="s">
        <v>87</v>
      </c>
      <c r="F1311" s="38" t="s">
        <v>88</v>
      </c>
      <c r="G1311" s="51">
        <v>0.8</v>
      </c>
      <c r="H1311" s="60" t="s">
        <v>70</v>
      </c>
      <c r="I1311" s="39">
        <v>1.4770000000000001</v>
      </c>
      <c r="J1311" s="39">
        <v>0.1714</v>
      </c>
      <c r="K1311" s="39">
        <v>0.13799999999999998</v>
      </c>
      <c r="L1311" s="39">
        <v>0.1089</v>
      </c>
      <c r="M1311" s="61">
        <v>5000</v>
      </c>
      <c r="N1311" s="61">
        <v>1000000</v>
      </c>
    </row>
    <row r="1312" spans="1:14" ht="15" customHeight="1" x14ac:dyDescent="0.25">
      <c r="A1312" s="64" t="str">
        <f t="shared" si="20"/>
        <v>0.8-18-0-TOU-3 year APR - Reward</v>
      </c>
      <c r="B1312" s="62" t="s">
        <v>13</v>
      </c>
      <c r="C1312" s="54">
        <v>18</v>
      </c>
      <c r="D1312" s="59" t="s">
        <v>27</v>
      </c>
      <c r="E1312" s="59" t="s">
        <v>87</v>
      </c>
      <c r="F1312" s="38" t="s">
        <v>88</v>
      </c>
      <c r="G1312" s="51">
        <v>0.8</v>
      </c>
      <c r="H1312" s="60" t="s">
        <v>70</v>
      </c>
      <c r="I1312" s="39">
        <v>0.89500000000000002</v>
      </c>
      <c r="J1312" s="39">
        <v>0.1522</v>
      </c>
      <c r="K1312" s="39">
        <v>0.1225</v>
      </c>
      <c r="L1312" s="39">
        <v>9.6700000000000008E-2</v>
      </c>
      <c r="M1312" s="61">
        <v>5000</v>
      </c>
      <c r="N1312" s="61">
        <v>1000000</v>
      </c>
    </row>
    <row r="1313" spans="1:14" ht="15" customHeight="1" x14ac:dyDescent="0.25">
      <c r="A1313" s="64" t="str">
        <f t="shared" si="20"/>
        <v>0.8-19-0-TOU-3 year APR - Reward</v>
      </c>
      <c r="B1313" s="62" t="s">
        <v>13</v>
      </c>
      <c r="C1313" s="54">
        <v>19</v>
      </c>
      <c r="D1313" s="59" t="s">
        <v>28</v>
      </c>
      <c r="E1313" s="59" t="s">
        <v>87</v>
      </c>
      <c r="F1313" s="38" t="s">
        <v>88</v>
      </c>
      <c r="G1313" s="51">
        <v>0.8</v>
      </c>
      <c r="H1313" s="60" t="s">
        <v>70</v>
      </c>
      <c r="I1313" s="39">
        <v>0.77400000000000002</v>
      </c>
      <c r="J1313" s="39">
        <v>0.15129999999999999</v>
      </c>
      <c r="K1313" s="39">
        <v>0.12180000000000001</v>
      </c>
      <c r="L1313" s="39">
        <v>9.6200000000000008E-2</v>
      </c>
      <c r="M1313" s="61">
        <v>5000</v>
      </c>
      <c r="N1313" s="61">
        <v>1000000</v>
      </c>
    </row>
    <row r="1314" spans="1:14" ht="15" customHeight="1" x14ac:dyDescent="0.25">
      <c r="A1314" s="64" t="str">
        <f t="shared" si="20"/>
        <v>0.8-20-0-TOU-3 year APR - Reward</v>
      </c>
      <c r="B1314" s="62" t="s">
        <v>13</v>
      </c>
      <c r="C1314" s="54">
        <v>20</v>
      </c>
      <c r="D1314" s="59" t="s">
        <v>29</v>
      </c>
      <c r="E1314" s="59" t="s">
        <v>87</v>
      </c>
      <c r="F1314" s="38" t="s">
        <v>88</v>
      </c>
      <c r="G1314" s="51">
        <v>0.8</v>
      </c>
      <c r="H1314" s="60" t="s">
        <v>70</v>
      </c>
      <c r="I1314" s="39">
        <v>0.82299999999999995</v>
      </c>
      <c r="J1314" s="39">
        <v>0.151</v>
      </c>
      <c r="K1314" s="39">
        <v>0.1216</v>
      </c>
      <c r="L1314" s="39">
        <v>9.6000000000000002E-2</v>
      </c>
      <c r="M1314" s="61">
        <v>5000</v>
      </c>
      <c r="N1314" s="61">
        <v>1000000</v>
      </c>
    </row>
    <row r="1315" spans="1:14" ht="15" customHeight="1" x14ac:dyDescent="0.25">
      <c r="A1315" s="64" t="str">
        <f t="shared" si="20"/>
        <v>0.8-21-0-TOU-3 year APR - Reward</v>
      </c>
      <c r="B1315" s="62" t="s">
        <v>13</v>
      </c>
      <c r="C1315" s="54">
        <v>21</v>
      </c>
      <c r="D1315" s="59" t="s">
        <v>30</v>
      </c>
      <c r="E1315" s="59" t="s">
        <v>87</v>
      </c>
      <c r="F1315" s="38" t="s">
        <v>88</v>
      </c>
      <c r="G1315" s="51">
        <v>0.8</v>
      </c>
      <c r="H1315" s="60" t="s">
        <v>70</v>
      </c>
      <c r="I1315" s="39">
        <v>0.91900000000000004</v>
      </c>
      <c r="J1315" s="39">
        <v>0.16089999999999999</v>
      </c>
      <c r="K1315" s="39">
        <v>0.12949999999999998</v>
      </c>
      <c r="L1315" s="39">
        <v>0.1023</v>
      </c>
      <c r="M1315" s="61">
        <v>5000</v>
      </c>
      <c r="N1315" s="61">
        <v>1000000</v>
      </c>
    </row>
    <row r="1316" spans="1:14" ht="15" customHeight="1" x14ac:dyDescent="0.25">
      <c r="A1316" s="64" t="str">
        <f t="shared" si="20"/>
        <v>0.8-22-0-TOU-3 year APR - Reward</v>
      </c>
      <c r="B1316" s="62" t="s">
        <v>13</v>
      </c>
      <c r="C1316" s="54">
        <v>22</v>
      </c>
      <c r="D1316" s="59" t="s">
        <v>31</v>
      </c>
      <c r="E1316" s="59" t="s">
        <v>87</v>
      </c>
      <c r="F1316" s="38" t="s">
        <v>88</v>
      </c>
      <c r="G1316" s="51">
        <v>0.8</v>
      </c>
      <c r="H1316" s="60" t="s">
        <v>70</v>
      </c>
      <c r="I1316" s="39">
        <v>0.9</v>
      </c>
      <c r="J1316" s="39">
        <v>0.16149999999999998</v>
      </c>
      <c r="K1316" s="39">
        <v>0.12999999999999998</v>
      </c>
      <c r="L1316" s="39">
        <v>0.1026</v>
      </c>
      <c r="M1316" s="61">
        <v>5000</v>
      </c>
      <c r="N1316" s="61">
        <v>1000000</v>
      </c>
    </row>
    <row r="1317" spans="1:14" ht="15" customHeight="1" x14ac:dyDescent="0.25">
      <c r="A1317" s="64" t="str">
        <f t="shared" si="20"/>
        <v>0.8-23-0-TOU-3 year APR - Reward</v>
      </c>
      <c r="B1317" s="62" t="s">
        <v>13</v>
      </c>
      <c r="C1317" s="54">
        <v>23</v>
      </c>
      <c r="D1317" s="59" t="s">
        <v>32</v>
      </c>
      <c r="E1317" s="59" t="s">
        <v>87</v>
      </c>
      <c r="F1317" s="38" t="s">
        <v>88</v>
      </c>
      <c r="G1317" s="51">
        <v>0.8</v>
      </c>
      <c r="H1317" s="60" t="s">
        <v>70</v>
      </c>
      <c r="I1317" s="39">
        <v>0.90200000000000002</v>
      </c>
      <c r="J1317" s="39">
        <v>0.154</v>
      </c>
      <c r="K1317" s="39">
        <v>0.124</v>
      </c>
      <c r="L1317" s="39">
        <v>9.7900000000000001E-2</v>
      </c>
      <c r="M1317" s="61">
        <v>5000</v>
      </c>
      <c r="N1317" s="61">
        <v>1000000</v>
      </c>
    </row>
    <row r="1318" spans="1:14" ht="15" customHeight="1" x14ac:dyDescent="0.25">
      <c r="A1318" s="64" t="str">
        <f t="shared" si="20"/>
        <v>0.9-10-0-TOU-3 year APR - Reward</v>
      </c>
      <c r="B1318" s="62" t="s">
        <v>13</v>
      </c>
      <c r="C1318" s="54">
        <v>10</v>
      </c>
      <c r="D1318" s="59" t="s">
        <v>14</v>
      </c>
      <c r="E1318" s="59" t="s">
        <v>87</v>
      </c>
      <c r="F1318" s="38" t="s">
        <v>88</v>
      </c>
      <c r="G1318" s="51">
        <v>0.9</v>
      </c>
      <c r="H1318" s="60" t="s">
        <v>70</v>
      </c>
      <c r="I1318" s="39">
        <v>0.877</v>
      </c>
      <c r="J1318" s="39">
        <v>0.15129999999999999</v>
      </c>
      <c r="K1318" s="39">
        <v>0.12180000000000001</v>
      </c>
      <c r="L1318" s="39">
        <v>9.6200000000000008E-2</v>
      </c>
      <c r="M1318" s="61">
        <v>5000</v>
      </c>
      <c r="N1318" s="61">
        <v>1000000</v>
      </c>
    </row>
    <row r="1319" spans="1:14" ht="15" customHeight="1" x14ac:dyDescent="0.25">
      <c r="A1319" s="64" t="str">
        <f t="shared" si="20"/>
        <v>0.9-11-0-TOU-3 year APR - Reward</v>
      </c>
      <c r="B1319" s="62" t="s">
        <v>13</v>
      </c>
      <c r="C1319" s="54">
        <v>11</v>
      </c>
      <c r="D1319" s="59" t="s">
        <v>20</v>
      </c>
      <c r="E1319" s="59" t="s">
        <v>87</v>
      </c>
      <c r="F1319" s="38" t="s">
        <v>88</v>
      </c>
      <c r="G1319" s="51">
        <v>0.9</v>
      </c>
      <c r="H1319" s="60" t="s">
        <v>70</v>
      </c>
      <c r="I1319" s="39">
        <v>0.85699999999999998</v>
      </c>
      <c r="J1319" s="39">
        <v>0.15359999999999999</v>
      </c>
      <c r="K1319" s="39">
        <v>0.1236</v>
      </c>
      <c r="L1319" s="39">
        <v>9.7600000000000006E-2</v>
      </c>
      <c r="M1319" s="61">
        <v>5000</v>
      </c>
      <c r="N1319" s="61">
        <v>1000000</v>
      </c>
    </row>
    <row r="1320" spans="1:14" ht="15" customHeight="1" x14ac:dyDescent="0.25">
      <c r="A1320" s="64" t="str">
        <f t="shared" si="20"/>
        <v>0.9-12-0-TOU-3 year APR - Reward</v>
      </c>
      <c r="B1320" s="62" t="s">
        <v>13</v>
      </c>
      <c r="C1320" s="54">
        <v>12</v>
      </c>
      <c r="D1320" s="59" t="s">
        <v>21</v>
      </c>
      <c r="E1320" s="59" t="s">
        <v>87</v>
      </c>
      <c r="F1320" s="38" t="s">
        <v>88</v>
      </c>
      <c r="G1320" s="51">
        <v>0.9</v>
      </c>
      <c r="H1320" s="60" t="s">
        <v>70</v>
      </c>
      <c r="I1320" s="39">
        <v>0.89900000000000002</v>
      </c>
      <c r="J1320" s="39">
        <v>0.15089999999999998</v>
      </c>
      <c r="K1320" s="39">
        <v>0.1215</v>
      </c>
      <c r="L1320" s="39">
        <v>9.5899999999999999E-2</v>
      </c>
      <c r="M1320" s="61">
        <v>5000</v>
      </c>
      <c r="N1320" s="61">
        <v>1000000</v>
      </c>
    </row>
    <row r="1321" spans="1:14" ht="15" customHeight="1" x14ac:dyDescent="0.25">
      <c r="A1321" s="64" t="str">
        <f t="shared" si="20"/>
        <v>0.9-13-0-TOU-3 year APR - Reward</v>
      </c>
      <c r="B1321" s="62" t="s">
        <v>13</v>
      </c>
      <c r="C1321" s="54">
        <v>13</v>
      </c>
      <c r="D1321" s="59" t="s">
        <v>22</v>
      </c>
      <c r="E1321" s="59" t="s">
        <v>87</v>
      </c>
      <c r="F1321" s="38" t="s">
        <v>88</v>
      </c>
      <c r="G1321" s="51">
        <v>0.9</v>
      </c>
      <c r="H1321" s="60" t="s">
        <v>70</v>
      </c>
      <c r="I1321" s="39">
        <v>0.877</v>
      </c>
      <c r="J1321" s="39">
        <v>0.16299999999999998</v>
      </c>
      <c r="K1321" s="39">
        <v>0.13119999999999998</v>
      </c>
      <c r="L1321" s="39">
        <v>0.1036</v>
      </c>
      <c r="M1321" s="61">
        <v>5000</v>
      </c>
      <c r="N1321" s="61">
        <v>1000000</v>
      </c>
    </row>
    <row r="1322" spans="1:14" ht="15" customHeight="1" x14ac:dyDescent="0.25">
      <c r="A1322" s="64" t="str">
        <f t="shared" si="20"/>
        <v>0.9-14-0-TOU-3 year APR - Reward</v>
      </c>
      <c r="B1322" s="62" t="s">
        <v>13</v>
      </c>
      <c r="C1322" s="54">
        <v>14</v>
      </c>
      <c r="D1322" s="59" t="s">
        <v>23</v>
      </c>
      <c r="E1322" s="59" t="s">
        <v>87</v>
      </c>
      <c r="F1322" s="38" t="s">
        <v>88</v>
      </c>
      <c r="G1322" s="51">
        <v>0.9</v>
      </c>
      <c r="H1322" s="60" t="s">
        <v>70</v>
      </c>
      <c r="I1322" s="39">
        <v>0.88600000000000001</v>
      </c>
      <c r="J1322" s="39">
        <v>0.1545</v>
      </c>
      <c r="K1322" s="39">
        <v>0.1244</v>
      </c>
      <c r="L1322" s="39">
        <v>9.820000000000001E-2</v>
      </c>
      <c r="M1322" s="61">
        <v>5000</v>
      </c>
      <c r="N1322" s="61">
        <v>1000000</v>
      </c>
    </row>
    <row r="1323" spans="1:14" ht="15" customHeight="1" x14ac:dyDescent="0.25">
      <c r="A1323" s="64" t="str">
        <f t="shared" si="20"/>
        <v>0.9-15-0-TOU-3 year APR - Reward</v>
      </c>
      <c r="B1323" s="62" t="s">
        <v>13</v>
      </c>
      <c r="C1323" s="54">
        <v>15</v>
      </c>
      <c r="D1323" s="59" t="s">
        <v>24</v>
      </c>
      <c r="E1323" s="59" t="s">
        <v>87</v>
      </c>
      <c r="F1323" s="38" t="s">
        <v>88</v>
      </c>
      <c r="G1323" s="51">
        <v>0.9</v>
      </c>
      <c r="H1323" s="60" t="s">
        <v>70</v>
      </c>
      <c r="I1323" s="39">
        <v>0.95599999999999996</v>
      </c>
      <c r="J1323" s="39">
        <v>0.15529999999999999</v>
      </c>
      <c r="K1323" s="39">
        <v>0.12509999999999999</v>
      </c>
      <c r="L1323" s="39">
        <v>9.8699999999999996E-2</v>
      </c>
      <c r="M1323" s="61">
        <v>5000</v>
      </c>
      <c r="N1323" s="61">
        <v>1000000</v>
      </c>
    </row>
    <row r="1324" spans="1:14" ht="15" customHeight="1" x14ac:dyDescent="0.25">
      <c r="A1324" s="64" t="str">
        <f t="shared" si="20"/>
        <v>0.9-16-0-TOU-3 year APR - Reward</v>
      </c>
      <c r="B1324" s="62" t="s">
        <v>13</v>
      </c>
      <c r="C1324" s="54">
        <v>16</v>
      </c>
      <c r="D1324" s="59" t="s">
        <v>25</v>
      </c>
      <c r="E1324" s="59" t="s">
        <v>87</v>
      </c>
      <c r="F1324" s="38" t="s">
        <v>88</v>
      </c>
      <c r="G1324" s="51">
        <v>0.9</v>
      </c>
      <c r="H1324" s="60" t="s">
        <v>70</v>
      </c>
      <c r="I1324" s="39">
        <v>0.72399999999999998</v>
      </c>
      <c r="J1324" s="39">
        <v>0.15419999999999998</v>
      </c>
      <c r="K1324" s="39">
        <v>0.1241</v>
      </c>
      <c r="L1324" s="39">
        <v>9.8000000000000004E-2</v>
      </c>
      <c r="M1324" s="61">
        <v>5000</v>
      </c>
      <c r="N1324" s="61">
        <v>1000000</v>
      </c>
    </row>
    <row r="1325" spans="1:14" ht="15" customHeight="1" x14ac:dyDescent="0.25">
      <c r="A1325" s="64" t="str">
        <f t="shared" si="20"/>
        <v>0.9-17-0-TOU-3 year APR - Reward</v>
      </c>
      <c r="B1325" s="62" t="s">
        <v>13</v>
      </c>
      <c r="C1325" s="54">
        <v>17</v>
      </c>
      <c r="D1325" s="59" t="s">
        <v>26</v>
      </c>
      <c r="E1325" s="59" t="s">
        <v>87</v>
      </c>
      <c r="F1325" s="38" t="s">
        <v>88</v>
      </c>
      <c r="G1325" s="51">
        <v>0.9</v>
      </c>
      <c r="H1325" s="60" t="s">
        <v>70</v>
      </c>
      <c r="I1325" s="39">
        <v>1.4770000000000001</v>
      </c>
      <c r="J1325" s="39">
        <v>0.17259999999999998</v>
      </c>
      <c r="K1325" s="39">
        <v>0.1389</v>
      </c>
      <c r="L1325" s="39">
        <v>0.10970000000000001</v>
      </c>
      <c r="M1325" s="61">
        <v>5000</v>
      </c>
      <c r="N1325" s="61">
        <v>1000000</v>
      </c>
    </row>
    <row r="1326" spans="1:14" ht="15" customHeight="1" x14ac:dyDescent="0.25">
      <c r="A1326" s="64" t="str">
        <f t="shared" si="20"/>
        <v>0.9-18-0-TOU-3 year APR - Reward</v>
      </c>
      <c r="B1326" s="62" t="s">
        <v>13</v>
      </c>
      <c r="C1326" s="54">
        <v>18</v>
      </c>
      <c r="D1326" s="59" t="s">
        <v>27</v>
      </c>
      <c r="E1326" s="59" t="s">
        <v>87</v>
      </c>
      <c r="F1326" s="38" t="s">
        <v>88</v>
      </c>
      <c r="G1326" s="51">
        <v>0.9</v>
      </c>
      <c r="H1326" s="60" t="s">
        <v>70</v>
      </c>
      <c r="I1326" s="39">
        <v>0.89500000000000002</v>
      </c>
      <c r="J1326" s="39">
        <v>0.15329999999999999</v>
      </c>
      <c r="K1326" s="39">
        <v>0.1235</v>
      </c>
      <c r="L1326" s="39">
        <v>9.7500000000000003E-2</v>
      </c>
      <c r="M1326" s="61">
        <v>5000</v>
      </c>
      <c r="N1326" s="61">
        <v>1000000</v>
      </c>
    </row>
    <row r="1327" spans="1:14" ht="15" customHeight="1" x14ac:dyDescent="0.25">
      <c r="A1327" s="64" t="str">
        <f t="shared" si="20"/>
        <v>0.9-19-0-TOU-3 year APR - Reward</v>
      </c>
      <c r="B1327" s="62" t="s">
        <v>13</v>
      </c>
      <c r="C1327" s="54">
        <v>19</v>
      </c>
      <c r="D1327" s="59" t="s">
        <v>28</v>
      </c>
      <c r="E1327" s="59" t="s">
        <v>87</v>
      </c>
      <c r="F1327" s="38" t="s">
        <v>88</v>
      </c>
      <c r="G1327" s="51">
        <v>0.9</v>
      </c>
      <c r="H1327" s="60" t="s">
        <v>70</v>
      </c>
      <c r="I1327" s="39">
        <v>0.77400000000000002</v>
      </c>
      <c r="J1327" s="39">
        <v>0.1525</v>
      </c>
      <c r="K1327" s="39">
        <v>0.12280000000000001</v>
      </c>
      <c r="L1327" s="39">
        <v>9.69E-2</v>
      </c>
      <c r="M1327" s="61">
        <v>5000</v>
      </c>
      <c r="N1327" s="61">
        <v>1000000</v>
      </c>
    </row>
    <row r="1328" spans="1:14" ht="15" customHeight="1" x14ac:dyDescent="0.25">
      <c r="A1328" s="64" t="str">
        <f t="shared" si="20"/>
        <v>0.9-20-0-TOU-3 year APR - Reward</v>
      </c>
      <c r="B1328" s="62" t="s">
        <v>13</v>
      </c>
      <c r="C1328" s="54">
        <v>20</v>
      </c>
      <c r="D1328" s="59" t="s">
        <v>29</v>
      </c>
      <c r="E1328" s="59" t="s">
        <v>87</v>
      </c>
      <c r="F1328" s="38" t="s">
        <v>88</v>
      </c>
      <c r="G1328" s="51">
        <v>0.9</v>
      </c>
      <c r="H1328" s="60" t="s">
        <v>70</v>
      </c>
      <c r="I1328" s="39">
        <v>0.82299999999999995</v>
      </c>
      <c r="J1328" s="39">
        <v>0.1522</v>
      </c>
      <c r="K1328" s="39">
        <v>0.1225</v>
      </c>
      <c r="L1328" s="39">
        <v>9.6700000000000008E-2</v>
      </c>
      <c r="M1328" s="61">
        <v>5000</v>
      </c>
      <c r="N1328" s="61">
        <v>1000000</v>
      </c>
    </row>
    <row r="1329" spans="1:14" ht="15" customHeight="1" x14ac:dyDescent="0.25">
      <c r="A1329" s="64" t="str">
        <f t="shared" si="20"/>
        <v>0.9-21-0-TOU-3 year APR - Reward</v>
      </c>
      <c r="B1329" s="62" t="s">
        <v>13</v>
      </c>
      <c r="C1329" s="54">
        <v>21</v>
      </c>
      <c r="D1329" s="59" t="s">
        <v>30</v>
      </c>
      <c r="E1329" s="59" t="s">
        <v>87</v>
      </c>
      <c r="F1329" s="38" t="s">
        <v>88</v>
      </c>
      <c r="G1329" s="51">
        <v>0.9</v>
      </c>
      <c r="H1329" s="60" t="s">
        <v>70</v>
      </c>
      <c r="I1329" s="39">
        <v>0.91900000000000004</v>
      </c>
      <c r="J1329" s="39">
        <v>0.16209999999999999</v>
      </c>
      <c r="K1329" s="39">
        <v>0.13049999999999998</v>
      </c>
      <c r="L1329" s="39">
        <v>0.10300000000000001</v>
      </c>
      <c r="M1329" s="61">
        <v>5000</v>
      </c>
      <c r="N1329" s="61">
        <v>1000000</v>
      </c>
    </row>
    <row r="1330" spans="1:14" ht="15" customHeight="1" x14ac:dyDescent="0.25">
      <c r="A1330" s="64" t="str">
        <f t="shared" si="20"/>
        <v>0.9-22-0-TOU-3 year APR - Reward</v>
      </c>
      <c r="B1330" s="62" t="s">
        <v>13</v>
      </c>
      <c r="C1330" s="54">
        <v>22</v>
      </c>
      <c r="D1330" s="59" t="s">
        <v>31</v>
      </c>
      <c r="E1330" s="59" t="s">
        <v>87</v>
      </c>
      <c r="F1330" s="38" t="s">
        <v>88</v>
      </c>
      <c r="G1330" s="51">
        <v>0.9</v>
      </c>
      <c r="H1330" s="60" t="s">
        <v>70</v>
      </c>
      <c r="I1330" s="39">
        <v>0.9</v>
      </c>
      <c r="J1330" s="39">
        <v>0.16269999999999998</v>
      </c>
      <c r="K1330" s="39">
        <v>0.13099999999999998</v>
      </c>
      <c r="L1330" s="39">
        <v>0.10340000000000001</v>
      </c>
      <c r="M1330" s="61">
        <v>5000</v>
      </c>
      <c r="N1330" s="61">
        <v>1000000</v>
      </c>
    </row>
    <row r="1331" spans="1:14" ht="15" customHeight="1" x14ac:dyDescent="0.25">
      <c r="A1331" s="64" t="str">
        <f t="shared" si="20"/>
        <v>0.9-23-0-TOU-3 year APR - Reward</v>
      </c>
      <c r="B1331" s="62" t="s">
        <v>13</v>
      </c>
      <c r="C1331" s="54">
        <v>23</v>
      </c>
      <c r="D1331" s="59" t="s">
        <v>32</v>
      </c>
      <c r="E1331" s="59" t="s">
        <v>87</v>
      </c>
      <c r="F1331" s="38" t="s">
        <v>88</v>
      </c>
      <c r="G1331" s="51">
        <v>0.9</v>
      </c>
      <c r="H1331" s="60" t="s">
        <v>70</v>
      </c>
      <c r="I1331" s="39">
        <v>0.90200000000000002</v>
      </c>
      <c r="J1331" s="39">
        <v>0.15519999999999998</v>
      </c>
      <c r="K1331" s="39">
        <v>0.125</v>
      </c>
      <c r="L1331" s="39">
        <v>9.8699999999999996E-2</v>
      </c>
      <c r="M1331" s="61">
        <v>5000</v>
      </c>
      <c r="N1331" s="61">
        <v>1000000</v>
      </c>
    </row>
    <row r="1332" spans="1:14" ht="15" customHeight="1" x14ac:dyDescent="0.25">
      <c r="A1332" s="64" t="str">
        <f t="shared" si="20"/>
        <v>1-10-0-TOU-3 year APR - Reward</v>
      </c>
      <c r="B1332" s="62" t="s">
        <v>13</v>
      </c>
      <c r="C1332" s="54">
        <v>10</v>
      </c>
      <c r="D1332" s="59" t="s">
        <v>14</v>
      </c>
      <c r="E1332" s="59" t="s">
        <v>87</v>
      </c>
      <c r="F1332" s="38" t="s">
        <v>88</v>
      </c>
      <c r="G1332" s="51">
        <v>1</v>
      </c>
      <c r="H1332" s="60" t="s">
        <v>70</v>
      </c>
      <c r="I1332" s="39">
        <v>0.877</v>
      </c>
      <c r="J1332" s="39">
        <v>0.1525</v>
      </c>
      <c r="K1332" s="39">
        <v>0.12280000000000001</v>
      </c>
      <c r="L1332" s="39">
        <v>9.69E-2</v>
      </c>
      <c r="M1332" s="61">
        <v>5000</v>
      </c>
      <c r="N1332" s="61">
        <v>1000000</v>
      </c>
    </row>
    <row r="1333" spans="1:14" ht="15" customHeight="1" x14ac:dyDescent="0.25">
      <c r="A1333" s="64" t="str">
        <f t="shared" si="20"/>
        <v>1-11-0-TOU-3 year APR - Reward</v>
      </c>
      <c r="B1333" s="62" t="s">
        <v>13</v>
      </c>
      <c r="C1333" s="54">
        <v>11</v>
      </c>
      <c r="D1333" s="59" t="s">
        <v>20</v>
      </c>
      <c r="E1333" s="59" t="s">
        <v>87</v>
      </c>
      <c r="F1333" s="38" t="s">
        <v>88</v>
      </c>
      <c r="G1333" s="51">
        <v>1</v>
      </c>
      <c r="H1333" s="60" t="s">
        <v>70</v>
      </c>
      <c r="I1333" s="39">
        <v>0.85699999999999998</v>
      </c>
      <c r="J1333" s="39">
        <v>0.15469999999999998</v>
      </c>
      <c r="K1333" s="39">
        <v>0.1246</v>
      </c>
      <c r="L1333" s="39">
        <v>9.8400000000000001E-2</v>
      </c>
      <c r="M1333" s="61">
        <v>5000</v>
      </c>
      <c r="N1333" s="61">
        <v>1000000</v>
      </c>
    </row>
    <row r="1334" spans="1:14" ht="15" customHeight="1" x14ac:dyDescent="0.25">
      <c r="A1334" s="64" t="str">
        <f t="shared" si="20"/>
        <v>1-12-0-TOU-3 year APR - Reward</v>
      </c>
      <c r="B1334" s="62" t="s">
        <v>13</v>
      </c>
      <c r="C1334" s="54">
        <v>12</v>
      </c>
      <c r="D1334" s="59" t="s">
        <v>21</v>
      </c>
      <c r="E1334" s="59" t="s">
        <v>87</v>
      </c>
      <c r="F1334" s="38" t="s">
        <v>88</v>
      </c>
      <c r="G1334" s="51">
        <v>1</v>
      </c>
      <c r="H1334" s="60" t="s">
        <v>70</v>
      </c>
      <c r="I1334" s="39">
        <v>0.89900000000000002</v>
      </c>
      <c r="J1334" s="39">
        <v>0.152</v>
      </c>
      <c r="K1334" s="39">
        <v>0.12240000000000001</v>
      </c>
      <c r="L1334" s="39">
        <v>9.6600000000000005E-2</v>
      </c>
      <c r="M1334" s="61">
        <v>5000</v>
      </c>
      <c r="N1334" s="61">
        <v>1000000</v>
      </c>
    </row>
    <row r="1335" spans="1:14" ht="15" customHeight="1" x14ac:dyDescent="0.25">
      <c r="A1335" s="64" t="str">
        <f t="shared" si="20"/>
        <v>1-13-0-TOU-3 year APR - Reward</v>
      </c>
      <c r="B1335" s="62" t="s">
        <v>13</v>
      </c>
      <c r="C1335" s="54">
        <v>13</v>
      </c>
      <c r="D1335" s="59" t="s">
        <v>22</v>
      </c>
      <c r="E1335" s="59" t="s">
        <v>87</v>
      </c>
      <c r="F1335" s="38" t="s">
        <v>88</v>
      </c>
      <c r="G1335" s="51">
        <v>1</v>
      </c>
      <c r="H1335" s="60" t="s">
        <v>70</v>
      </c>
      <c r="I1335" s="39">
        <v>0.877</v>
      </c>
      <c r="J1335" s="39">
        <v>0.16419999999999998</v>
      </c>
      <c r="K1335" s="39">
        <v>0.13219999999999998</v>
      </c>
      <c r="L1335" s="39">
        <v>0.10440000000000001</v>
      </c>
      <c r="M1335" s="61">
        <v>5000</v>
      </c>
      <c r="N1335" s="61">
        <v>1000000</v>
      </c>
    </row>
    <row r="1336" spans="1:14" ht="15" customHeight="1" x14ac:dyDescent="0.25">
      <c r="A1336" s="64" t="str">
        <f t="shared" si="20"/>
        <v>1-14-0-TOU-3 year APR - Reward</v>
      </c>
      <c r="B1336" s="62" t="s">
        <v>13</v>
      </c>
      <c r="C1336" s="54">
        <v>14</v>
      </c>
      <c r="D1336" s="59" t="s">
        <v>23</v>
      </c>
      <c r="E1336" s="59" t="s">
        <v>87</v>
      </c>
      <c r="F1336" s="38" t="s">
        <v>88</v>
      </c>
      <c r="G1336" s="51">
        <v>1</v>
      </c>
      <c r="H1336" s="60" t="s">
        <v>70</v>
      </c>
      <c r="I1336" s="39">
        <v>0.88600000000000001</v>
      </c>
      <c r="J1336" s="39">
        <v>0.15569999999999998</v>
      </c>
      <c r="K1336" s="39">
        <v>0.12539999999999998</v>
      </c>
      <c r="L1336" s="39">
        <v>9.9000000000000005E-2</v>
      </c>
      <c r="M1336" s="61">
        <v>5000</v>
      </c>
      <c r="N1336" s="61">
        <v>1000000</v>
      </c>
    </row>
    <row r="1337" spans="1:14" ht="15" customHeight="1" x14ac:dyDescent="0.25">
      <c r="A1337" s="64" t="str">
        <f t="shared" si="20"/>
        <v>1-15-0-TOU-3 year APR - Reward</v>
      </c>
      <c r="B1337" s="62" t="s">
        <v>13</v>
      </c>
      <c r="C1337" s="54">
        <v>15</v>
      </c>
      <c r="D1337" s="59" t="s">
        <v>24</v>
      </c>
      <c r="E1337" s="59" t="s">
        <v>87</v>
      </c>
      <c r="F1337" s="38" t="s">
        <v>88</v>
      </c>
      <c r="G1337" s="51">
        <v>1</v>
      </c>
      <c r="H1337" s="60" t="s">
        <v>70</v>
      </c>
      <c r="I1337" s="39">
        <v>0.95599999999999996</v>
      </c>
      <c r="J1337" s="39">
        <v>0.1565</v>
      </c>
      <c r="K1337" s="39">
        <v>0.126</v>
      </c>
      <c r="L1337" s="39">
        <v>9.9500000000000005E-2</v>
      </c>
      <c r="M1337" s="61">
        <v>5000</v>
      </c>
      <c r="N1337" s="61">
        <v>1000000</v>
      </c>
    </row>
    <row r="1338" spans="1:14" ht="15" customHeight="1" x14ac:dyDescent="0.25">
      <c r="A1338" s="64" t="str">
        <f t="shared" si="20"/>
        <v>1-16-0-TOU-3 year APR - Reward</v>
      </c>
      <c r="B1338" s="62" t="s">
        <v>13</v>
      </c>
      <c r="C1338" s="54">
        <v>16</v>
      </c>
      <c r="D1338" s="59" t="s">
        <v>25</v>
      </c>
      <c r="E1338" s="59" t="s">
        <v>87</v>
      </c>
      <c r="F1338" s="38" t="s">
        <v>88</v>
      </c>
      <c r="G1338" s="51">
        <v>1</v>
      </c>
      <c r="H1338" s="60" t="s">
        <v>70</v>
      </c>
      <c r="I1338" s="39">
        <v>0.72399999999999998</v>
      </c>
      <c r="J1338" s="39">
        <v>0.15529999999999999</v>
      </c>
      <c r="K1338" s="39">
        <v>0.12509999999999999</v>
      </c>
      <c r="L1338" s="39">
        <v>9.8699999999999996E-2</v>
      </c>
      <c r="M1338" s="61">
        <v>5000</v>
      </c>
      <c r="N1338" s="61">
        <v>1000000</v>
      </c>
    </row>
    <row r="1339" spans="1:14" ht="15" customHeight="1" x14ac:dyDescent="0.25">
      <c r="A1339" s="64" t="str">
        <f t="shared" si="20"/>
        <v>1-17-0-TOU-3 year APR - Reward</v>
      </c>
      <c r="B1339" s="62" t="s">
        <v>13</v>
      </c>
      <c r="C1339" s="54">
        <v>17</v>
      </c>
      <c r="D1339" s="59" t="s">
        <v>26</v>
      </c>
      <c r="E1339" s="59" t="s">
        <v>87</v>
      </c>
      <c r="F1339" s="38" t="s">
        <v>88</v>
      </c>
      <c r="G1339" s="51">
        <v>1</v>
      </c>
      <c r="H1339" s="60" t="s">
        <v>70</v>
      </c>
      <c r="I1339" s="39">
        <v>1.4770000000000001</v>
      </c>
      <c r="J1339" s="39">
        <v>0.17369999999999999</v>
      </c>
      <c r="K1339" s="39">
        <v>0.1399</v>
      </c>
      <c r="L1339" s="39">
        <v>0.1104</v>
      </c>
      <c r="M1339" s="61">
        <v>5000</v>
      </c>
      <c r="N1339" s="61">
        <v>1000000</v>
      </c>
    </row>
    <row r="1340" spans="1:14" ht="15" customHeight="1" x14ac:dyDescent="0.25">
      <c r="A1340" s="64" t="str">
        <f t="shared" si="20"/>
        <v>1-18-0-TOU-3 year APR - Reward</v>
      </c>
      <c r="B1340" s="62" t="s">
        <v>13</v>
      </c>
      <c r="C1340" s="54">
        <v>18</v>
      </c>
      <c r="D1340" s="59" t="s">
        <v>27</v>
      </c>
      <c r="E1340" s="59" t="s">
        <v>87</v>
      </c>
      <c r="F1340" s="38" t="s">
        <v>88</v>
      </c>
      <c r="G1340" s="51">
        <v>1</v>
      </c>
      <c r="H1340" s="60" t="s">
        <v>70</v>
      </c>
      <c r="I1340" s="39">
        <v>0.89500000000000002</v>
      </c>
      <c r="J1340" s="39">
        <v>0.1545</v>
      </c>
      <c r="K1340" s="39">
        <v>0.1244</v>
      </c>
      <c r="L1340" s="39">
        <v>9.820000000000001E-2</v>
      </c>
      <c r="M1340" s="61">
        <v>5000</v>
      </c>
      <c r="N1340" s="61">
        <v>1000000</v>
      </c>
    </row>
    <row r="1341" spans="1:14" ht="15" customHeight="1" x14ac:dyDescent="0.25">
      <c r="A1341" s="64" t="str">
        <f t="shared" si="20"/>
        <v>1-19-0-TOU-3 year APR - Reward</v>
      </c>
      <c r="B1341" s="62" t="s">
        <v>13</v>
      </c>
      <c r="C1341" s="54">
        <v>19</v>
      </c>
      <c r="D1341" s="59" t="s">
        <v>28</v>
      </c>
      <c r="E1341" s="59" t="s">
        <v>87</v>
      </c>
      <c r="F1341" s="38" t="s">
        <v>88</v>
      </c>
      <c r="G1341" s="51">
        <v>1</v>
      </c>
      <c r="H1341" s="60" t="s">
        <v>70</v>
      </c>
      <c r="I1341" s="39">
        <v>0.77400000000000002</v>
      </c>
      <c r="J1341" s="39">
        <v>0.15369999999999998</v>
      </c>
      <c r="K1341" s="39">
        <v>0.1237</v>
      </c>
      <c r="L1341" s="39">
        <v>9.7700000000000009E-2</v>
      </c>
      <c r="M1341" s="61">
        <v>5000</v>
      </c>
      <c r="N1341" s="61">
        <v>1000000</v>
      </c>
    </row>
    <row r="1342" spans="1:14" ht="15" customHeight="1" x14ac:dyDescent="0.25">
      <c r="A1342" s="64" t="str">
        <f t="shared" si="20"/>
        <v>1-20-0-TOU-3 year APR - Reward</v>
      </c>
      <c r="B1342" s="62" t="s">
        <v>13</v>
      </c>
      <c r="C1342" s="54">
        <v>20</v>
      </c>
      <c r="D1342" s="59" t="s">
        <v>29</v>
      </c>
      <c r="E1342" s="59" t="s">
        <v>87</v>
      </c>
      <c r="F1342" s="38" t="s">
        <v>88</v>
      </c>
      <c r="G1342" s="51">
        <v>1</v>
      </c>
      <c r="H1342" s="60" t="s">
        <v>70</v>
      </c>
      <c r="I1342" s="39">
        <v>0.82299999999999995</v>
      </c>
      <c r="J1342" s="39">
        <v>0.15329999999999999</v>
      </c>
      <c r="K1342" s="39">
        <v>0.1235</v>
      </c>
      <c r="L1342" s="39">
        <v>9.7500000000000003E-2</v>
      </c>
      <c r="M1342" s="61">
        <v>5000</v>
      </c>
      <c r="N1342" s="61">
        <v>1000000</v>
      </c>
    </row>
    <row r="1343" spans="1:14" ht="15" customHeight="1" x14ac:dyDescent="0.25">
      <c r="A1343" s="64" t="str">
        <f t="shared" si="20"/>
        <v>1-21-0-TOU-3 year APR - Reward</v>
      </c>
      <c r="B1343" s="62" t="s">
        <v>13</v>
      </c>
      <c r="C1343" s="54">
        <v>21</v>
      </c>
      <c r="D1343" s="59" t="s">
        <v>30</v>
      </c>
      <c r="E1343" s="59" t="s">
        <v>87</v>
      </c>
      <c r="F1343" s="38" t="s">
        <v>88</v>
      </c>
      <c r="G1343" s="51">
        <v>1</v>
      </c>
      <c r="H1343" s="60" t="s">
        <v>70</v>
      </c>
      <c r="I1343" s="39">
        <v>0.91900000000000004</v>
      </c>
      <c r="J1343" s="39">
        <v>0.16319999999999998</v>
      </c>
      <c r="K1343" s="39">
        <v>0.13139999999999999</v>
      </c>
      <c r="L1343" s="39">
        <v>0.1038</v>
      </c>
      <c r="M1343" s="61">
        <v>5000</v>
      </c>
      <c r="N1343" s="61">
        <v>1000000</v>
      </c>
    </row>
    <row r="1344" spans="1:14" ht="15" customHeight="1" x14ac:dyDescent="0.25">
      <c r="A1344" s="64" t="str">
        <f t="shared" si="20"/>
        <v>1-22-0-TOU-3 year APR - Reward</v>
      </c>
      <c r="B1344" s="62" t="s">
        <v>13</v>
      </c>
      <c r="C1344" s="54">
        <v>22</v>
      </c>
      <c r="D1344" s="59" t="s">
        <v>31</v>
      </c>
      <c r="E1344" s="59" t="s">
        <v>87</v>
      </c>
      <c r="F1344" s="38" t="s">
        <v>88</v>
      </c>
      <c r="G1344" s="51">
        <v>1</v>
      </c>
      <c r="H1344" s="60" t="s">
        <v>70</v>
      </c>
      <c r="I1344" s="39">
        <v>0.9</v>
      </c>
      <c r="J1344" s="39">
        <v>0.1638</v>
      </c>
      <c r="K1344" s="39">
        <v>0.13189999999999999</v>
      </c>
      <c r="L1344" s="39">
        <v>0.1041</v>
      </c>
      <c r="M1344" s="61">
        <v>5000</v>
      </c>
      <c r="N1344" s="61">
        <v>1000000</v>
      </c>
    </row>
    <row r="1345" spans="1:14" ht="15" customHeight="1" x14ac:dyDescent="0.25">
      <c r="A1345" s="64" t="str">
        <f t="shared" si="20"/>
        <v>1-23-0-TOU-3 year APR - Reward</v>
      </c>
      <c r="B1345" s="62" t="s">
        <v>13</v>
      </c>
      <c r="C1345" s="54">
        <v>23</v>
      </c>
      <c r="D1345" s="59" t="s">
        <v>32</v>
      </c>
      <c r="E1345" s="59" t="s">
        <v>87</v>
      </c>
      <c r="F1345" s="38" t="s">
        <v>88</v>
      </c>
      <c r="G1345" s="51">
        <v>1</v>
      </c>
      <c r="H1345" s="60" t="s">
        <v>70</v>
      </c>
      <c r="I1345" s="39">
        <v>0.90200000000000002</v>
      </c>
      <c r="J1345" s="39">
        <v>0.15639999999999998</v>
      </c>
      <c r="K1345" s="39">
        <v>0.12589999999999998</v>
      </c>
      <c r="L1345" s="39">
        <v>9.9400000000000002E-2</v>
      </c>
      <c r="M1345" s="61">
        <v>5000</v>
      </c>
      <c r="N1345" s="61">
        <v>1000000</v>
      </c>
    </row>
    <row r="1346" spans="1:14" ht="15" customHeight="1" x14ac:dyDescent="0.25">
      <c r="A1346" s="64" t="str">
        <f t="shared" si="20"/>
        <v>0.1-10-0-TOU-3 year APR - Reward Plus</v>
      </c>
      <c r="B1346" s="62" t="s">
        <v>13</v>
      </c>
      <c r="C1346" s="54">
        <v>10</v>
      </c>
      <c r="D1346" s="59" t="s">
        <v>14</v>
      </c>
      <c r="E1346" s="59" t="s">
        <v>87</v>
      </c>
      <c r="F1346" s="38" t="s">
        <v>88</v>
      </c>
      <c r="G1346" s="51">
        <v>0.1</v>
      </c>
      <c r="H1346" s="60" t="s">
        <v>71</v>
      </c>
      <c r="I1346" s="39">
        <v>0.88100000000000001</v>
      </c>
      <c r="J1346" s="39">
        <v>0.14659999999999998</v>
      </c>
      <c r="K1346" s="39">
        <v>0.11800000000000001</v>
      </c>
      <c r="L1346" s="39">
        <v>9.3200000000000005E-2</v>
      </c>
      <c r="M1346" s="61">
        <v>5000</v>
      </c>
      <c r="N1346" s="61">
        <v>1000000</v>
      </c>
    </row>
    <row r="1347" spans="1:14" ht="15" customHeight="1" x14ac:dyDescent="0.25">
      <c r="A1347" s="64" t="str">
        <f t="shared" ref="A1347:A1410" si="21">IF(E1347="OP","",CONCATENATE(G1347,"-",C1347,"-",RIGHT(F1347,1),"-",E1347,"-",H1347))</f>
        <v>0.1-11-0-TOU-3 year APR - Reward Plus</v>
      </c>
      <c r="B1347" s="62" t="s">
        <v>13</v>
      </c>
      <c r="C1347" s="54">
        <v>11</v>
      </c>
      <c r="D1347" s="59" t="s">
        <v>20</v>
      </c>
      <c r="E1347" s="59" t="s">
        <v>87</v>
      </c>
      <c r="F1347" s="38" t="s">
        <v>88</v>
      </c>
      <c r="G1347" s="51">
        <v>0.1</v>
      </c>
      <c r="H1347" s="60" t="s">
        <v>71</v>
      </c>
      <c r="I1347" s="39">
        <v>0.86099999999999999</v>
      </c>
      <c r="J1347" s="39">
        <v>0.14879999999999999</v>
      </c>
      <c r="K1347" s="39">
        <v>0.1198</v>
      </c>
      <c r="L1347" s="39">
        <v>9.4600000000000004E-2</v>
      </c>
      <c r="M1347" s="61">
        <v>5000</v>
      </c>
      <c r="N1347" s="61">
        <v>1000000</v>
      </c>
    </row>
    <row r="1348" spans="1:14" ht="15" customHeight="1" x14ac:dyDescent="0.25">
      <c r="A1348" s="64" t="str">
        <f t="shared" si="21"/>
        <v>0.1-12-0-TOU-3 year APR - Reward Plus</v>
      </c>
      <c r="B1348" s="62" t="s">
        <v>13</v>
      </c>
      <c r="C1348" s="54">
        <v>12</v>
      </c>
      <c r="D1348" s="59" t="s">
        <v>21</v>
      </c>
      <c r="E1348" s="59" t="s">
        <v>87</v>
      </c>
      <c r="F1348" s="38" t="s">
        <v>88</v>
      </c>
      <c r="G1348" s="51">
        <v>0.1</v>
      </c>
      <c r="H1348" s="60" t="s">
        <v>71</v>
      </c>
      <c r="I1348" s="39">
        <v>0.90300000000000002</v>
      </c>
      <c r="J1348" s="39">
        <v>0.14609999999999998</v>
      </c>
      <c r="K1348" s="39">
        <v>0.1177</v>
      </c>
      <c r="L1348" s="39">
        <v>9.2899999999999996E-2</v>
      </c>
      <c r="M1348" s="61">
        <v>5000</v>
      </c>
      <c r="N1348" s="61">
        <v>1000000</v>
      </c>
    </row>
    <row r="1349" spans="1:14" ht="15" customHeight="1" x14ac:dyDescent="0.25">
      <c r="A1349" s="64" t="str">
        <f t="shared" si="21"/>
        <v>0.1-13-0-TOU-3 year APR - Reward Plus</v>
      </c>
      <c r="B1349" s="62" t="s">
        <v>13</v>
      </c>
      <c r="C1349" s="54">
        <v>13</v>
      </c>
      <c r="D1349" s="59" t="s">
        <v>22</v>
      </c>
      <c r="E1349" s="59" t="s">
        <v>87</v>
      </c>
      <c r="F1349" s="38" t="s">
        <v>88</v>
      </c>
      <c r="G1349" s="51">
        <v>0.1</v>
      </c>
      <c r="H1349" s="60" t="s">
        <v>71</v>
      </c>
      <c r="I1349" s="39">
        <v>0.88100000000000001</v>
      </c>
      <c r="J1349" s="39">
        <v>0.1583</v>
      </c>
      <c r="K1349" s="39">
        <v>0.12739999999999999</v>
      </c>
      <c r="L1349" s="39">
        <v>0.10060000000000001</v>
      </c>
      <c r="M1349" s="61">
        <v>5000</v>
      </c>
      <c r="N1349" s="61">
        <v>1000000</v>
      </c>
    </row>
    <row r="1350" spans="1:14" ht="15" customHeight="1" x14ac:dyDescent="0.25">
      <c r="A1350" s="64" t="str">
        <f t="shared" si="21"/>
        <v>0.1-14-0-TOU-3 year APR - Reward Plus</v>
      </c>
      <c r="B1350" s="62" t="s">
        <v>13</v>
      </c>
      <c r="C1350" s="54">
        <v>14</v>
      </c>
      <c r="D1350" s="59" t="s">
        <v>23</v>
      </c>
      <c r="E1350" s="59" t="s">
        <v>87</v>
      </c>
      <c r="F1350" s="38" t="s">
        <v>88</v>
      </c>
      <c r="G1350" s="51">
        <v>0.1</v>
      </c>
      <c r="H1350" s="60" t="s">
        <v>71</v>
      </c>
      <c r="I1350" s="39">
        <v>0.89</v>
      </c>
      <c r="J1350" s="39">
        <v>0.14979999999999999</v>
      </c>
      <c r="K1350" s="39">
        <v>0.1206</v>
      </c>
      <c r="L1350" s="39">
        <v>9.5200000000000007E-2</v>
      </c>
      <c r="M1350" s="61">
        <v>5000</v>
      </c>
      <c r="N1350" s="61">
        <v>1000000</v>
      </c>
    </row>
    <row r="1351" spans="1:14" ht="15" customHeight="1" x14ac:dyDescent="0.25">
      <c r="A1351" s="64" t="str">
        <f t="shared" si="21"/>
        <v>0.1-15-0-TOU-3 year APR - Reward Plus</v>
      </c>
      <c r="B1351" s="62" t="s">
        <v>13</v>
      </c>
      <c r="C1351" s="54">
        <v>15</v>
      </c>
      <c r="D1351" s="59" t="s">
        <v>24</v>
      </c>
      <c r="E1351" s="59" t="s">
        <v>87</v>
      </c>
      <c r="F1351" s="38" t="s">
        <v>88</v>
      </c>
      <c r="G1351" s="51">
        <v>0.1</v>
      </c>
      <c r="H1351" s="60" t="s">
        <v>71</v>
      </c>
      <c r="I1351" s="39">
        <v>0.96</v>
      </c>
      <c r="J1351" s="39">
        <v>0.15059999999999998</v>
      </c>
      <c r="K1351" s="39">
        <v>0.12130000000000001</v>
      </c>
      <c r="L1351" s="39">
        <v>9.5699999999999993E-2</v>
      </c>
      <c r="M1351" s="61">
        <v>5000</v>
      </c>
      <c r="N1351" s="61">
        <v>1000000</v>
      </c>
    </row>
    <row r="1352" spans="1:14" ht="15" customHeight="1" x14ac:dyDescent="0.25">
      <c r="A1352" s="64" t="str">
        <f t="shared" si="21"/>
        <v>0.1-16-0-TOU-3 year APR - Reward Plus</v>
      </c>
      <c r="B1352" s="62" t="s">
        <v>13</v>
      </c>
      <c r="C1352" s="54">
        <v>16</v>
      </c>
      <c r="D1352" s="59" t="s">
        <v>25</v>
      </c>
      <c r="E1352" s="59" t="s">
        <v>87</v>
      </c>
      <c r="F1352" s="38" t="s">
        <v>88</v>
      </c>
      <c r="G1352" s="51">
        <v>0.1</v>
      </c>
      <c r="H1352" s="60" t="s">
        <v>71</v>
      </c>
      <c r="I1352" s="39">
        <v>0.72699999999999998</v>
      </c>
      <c r="J1352" s="39">
        <v>0.14939999999999998</v>
      </c>
      <c r="K1352" s="39">
        <v>0.1203</v>
      </c>
      <c r="L1352" s="39">
        <v>9.5000000000000001E-2</v>
      </c>
      <c r="M1352" s="61">
        <v>5000</v>
      </c>
      <c r="N1352" s="61">
        <v>1000000</v>
      </c>
    </row>
    <row r="1353" spans="1:14" ht="15" customHeight="1" x14ac:dyDescent="0.25">
      <c r="A1353" s="64" t="str">
        <f t="shared" si="21"/>
        <v>0.1-17-0-TOU-3 year APR - Reward Plus</v>
      </c>
      <c r="B1353" s="62" t="s">
        <v>13</v>
      </c>
      <c r="C1353" s="54">
        <v>17</v>
      </c>
      <c r="D1353" s="59" t="s">
        <v>26</v>
      </c>
      <c r="E1353" s="59" t="s">
        <v>87</v>
      </c>
      <c r="F1353" s="38" t="s">
        <v>88</v>
      </c>
      <c r="G1353" s="51">
        <v>0.1</v>
      </c>
      <c r="H1353" s="60" t="s">
        <v>71</v>
      </c>
      <c r="I1353" s="39">
        <v>1.484</v>
      </c>
      <c r="J1353" s="39">
        <v>0.16779999999999998</v>
      </c>
      <c r="K1353" s="39">
        <v>0.1351</v>
      </c>
      <c r="L1353" s="39">
        <v>0.1067</v>
      </c>
      <c r="M1353" s="61">
        <v>5000</v>
      </c>
      <c r="N1353" s="61">
        <v>1000000</v>
      </c>
    </row>
    <row r="1354" spans="1:14" ht="15" customHeight="1" x14ac:dyDescent="0.25">
      <c r="A1354" s="64" t="str">
        <f t="shared" si="21"/>
        <v>0.1-18-0-TOU-3 year APR - Reward Plus</v>
      </c>
      <c r="B1354" s="62" t="s">
        <v>13</v>
      </c>
      <c r="C1354" s="54">
        <v>18</v>
      </c>
      <c r="D1354" s="59" t="s">
        <v>27</v>
      </c>
      <c r="E1354" s="59" t="s">
        <v>87</v>
      </c>
      <c r="F1354" s="38" t="s">
        <v>88</v>
      </c>
      <c r="G1354" s="51">
        <v>0.1</v>
      </c>
      <c r="H1354" s="60" t="s">
        <v>71</v>
      </c>
      <c r="I1354" s="39">
        <v>0.89900000000000002</v>
      </c>
      <c r="J1354" s="39">
        <v>0.14859999999999998</v>
      </c>
      <c r="K1354" s="39">
        <v>0.1197</v>
      </c>
      <c r="L1354" s="39">
        <v>9.4500000000000001E-2</v>
      </c>
      <c r="M1354" s="61">
        <v>5000</v>
      </c>
      <c r="N1354" s="61">
        <v>1000000</v>
      </c>
    </row>
    <row r="1355" spans="1:14" ht="15" customHeight="1" x14ac:dyDescent="0.25">
      <c r="A1355" s="64" t="str">
        <f t="shared" si="21"/>
        <v>0.1-19-0-TOU-3 year APR - Reward Plus</v>
      </c>
      <c r="B1355" s="62" t="s">
        <v>13</v>
      </c>
      <c r="C1355" s="54">
        <v>19</v>
      </c>
      <c r="D1355" s="59" t="s">
        <v>28</v>
      </c>
      <c r="E1355" s="59" t="s">
        <v>87</v>
      </c>
      <c r="F1355" s="38" t="s">
        <v>88</v>
      </c>
      <c r="G1355" s="51">
        <v>0.1</v>
      </c>
      <c r="H1355" s="60" t="s">
        <v>71</v>
      </c>
      <c r="I1355" s="39">
        <v>0.77800000000000002</v>
      </c>
      <c r="J1355" s="39">
        <v>0.14779999999999999</v>
      </c>
      <c r="K1355" s="39">
        <v>0.11900000000000001</v>
      </c>
      <c r="L1355" s="39">
        <v>9.3899999999999997E-2</v>
      </c>
      <c r="M1355" s="61">
        <v>5000</v>
      </c>
      <c r="N1355" s="61">
        <v>1000000</v>
      </c>
    </row>
    <row r="1356" spans="1:14" ht="15" customHeight="1" x14ac:dyDescent="0.25">
      <c r="A1356" s="64" t="str">
        <f t="shared" si="21"/>
        <v>0.1-20-0-TOU-3 year APR - Reward Plus</v>
      </c>
      <c r="B1356" s="62" t="s">
        <v>13</v>
      </c>
      <c r="C1356" s="54">
        <v>20</v>
      </c>
      <c r="D1356" s="59" t="s">
        <v>29</v>
      </c>
      <c r="E1356" s="59" t="s">
        <v>87</v>
      </c>
      <c r="F1356" s="38" t="s">
        <v>88</v>
      </c>
      <c r="G1356" s="51">
        <v>0.1</v>
      </c>
      <c r="H1356" s="60" t="s">
        <v>71</v>
      </c>
      <c r="I1356" s="39">
        <v>0.82699999999999996</v>
      </c>
      <c r="J1356" s="39">
        <v>0.14739999999999998</v>
      </c>
      <c r="K1356" s="39">
        <v>0.1187</v>
      </c>
      <c r="L1356" s="39">
        <v>9.3700000000000006E-2</v>
      </c>
      <c r="M1356" s="61">
        <v>5000</v>
      </c>
      <c r="N1356" s="61">
        <v>1000000</v>
      </c>
    </row>
    <row r="1357" spans="1:14" ht="15" customHeight="1" x14ac:dyDescent="0.25">
      <c r="A1357" s="64" t="str">
        <f t="shared" si="21"/>
        <v>0.1-21-0-TOU-3 year APR - Reward Plus</v>
      </c>
      <c r="B1357" s="62" t="s">
        <v>13</v>
      </c>
      <c r="C1357" s="54">
        <v>21</v>
      </c>
      <c r="D1357" s="59" t="s">
        <v>30</v>
      </c>
      <c r="E1357" s="59" t="s">
        <v>87</v>
      </c>
      <c r="F1357" s="38" t="s">
        <v>88</v>
      </c>
      <c r="G1357" s="51">
        <v>0.1</v>
      </c>
      <c r="H1357" s="60" t="s">
        <v>71</v>
      </c>
      <c r="I1357" s="39">
        <v>0.92300000000000004</v>
      </c>
      <c r="J1357" s="39">
        <v>0.1573</v>
      </c>
      <c r="K1357" s="39">
        <v>0.12669999999999998</v>
      </c>
      <c r="L1357" s="39">
        <v>0.1</v>
      </c>
      <c r="M1357" s="61">
        <v>5000</v>
      </c>
      <c r="N1357" s="61">
        <v>1000000</v>
      </c>
    </row>
    <row r="1358" spans="1:14" ht="15" customHeight="1" x14ac:dyDescent="0.25">
      <c r="A1358" s="64" t="str">
        <f t="shared" si="21"/>
        <v>0.1-22-0-TOU-3 year APR - Reward Plus</v>
      </c>
      <c r="B1358" s="62" t="s">
        <v>13</v>
      </c>
      <c r="C1358" s="54">
        <v>22</v>
      </c>
      <c r="D1358" s="59" t="s">
        <v>31</v>
      </c>
      <c r="E1358" s="59" t="s">
        <v>87</v>
      </c>
      <c r="F1358" s="38" t="s">
        <v>88</v>
      </c>
      <c r="G1358" s="51">
        <v>0.1</v>
      </c>
      <c r="H1358" s="60" t="s">
        <v>71</v>
      </c>
      <c r="I1358" s="39">
        <v>0.90400000000000003</v>
      </c>
      <c r="J1358" s="39">
        <v>0.15789999999999998</v>
      </c>
      <c r="K1358" s="39">
        <v>0.12719999999999998</v>
      </c>
      <c r="L1358" s="39">
        <v>0.1004</v>
      </c>
      <c r="M1358" s="61">
        <v>5000</v>
      </c>
      <c r="N1358" s="61">
        <v>1000000</v>
      </c>
    </row>
    <row r="1359" spans="1:14" ht="15" customHeight="1" x14ac:dyDescent="0.25">
      <c r="A1359" s="64" t="str">
        <f t="shared" si="21"/>
        <v>0.1-23-0-TOU-3 year APR - Reward Plus</v>
      </c>
      <c r="B1359" s="62" t="s">
        <v>13</v>
      </c>
      <c r="C1359" s="54">
        <v>23</v>
      </c>
      <c r="D1359" s="59" t="s">
        <v>32</v>
      </c>
      <c r="E1359" s="59" t="s">
        <v>87</v>
      </c>
      <c r="F1359" s="38" t="s">
        <v>88</v>
      </c>
      <c r="G1359" s="51">
        <v>0.1</v>
      </c>
      <c r="H1359" s="60" t="s">
        <v>71</v>
      </c>
      <c r="I1359" s="39">
        <v>0.90600000000000003</v>
      </c>
      <c r="J1359" s="39">
        <v>0.15049999999999999</v>
      </c>
      <c r="K1359" s="39">
        <v>0.1212</v>
      </c>
      <c r="L1359" s="39">
        <v>9.5700000000000007E-2</v>
      </c>
      <c r="M1359" s="61">
        <v>5000</v>
      </c>
      <c r="N1359" s="61">
        <v>1000000</v>
      </c>
    </row>
    <row r="1360" spans="1:14" ht="15" customHeight="1" x14ac:dyDescent="0.25">
      <c r="A1360" s="64" t="str">
        <f t="shared" si="21"/>
        <v>0.2-10-0-TOU-3 year APR - Reward Plus</v>
      </c>
      <c r="B1360" s="62" t="s">
        <v>13</v>
      </c>
      <c r="C1360" s="54">
        <v>10</v>
      </c>
      <c r="D1360" s="59" t="s">
        <v>14</v>
      </c>
      <c r="E1360" s="59" t="s">
        <v>87</v>
      </c>
      <c r="F1360" s="38" t="s">
        <v>88</v>
      </c>
      <c r="G1360" s="51">
        <v>0.2</v>
      </c>
      <c r="H1360" s="60" t="s">
        <v>71</v>
      </c>
      <c r="I1360" s="39">
        <v>0.88100000000000001</v>
      </c>
      <c r="J1360" s="39">
        <v>0.14779999999999999</v>
      </c>
      <c r="K1360" s="39">
        <v>0.11900000000000001</v>
      </c>
      <c r="L1360" s="39">
        <v>9.3899999999999997E-2</v>
      </c>
      <c r="M1360" s="61">
        <v>5000</v>
      </c>
      <c r="N1360" s="61">
        <v>1000000</v>
      </c>
    </row>
    <row r="1361" spans="1:14" ht="15" customHeight="1" x14ac:dyDescent="0.25">
      <c r="A1361" s="64" t="str">
        <f t="shared" si="21"/>
        <v>0.2-11-0-TOU-3 year APR - Reward Plus</v>
      </c>
      <c r="B1361" s="62" t="s">
        <v>13</v>
      </c>
      <c r="C1361" s="54">
        <v>11</v>
      </c>
      <c r="D1361" s="59" t="s">
        <v>20</v>
      </c>
      <c r="E1361" s="59" t="s">
        <v>87</v>
      </c>
      <c r="F1361" s="38" t="s">
        <v>88</v>
      </c>
      <c r="G1361" s="51">
        <v>0.2</v>
      </c>
      <c r="H1361" s="60" t="s">
        <v>71</v>
      </c>
      <c r="I1361" s="39">
        <v>0.86099999999999999</v>
      </c>
      <c r="J1361" s="39">
        <v>0.15</v>
      </c>
      <c r="K1361" s="39">
        <v>0.1208</v>
      </c>
      <c r="L1361" s="39">
        <v>9.5399999999999999E-2</v>
      </c>
      <c r="M1361" s="61">
        <v>5000</v>
      </c>
      <c r="N1361" s="61">
        <v>1000000</v>
      </c>
    </row>
    <row r="1362" spans="1:14" ht="15" customHeight="1" x14ac:dyDescent="0.25">
      <c r="A1362" s="64" t="str">
        <f t="shared" si="21"/>
        <v>0.2-12-0-TOU-3 year APR - Reward Plus</v>
      </c>
      <c r="B1362" s="62" t="s">
        <v>13</v>
      </c>
      <c r="C1362" s="54">
        <v>12</v>
      </c>
      <c r="D1362" s="59" t="s">
        <v>21</v>
      </c>
      <c r="E1362" s="59" t="s">
        <v>87</v>
      </c>
      <c r="F1362" s="38" t="s">
        <v>88</v>
      </c>
      <c r="G1362" s="51">
        <v>0.2</v>
      </c>
      <c r="H1362" s="60" t="s">
        <v>71</v>
      </c>
      <c r="I1362" s="39">
        <v>0.90300000000000002</v>
      </c>
      <c r="J1362" s="39">
        <v>0.14729999999999999</v>
      </c>
      <c r="K1362" s="39">
        <v>0.1186</v>
      </c>
      <c r="L1362" s="39">
        <v>9.3600000000000003E-2</v>
      </c>
      <c r="M1362" s="61">
        <v>5000</v>
      </c>
      <c r="N1362" s="61">
        <v>1000000</v>
      </c>
    </row>
    <row r="1363" spans="1:14" ht="15" customHeight="1" x14ac:dyDescent="0.25">
      <c r="A1363" s="64" t="str">
        <f t="shared" si="21"/>
        <v>0.2-13-0-TOU-3 year APR - Reward Plus</v>
      </c>
      <c r="B1363" s="62" t="s">
        <v>13</v>
      </c>
      <c r="C1363" s="54">
        <v>13</v>
      </c>
      <c r="D1363" s="59" t="s">
        <v>22</v>
      </c>
      <c r="E1363" s="59" t="s">
        <v>87</v>
      </c>
      <c r="F1363" s="38" t="s">
        <v>88</v>
      </c>
      <c r="G1363" s="51">
        <v>0.2</v>
      </c>
      <c r="H1363" s="60" t="s">
        <v>71</v>
      </c>
      <c r="I1363" s="39">
        <v>0.88100000000000001</v>
      </c>
      <c r="J1363" s="39">
        <v>0.15949999999999998</v>
      </c>
      <c r="K1363" s="39">
        <v>0.12839999999999999</v>
      </c>
      <c r="L1363" s="39">
        <v>0.1014</v>
      </c>
      <c r="M1363" s="61">
        <v>5000</v>
      </c>
      <c r="N1363" s="61">
        <v>1000000</v>
      </c>
    </row>
    <row r="1364" spans="1:14" ht="15" customHeight="1" x14ac:dyDescent="0.25">
      <c r="A1364" s="64" t="str">
        <f t="shared" si="21"/>
        <v>0.2-14-0-TOU-3 year APR - Reward Plus</v>
      </c>
      <c r="B1364" s="62" t="s">
        <v>13</v>
      </c>
      <c r="C1364" s="54">
        <v>14</v>
      </c>
      <c r="D1364" s="59" t="s">
        <v>23</v>
      </c>
      <c r="E1364" s="59" t="s">
        <v>87</v>
      </c>
      <c r="F1364" s="38" t="s">
        <v>88</v>
      </c>
      <c r="G1364" s="51">
        <v>0.2</v>
      </c>
      <c r="H1364" s="60" t="s">
        <v>71</v>
      </c>
      <c r="I1364" s="39">
        <v>0.89</v>
      </c>
      <c r="J1364" s="39">
        <v>0.151</v>
      </c>
      <c r="K1364" s="39">
        <v>0.1216</v>
      </c>
      <c r="L1364" s="39">
        <v>9.6000000000000002E-2</v>
      </c>
      <c r="M1364" s="61">
        <v>5000</v>
      </c>
      <c r="N1364" s="61">
        <v>1000000</v>
      </c>
    </row>
    <row r="1365" spans="1:14" ht="15" customHeight="1" x14ac:dyDescent="0.25">
      <c r="A1365" s="64" t="str">
        <f t="shared" si="21"/>
        <v>0.2-15-0-TOU-3 year APR - Reward Plus</v>
      </c>
      <c r="B1365" s="62" t="s">
        <v>13</v>
      </c>
      <c r="C1365" s="54">
        <v>15</v>
      </c>
      <c r="D1365" s="59" t="s">
        <v>24</v>
      </c>
      <c r="E1365" s="59" t="s">
        <v>87</v>
      </c>
      <c r="F1365" s="38" t="s">
        <v>88</v>
      </c>
      <c r="G1365" s="51">
        <v>0.2</v>
      </c>
      <c r="H1365" s="60" t="s">
        <v>71</v>
      </c>
      <c r="I1365" s="39">
        <v>0.96</v>
      </c>
      <c r="J1365" s="39">
        <v>0.15179999999999999</v>
      </c>
      <c r="K1365" s="39">
        <v>0.1222</v>
      </c>
      <c r="L1365" s="39">
        <v>9.6500000000000002E-2</v>
      </c>
      <c r="M1365" s="61">
        <v>5000</v>
      </c>
      <c r="N1365" s="61">
        <v>1000000</v>
      </c>
    </row>
    <row r="1366" spans="1:14" ht="15" customHeight="1" x14ac:dyDescent="0.25">
      <c r="A1366" s="64" t="str">
        <f t="shared" si="21"/>
        <v>0.2-16-0-TOU-3 year APR - Reward Plus</v>
      </c>
      <c r="B1366" s="62" t="s">
        <v>13</v>
      </c>
      <c r="C1366" s="54">
        <v>16</v>
      </c>
      <c r="D1366" s="59" t="s">
        <v>25</v>
      </c>
      <c r="E1366" s="59" t="s">
        <v>87</v>
      </c>
      <c r="F1366" s="38" t="s">
        <v>88</v>
      </c>
      <c r="G1366" s="51">
        <v>0.2</v>
      </c>
      <c r="H1366" s="60" t="s">
        <v>71</v>
      </c>
      <c r="I1366" s="39">
        <v>0.72699999999999998</v>
      </c>
      <c r="J1366" s="39">
        <v>0.15059999999999998</v>
      </c>
      <c r="K1366" s="39">
        <v>0.12130000000000001</v>
      </c>
      <c r="L1366" s="39">
        <v>9.5699999999999993E-2</v>
      </c>
      <c r="M1366" s="61">
        <v>5000</v>
      </c>
      <c r="N1366" s="61">
        <v>1000000</v>
      </c>
    </row>
    <row r="1367" spans="1:14" ht="15" customHeight="1" x14ac:dyDescent="0.25">
      <c r="A1367" s="64" t="str">
        <f t="shared" si="21"/>
        <v>0.2-17-0-TOU-3 year APR - Reward Plus</v>
      </c>
      <c r="B1367" s="62" t="s">
        <v>13</v>
      </c>
      <c r="C1367" s="54">
        <v>17</v>
      </c>
      <c r="D1367" s="59" t="s">
        <v>26</v>
      </c>
      <c r="E1367" s="59" t="s">
        <v>87</v>
      </c>
      <c r="F1367" s="38" t="s">
        <v>88</v>
      </c>
      <c r="G1367" s="51">
        <v>0.2</v>
      </c>
      <c r="H1367" s="60" t="s">
        <v>71</v>
      </c>
      <c r="I1367" s="39">
        <v>1.484</v>
      </c>
      <c r="J1367" s="39">
        <v>0.16899999999999998</v>
      </c>
      <c r="K1367" s="39">
        <v>0.1361</v>
      </c>
      <c r="L1367" s="39">
        <v>0.1074</v>
      </c>
      <c r="M1367" s="61">
        <v>5000</v>
      </c>
      <c r="N1367" s="61">
        <v>1000000</v>
      </c>
    </row>
    <row r="1368" spans="1:14" ht="15" customHeight="1" x14ac:dyDescent="0.25">
      <c r="A1368" s="64" t="str">
        <f t="shared" si="21"/>
        <v>0.2-18-0-TOU-3 year APR - Reward Plus</v>
      </c>
      <c r="B1368" s="62" t="s">
        <v>13</v>
      </c>
      <c r="C1368" s="54">
        <v>18</v>
      </c>
      <c r="D1368" s="59" t="s">
        <v>27</v>
      </c>
      <c r="E1368" s="59" t="s">
        <v>87</v>
      </c>
      <c r="F1368" s="38" t="s">
        <v>88</v>
      </c>
      <c r="G1368" s="51">
        <v>0.2</v>
      </c>
      <c r="H1368" s="60" t="s">
        <v>71</v>
      </c>
      <c r="I1368" s="39">
        <v>0.89900000000000002</v>
      </c>
      <c r="J1368" s="39">
        <v>0.14979999999999999</v>
      </c>
      <c r="K1368" s="39">
        <v>0.1206</v>
      </c>
      <c r="L1368" s="39">
        <v>9.5200000000000007E-2</v>
      </c>
      <c r="M1368" s="61">
        <v>5000</v>
      </c>
      <c r="N1368" s="61">
        <v>1000000</v>
      </c>
    </row>
    <row r="1369" spans="1:14" ht="15" customHeight="1" x14ac:dyDescent="0.25">
      <c r="A1369" s="64" t="str">
        <f t="shared" si="21"/>
        <v>0.2-19-0-TOU-3 year APR - Reward Plus</v>
      </c>
      <c r="B1369" s="62" t="s">
        <v>13</v>
      </c>
      <c r="C1369" s="54">
        <v>19</v>
      </c>
      <c r="D1369" s="59" t="s">
        <v>28</v>
      </c>
      <c r="E1369" s="59" t="s">
        <v>87</v>
      </c>
      <c r="F1369" s="38" t="s">
        <v>88</v>
      </c>
      <c r="G1369" s="51">
        <v>0.2</v>
      </c>
      <c r="H1369" s="60" t="s">
        <v>71</v>
      </c>
      <c r="I1369" s="39">
        <v>0.77800000000000002</v>
      </c>
      <c r="J1369" s="39">
        <v>0.14899999999999999</v>
      </c>
      <c r="K1369" s="39">
        <v>0.11990000000000001</v>
      </c>
      <c r="L1369" s="39">
        <v>9.4700000000000006E-2</v>
      </c>
      <c r="M1369" s="61">
        <v>5000</v>
      </c>
      <c r="N1369" s="61">
        <v>1000000</v>
      </c>
    </row>
    <row r="1370" spans="1:14" ht="15" customHeight="1" x14ac:dyDescent="0.25">
      <c r="A1370" s="64" t="str">
        <f t="shared" si="21"/>
        <v>0.2-20-0-TOU-3 year APR - Reward Plus</v>
      </c>
      <c r="B1370" s="62" t="s">
        <v>13</v>
      </c>
      <c r="C1370" s="54">
        <v>20</v>
      </c>
      <c r="D1370" s="59" t="s">
        <v>29</v>
      </c>
      <c r="E1370" s="59" t="s">
        <v>87</v>
      </c>
      <c r="F1370" s="38" t="s">
        <v>88</v>
      </c>
      <c r="G1370" s="51">
        <v>0.2</v>
      </c>
      <c r="H1370" s="60" t="s">
        <v>71</v>
      </c>
      <c r="I1370" s="39">
        <v>0.82699999999999996</v>
      </c>
      <c r="J1370" s="39">
        <v>0.14859999999999998</v>
      </c>
      <c r="K1370" s="39">
        <v>0.1197</v>
      </c>
      <c r="L1370" s="39">
        <v>9.4500000000000001E-2</v>
      </c>
      <c r="M1370" s="61">
        <v>5000</v>
      </c>
      <c r="N1370" s="61">
        <v>1000000</v>
      </c>
    </row>
    <row r="1371" spans="1:14" ht="15" customHeight="1" x14ac:dyDescent="0.25">
      <c r="A1371" s="64" t="str">
        <f t="shared" si="21"/>
        <v>0.2-21-0-TOU-3 year APR - Reward Plus</v>
      </c>
      <c r="B1371" s="62" t="s">
        <v>13</v>
      </c>
      <c r="C1371" s="54">
        <v>21</v>
      </c>
      <c r="D1371" s="59" t="s">
        <v>30</v>
      </c>
      <c r="E1371" s="59" t="s">
        <v>87</v>
      </c>
      <c r="F1371" s="38" t="s">
        <v>88</v>
      </c>
      <c r="G1371" s="51">
        <v>0.2</v>
      </c>
      <c r="H1371" s="60" t="s">
        <v>71</v>
      </c>
      <c r="I1371" s="39">
        <v>0.92300000000000004</v>
      </c>
      <c r="J1371" s="39">
        <v>0.1585</v>
      </c>
      <c r="K1371" s="39">
        <v>0.12759999999999999</v>
      </c>
      <c r="L1371" s="39">
        <v>0.1008</v>
      </c>
      <c r="M1371" s="61">
        <v>5000</v>
      </c>
      <c r="N1371" s="61">
        <v>1000000</v>
      </c>
    </row>
    <row r="1372" spans="1:14" ht="15" customHeight="1" x14ac:dyDescent="0.25">
      <c r="A1372" s="64" t="str">
        <f t="shared" si="21"/>
        <v>0.2-22-0-TOU-3 year APR - Reward Plus</v>
      </c>
      <c r="B1372" s="62" t="s">
        <v>13</v>
      </c>
      <c r="C1372" s="54">
        <v>22</v>
      </c>
      <c r="D1372" s="59" t="s">
        <v>31</v>
      </c>
      <c r="E1372" s="59" t="s">
        <v>87</v>
      </c>
      <c r="F1372" s="38" t="s">
        <v>88</v>
      </c>
      <c r="G1372" s="51">
        <v>0.2</v>
      </c>
      <c r="H1372" s="60" t="s">
        <v>71</v>
      </c>
      <c r="I1372" s="39">
        <v>0.90400000000000003</v>
      </c>
      <c r="J1372" s="39">
        <v>0.15909999999999999</v>
      </c>
      <c r="K1372" s="39">
        <v>0.12809999999999999</v>
      </c>
      <c r="L1372" s="39">
        <v>0.1011</v>
      </c>
      <c r="M1372" s="61">
        <v>5000</v>
      </c>
      <c r="N1372" s="61">
        <v>1000000</v>
      </c>
    </row>
    <row r="1373" spans="1:14" ht="15" customHeight="1" x14ac:dyDescent="0.25">
      <c r="A1373" s="64" t="str">
        <f t="shared" si="21"/>
        <v>0.2-23-0-TOU-3 year APR - Reward Plus</v>
      </c>
      <c r="B1373" s="62" t="s">
        <v>13</v>
      </c>
      <c r="C1373" s="54">
        <v>23</v>
      </c>
      <c r="D1373" s="59" t="s">
        <v>32</v>
      </c>
      <c r="E1373" s="59" t="s">
        <v>87</v>
      </c>
      <c r="F1373" s="38" t="s">
        <v>88</v>
      </c>
      <c r="G1373" s="51">
        <v>0.2</v>
      </c>
      <c r="H1373" s="60" t="s">
        <v>71</v>
      </c>
      <c r="I1373" s="39">
        <v>0.90600000000000003</v>
      </c>
      <c r="J1373" s="39">
        <v>0.1517</v>
      </c>
      <c r="K1373" s="39">
        <v>0.1221</v>
      </c>
      <c r="L1373" s="39">
        <v>9.64E-2</v>
      </c>
      <c r="M1373" s="61">
        <v>5000</v>
      </c>
      <c r="N1373" s="61">
        <v>1000000</v>
      </c>
    </row>
    <row r="1374" spans="1:14" ht="15" customHeight="1" x14ac:dyDescent="0.25">
      <c r="A1374" s="64" t="str">
        <f t="shared" si="21"/>
        <v>0.3-10-0-TOU-3 year APR - Reward Plus</v>
      </c>
      <c r="B1374" s="62" t="s">
        <v>13</v>
      </c>
      <c r="C1374" s="54">
        <v>10</v>
      </c>
      <c r="D1374" s="59" t="s">
        <v>14</v>
      </c>
      <c r="E1374" s="59" t="s">
        <v>87</v>
      </c>
      <c r="F1374" s="38" t="s">
        <v>88</v>
      </c>
      <c r="G1374" s="51">
        <v>0.3</v>
      </c>
      <c r="H1374" s="60" t="s">
        <v>71</v>
      </c>
      <c r="I1374" s="39">
        <v>0.88100000000000001</v>
      </c>
      <c r="J1374" s="39">
        <v>0.14899999999999999</v>
      </c>
      <c r="K1374" s="39">
        <v>0.11990000000000001</v>
      </c>
      <c r="L1374" s="39">
        <v>9.4700000000000006E-2</v>
      </c>
      <c r="M1374" s="61">
        <v>5000</v>
      </c>
      <c r="N1374" s="61">
        <v>1000000</v>
      </c>
    </row>
    <row r="1375" spans="1:14" ht="15" customHeight="1" x14ac:dyDescent="0.25">
      <c r="A1375" s="64" t="str">
        <f t="shared" si="21"/>
        <v>0.3-11-0-TOU-3 year APR - Reward Plus</v>
      </c>
      <c r="B1375" s="62" t="s">
        <v>13</v>
      </c>
      <c r="C1375" s="54">
        <v>11</v>
      </c>
      <c r="D1375" s="59" t="s">
        <v>20</v>
      </c>
      <c r="E1375" s="59" t="s">
        <v>87</v>
      </c>
      <c r="F1375" s="38" t="s">
        <v>88</v>
      </c>
      <c r="G1375" s="51">
        <v>0.3</v>
      </c>
      <c r="H1375" s="60" t="s">
        <v>71</v>
      </c>
      <c r="I1375" s="39">
        <v>0.86099999999999999</v>
      </c>
      <c r="J1375" s="39">
        <v>0.1512</v>
      </c>
      <c r="K1375" s="39">
        <v>0.1217</v>
      </c>
      <c r="L1375" s="39">
        <v>9.6100000000000005E-2</v>
      </c>
      <c r="M1375" s="61">
        <v>5000</v>
      </c>
      <c r="N1375" s="61">
        <v>1000000</v>
      </c>
    </row>
    <row r="1376" spans="1:14" ht="15" customHeight="1" x14ac:dyDescent="0.25">
      <c r="A1376" s="64" t="str">
        <f t="shared" si="21"/>
        <v>0.3-12-0-TOU-3 year APR - Reward Plus</v>
      </c>
      <c r="B1376" s="62" t="s">
        <v>13</v>
      </c>
      <c r="C1376" s="54">
        <v>12</v>
      </c>
      <c r="D1376" s="59" t="s">
        <v>21</v>
      </c>
      <c r="E1376" s="59" t="s">
        <v>87</v>
      </c>
      <c r="F1376" s="38" t="s">
        <v>88</v>
      </c>
      <c r="G1376" s="51">
        <v>0.3</v>
      </c>
      <c r="H1376" s="60" t="s">
        <v>71</v>
      </c>
      <c r="I1376" s="39">
        <v>0.90300000000000002</v>
      </c>
      <c r="J1376" s="39">
        <v>0.14849999999999999</v>
      </c>
      <c r="K1376" s="39">
        <v>0.1196</v>
      </c>
      <c r="L1376" s="39">
        <v>9.4399999999999998E-2</v>
      </c>
      <c r="M1376" s="61">
        <v>5000</v>
      </c>
      <c r="N1376" s="61">
        <v>1000000</v>
      </c>
    </row>
    <row r="1377" spans="1:14" ht="15" customHeight="1" x14ac:dyDescent="0.25">
      <c r="A1377" s="64" t="str">
        <f t="shared" si="21"/>
        <v>0.3-13-0-TOU-3 year APR - Reward Plus</v>
      </c>
      <c r="B1377" s="62" t="s">
        <v>13</v>
      </c>
      <c r="C1377" s="54">
        <v>13</v>
      </c>
      <c r="D1377" s="59" t="s">
        <v>22</v>
      </c>
      <c r="E1377" s="59" t="s">
        <v>87</v>
      </c>
      <c r="F1377" s="38" t="s">
        <v>88</v>
      </c>
      <c r="G1377" s="51">
        <v>0.3</v>
      </c>
      <c r="H1377" s="60" t="s">
        <v>71</v>
      </c>
      <c r="I1377" s="39">
        <v>0.88100000000000001</v>
      </c>
      <c r="J1377" s="39">
        <v>0.16059999999999999</v>
      </c>
      <c r="K1377" s="39">
        <v>0.1293</v>
      </c>
      <c r="L1377" s="39">
        <v>0.1021</v>
      </c>
      <c r="M1377" s="61">
        <v>5000</v>
      </c>
      <c r="N1377" s="61">
        <v>1000000</v>
      </c>
    </row>
    <row r="1378" spans="1:14" ht="15" customHeight="1" x14ac:dyDescent="0.25">
      <c r="A1378" s="64" t="str">
        <f t="shared" si="21"/>
        <v>0.3-14-0-TOU-3 year APR - Reward Plus</v>
      </c>
      <c r="B1378" s="62" t="s">
        <v>13</v>
      </c>
      <c r="C1378" s="54">
        <v>14</v>
      </c>
      <c r="D1378" s="59" t="s">
        <v>23</v>
      </c>
      <c r="E1378" s="59" t="s">
        <v>87</v>
      </c>
      <c r="F1378" s="38" t="s">
        <v>88</v>
      </c>
      <c r="G1378" s="51">
        <v>0.3</v>
      </c>
      <c r="H1378" s="60" t="s">
        <v>71</v>
      </c>
      <c r="I1378" s="39">
        <v>0.89</v>
      </c>
      <c r="J1378" s="39">
        <v>0.1522</v>
      </c>
      <c r="K1378" s="39">
        <v>0.1225</v>
      </c>
      <c r="L1378" s="39">
        <v>9.6700000000000008E-2</v>
      </c>
      <c r="M1378" s="61">
        <v>5000</v>
      </c>
      <c r="N1378" s="61">
        <v>1000000</v>
      </c>
    </row>
    <row r="1379" spans="1:14" ht="15" customHeight="1" x14ac:dyDescent="0.25">
      <c r="A1379" s="64" t="str">
        <f t="shared" si="21"/>
        <v>0.3-15-0-TOU-3 year APR - Reward Plus</v>
      </c>
      <c r="B1379" s="62" t="s">
        <v>13</v>
      </c>
      <c r="C1379" s="54">
        <v>15</v>
      </c>
      <c r="D1379" s="59" t="s">
        <v>24</v>
      </c>
      <c r="E1379" s="59" t="s">
        <v>87</v>
      </c>
      <c r="F1379" s="38" t="s">
        <v>88</v>
      </c>
      <c r="G1379" s="51">
        <v>0.3</v>
      </c>
      <c r="H1379" s="60" t="s">
        <v>71</v>
      </c>
      <c r="I1379" s="39">
        <v>0.96</v>
      </c>
      <c r="J1379" s="39">
        <v>0.153</v>
      </c>
      <c r="K1379" s="39">
        <v>0.1232</v>
      </c>
      <c r="L1379" s="39">
        <v>9.7199999999999995E-2</v>
      </c>
      <c r="M1379" s="61">
        <v>5000</v>
      </c>
      <c r="N1379" s="61">
        <v>1000000</v>
      </c>
    </row>
    <row r="1380" spans="1:14" ht="15" customHeight="1" x14ac:dyDescent="0.25">
      <c r="A1380" s="64" t="str">
        <f t="shared" si="21"/>
        <v>0.3-16-0-TOU-3 year APR - Reward Plus</v>
      </c>
      <c r="B1380" s="62" t="s">
        <v>13</v>
      </c>
      <c r="C1380" s="54">
        <v>16</v>
      </c>
      <c r="D1380" s="59" t="s">
        <v>25</v>
      </c>
      <c r="E1380" s="59" t="s">
        <v>87</v>
      </c>
      <c r="F1380" s="38" t="s">
        <v>88</v>
      </c>
      <c r="G1380" s="51">
        <v>0.3</v>
      </c>
      <c r="H1380" s="60" t="s">
        <v>71</v>
      </c>
      <c r="I1380" s="39">
        <v>0.72699999999999998</v>
      </c>
      <c r="J1380" s="39">
        <v>0.15179999999999999</v>
      </c>
      <c r="K1380" s="39">
        <v>0.1222</v>
      </c>
      <c r="L1380" s="39">
        <v>9.6500000000000002E-2</v>
      </c>
      <c r="M1380" s="61">
        <v>5000</v>
      </c>
      <c r="N1380" s="61">
        <v>1000000</v>
      </c>
    </row>
    <row r="1381" spans="1:14" ht="15" customHeight="1" x14ac:dyDescent="0.25">
      <c r="A1381" s="64" t="str">
        <f t="shared" si="21"/>
        <v>0.3-17-0-TOU-3 year APR - Reward Plus</v>
      </c>
      <c r="B1381" s="62" t="s">
        <v>13</v>
      </c>
      <c r="C1381" s="54">
        <v>17</v>
      </c>
      <c r="D1381" s="59" t="s">
        <v>26</v>
      </c>
      <c r="E1381" s="59" t="s">
        <v>87</v>
      </c>
      <c r="F1381" s="38" t="s">
        <v>88</v>
      </c>
      <c r="G1381" s="51">
        <v>0.3</v>
      </c>
      <c r="H1381" s="60" t="s">
        <v>71</v>
      </c>
      <c r="I1381" s="39">
        <v>1.484</v>
      </c>
      <c r="J1381" s="39">
        <v>0.17019999999999999</v>
      </c>
      <c r="K1381" s="39">
        <v>0.13699999999999998</v>
      </c>
      <c r="L1381" s="39">
        <v>0.1082</v>
      </c>
      <c r="M1381" s="61">
        <v>5000</v>
      </c>
      <c r="N1381" s="61">
        <v>1000000</v>
      </c>
    </row>
    <row r="1382" spans="1:14" ht="15" customHeight="1" x14ac:dyDescent="0.25">
      <c r="A1382" s="64" t="str">
        <f t="shared" si="21"/>
        <v>0.3-18-0-TOU-3 year APR - Reward Plus</v>
      </c>
      <c r="B1382" s="62" t="s">
        <v>13</v>
      </c>
      <c r="C1382" s="54">
        <v>18</v>
      </c>
      <c r="D1382" s="59" t="s">
        <v>27</v>
      </c>
      <c r="E1382" s="59" t="s">
        <v>87</v>
      </c>
      <c r="F1382" s="38" t="s">
        <v>88</v>
      </c>
      <c r="G1382" s="51">
        <v>0.3</v>
      </c>
      <c r="H1382" s="60" t="s">
        <v>71</v>
      </c>
      <c r="I1382" s="39">
        <v>0.89900000000000002</v>
      </c>
      <c r="J1382" s="39">
        <v>0.151</v>
      </c>
      <c r="K1382" s="39">
        <v>0.1216</v>
      </c>
      <c r="L1382" s="39">
        <v>9.6000000000000002E-2</v>
      </c>
      <c r="M1382" s="61">
        <v>5000</v>
      </c>
      <c r="N1382" s="61">
        <v>1000000</v>
      </c>
    </row>
    <row r="1383" spans="1:14" ht="15" customHeight="1" x14ac:dyDescent="0.25">
      <c r="A1383" s="64" t="str">
        <f t="shared" si="21"/>
        <v>0.3-19-0-TOU-3 year APR - Reward Plus</v>
      </c>
      <c r="B1383" s="62" t="s">
        <v>13</v>
      </c>
      <c r="C1383" s="54">
        <v>19</v>
      </c>
      <c r="D1383" s="59" t="s">
        <v>28</v>
      </c>
      <c r="E1383" s="59" t="s">
        <v>87</v>
      </c>
      <c r="F1383" s="38" t="s">
        <v>88</v>
      </c>
      <c r="G1383" s="51">
        <v>0.3</v>
      </c>
      <c r="H1383" s="60" t="s">
        <v>71</v>
      </c>
      <c r="I1383" s="39">
        <v>0.77800000000000002</v>
      </c>
      <c r="J1383" s="39">
        <v>0.15009999999999998</v>
      </c>
      <c r="K1383" s="39">
        <v>0.12090000000000001</v>
      </c>
      <c r="L1383" s="39">
        <v>9.5399999999999999E-2</v>
      </c>
      <c r="M1383" s="61">
        <v>5000</v>
      </c>
      <c r="N1383" s="61">
        <v>1000000</v>
      </c>
    </row>
    <row r="1384" spans="1:14" ht="15" customHeight="1" x14ac:dyDescent="0.25">
      <c r="A1384" s="64" t="str">
        <f t="shared" si="21"/>
        <v>0.3-20-0-TOU-3 year APR - Reward Plus</v>
      </c>
      <c r="B1384" s="62" t="s">
        <v>13</v>
      </c>
      <c r="C1384" s="54">
        <v>20</v>
      </c>
      <c r="D1384" s="59" t="s">
        <v>29</v>
      </c>
      <c r="E1384" s="59" t="s">
        <v>87</v>
      </c>
      <c r="F1384" s="38" t="s">
        <v>88</v>
      </c>
      <c r="G1384" s="51">
        <v>0.3</v>
      </c>
      <c r="H1384" s="60" t="s">
        <v>71</v>
      </c>
      <c r="I1384" s="39">
        <v>0.82699999999999996</v>
      </c>
      <c r="J1384" s="39">
        <v>0.14979999999999999</v>
      </c>
      <c r="K1384" s="39">
        <v>0.1206</v>
      </c>
      <c r="L1384" s="39">
        <v>9.5200000000000007E-2</v>
      </c>
      <c r="M1384" s="61">
        <v>5000</v>
      </c>
      <c r="N1384" s="61">
        <v>1000000</v>
      </c>
    </row>
    <row r="1385" spans="1:14" ht="15" customHeight="1" x14ac:dyDescent="0.25">
      <c r="A1385" s="64" t="str">
        <f t="shared" si="21"/>
        <v>0.3-21-0-TOU-3 year APR - Reward Plus</v>
      </c>
      <c r="B1385" s="62" t="s">
        <v>13</v>
      </c>
      <c r="C1385" s="54">
        <v>21</v>
      </c>
      <c r="D1385" s="59" t="s">
        <v>30</v>
      </c>
      <c r="E1385" s="59" t="s">
        <v>87</v>
      </c>
      <c r="F1385" s="38" t="s">
        <v>88</v>
      </c>
      <c r="G1385" s="51">
        <v>0.3</v>
      </c>
      <c r="H1385" s="60" t="s">
        <v>71</v>
      </c>
      <c r="I1385" s="39">
        <v>0.92300000000000004</v>
      </c>
      <c r="J1385" s="39">
        <v>0.15969999999999998</v>
      </c>
      <c r="K1385" s="39">
        <v>0.12859999999999999</v>
      </c>
      <c r="L1385" s="39">
        <v>0.10150000000000001</v>
      </c>
      <c r="M1385" s="61">
        <v>5000</v>
      </c>
      <c r="N1385" s="61">
        <v>1000000</v>
      </c>
    </row>
    <row r="1386" spans="1:14" ht="15" customHeight="1" x14ac:dyDescent="0.25">
      <c r="A1386" s="64" t="str">
        <f t="shared" si="21"/>
        <v>0.3-22-0-TOU-3 year APR - Reward Plus</v>
      </c>
      <c r="B1386" s="62" t="s">
        <v>13</v>
      </c>
      <c r="C1386" s="54">
        <v>22</v>
      </c>
      <c r="D1386" s="59" t="s">
        <v>31</v>
      </c>
      <c r="E1386" s="59" t="s">
        <v>87</v>
      </c>
      <c r="F1386" s="38" t="s">
        <v>88</v>
      </c>
      <c r="G1386" s="51">
        <v>0.3</v>
      </c>
      <c r="H1386" s="60" t="s">
        <v>71</v>
      </c>
      <c r="I1386" s="39">
        <v>0.90400000000000003</v>
      </c>
      <c r="J1386" s="39">
        <v>0.1603</v>
      </c>
      <c r="K1386" s="39">
        <v>0.12909999999999999</v>
      </c>
      <c r="L1386" s="39">
        <v>0.1019</v>
      </c>
      <c r="M1386" s="61">
        <v>5000</v>
      </c>
      <c r="N1386" s="61">
        <v>1000000</v>
      </c>
    </row>
    <row r="1387" spans="1:14" ht="15" customHeight="1" x14ac:dyDescent="0.25">
      <c r="A1387" s="64" t="str">
        <f t="shared" si="21"/>
        <v>0.3-23-0-TOU-3 year APR - Reward Plus</v>
      </c>
      <c r="B1387" s="62" t="s">
        <v>13</v>
      </c>
      <c r="C1387" s="54">
        <v>23</v>
      </c>
      <c r="D1387" s="59" t="s">
        <v>32</v>
      </c>
      <c r="E1387" s="59" t="s">
        <v>87</v>
      </c>
      <c r="F1387" s="38" t="s">
        <v>88</v>
      </c>
      <c r="G1387" s="51">
        <v>0.3</v>
      </c>
      <c r="H1387" s="60" t="s">
        <v>71</v>
      </c>
      <c r="I1387" s="39">
        <v>0.90600000000000003</v>
      </c>
      <c r="J1387" s="39">
        <v>0.15289999999999998</v>
      </c>
      <c r="K1387" s="39">
        <v>0.1231</v>
      </c>
      <c r="L1387" s="39">
        <v>9.7200000000000009E-2</v>
      </c>
      <c r="M1387" s="61">
        <v>5000</v>
      </c>
      <c r="N1387" s="61">
        <v>1000000</v>
      </c>
    </row>
    <row r="1388" spans="1:14" ht="15" customHeight="1" x14ac:dyDescent="0.25">
      <c r="A1388" s="64" t="str">
        <f t="shared" si="21"/>
        <v>0.4-10-0-TOU-3 year APR - Reward Plus</v>
      </c>
      <c r="B1388" s="62" t="s">
        <v>13</v>
      </c>
      <c r="C1388" s="54">
        <v>10</v>
      </c>
      <c r="D1388" s="59" t="s">
        <v>14</v>
      </c>
      <c r="E1388" s="59" t="s">
        <v>87</v>
      </c>
      <c r="F1388" s="38" t="s">
        <v>88</v>
      </c>
      <c r="G1388" s="51">
        <v>0.4</v>
      </c>
      <c r="H1388" s="60" t="s">
        <v>71</v>
      </c>
      <c r="I1388" s="39">
        <v>0.88100000000000001</v>
      </c>
      <c r="J1388" s="39">
        <v>0.15009999999999998</v>
      </c>
      <c r="K1388" s="39">
        <v>0.12090000000000001</v>
      </c>
      <c r="L1388" s="39">
        <v>9.5399999999999999E-2</v>
      </c>
      <c r="M1388" s="61">
        <v>5000</v>
      </c>
      <c r="N1388" s="61">
        <v>1000000</v>
      </c>
    </row>
    <row r="1389" spans="1:14" ht="15" customHeight="1" x14ac:dyDescent="0.25">
      <c r="A1389" s="64" t="str">
        <f t="shared" si="21"/>
        <v>0.4-11-0-TOU-3 year APR - Reward Plus</v>
      </c>
      <c r="B1389" s="62" t="s">
        <v>13</v>
      </c>
      <c r="C1389" s="54">
        <v>11</v>
      </c>
      <c r="D1389" s="59" t="s">
        <v>20</v>
      </c>
      <c r="E1389" s="59" t="s">
        <v>87</v>
      </c>
      <c r="F1389" s="38" t="s">
        <v>88</v>
      </c>
      <c r="G1389" s="51">
        <v>0.4</v>
      </c>
      <c r="H1389" s="60" t="s">
        <v>71</v>
      </c>
      <c r="I1389" s="39">
        <v>0.86099999999999999</v>
      </c>
      <c r="J1389" s="39">
        <v>0.15239999999999998</v>
      </c>
      <c r="K1389" s="39">
        <v>0.1227</v>
      </c>
      <c r="L1389" s="39">
        <v>9.69E-2</v>
      </c>
      <c r="M1389" s="61">
        <v>5000</v>
      </c>
      <c r="N1389" s="61">
        <v>1000000</v>
      </c>
    </row>
    <row r="1390" spans="1:14" ht="15" customHeight="1" x14ac:dyDescent="0.25">
      <c r="A1390" s="64" t="str">
        <f t="shared" si="21"/>
        <v>0.4-12-0-TOU-3 year APR - Reward Plus</v>
      </c>
      <c r="B1390" s="62" t="s">
        <v>13</v>
      </c>
      <c r="C1390" s="54">
        <v>12</v>
      </c>
      <c r="D1390" s="59" t="s">
        <v>21</v>
      </c>
      <c r="E1390" s="59" t="s">
        <v>87</v>
      </c>
      <c r="F1390" s="38" t="s">
        <v>88</v>
      </c>
      <c r="G1390" s="51">
        <v>0.4</v>
      </c>
      <c r="H1390" s="60" t="s">
        <v>71</v>
      </c>
      <c r="I1390" s="39">
        <v>0.90300000000000002</v>
      </c>
      <c r="J1390" s="39">
        <v>0.1497</v>
      </c>
      <c r="K1390" s="39">
        <v>0.1205</v>
      </c>
      <c r="L1390" s="39">
        <v>9.5100000000000004E-2</v>
      </c>
      <c r="M1390" s="61">
        <v>5000</v>
      </c>
      <c r="N1390" s="61">
        <v>1000000</v>
      </c>
    </row>
    <row r="1391" spans="1:14" ht="15" customHeight="1" x14ac:dyDescent="0.25">
      <c r="A1391" s="64" t="str">
        <f t="shared" si="21"/>
        <v>0.4-13-0-TOU-3 year APR - Reward Plus</v>
      </c>
      <c r="B1391" s="62" t="s">
        <v>13</v>
      </c>
      <c r="C1391" s="54">
        <v>13</v>
      </c>
      <c r="D1391" s="59" t="s">
        <v>22</v>
      </c>
      <c r="E1391" s="59" t="s">
        <v>87</v>
      </c>
      <c r="F1391" s="38" t="s">
        <v>88</v>
      </c>
      <c r="G1391" s="51">
        <v>0.4</v>
      </c>
      <c r="H1391" s="60" t="s">
        <v>71</v>
      </c>
      <c r="I1391" s="39">
        <v>0.88100000000000001</v>
      </c>
      <c r="J1391" s="39">
        <v>0.1618</v>
      </c>
      <c r="K1391" s="39">
        <v>0.1303</v>
      </c>
      <c r="L1391" s="39">
        <v>0.10290000000000001</v>
      </c>
      <c r="M1391" s="61">
        <v>5000</v>
      </c>
      <c r="N1391" s="61">
        <v>1000000</v>
      </c>
    </row>
    <row r="1392" spans="1:14" ht="15" customHeight="1" x14ac:dyDescent="0.25">
      <c r="A1392" s="64" t="str">
        <f t="shared" si="21"/>
        <v>0.4-14-0-TOU-3 year APR - Reward Plus</v>
      </c>
      <c r="B1392" s="62" t="s">
        <v>13</v>
      </c>
      <c r="C1392" s="54">
        <v>14</v>
      </c>
      <c r="D1392" s="59" t="s">
        <v>23</v>
      </c>
      <c r="E1392" s="59" t="s">
        <v>87</v>
      </c>
      <c r="F1392" s="38" t="s">
        <v>88</v>
      </c>
      <c r="G1392" s="51">
        <v>0.4</v>
      </c>
      <c r="H1392" s="60" t="s">
        <v>71</v>
      </c>
      <c r="I1392" s="39">
        <v>0.89</v>
      </c>
      <c r="J1392" s="39">
        <v>0.15329999999999999</v>
      </c>
      <c r="K1392" s="39">
        <v>0.1235</v>
      </c>
      <c r="L1392" s="39">
        <v>9.7500000000000003E-2</v>
      </c>
      <c r="M1392" s="61">
        <v>5000</v>
      </c>
      <c r="N1392" s="61">
        <v>1000000</v>
      </c>
    </row>
    <row r="1393" spans="1:14" ht="15" customHeight="1" x14ac:dyDescent="0.25">
      <c r="A1393" s="64" t="str">
        <f t="shared" si="21"/>
        <v>0.4-15-0-TOU-3 year APR - Reward Plus</v>
      </c>
      <c r="B1393" s="62" t="s">
        <v>13</v>
      </c>
      <c r="C1393" s="54">
        <v>15</v>
      </c>
      <c r="D1393" s="59" t="s">
        <v>24</v>
      </c>
      <c r="E1393" s="59" t="s">
        <v>87</v>
      </c>
      <c r="F1393" s="38" t="s">
        <v>88</v>
      </c>
      <c r="G1393" s="51">
        <v>0.4</v>
      </c>
      <c r="H1393" s="60" t="s">
        <v>71</v>
      </c>
      <c r="I1393" s="39">
        <v>0.96</v>
      </c>
      <c r="J1393" s="39">
        <v>0.15419999999999998</v>
      </c>
      <c r="K1393" s="39">
        <v>0.1241</v>
      </c>
      <c r="L1393" s="39">
        <v>9.8000000000000004E-2</v>
      </c>
      <c r="M1393" s="61">
        <v>5000</v>
      </c>
      <c r="N1393" s="61">
        <v>1000000</v>
      </c>
    </row>
    <row r="1394" spans="1:14" ht="15" customHeight="1" x14ac:dyDescent="0.25">
      <c r="A1394" s="64" t="str">
        <f t="shared" si="21"/>
        <v>0.4-16-0-TOU-3 year APR - Reward Plus</v>
      </c>
      <c r="B1394" s="62" t="s">
        <v>13</v>
      </c>
      <c r="C1394" s="54">
        <v>16</v>
      </c>
      <c r="D1394" s="59" t="s">
        <v>25</v>
      </c>
      <c r="E1394" s="59" t="s">
        <v>87</v>
      </c>
      <c r="F1394" s="38" t="s">
        <v>88</v>
      </c>
      <c r="G1394" s="51">
        <v>0.4</v>
      </c>
      <c r="H1394" s="60" t="s">
        <v>71</v>
      </c>
      <c r="I1394" s="39">
        <v>0.72699999999999998</v>
      </c>
      <c r="J1394" s="39">
        <v>0.153</v>
      </c>
      <c r="K1394" s="39">
        <v>0.1232</v>
      </c>
      <c r="L1394" s="39">
        <v>9.7199999999999995E-2</v>
      </c>
      <c r="M1394" s="61">
        <v>5000</v>
      </c>
      <c r="N1394" s="61">
        <v>1000000</v>
      </c>
    </row>
    <row r="1395" spans="1:14" ht="15" customHeight="1" x14ac:dyDescent="0.25">
      <c r="A1395" s="64" t="str">
        <f t="shared" si="21"/>
        <v>0.4-17-0-TOU-3 year APR - Reward Plus</v>
      </c>
      <c r="B1395" s="62" t="s">
        <v>13</v>
      </c>
      <c r="C1395" s="54">
        <v>17</v>
      </c>
      <c r="D1395" s="59" t="s">
        <v>26</v>
      </c>
      <c r="E1395" s="59" t="s">
        <v>87</v>
      </c>
      <c r="F1395" s="38" t="s">
        <v>88</v>
      </c>
      <c r="G1395" s="51">
        <v>0.4</v>
      </c>
      <c r="H1395" s="60" t="s">
        <v>71</v>
      </c>
      <c r="I1395" s="39">
        <v>1.484</v>
      </c>
      <c r="J1395" s="39">
        <v>0.1714</v>
      </c>
      <c r="K1395" s="39">
        <v>0.13799999999999998</v>
      </c>
      <c r="L1395" s="39">
        <v>0.1089</v>
      </c>
      <c r="M1395" s="61">
        <v>5000</v>
      </c>
      <c r="N1395" s="61">
        <v>1000000</v>
      </c>
    </row>
    <row r="1396" spans="1:14" ht="15" customHeight="1" x14ac:dyDescent="0.25">
      <c r="A1396" s="64" t="str">
        <f t="shared" si="21"/>
        <v>0.4-18-0-TOU-3 year APR - Reward Plus</v>
      </c>
      <c r="B1396" s="62" t="s">
        <v>13</v>
      </c>
      <c r="C1396" s="54">
        <v>18</v>
      </c>
      <c r="D1396" s="59" t="s">
        <v>27</v>
      </c>
      <c r="E1396" s="59" t="s">
        <v>87</v>
      </c>
      <c r="F1396" s="38" t="s">
        <v>88</v>
      </c>
      <c r="G1396" s="51">
        <v>0.4</v>
      </c>
      <c r="H1396" s="60" t="s">
        <v>71</v>
      </c>
      <c r="I1396" s="39">
        <v>0.89900000000000002</v>
      </c>
      <c r="J1396" s="39">
        <v>0.1522</v>
      </c>
      <c r="K1396" s="39">
        <v>0.1225</v>
      </c>
      <c r="L1396" s="39">
        <v>9.6700000000000008E-2</v>
      </c>
      <c r="M1396" s="61">
        <v>5000</v>
      </c>
      <c r="N1396" s="61">
        <v>1000000</v>
      </c>
    </row>
    <row r="1397" spans="1:14" ht="15" customHeight="1" x14ac:dyDescent="0.25">
      <c r="A1397" s="64" t="str">
        <f t="shared" si="21"/>
        <v>0.4-19-0-TOU-3 year APR - Reward Plus</v>
      </c>
      <c r="B1397" s="62" t="s">
        <v>13</v>
      </c>
      <c r="C1397" s="54">
        <v>19</v>
      </c>
      <c r="D1397" s="59" t="s">
        <v>28</v>
      </c>
      <c r="E1397" s="59" t="s">
        <v>87</v>
      </c>
      <c r="F1397" s="38" t="s">
        <v>88</v>
      </c>
      <c r="G1397" s="51">
        <v>0.4</v>
      </c>
      <c r="H1397" s="60" t="s">
        <v>71</v>
      </c>
      <c r="I1397" s="39">
        <v>0.77800000000000002</v>
      </c>
      <c r="J1397" s="39">
        <v>0.15129999999999999</v>
      </c>
      <c r="K1397" s="39">
        <v>0.12180000000000001</v>
      </c>
      <c r="L1397" s="39">
        <v>9.6200000000000008E-2</v>
      </c>
      <c r="M1397" s="61">
        <v>5000</v>
      </c>
      <c r="N1397" s="61">
        <v>1000000</v>
      </c>
    </row>
    <row r="1398" spans="1:14" ht="15" customHeight="1" x14ac:dyDescent="0.25">
      <c r="A1398" s="64" t="str">
        <f t="shared" si="21"/>
        <v>0.4-20-0-TOU-3 year APR - Reward Plus</v>
      </c>
      <c r="B1398" s="62" t="s">
        <v>13</v>
      </c>
      <c r="C1398" s="54">
        <v>20</v>
      </c>
      <c r="D1398" s="59" t="s">
        <v>29</v>
      </c>
      <c r="E1398" s="59" t="s">
        <v>87</v>
      </c>
      <c r="F1398" s="38" t="s">
        <v>88</v>
      </c>
      <c r="G1398" s="51">
        <v>0.4</v>
      </c>
      <c r="H1398" s="60" t="s">
        <v>71</v>
      </c>
      <c r="I1398" s="39">
        <v>0.82699999999999996</v>
      </c>
      <c r="J1398" s="39">
        <v>0.151</v>
      </c>
      <c r="K1398" s="39">
        <v>0.1216</v>
      </c>
      <c r="L1398" s="39">
        <v>9.6000000000000002E-2</v>
      </c>
      <c r="M1398" s="61">
        <v>5000</v>
      </c>
      <c r="N1398" s="61">
        <v>1000000</v>
      </c>
    </row>
    <row r="1399" spans="1:14" ht="15" customHeight="1" x14ac:dyDescent="0.25">
      <c r="A1399" s="64" t="str">
        <f t="shared" si="21"/>
        <v>0.4-21-0-TOU-3 year APR - Reward Plus</v>
      </c>
      <c r="B1399" s="62" t="s">
        <v>13</v>
      </c>
      <c r="C1399" s="54">
        <v>21</v>
      </c>
      <c r="D1399" s="59" t="s">
        <v>30</v>
      </c>
      <c r="E1399" s="59" t="s">
        <v>87</v>
      </c>
      <c r="F1399" s="38" t="s">
        <v>88</v>
      </c>
      <c r="G1399" s="51">
        <v>0.4</v>
      </c>
      <c r="H1399" s="60" t="s">
        <v>71</v>
      </c>
      <c r="I1399" s="39">
        <v>0.92300000000000004</v>
      </c>
      <c r="J1399" s="39">
        <v>0.16089999999999999</v>
      </c>
      <c r="K1399" s="39">
        <v>0.12949999999999998</v>
      </c>
      <c r="L1399" s="39">
        <v>0.1023</v>
      </c>
      <c r="M1399" s="61">
        <v>5000</v>
      </c>
      <c r="N1399" s="61">
        <v>1000000</v>
      </c>
    </row>
    <row r="1400" spans="1:14" ht="15" customHeight="1" x14ac:dyDescent="0.25">
      <c r="A1400" s="64" t="str">
        <f t="shared" si="21"/>
        <v>0.4-22-0-TOU-3 year APR - Reward Plus</v>
      </c>
      <c r="B1400" s="62" t="s">
        <v>13</v>
      </c>
      <c r="C1400" s="54">
        <v>22</v>
      </c>
      <c r="D1400" s="59" t="s">
        <v>31</v>
      </c>
      <c r="E1400" s="59" t="s">
        <v>87</v>
      </c>
      <c r="F1400" s="38" t="s">
        <v>88</v>
      </c>
      <c r="G1400" s="51">
        <v>0.4</v>
      </c>
      <c r="H1400" s="60" t="s">
        <v>71</v>
      </c>
      <c r="I1400" s="39">
        <v>0.90400000000000003</v>
      </c>
      <c r="J1400" s="39">
        <v>0.16149999999999998</v>
      </c>
      <c r="K1400" s="39">
        <v>0.12999999999999998</v>
      </c>
      <c r="L1400" s="39">
        <v>0.1026</v>
      </c>
      <c r="M1400" s="61">
        <v>5000</v>
      </c>
      <c r="N1400" s="61">
        <v>1000000</v>
      </c>
    </row>
    <row r="1401" spans="1:14" ht="15" customHeight="1" x14ac:dyDescent="0.25">
      <c r="A1401" s="64" t="str">
        <f t="shared" si="21"/>
        <v>0.4-23-0-TOU-3 year APR - Reward Plus</v>
      </c>
      <c r="B1401" s="62" t="s">
        <v>13</v>
      </c>
      <c r="C1401" s="54">
        <v>23</v>
      </c>
      <c r="D1401" s="59" t="s">
        <v>32</v>
      </c>
      <c r="E1401" s="59" t="s">
        <v>87</v>
      </c>
      <c r="F1401" s="38" t="s">
        <v>88</v>
      </c>
      <c r="G1401" s="51">
        <v>0.4</v>
      </c>
      <c r="H1401" s="60" t="s">
        <v>71</v>
      </c>
      <c r="I1401" s="39">
        <v>0.90600000000000003</v>
      </c>
      <c r="J1401" s="39">
        <v>0.154</v>
      </c>
      <c r="K1401" s="39">
        <v>0.124</v>
      </c>
      <c r="L1401" s="39">
        <v>9.7900000000000001E-2</v>
      </c>
      <c r="M1401" s="61">
        <v>5000</v>
      </c>
      <c r="N1401" s="61">
        <v>1000000</v>
      </c>
    </row>
    <row r="1402" spans="1:14" ht="15" customHeight="1" x14ac:dyDescent="0.25">
      <c r="A1402" s="64" t="str">
        <f t="shared" si="21"/>
        <v>0.5-10-0-TOU-3 year APR - Reward Plus</v>
      </c>
      <c r="B1402" s="62" t="s">
        <v>13</v>
      </c>
      <c r="C1402" s="54">
        <v>10</v>
      </c>
      <c r="D1402" s="59" t="s">
        <v>14</v>
      </c>
      <c r="E1402" s="59" t="s">
        <v>87</v>
      </c>
      <c r="F1402" s="38" t="s">
        <v>88</v>
      </c>
      <c r="G1402" s="51">
        <v>0.5</v>
      </c>
      <c r="H1402" s="60" t="s">
        <v>71</v>
      </c>
      <c r="I1402" s="39">
        <v>0.88100000000000001</v>
      </c>
      <c r="J1402" s="39">
        <v>0.15129999999999999</v>
      </c>
      <c r="K1402" s="39">
        <v>0.12180000000000001</v>
      </c>
      <c r="L1402" s="39">
        <v>9.6200000000000008E-2</v>
      </c>
      <c r="M1402" s="61">
        <v>5000</v>
      </c>
      <c r="N1402" s="61">
        <v>1000000</v>
      </c>
    </row>
    <row r="1403" spans="1:14" ht="15" customHeight="1" x14ac:dyDescent="0.25">
      <c r="A1403" s="64" t="str">
        <f t="shared" si="21"/>
        <v>0.5-11-0-TOU-3 year APR - Reward Plus</v>
      </c>
      <c r="B1403" s="62" t="s">
        <v>13</v>
      </c>
      <c r="C1403" s="54">
        <v>11</v>
      </c>
      <c r="D1403" s="59" t="s">
        <v>20</v>
      </c>
      <c r="E1403" s="59" t="s">
        <v>87</v>
      </c>
      <c r="F1403" s="38" t="s">
        <v>88</v>
      </c>
      <c r="G1403" s="51">
        <v>0.5</v>
      </c>
      <c r="H1403" s="60" t="s">
        <v>71</v>
      </c>
      <c r="I1403" s="39">
        <v>0.86099999999999999</v>
      </c>
      <c r="J1403" s="39">
        <v>0.15359999999999999</v>
      </c>
      <c r="K1403" s="39">
        <v>0.1236</v>
      </c>
      <c r="L1403" s="39">
        <v>9.7600000000000006E-2</v>
      </c>
      <c r="M1403" s="61">
        <v>5000</v>
      </c>
      <c r="N1403" s="61">
        <v>1000000</v>
      </c>
    </row>
    <row r="1404" spans="1:14" ht="15" customHeight="1" x14ac:dyDescent="0.25">
      <c r="A1404" s="64" t="str">
        <f t="shared" si="21"/>
        <v>0.5-12-0-TOU-3 year APR - Reward Plus</v>
      </c>
      <c r="B1404" s="62" t="s">
        <v>13</v>
      </c>
      <c r="C1404" s="54">
        <v>12</v>
      </c>
      <c r="D1404" s="59" t="s">
        <v>21</v>
      </c>
      <c r="E1404" s="59" t="s">
        <v>87</v>
      </c>
      <c r="F1404" s="38" t="s">
        <v>88</v>
      </c>
      <c r="G1404" s="51">
        <v>0.5</v>
      </c>
      <c r="H1404" s="60" t="s">
        <v>71</v>
      </c>
      <c r="I1404" s="39">
        <v>0.90300000000000002</v>
      </c>
      <c r="J1404" s="39">
        <v>0.15089999999999998</v>
      </c>
      <c r="K1404" s="39">
        <v>0.1215</v>
      </c>
      <c r="L1404" s="39">
        <v>9.5899999999999999E-2</v>
      </c>
      <c r="M1404" s="61">
        <v>5000</v>
      </c>
      <c r="N1404" s="61">
        <v>1000000</v>
      </c>
    </row>
    <row r="1405" spans="1:14" ht="15" customHeight="1" x14ac:dyDescent="0.25">
      <c r="A1405" s="64" t="str">
        <f t="shared" si="21"/>
        <v>0.5-13-0-TOU-3 year APR - Reward Plus</v>
      </c>
      <c r="B1405" s="62" t="s">
        <v>13</v>
      </c>
      <c r="C1405" s="54">
        <v>13</v>
      </c>
      <c r="D1405" s="59" t="s">
        <v>22</v>
      </c>
      <c r="E1405" s="59" t="s">
        <v>87</v>
      </c>
      <c r="F1405" s="38" t="s">
        <v>88</v>
      </c>
      <c r="G1405" s="51">
        <v>0.5</v>
      </c>
      <c r="H1405" s="60" t="s">
        <v>71</v>
      </c>
      <c r="I1405" s="39">
        <v>0.88100000000000001</v>
      </c>
      <c r="J1405" s="39">
        <v>0.16299999999999998</v>
      </c>
      <c r="K1405" s="39">
        <v>0.13119999999999998</v>
      </c>
      <c r="L1405" s="39">
        <v>0.1036</v>
      </c>
      <c r="M1405" s="61">
        <v>5000</v>
      </c>
      <c r="N1405" s="61">
        <v>1000000</v>
      </c>
    </row>
    <row r="1406" spans="1:14" ht="15" customHeight="1" x14ac:dyDescent="0.25">
      <c r="A1406" s="64" t="str">
        <f t="shared" si="21"/>
        <v>0.5-14-0-TOU-3 year APR - Reward Plus</v>
      </c>
      <c r="B1406" s="62" t="s">
        <v>13</v>
      </c>
      <c r="C1406" s="54">
        <v>14</v>
      </c>
      <c r="D1406" s="59" t="s">
        <v>23</v>
      </c>
      <c r="E1406" s="59" t="s">
        <v>87</v>
      </c>
      <c r="F1406" s="38" t="s">
        <v>88</v>
      </c>
      <c r="G1406" s="51">
        <v>0.5</v>
      </c>
      <c r="H1406" s="60" t="s">
        <v>71</v>
      </c>
      <c r="I1406" s="39">
        <v>0.89</v>
      </c>
      <c r="J1406" s="39">
        <v>0.1545</v>
      </c>
      <c r="K1406" s="39">
        <v>0.1244</v>
      </c>
      <c r="L1406" s="39">
        <v>9.820000000000001E-2</v>
      </c>
      <c r="M1406" s="61">
        <v>5000</v>
      </c>
      <c r="N1406" s="61">
        <v>1000000</v>
      </c>
    </row>
    <row r="1407" spans="1:14" ht="15" customHeight="1" x14ac:dyDescent="0.25">
      <c r="A1407" s="64" t="str">
        <f t="shared" si="21"/>
        <v>0.5-15-0-TOU-3 year APR - Reward Plus</v>
      </c>
      <c r="B1407" s="62" t="s">
        <v>13</v>
      </c>
      <c r="C1407" s="54">
        <v>15</v>
      </c>
      <c r="D1407" s="59" t="s">
        <v>24</v>
      </c>
      <c r="E1407" s="59" t="s">
        <v>87</v>
      </c>
      <c r="F1407" s="38" t="s">
        <v>88</v>
      </c>
      <c r="G1407" s="51">
        <v>0.5</v>
      </c>
      <c r="H1407" s="60" t="s">
        <v>71</v>
      </c>
      <c r="I1407" s="39">
        <v>0.96</v>
      </c>
      <c r="J1407" s="39">
        <v>0.15529999999999999</v>
      </c>
      <c r="K1407" s="39">
        <v>0.12509999999999999</v>
      </c>
      <c r="L1407" s="39">
        <v>9.8699999999999996E-2</v>
      </c>
      <c r="M1407" s="61">
        <v>5000</v>
      </c>
      <c r="N1407" s="61">
        <v>1000000</v>
      </c>
    </row>
    <row r="1408" spans="1:14" ht="15" customHeight="1" x14ac:dyDescent="0.25">
      <c r="A1408" s="64" t="str">
        <f t="shared" si="21"/>
        <v>0.5-16-0-TOU-3 year APR - Reward Plus</v>
      </c>
      <c r="B1408" s="62" t="s">
        <v>13</v>
      </c>
      <c r="C1408" s="54">
        <v>16</v>
      </c>
      <c r="D1408" s="59" t="s">
        <v>25</v>
      </c>
      <c r="E1408" s="59" t="s">
        <v>87</v>
      </c>
      <c r="F1408" s="38" t="s">
        <v>88</v>
      </c>
      <c r="G1408" s="51">
        <v>0.5</v>
      </c>
      <c r="H1408" s="60" t="s">
        <v>71</v>
      </c>
      <c r="I1408" s="39">
        <v>0.72699999999999998</v>
      </c>
      <c r="J1408" s="39">
        <v>0.15419999999999998</v>
      </c>
      <c r="K1408" s="39">
        <v>0.1241</v>
      </c>
      <c r="L1408" s="39">
        <v>9.8000000000000004E-2</v>
      </c>
      <c r="M1408" s="61">
        <v>5000</v>
      </c>
      <c r="N1408" s="61">
        <v>1000000</v>
      </c>
    </row>
    <row r="1409" spans="1:14" ht="15" customHeight="1" x14ac:dyDescent="0.25">
      <c r="A1409" s="64" t="str">
        <f t="shared" si="21"/>
        <v>0.5-17-0-TOU-3 year APR - Reward Plus</v>
      </c>
      <c r="B1409" s="62" t="s">
        <v>13</v>
      </c>
      <c r="C1409" s="54">
        <v>17</v>
      </c>
      <c r="D1409" s="59" t="s">
        <v>26</v>
      </c>
      <c r="E1409" s="59" t="s">
        <v>87</v>
      </c>
      <c r="F1409" s="38" t="s">
        <v>88</v>
      </c>
      <c r="G1409" s="51">
        <v>0.5</v>
      </c>
      <c r="H1409" s="60" t="s">
        <v>71</v>
      </c>
      <c r="I1409" s="39">
        <v>1.484</v>
      </c>
      <c r="J1409" s="39">
        <v>0.17259999999999998</v>
      </c>
      <c r="K1409" s="39">
        <v>0.1389</v>
      </c>
      <c r="L1409" s="39">
        <v>0.10970000000000001</v>
      </c>
      <c r="M1409" s="61">
        <v>5000</v>
      </c>
      <c r="N1409" s="61">
        <v>1000000</v>
      </c>
    </row>
    <row r="1410" spans="1:14" ht="15" customHeight="1" x14ac:dyDescent="0.25">
      <c r="A1410" s="64" t="str">
        <f t="shared" si="21"/>
        <v>0.5-18-0-TOU-3 year APR - Reward Plus</v>
      </c>
      <c r="B1410" s="62" t="s">
        <v>13</v>
      </c>
      <c r="C1410" s="54">
        <v>18</v>
      </c>
      <c r="D1410" s="59" t="s">
        <v>27</v>
      </c>
      <c r="E1410" s="59" t="s">
        <v>87</v>
      </c>
      <c r="F1410" s="38" t="s">
        <v>88</v>
      </c>
      <c r="G1410" s="51">
        <v>0.5</v>
      </c>
      <c r="H1410" s="60" t="s">
        <v>71</v>
      </c>
      <c r="I1410" s="39">
        <v>0.89900000000000002</v>
      </c>
      <c r="J1410" s="39">
        <v>0.15329999999999999</v>
      </c>
      <c r="K1410" s="39">
        <v>0.1235</v>
      </c>
      <c r="L1410" s="39">
        <v>9.7500000000000003E-2</v>
      </c>
      <c r="M1410" s="61">
        <v>5000</v>
      </c>
      <c r="N1410" s="61">
        <v>1000000</v>
      </c>
    </row>
    <row r="1411" spans="1:14" ht="15" customHeight="1" x14ac:dyDescent="0.25">
      <c r="A1411" s="64" t="str">
        <f t="shared" ref="A1411:A1474" si="22">IF(E1411="OP","",CONCATENATE(G1411,"-",C1411,"-",RIGHT(F1411,1),"-",E1411,"-",H1411))</f>
        <v>0.5-19-0-TOU-3 year APR - Reward Plus</v>
      </c>
      <c r="B1411" s="62" t="s">
        <v>13</v>
      </c>
      <c r="C1411" s="54">
        <v>19</v>
      </c>
      <c r="D1411" s="59" t="s">
        <v>28</v>
      </c>
      <c r="E1411" s="59" t="s">
        <v>87</v>
      </c>
      <c r="F1411" s="38" t="s">
        <v>88</v>
      </c>
      <c r="G1411" s="51">
        <v>0.5</v>
      </c>
      <c r="H1411" s="60" t="s">
        <v>71</v>
      </c>
      <c r="I1411" s="39">
        <v>0.77800000000000002</v>
      </c>
      <c r="J1411" s="39">
        <v>0.1525</v>
      </c>
      <c r="K1411" s="39">
        <v>0.12280000000000001</v>
      </c>
      <c r="L1411" s="39">
        <v>9.69E-2</v>
      </c>
      <c r="M1411" s="61">
        <v>5000</v>
      </c>
      <c r="N1411" s="61">
        <v>1000000</v>
      </c>
    </row>
    <row r="1412" spans="1:14" ht="15" customHeight="1" x14ac:dyDescent="0.25">
      <c r="A1412" s="64" t="str">
        <f t="shared" si="22"/>
        <v>0.5-20-0-TOU-3 year APR - Reward Plus</v>
      </c>
      <c r="B1412" s="62" t="s">
        <v>13</v>
      </c>
      <c r="C1412" s="54">
        <v>20</v>
      </c>
      <c r="D1412" s="59" t="s">
        <v>29</v>
      </c>
      <c r="E1412" s="59" t="s">
        <v>87</v>
      </c>
      <c r="F1412" s="38" t="s">
        <v>88</v>
      </c>
      <c r="G1412" s="51">
        <v>0.5</v>
      </c>
      <c r="H1412" s="60" t="s">
        <v>71</v>
      </c>
      <c r="I1412" s="39">
        <v>0.82699999999999996</v>
      </c>
      <c r="J1412" s="39">
        <v>0.1522</v>
      </c>
      <c r="K1412" s="39">
        <v>0.1225</v>
      </c>
      <c r="L1412" s="39">
        <v>9.6700000000000008E-2</v>
      </c>
      <c r="M1412" s="61">
        <v>5000</v>
      </c>
      <c r="N1412" s="61">
        <v>1000000</v>
      </c>
    </row>
    <row r="1413" spans="1:14" ht="15" customHeight="1" x14ac:dyDescent="0.25">
      <c r="A1413" s="64" t="str">
        <f t="shared" si="22"/>
        <v>0.5-21-0-TOU-3 year APR - Reward Plus</v>
      </c>
      <c r="B1413" s="62" t="s">
        <v>13</v>
      </c>
      <c r="C1413" s="54">
        <v>21</v>
      </c>
      <c r="D1413" s="59" t="s">
        <v>30</v>
      </c>
      <c r="E1413" s="59" t="s">
        <v>87</v>
      </c>
      <c r="F1413" s="38" t="s">
        <v>88</v>
      </c>
      <c r="G1413" s="51">
        <v>0.5</v>
      </c>
      <c r="H1413" s="60" t="s">
        <v>71</v>
      </c>
      <c r="I1413" s="39">
        <v>0.92300000000000004</v>
      </c>
      <c r="J1413" s="39">
        <v>0.16209999999999999</v>
      </c>
      <c r="K1413" s="39">
        <v>0.13049999999999998</v>
      </c>
      <c r="L1413" s="39">
        <v>0.10300000000000001</v>
      </c>
      <c r="M1413" s="61">
        <v>5000</v>
      </c>
      <c r="N1413" s="61">
        <v>1000000</v>
      </c>
    </row>
    <row r="1414" spans="1:14" ht="15" customHeight="1" x14ac:dyDescent="0.25">
      <c r="A1414" s="64" t="str">
        <f t="shared" si="22"/>
        <v>0.5-22-0-TOU-3 year APR - Reward Plus</v>
      </c>
      <c r="B1414" s="62" t="s">
        <v>13</v>
      </c>
      <c r="C1414" s="54">
        <v>22</v>
      </c>
      <c r="D1414" s="59" t="s">
        <v>31</v>
      </c>
      <c r="E1414" s="59" t="s">
        <v>87</v>
      </c>
      <c r="F1414" s="38" t="s">
        <v>88</v>
      </c>
      <c r="G1414" s="51">
        <v>0.5</v>
      </c>
      <c r="H1414" s="60" t="s">
        <v>71</v>
      </c>
      <c r="I1414" s="39">
        <v>0.90400000000000003</v>
      </c>
      <c r="J1414" s="39">
        <v>0.16269999999999998</v>
      </c>
      <c r="K1414" s="39">
        <v>0.13099999999999998</v>
      </c>
      <c r="L1414" s="39">
        <v>0.10340000000000001</v>
      </c>
      <c r="M1414" s="61">
        <v>5000</v>
      </c>
      <c r="N1414" s="61">
        <v>1000000</v>
      </c>
    </row>
    <row r="1415" spans="1:14" ht="15" customHeight="1" x14ac:dyDescent="0.25">
      <c r="A1415" s="64" t="str">
        <f t="shared" si="22"/>
        <v>0.5-23-0-TOU-3 year APR - Reward Plus</v>
      </c>
      <c r="B1415" s="62" t="s">
        <v>13</v>
      </c>
      <c r="C1415" s="54">
        <v>23</v>
      </c>
      <c r="D1415" s="59" t="s">
        <v>32</v>
      </c>
      <c r="E1415" s="59" t="s">
        <v>87</v>
      </c>
      <c r="F1415" s="38" t="s">
        <v>88</v>
      </c>
      <c r="G1415" s="51">
        <v>0.5</v>
      </c>
      <c r="H1415" s="60" t="s">
        <v>71</v>
      </c>
      <c r="I1415" s="39">
        <v>0.90600000000000003</v>
      </c>
      <c r="J1415" s="39">
        <v>0.15519999999999998</v>
      </c>
      <c r="K1415" s="39">
        <v>0.125</v>
      </c>
      <c r="L1415" s="39">
        <v>9.8699999999999996E-2</v>
      </c>
      <c r="M1415" s="61">
        <v>5000</v>
      </c>
      <c r="N1415" s="61">
        <v>1000000</v>
      </c>
    </row>
    <row r="1416" spans="1:14" ht="15" customHeight="1" x14ac:dyDescent="0.25">
      <c r="A1416" s="64" t="str">
        <f t="shared" si="22"/>
        <v>0.6-10-0-TOU-3 year APR - Reward Plus</v>
      </c>
      <c r="B1416" s="62" t="s">
        <v>13</v>
      </c>
      <c r="C1416" s="54">
        <v>10</v>
      </c>
      <c r="D1416" s="59" t="s">
        <v>14</v>
      </c>
      <c r="E1416" s="59" t="s">
        <v>87</v>
      </c>
      <c r="F1416" s="38" t="s">
        <v>88</v>
      </c>
      <c r="G1416" s="51">
        <v>0.6</v>
      </c>
      <c r="H1416" s="60" t="s">
        <v>71</v>
      </c>
      <c r="I1416" s="39">
        <v>0.88100000000000001</v>
      </c>
      <c r="J1416" s="39">
        <v>0.1525</v>
      </c>
      <c r="K1416" s="39">
        <v>0.12280000000000001</v>
      </c>
      <c r="L1416" s="39">
        <v>9.69E-2</v>
      </c>
      <c r="M1416" s="61">
        <v>5000</v>
      </c>
      <c r="N1416" s="61">
        <v>1000000</v>
      </c>
    </row>
    <row r="1417" spans="1:14" ht="15" customHeight="1" x14ac:dyDescent="0.25">
      <c r="A1417" s="64" t="str">
        <f t="shared" si="22"/>
        <v>0.6-11-0-TOU-3 year APR - Reward Plus</v>
      </c>
      <c r="B1417" s="62" t="s">
        <v>13</v>
      </c>
      <c r="C1417" s="54">
        <v>11</v>
      </c>
      <c r="D1417" s="59" t="s">
        <v>20</v>
      </c>
      <c r="E1417" s="59" t="s">
        <v>87</v>
      </c>
      <c r="F1417" s="38" t="s">
        <v>88</v>
      </c>
      <c r="G1417" s="51">
        <v>0.6</v>
      </c>
      <c r="H1417" s="60" t="s">
        <v>71</v>
      </c>
      <c r="I1417" s="39">
        <v>0.86099999999999999</v>
      </c>
      <c r="J1417" s="39">
        <v>0.15469999999999998</v>
      </c>
      <c r="K1417" s="39">
        <v>0.1246</v>
      </c>
      <c r="L1417" s="39">
        <v>9.8400000000000001E-2</v>
      </c>
      <c r="M1417" s="61">
        <v>5000</v>
      </c>
      <c r="N1417" s="61">
        <v>1000000</v>
      </c>
    </row>
    <row r="1418" spans="1:14" ht="15" customHeight="1" x14ac:dyDescent="0.25">
      <c r="A1418" s="64" t="str">
        <f t="shared" si="22"/>
        <v>0.6-12-0-TOU-3 year APR - Reward Plus</v>
      </c>
      <c r="B1418" s="62" t="s">
        <v>13</v>
      </c>
      <c r="C1418" s="54">
        <v>12</v>
      </c>
      <c r="D1418" s="59" t="s">
        <v>21</v>
      </c>
      <c r="E1418" s="59" t="s">
        <v>87</v>
      </c>
      <c r="F1418" s="38" t="s">
        <v>88</v>
      </c>
      <c r="G1418" s="51">
        <v>0.6</v>
      </c>
      <c r="H1418" s="60" t="s">
        <v>71</v>
      </c>
      <c r="I1418" s="39">
        <v>0.90300000000000002</v>
      </c>
      <c r="J1418" s="39">
        <v>0.152</v>
      </c>
      <c r="K1418" s="39">
        <v>0.12240000000000001</v>
      </c>
      <c r="L1418" s="39">
        <v>9.6600000000000005E-2</v>
      </c>
      <c r="M1418" s="61">
        <v>5000</v>
      </c>
      <c r="N1418" s="61">
        <v>1000000</v>
      </c>
    </row>
    <row r="1419" spans="1:14" ht="15" customHeight="1" x14ac:dyDescent="0.25">
      <c r="A1419" s="64" t="str">
        <f t="shared" si="22"/>
        <v>0.6-13-0-TOU-3 year APR - Reward Plus</v>
      </c>
      <c r="B1419" s="62" t="s">
        <v>13</v>
      </c>
      <c r="C1419" s="54">
        <v>13</v>
      </c>
      <c r="D1419" s="59" t="s">
        <v>22</v>
      </c>
      <c r="E1419" s="59" t="s">
        <v>87</v>
      </c>
      <c r="F1419" s="38" t="s">
        <v>88</v>
      </c>
      <c r="G1419" s="51">
        <v>0.6</v>
      </c>
      <c r="H1419" s="60" t="s">
        <v>71</v>
      </c>
      <c r="I1419" s="39">
        <v>0.88100000000000001</v>
      </c>
      <c r="J1419" s="39">
        <v>0.16419999999999998</v>
      </c>
      <c r="K1419" s="39">
        <v>0.13219999999999998</v>
      </c>
      <c r="L1419" s="39">
        <v>0.10440000000000001</v>
      </c>
      <c r="M1419" s="61">
        <v>5000</v>
      </c>
      <c r="N1419" s="61">
        <v>1000000</v>
      </c>
    </row>
    <row r="1420" spans="1:14" ht="15" customHeight="1" x14ac:dyDescent="0.25">
      <c r="A1420" s="64" t="str">
        <f t="shared" si="22"/>
        <v>0.6-14-0-TOU-3 year APR - Reward Plus</v>
      </c>
      <c r="B1420" s="62" t="s">
        <v>13</v>
      </c>
      <c r="C1420" s="54">
        <v>14</v>
      </c>
      <c r="D1420" s="59" t="s">
        <v>23</v>
      </c>
      <c r="E1420" s="59" t="s">
        <v>87</v>
      </c>
      <c r="F1420" s="38" t="s">
        <v>88</v>
      </c>
      <c r="G1420" s="51">
        <v>0.6</v>
      </c>
      <c r="H1420" s="60" t="s">
        <v>71</v>
      </c>
      <c r="I1420" s="39">
        <v>0.89</v>
      </c>
      <c r="J1420" s="39">
        <v>0.15569999999999998</v>
      </c>
      <c r="K1420" s="39">
        <v>0.12539999999999998</v>
      </c>
      <c r="L1420" s="39">
        <v>9.9000000000000005E-2</v>
      </c>
      <c r="M1420" s="61">
        <v>5000</v>
      </c>
      <c r="N1420" s="61">
        <v>1000000</v>
      </c>
    </row>
    <row r="1421" spans="1:14" ht="15" customHeight="1" x14ac:dyDescent="0.25">
      <c r="A1421" s="64" t="str">
        <f t="shared" si="22"/>
        <v>0.6-15-0-TOU-3 year APR - Reward Plus</v>
      </c>
      <c r="B1421" s="62" t="s">
        <v>13</v>
      </c>
      <c r="C1421" s="54">
        <v>15</v>
      </c>
      <c r="D1421" s="59" t="s">
        <v>24</v>
      </c>
      <c r="E1421" s="59" t="s">
        <v>87</v>
      </c>
      <c r="F1421" s="38" t="s">
        <v>88</v>
      </c>
      <c r="G1421" s="51">
        <v>0.6</v>
      </c>
      <c r="H1421" s="60" t="s">
        <v>71</v>
      </c>
      <c r="I1421" s="39">
        <v>0.96</v>
      </c>
      <c r="J1421" s="39">
        <v>0.1565</v>
      </c>
      <c r="K1421" s="39">
        <v>0.126</v>
      </c>
      <c r="L1421" s="39">
        <v>9.9500000000000005E-2</v>
      </c>
      <c r="M1421" s="61">
        <v>5000</v>
      </c>
      <c r="N1421" s="61">
        <v>1000000</v>
      </c>
    </row>
    <row r="1422" spans="1:14" ht="15" customHeight="1" x14ac:dyDescent="0.25">
      <c r="A1422" s="64" t="str">
        <f t="shared" si="22"/>
        <v>0.6-16-0-TOU-3 year APR - Reward Plus</v>
      </c>
      <c r="B1422" s="62" t="s">
        <v>13</v>
      </c>
      <c r="C1422" s="54">
        <v>16</v>
      </c>
      <c r="D1422" s="59" t="s">
        <v>25</v>
      </c>
      <c r="E1422" s="59" t="s">
        <v>87</v>
      </c>
      <c r="F1422" s="38" t="s">
        <v>88</v>
      </c>
      <c r="G1422" s="51">
        <v>0.6</v>
      </c>
      <c r="H1422" s="60" t="s">
        <v>71</v>
      </c>
      <c r="I1422" s="39">
        <v>0.72699999999999998</v>
      </c>
      <c r="J1422" s="39">
        <v>0.15529999999999999</v>
      </c>
      <c r="K1422" s="39">
        <v>0.12509999999999999</v>
      </c>
      <c r="L1422" s="39">
        <v>9.8699999999999996E-2</v>
      </c>
      <c r="M1422" s="61">
        <v>5000</v>
      </c>
      <c r="N1422" s="61">
        <v>1000000</v>
      </c>
    </row>
    <row r="1423" spans="1:14" ht="15" customHeight="1" x14ac:dyDescent="0.25">
      <c r="A1423" s="64" t="str">
        <f t="shared" si="22"/>
        <v>0.6-17-0-TOU-3 year APR - Reward Plus</v>
      </c>
      <c r="B1423" s="62" t="s">
        <v>13</v>
      </c>
      <c r="C1423" s="54">
        <v>17</v>
      </c>
      <c r="D1423" s="59" t="s">
        <v>26</v>
      </c>
      <c r="E1423" s="59" t="s">
        <v>87</v>
      </c>
      <c r="F1423" s="38" t="s">
        <v>88</v>
      </c>
      <c r="G1423" s="51">
        <v>0.6</v>
      </c>
      <c r="H1423" s="60" t="s">
        <v>71</v>
      </c>
      <c r="I1423" s="39">
        <v>1.484</v>
      </c>
      <c r="J1423" s="39">
        <v>0.17369999999999999</v>
      </c>
      <c r="K1423" s="39">
        <v>0.1399</v>
      </c>
      <c r="L1423" s="39">
        <v>0.1104</v>
      </c>
      <c r="M1423" s="61">
        <v>5000</v>
      </c>
      <c r="N1423" s="61">
        <v>1000000</v>
      </c>
    </row>
    <row r="1424" spans="1:14" ht="15" customHeight="1" x14ac:dyDescent="0.25">
      <c r="A1424" s="64" t="str">
        <f t="shared" si="22"/>
        <v>0.6-18-0-TOU-3 year APR - Reward Plus</v>
      </c>
      <c r="B1424" s="62" t="s">
        <v>13</v>
      </c>
      <c r="C1424" s="54">
        <v>18</v>
      </c>
      <c r="D1424" s="59" t="s">
        <v>27</v>
      </c>
      <c r="E1424" s="59" t="s">
        <v>87</v>
      </c>
      <c r="F1424" s="38" t="s">
        <v>88</v>
      </c>
      <c r="G1424" s="51">
        <v>0.6</v>
      </c>
      <c r="H1424" s="60" t="s">
        <v>71</v>
      </c>
      <c r="I1424" s="39">
        <v>0.89900000000000002</v>
      </c>
      <c r="J1424" s="39">
        <v>0.1545</v>
      </c>
      <c r="K1424" s="39">
        <v>0.1244</v>
      </c>
      <c r="L1424" s="39">
        <v>9.820000000000001E-2</v>
      </c>
      <c r="M1424" s="61">
        <v>5000</v>
      </c>
      <c r="N1424" s="61">
        <v>1000000</v>
      </c>
    </row>
    <row r="1425" spans="1:14" ht="15" customHeight="1" x14ac:dyDescent="0.25">
      <c r="A1425" s="64" t="str">
        <f t="shared" si="22"/>
        <v>0.6-19-0-TOU-3 year APR - Reward Plus</v>
      </c>
      <c r="B1425" s="62" t="s">
        <v>13</v>
      </c>
      <c r="C1425" s="54">
        <v>19</v>
      </c>
      <c r="D1425" s="59" t="s">
        <v>28</v>
      </c>
      <c r="E1425" s="59" t="s">
        <v>87</v>
      </c>
      <c r="F1425" s="38" t="s">
        <v>88</v>
      </c>
      <c r="G1425" s="51">
        <v>0.6</v>
      </c>
      <c r="H1425" s="60" t="s">
        <v>71</v>
      </c>
      <c r="I1425" s="39">
        <v>0.77800000000000002</v>
      </c>
      <c r="J1425" s="39">
        <v>0.15369999999999998</v>
      </c>
      <c r="K1425" s="39">
        <v>0.1237</v>
      </c>
      <c r="L1425" s="39">
        <v>9.7700000000000009E-2</v>
      </c>
      <c r="M1425" s="61">
        <v>5000</v>
      </c>
      <c r="N1425" s="61">
        <v>1000000</v>
      </c>
    </row>
    <row r="1426" spans="1:14" ht="15" customHeight="1" x14ac:dyDescent="0.25">
      <c r="A1426" s="64" t="str">
        <f t="shared" si="22"/>
        <v>0.6-20-0-TOU-3 year APR - Reward Plus</v>
      </c>
      <c r="B1426" s="62" t="s">
        <v>13</v>
      </c>
      <c r="C1426" s="54">
        <v>20</v>
      </c>
      <c r="D1426" s="59" t="s">
        <v>29</v>
      </c>
      <c r="E1426" s="59" t="s">
        <v>87</v>
      </c>
      <c r="F1426" s="38" t="s">
        <v>88</v>
      </c>
      <c r="G1426" s="51">
        <v>0.6</v>
      </c>
      <c r="H1426" s="60" t="s">
        <v>71</v>
      </c>
      <c r="I1426" s="39">
        <v>0.82699999999999996</v>
      </c>
      <c r="J1426" s="39">
        <v>0.15329999999999999</v>
      </c>
      <c r="K1426" s="39">
        <v>0.1235</v>
      </c>
      <c r="L1426" s="39">
        <v>9.7500000000000003E-2</v>
      </c>
      <c r="M1426" s="61">
        <v>5000</v>
      </c>
      <c r="N1426" s="61">
        <v>1000000</v>
      </c>
    </row>
    <row r="1427" spans="1:14" ht="15" customHeight="1" x14ac:dyDescent="0.25">
      <c r="A1427" s="64" t="str">
        <f t="shared" si="22"/>
        <v>0.6-21-0-TOU-3 year APR - Reward Plus</v>
      </c>
      <c r="B1427" s="62" t="s">
        <v>13</v>
      </c>
      <c r="C1427" s="54">
        <v>21</v>
      </c>
      <c r="D1427" s="59" t="s">
        <v>30</v>
      </c>
      <c r="E1427" s="59" t="s">
        <v>87</v>
      </c>
      <c r="F1427" s="38" t="s">
        <v>88</v>
      </c>
      <c r="G1427" s="51">
        <v>0.6</v>
      </c>
      <c r="H1427" s="60" t="s">
        <v>71</v>
      </c>
      <c r="I1427" s="39">
        <v>0.92300000000000004</v>
      </c>
      <c r="J1427" s="39">
        <v>0.16319999999999998</v>
      </c>
      <c r="K1427" s="39">
        <v>0.13139999999999999</v>
      </c>
      <c r="L1427" s="39">
        <v>0.1038</v>
      </c>
      <c r="M1427" s="61">
        <v>5000</v>
      </c>
      <c r="N1427" s="61">
        <v>1000000</v>
      </c>
    </row>
    <row r="1428" spans="1:14" ht="15" customHeight="1" x14ac:dyDescent="0.25">
      <c r="A1428" s="64" t="str">
        <f t="shared" si="22"/>
        <v>0.6-22-0-TOU-3 year APR - Reward Plus</v>
      </c>
      <c r="B1428" s="62" t="s">
        <v>13</v>
      </c>
      <c r="C1428" s="54">
        <v>22</v>
      </c>
      <c r="D1428" s="59" t="s">
        <v>31</v>
      </c>
      <c r="E1428" s="59" t="s">
        <v>87</v>
      </c>
      <c r="F1428" s="38" t="s">
        <v>88</v>
      </c>
      <c r="G1428" s="51">
        <v>0.6</v>
      </c>
      <c r="H1428" s="60" t="s">
        <v>71</v>
      </c>
      <c r="I1428" s="39">
        <v>0.90400000000000003</v>
      </c>
      <c r="J1428" s="39">
        <v>0.1638</v>
      </c>
      <c r="K1428" s="39">
        <v>0.13189999999999999</v>
      </c>
      <c r="L1428" s="39">
        <v>0.1041</v>
      </c>
      <c r="M1428" s="61">
        <v>5000</v>
      </c>
      <c r="N1428" s="61">
        <v>1000000</v>
      </c>
    </row>
    <row r="1429" spans="1:14" ht="15" customHeight="1" x14ac:dyDescent="0.25">
      <c r="A1429" s="64" t="str">
        <f t="shared" si="22"/>
        <v>0.6-23-0-TOU-3 year APR - Reward Plus</v>
      </c>
      <c r="B1429" s="62" t="s">
        <v>13</v>
      </c>
      <c r="C1429" s="54">
        <v>23</v>
      </c>
      <c r="D1429" s="59" t="s">
        <v>32</v>
      </c>
      <c r="E1429" s="59" t="s">
        <v>87</v>
      </c>
      <c r="F1429" s="38" t="s">
        <v>88</v>
      </c>
      <c r="G1429" s="51">
        <v>0.6</v>
      </c>
      <c r="H1429" s="60" t="s">
        <v>71</v>
      </c>
      <c r="I1429" s="39">
        <v>0.90600000000000003</v>
      </c>
      <c r="J1429" s="39">
        <v>0.15639999999999998</v>
      </c>
      <c r="K1429" s="39">
        <v>0.12589999999999998</v>
      </c>
      <c r="L1429" s="39">
        <v>9.9400000000000002E-2</v>
      </c>
      <c r="M1429" s="61">
        <v>5000</v>
      </c>
      <c r="N1429" s="61">
        <v>1000000</v>
      </c>
    </row>
    <row r="1430" spans="1:14" ht="15" customHeight="1" x14ac:dyDescent="0.25">
      <c r="A1430" s="64" t="str">
        <f t="shared" si="22"/>
        <v>0.7-10-0-TOU-3 year APR - Reward Plus</v>
      </c>
      <c r="B1430" s="62" t="s">
        <v>13</v>
      </c>
      <c r="C1430" s="54">
        <v>10</v>
      </c>
      <c r="D1430" s="59" t="s">
        <v>14</v>
      </c>
      <c r="E1430" s="59" t="s">
        <v>87</v>
      </c>
      <c r="F1430" s="38" t="s">
        <v>88</v>
      </c>
      <c r="G1430" s="51">
        <v>0.7</v>
      </c>
      <c r="H1430" s="60" t="s">
        <v>71</v>
      </c>
      <c r="I1430" s="39">
        <v>0.88100000000000001</v>
      </c>
      <c r="J1430" s="39">
        <v>0.15369999999999998</v>
      </c>
      <c r="K1430" s="39">
        <v>0.1237</v>
      </c>
      <c r="L1430" s="39">
        <v>9.7700000000000009E-2</v>
      </c>
      <c r="M1430" s="61">
        <v>5000</v>
      </c>
      <c r="N1430" s="61">
        <v>1000000</v>
      </c>
    </row>
    <row r="1431" spans="1:14" ht="15" customHeight="1" x14ac:dyDescent="0.25">
      <c r="A1431" s="64" t="str">
        <f t="shared" si="22"/>
        <v>0.7-11-0-TOU-3 year APR - Reward Plus</v>
      </c>
      <c r="B1431" s="62" t="s">
        <v>13</v>
      </c>
      <c r="C1431" s="54">
        <v>11</v>
      </c>
      <c r="D1431" s="59" t="s">
        <v>20</v>
      </c>
      <c r="E1431" s="59" t="s">
        <v>87</v>
      </c>
      <c r="F1431" s="38" t="s">
        <v>88</v>
      </c>
      <c r="G1431" s="51">
        <v>0.7</v>
      </c>
      <c r="H1431" s="60" t="s">
        <v>71</v>
      </c>
      <c r="I1431" s="39">
        <v>0.86099999999999999</v>
      </c>
      <c r="J1431" s="39">
        <v>0.15589999999999998</v>
      </c>
      <c r="K1431" s="39">
        <v>0.1255</v>
      </c>
      <c r="L1431" s="39">
        <v>9.9100000000000008E-2</v>
      </c>
      <c r="M1431" s="61">
        <v>5000</v>
      </c>
      <c r="N1431" s="61">
        <v>1000000</v>
      </c>
    </row>
    <row r="1432" spans="1:14" ht="15" customHeight="1" x14ac:dyDescent="0.25">
      <c r="A1432" s="64" t="str">
        <f t="shared" si="22"/>
        <v>0.7-12-0-TOU-3 year APR - Reward Plus</v>
      </c>
      <c r="B1432" s="62" t="s">
        <v>13</v>
      </c>
      <c r="C1432" s="54">
        <v>12</v>
      </c>
      <c r="D1432" s="59" t="s">
        <v>21</v>
      </c>
      <c r="E1432" s="59" t="s">
        <v>87</v>
      </c>
      <c r="F1432" s="38" t="s">
        <v>88</v>
      </c>
      <c r="G1432" s="51">
        <v>0.7</v>
      </c>
      <c r="H1432" s="60" t="s">
        <v>71</v>
      </c>
      <c r="I1432" s="39">
        <v>0.90300000000000002</v>
      </c>
      <c r="J1432" s="39">
        <v>0.1532</v>
      </c>
      <c r="K1432" s="39">
        <v>0.12340000000000001</v>
      </c>
      <c r="L1432" s="39">
        <v>9.74E-2</v>
      </c>
      <c r="M1432" s="61">
        <v>5000</v>
      </c>
      <c r="N1432" s="61">
        <v>1000000</v>
      </c>
    </row>
    <row r="1433" spans="1:14" ht="15" customHeight="1" x14ac:dyDescent="0.25">
      <c r="A1433" s="64" t="str">
        <f t="shared" si="22"/>
        <v>0.7-13-0-TOU-3 year APR - Reward Plus</v>
      </c>
      <c r="B1433" s="62" t="s">
        <v>13</v>
      </c>
      <c r="C1433" s="54">
        <v>13</v>
      </c>
      <c r="D1433" s="59" t="s">
        <v>22</v>
      </c>
      <c r="E1433" s="59" t="s">
        <v>87</v>
      </c>
      <c r="F1433" s="38" t="s">
        <v>88</v>
      </c>
      <c r="G1433" s="51">
        <v>0.7</v>
      </c>
      <c r="H1433" s="60" t="s">
        <v>71</v>
      </c>
      <c r="I1433" s="39">
        <v>0.88100000000000001</v>
      </c>
      <c r="J1433" s="39">
        <v>0.16539999999999999</v>
      </c>
      <c r="K1433" s="39">
        <v>0.1331</v>
      </c>
      <c r="L1433" s="39">
        <v>0.1051</v>
      </c>
      <c r="M1433" s="61">
        <v>5000</v>
      </c>
      <c r="N1433" s="61">
        <v>1000000</v>
      </c>
    </row>
    <row r="1434" spans="1:14" ht="15" customHeight="1" x14ac:dyDescent="0.25">
      <c r="A1434" s="64" t="str">
        <f t="shared" si="22"/>
        <v>0.7-14-0-TOU-3 year APR - Reward Plus</v>
      </c>
      <c r="B1434" s="62" t="s">
        <v>13</v>
      </c>
      <c r="C1434" s="54">
        <v>14</v>
      </c>
      <c r="D1434" s="59" t="s">
        <v>23</v>
      </c>
      <c r="E1434" s="59" t="s">
        <v>87</v>
      </c>
      <c r="F1434" s="38" t="s">
        <v>88</v>
      </c>
      <c r="G1434" s="51">
        <v>0.7</v>
      </c>
      <c r="H1434" s="60" t="s">
        <v>71</v>
      </c>
      <c r="I1434" s="39">
        <v>0.89</v>
      </c>
      <c r="J1434" s="39">
        <v>0.15689999999999998</v>
      </c>
      <c r="K1434" s="39">
        <v>0.1263</v>
      </c>
      <c r="L1434" s="39">
        <v>9.9699999999999997E-2</v>
      </c>
      <c r="M1434" s="61">
        <v>5000</v>
      </c>
      <c r="N1434" s="61">
        <v>1000000</v>
      </c>
    </row>
    <row r="1435" spans="1:14" ht="15" customHeight="1" x14ac:dyDescent="0.25">
      <c r="A1435" s="64" t="str">
        <f t="shared" si="22"/>
        <v>0.7-15-0-TOU-3 year APR - Reward Plus</v>
      </c>
      <c r="B1435" s="62" t="s">
        <v>13</v>
      </c>
      <c r="C1435" s="54">
        <v>15</v>
      </c>
      <c r="D1435" s="59" t="s">
        <v>24</v>
      </c>
      <c r="E1435" s="59" t="s">
        <v>87</v>
      </c>
      <c r="F1435" s="38" t="s">
        <v>88</v>
      </c>
      <c r="G1435" s="51">
        <v>0.7</v>
      </c>
      <c r="H1435" s="60" t="s">
        <v>71</v>
      </c>
      <c r="I1435" s="39">
        <v>0.96</v>
      </c>
      <c r="J1435" s="39">
        <v>0.15769999999999998</v>
      </c>
      <c r="K1435" s="39">
        <v>0.127</v>
      </c>
      <c r="L1435" s="39">
        <v>0.1002</v>
      </c>
      <c r="M1435" s="61">
        <v>5000</v>
      </c>
      <c r="N1435" s="61">
        <v>1000000</v>
      </c>
    </row>
    <row r="1436" spans="1:14" ht="15" customHeight="1" x14ac:dyDescent="0.25">
      <c r="A1436" s="64" t="str">
        <f t="shared" si="22"/>
        <v>0.7-16-0-TOU-3 year APR - Reward Plus</v>
      </c>
      <c r="B1436" s="62" t="s">
        <v>13</v>
      </c>
      <c r="C1436" s="54">
        <v>16</v>
      </c>
      <c r="D1436" s="59" t="s">
        <v>25</v>
      </c>
      <c r="E1436" s="59" t="s">
        <v>87</v>
      </c>
      <c r="F1436" s="38" t="s">
        <v>88</v>
      </c>
      <c r="G1436" s="51">
        <v>0.7</v>
      </c>
      <c r="H1436" s="60" t="s">
        <v>71</v>
      </c>
      <c r="I1436" s="39">
        <v>0.72699999999999998</v>
      </c>
      <c r="J1436" s="39">
        <v>0.1565</v>
      </c>
      <c r="K1436" s="39">
        <v>0.126</v>
      </c>
      <c r="L1436" s="39">
        <v>9.9500000000000005E-2</v>
      </c>
      <c r="M1436" s="61">
        <v>5000</v>
      </c>
      <c r="N1436" s="61">
        <v>1000000</v>
      </c>
    </row>
    <row r="1437" spans="1:14" ht="15" customHeight="1" x14ac:dyDescent="0.25">
      <c r="A1437" s="64" t="str">
        <f t="shared" si="22"/>
        <v>0.7-17-0-TOU-3 year APR - Reward Plus</v>
      </c>
      <c r="B1437" s="62" t="s">
        <v>13</v>
      </c>
      <c r="C1437" s="54">
        <v>17</v>
      </c>
      <c r="D1437" s="59" t="s">
        <v>26</v>
      </c>
      <c r="E1437" s="59" t="s">
        <v>87</v>
      </c>
      <c r="F1437" s="38" t="s">
        <v>88</v>
      </c>
      <c r="G1437" s="51">
        <v>0.7</v>
      </c>
      <c r="H1437" s="60" t="s">
        <v>71</v>
      </c>
      <c r="I1437" s="39">
        <v>1.484</v>
      </c>
      <c r="J1437" s="39">
        <v>0.1749</v>
      </c>
      <c r="K1437" s="39">
        <v>0.14079999999999998</v>
      </c>
      <c r="L1437" s="39">
        <v>0.11120000000000001</v>
      </c>
      <c r="M1437" s="61">
        <v>5000</v>
      </c>
      <c r="N1437" s="61">
        <v>1000000</v>
      </c>
    </row>
    <row r="1438" spans="1:14" ht="15" customHeight="1" x14ac:dyDescent="0.25">
      <c r="A1438" s="64" t="str">
        <f t="shared" si="22"/>
        <v>0.7-18-0-TOU-3 year APR - Reward Plus</v>
      </c>
      <c r="B1438" s="62" t="s">
        <v>13</v>
      </c>
      <c r="C1438" s="54">
        <v>18</v>
      </c>
      <c r="D1438" s="59" t="s">
        <v>27</v>
      </c>
      <c r="E1438" s="59" t="s">
        <v>87</v>
      </c>
      <c r="F1438" s="38" t="s">
        <v>88</v>
      </c>
      <c r="G1438" s="51">
        <v>0.7</v>
      </c>
      <c r="H1438" s="60" t="s">
        <v>71</v>
      </c>
      <c r="I1438" s="39">
        <v>0.89900000000000002</v>
      </c>
      <c r="J1438" s="39">
        <v>0.15569999999999998</v>
      </c>
      <c r="K1438" s="39">
        <v>0.12539999999999998</v>
      </c>
      <c r="L1438" s="39">
        <v>9.9000000000000005E-2</v>
      </c>
      <c r="M1438" s="61">
        <v>5000</v>
      </c>
      <c r="N1438" s="61">
        <v>1000000</v>
      </c>
    </row>
    <row r="1439" spans="1:14" ht="15" customHeight="1" x14ac:dyDescent="0.25">
      <c r="A1439" s="64" t="str">
        <f t="shared" si="22"/>
        <v>0.7-19-0-TOU-3 year APR - Reward Plus</v>
      </c>
      <c r="B1439" s="62" t="s">
        <v>13</v>
      </c>
      <c r="C1439" s="54">
        <v>19</v>
      </c>
      <c r="D1439" s="59" t="s">
        <v>28</v>
      </c>
      <c r="E1439" s="59" t="s">
        <v>87</v>
      </c>
      <c r="F1439" s="38" t="s">
        <v>88</v>
      </c>
      <c r="G1439" s="51">
        <v>0.7</v>
      </c>
      <c r="H1439" s="60" t="s">
        <v>71</v>
      </c>
      <c r="I1439" s="39">
        <v>0.77800000000000002</v>
      </c>
      <c r="J1439" s="39">
        <v>0.15489999999999998</v>
      </c>
      <c r="K1439" s="39">
        <v>0.12470000000000001</v>
      </c>
      <c r="L1439" s="39">
        <v>9.8400000000000001E-2</v>
      </c>
      <c r="M1439" s="61">
        <v>5000</v>
      </c>
      <c r="N1439" s="61">
        <v>1000000</v>
      </c>
    </row>
    <row r="1440" spans="1:14" ht="15" customHeight="1" x14ac:dyDescent="0.25">
      <c r="A1440" s="64" t="str">
        <f t="shared" si="22"/>
        <v>0.7-20-0-TOU-3 year APR - Reward Plus</v>
      </c>
      <c r="B1440" s="62" t="s">
        <v>13</v>
      </c>
      <c r="C1440" s="54">
        <v>20</v>
      </c>
      <c r="D1440" s="59" t="s">
        <v>29</v>
      </c>
      <c r="E1440" s="59" t="s">
        <v>87</v>
      </c>
      <c r="F1440" s="38" t="s">
        <v>88</v>
      </c>
      <c r="G1440" s="51">
        <v>0.7</v>
      </c>
      <c r="H1440" s="60" t="s">
        <v>71</v>
      </c>
      <c r="I1440" s="39">
        <v>0.82699999999999996</v>
      </c>
      <c r="J1440" s="39">
        <v>0.1545</v>
      </c>
      <c r="K1440" s="39">
        <v>0.1244</v>
      </c>
      <c r="L1440" s="39">
        <v>9.820000000000001E-2</v>
      </c>
      <c r="M1440" s="61">
        <v>5000</v>
      </c>
      <c r="N1440" s="61">
        <v>1000000</v>
      </c>
    </row>
    <row r="1441" spans="1:14" ht="15" customHeight="1" x14ac:dyDescent="0.25">
      <c r="A1441" s="64" t="str">
        <f t="shared" si="22"/>
        <v>0.7-21-0-TOU-3 year APR - Reward Plus</v>
      </c>
      <c r="B1441" s="62" t="s">
        <v>13</v>
      </c>
      <c r="C1441" s="54">
        <v>21</v>
      </c>
      <c r="D1441" s="59" t="s">
        <v>30</v>
      </c>
      <c r="E1441" s="59" t="s">
        <v>87</v>
      </c>
      <c r="F1441" s="38" t="s">
        <v>88</v>
      </c>
      <c r="G1441" s="51">
        <v>0.7</v>
      </c>
      <c r="H1441" s="60" t="s">
        <v>71</v>
      </c>
      <c r="I1441" s="39">
        <v>0.92300000000000004</v>
      </c>
      <c r="J1441" s="39">
        <v>0.16439999999999999</v>
      </c>
      <c r="K1441" s="39">
        <v>0.13239999999999999</v>
      </c>
      <c r="L1441" s="39">
        <v>0.10450000000000001</v>
      </c>
      <c r="M1441" s="61">
        <v>5000</v>
      </c>
      <c r="N1441" s="61">
        <v>1000000</v>
      </c>
    </row>
    <row r="1442" spans="1:14" ht="15" customHeight="1" x14ac:dyDescent="0.25">
      <c r="A1442" s="64" t="str">
        <f t="shared" si="22"/>
        <v>0.7-22-0-TOU-3 year APR - Reward Plus</v>
      </c>
      <c r="B1442" s="62" t="s">
        <v>13</v>
      </c>
      <c r="C1442" s="54">
        <v>22</v>
      </c>
      <c r="D1442" s="59" t="s">
        <v>31</v>
      </c>
      <c r="E1442" s="59" t="s">
        <v>87</v>
      </c>
      <c r="F1442" s="38" t="s">
        <v>88</v>
      </c>
      <c r="G1442" s="51">
        <v>0.7</v>
      </c>
      <c r="H1442" s="60" t="s">
        <v>71</v>
      </c>
      <c r="I1442" s="39">
        <v>0.90400000000000003</v>
      </c>
      <c r="J1442" s="39">
        <v>0.16499999999999998</v>
      </c>
      <c r="K1442" s="39">
        <v>0.13289999999999999</v>
      </c>
      <c r="L1442" s="39">
        <v>0.10490000000000001</v>
      </c>
      <c r="M1442" s="61">
        <v>5000</v>
      </c>
      <c r="N1442" s="61">
        <v>1000000</v>
      </c>
    </row>
    <row r="1443" spans="1:14" ht="15" customHeight="1" x14ac:dyDescent="0.25">
      <c r="A1443" s="64" t="str">
        <f t="shared" si="22"/>
        <v>0.7-23-0-TOU-3 year APR - Reward Plus</v>
      </c>
      <c r="B1443" s="62" t="s">
        <v>13</v>
      </c>
      <c r="C1443" s="54">
        <v>23</v>
      </c>
      <c r="D1443" s="59" t="s">
        <v>32</v>
      </c>
      <c r="E1443" s="59" t="s">
        <v>87</v>
      </c>
      <c r="F1443" s="38" t="s">
        <v>88</v>
      </c>
      <c r="G1443" s="51">
        <v>0.7</v>
      </c>
      <c r="H1443" s="60" t="s">
        <v>71</v>
      </c>
      <c r="I1443" s="39">
        <v>0.90600000000000003</v>
      </c>
      <c r="J1443" s="39">
        <v>0.15759999999999999</v>
      </c>
      <c r="K1443" s="39">
        <v>0.12689999999999999</v>
      </c>
      <c r="L1443" s="39">
        <v>0.1002</v>
      </c>
      <c r="M1443" s="61">
        <v>5000</v>
      </c>
      <c r="N1443" s="61">
        <v>1000000</v>
      </c>
    </row>
    <row r="1444" spans="1:14" ht="15" customHeight="1" x14ac:dyDescent="0.25">
      <c r="A1444" s="64" t="str">
        <f t="shared" si="22"/>
        <v>0.8-10-0-TOU-3 year APR - Reward Plus</v>
      </c>
      <c r="B1444" s="62" t="s">
        <v>13</v>
      </c>
      <c r="C1444" s="54">
        <v>10</v>
      </c>
      <c r="D1444" s="59" t="s">
        <v>14</v>
      </c>
      <c r="E1444" s="59" t="s">
        <v>87</v>
      </c>
      <c r="F1444" s="38" t="s">
        <v>88</v>
      </c>
      <c r="G1444" s="51">
        <v>0.8</v>
      </c>
      <c r="H1444" s="60" t="s">
        <v>71</v>
      </c>
      <c r="I1444" s="39">
        <v>0.88100000000000001</v>
      </c>
      <c r="J1444" s="39">
        <v>0.15489999999999998</v>
      </c>
      <c r="K1444" s="39">
        <v>0.12470000000000001</v>
      </c>
      <c r="L1444" s="39">
        <v>9.8400000000000001E-2</v>
      </c>
      <c r="M1444" s="61">
        <v>5000</v>
      </c>
      <c r="N1444" s="61">
        <v>1000000</v>
      </c>
    </row>
    <row r="1445" spans="1:14" ht="15" customHeight="1" x14ac:dyDescent="0.25">
      <c r="A1445" s="64" t="str">
        <f t="shared" si="22"/>
        <v>0.8-11-0-TOU-3 year APR - Reward Plus</v>
      </c>
      <c r="B1445" s="62" t="s">
        <v>13</v>
      </c>
      <c r="C1445" s="54">
        <v>11</v>
      </c>
      <c r="D1445" s="59" t="s">
        <v>20</v>
      </c>
      <c r="E1445" s="59" t="s">
        <v>87</v>
      </c>
      <c r="F1445" s="38" t="s">
        <v>88</v>
      </c>
      <c r="G1445" s="51">
        <v>0.8</v>
      </c>
      <c r="H1445" s="60" t="s">
        <v>71</v>
      </c>
      <c r="I1445" s="39">
        <v>0.86099999999999999</v>
      </c>
      <c r="J1445" s="39">
        <v>0.15709999999999999</v>
      </c>
      <c r="K1445" s="39">
        <v>0.1265</v>
      </c>
      <c r="L1445" s="39">
        <v>9.9900000000000003E-2</v>
      </c>
      <c r="M1445" s="61">
        <v>5000</v>
      </c>
      <c r="N1445" s="61">
        <v>1000000</v>
      </c>
    </row>
    <row r="1446" spans="1:14" ht="15" customHeight="1" x14ac:dyDescent="0.25">
      <c r="A1446" s="64" t="str">
        <f t="shared" si="22"/>
        <v>0.8-12-0-TOU-3 year APR - Reward Plus</v>
      </c>
      <c r="B1446" s="62" t="s">
        <v>13</v>
      </c>
      <c r="C1446" s="54">
        <v>12</v>
      </c>
      <c r="D1446" s="59" t="s">
        <v>21</v>
      </c>
      <c r="E1446" s="59" t="s">
        <v>87</v>
      </c>
      <c r="F1446" s="38" t="s">
        <v>88</v>
      </c>
      <c r="G1446" s="51">
        <v>0.8</v>
      </c>
      <c r="H1446" s="60" t="s">
        <v>71</v>
      </c>
      <c r="I1446" s="39">
        <v>0.90300000000000002</v>
      </c>
      <c r="J1446" s="39">
        <v>0.15439999999999998</v>
      </c>
      <c r="K1446" s="39">
        <v>0.12430000000000001</v>
      </c>
      <c r="L1446" s="39">
        <v>9.8100000000000007E-2</v>
      </c>
      <c r="M1446" s="61">
        <v>5000</v>
      </c>
      <c r="N1446" s="61">
        <v>1000000</v>
      </c>
    </row>
    <row r="1447" spans="1:14" ht="15" customHeight="1" x14ac:dyDescent="0.25">
      <c r="A1447" s="64" t="str">
        <f t="shared" si="22"/>
        <v>0.8-13-0-TOU-3 year APR - Reward Plus</v>
      </c>
      <c r="B1447" s="62" t="s">
        <v>13</v>
      </c>
      <c r="C1447" s="54">
        <v>13</v>
      </c>
      <c r="D1447" s="59" t="s">
        <v>22</v>
      </c>
      <c r="E1447" s="59" t="s">
        <v>87</v>
      </c>
      <c r="F1447" s="38" t="s">
        <v>88</v>
      </c>
      <c r="G1447" s="51">
        <v>0.8</v>
      </c>
      <c r="H1447" s="60" t="s">
        <v>71</v>
      </c>
      <c r="I1447" s="39">
        <v>0.88100000000000001</v>
      </c>
      <c r="J1447" s="39">
        <v>0.16649999999999998</v>
      </c>
      <c r="K1447" s="39">
        <v>0.1341</v>
      </c>
      <c r="L1447" s="39">
        <v>0.10590000000000001</v>
      </c>
      <c r="M1447" s="61">
        <v>5000</v>
      </c>
      <c r="N1447" s="61">
        <v>1000000</v>
      </c>
    </row>
    <row r="1448" spans="1:14" ht="15" customHeight="1" x14ac:dyDescent="0.25">
      <c r="A1448" s="64" t="str">
        <f t="shared" si="22"/>
        <v>0.8-14-0-TOU-3 year APR - Reward Plus</v>
      </c>
      <c r="B1448" s="62" t="s">
        <v>13</v>
      </c>
      <c r="C1448" s="54">
        <v>14</v>
      </c>
      <c r="D1448" s="59" t="s">
        <v>23</v>
      </c>
      <c r="E1448" s="59" t="s">
        <v>87</v>
      </c>
      <c r="F1448" s="38" t="s">
        <v>88</v>
      </c>
      <c r="G1448" s="51">
        <v>0.8</v>
      </c>
      <c r="H1448" s="60" t="s">
        <v>71</v>
      </c>
      <c r="I1448" s="39">
        <v>0.89</v>
      </c>
      <c r="J1448" s="39">
        <v>0.15809999999999999</v>
      </c>
      <c r="K1448" s="39">
        <v>0.1273</v>
      </c>
      <c r="L1448" s="39">
        <v>0.10050000000000001</v>
      </c>
      <c r="M1448" s="61">
        <v>5000</v>
      </c>
      <c r="N1448" s="61">
        <v>1000000</v>
      </c>
    </row>
    <row r="1449" spans="1:14" ht="15" customHeight="1" x14ac:dyDescent="0.25">
      <c r="A1449" s="64" t="str">
        <f t="shared" si="22"/>
        <v>0.8-15-0-TOU-3 year APR - Reward Plus</v>
      </c>
      <c r="B1449" s="62" t="s">
        <v>13</v>
      </c>
      <c r="C1449" s="54">
        <v>15</v>
      </c>
      <c r="D1449" s="59" t="s">
        <v>24</v>
      </c>
      <c r="E1449" s="59" t="s">
        <v>87</v>
      </c>
      <c r="F1449" s="38" t="s">
        <v>88</v>
      </c>
      <c r="G1449" s="51">
        <v>0.8</v>
      </c>
      <c r="H1449" s="60" t="s">
        <v>71</v>
      </c>
      <c r="I1449" s="39">
        <v>0.96</v>
      </c>
      <c r="J1449" s="39">
        <v>0.15889999999999999</v>
      </c>
      <c r="K1449" s="39">
        <v>0.12789999999999999</v>
      </c>
      <c r="L1449" s="39">
        <v>0.10100000000000001</v>
      </c>
      <c r="M1449" s="61">
        <v>5000</v>
      </c>
      <c r="N1449" s="61">
        <v>1000000</v>
      </c>
    </row>
    <row r="1450" spans="1:14" ht="15" customHeight="1" x14ac:dyDescent="0.25">
      <c r="A1450" s="64" t="str">
        <f t="shared" si="22"/>
        <v>0.8-16-0-TOU-3 year APR - Reward Plus</v>
      </c>
      <c r="B1450" s="62" t="s">
        <v>13</v>
      </c>
      <c r="C1450" s="54">
        <v>16</v>
      </c>
      <c r="D1450" s="59" t="s">
        <v>25</v>
      </c>
      <c r="E1450" s="59" t="s">
        <v>87</v>
      </c>
      <c r="F1450" s="38" t="s">
        <v>88</v>
      </c>
      <c r="G1450" s="51">
        <v>0.8</v>
      </c>
      <c r="H1450" s="60" t="s">
        <v>71</v>
      </c>
      <c r="I1450" s="39">
        <v>0.72699999999999998</v>
      </c>
      <c r="J1450" s="39">
        <v>0.15769999999999998</v>
      </c>
      <c r="K1450" s="39">
        <v>0.127</v>
      </c>
      <c r="L1450" s="39">
        <v>0.1002</v>
      </c>
      <c r="M1450" s="61">
        <v>5000</v>
      </c>
      <c r="N1450" s="61">
        <v>1000000</v>
      </c>
    </row>
    <row r="1451" spans="1:14" ht="15" customHeight="1" x14ac:dyDescent="0.25">
      <c r="A1451" s="64" t="str">
        <f t="shared" si="22"/>
        <v>0.8-17-0-TOU-3 year APR - Reward Plus</v>
      </c>
      <c r="B1451" s="62" t="s">
        <v>13</v>
      </c>
      <c r="C1451" s="54">
        <v>17</v>
      </c>
      <c r="D1451" s="59" t="s">
        <v>26</v>
      </c>
      <c r="E1451" s="59" t="s">
        <v>87</v>
      </c>
      <c r="F1451" s="38" t="s">
        <v>88</v>
      </c>
      <c r="G1451" s="51">
        <v>0.8</v>
      </c>
      <c r="H1451" s="60" t="s">
        <v>71</v>
      </c>
      <c r="I1451" s="39">
        <v>1.484</v>
      </c>
      <c r="J1451" s="39">
        <v>0.17609999999999998</v>
      </c>
      <c r="K1451" s="39">
        <v>0.14179999999999998</v>
      </c>
      <c r="L1451" s="39">
        <v>0.1119</v>
      </c>
      <c r="M1451" s="61">
        <v>5000</v>
      </c>
      <c r="N1451" s="61">
        <v>1000000</v>
      </c>
    </row>
    <row r="1452" spans="1:14" ht="15" customHeight="1" x14ac:dyDescent="0.25">
      <c r="A1452" s="64" t="str">
        <f t="shared" si="22"/>
        <v>0.8-18-0-TOU-3 year APR - Reward Plus</v>
      </c>
      <c r="B1452" s="62" t="s">
        <v>13</v>
      </c>
      <c r="C1452" s="54">
        <v>18</v>
      </c>
      <c r="D1452" s="59" t="s">
        <v>27</v>
      </c>
      <c r="E1452" s="59" t="s">
        <v>87</v>
      </c>
      <c r="F1452" s="38" t="s">
        <v>88</v>
      </c>
      <c r="G1452" s="51">
        <v>0.8</v>
      </c>
      <c r="H1452" s="60" t="s">
        <v>71</v>
      </c>
      <c r="I1452" s="39">
        <v>0.89900000000000002</v>
      </c>
      <c r="J1452" s="39">
        <v>0.15689999999999998</v>
      </c>
      <c r="K1452" s="39">
        <v>0.1263</v>
      </c>
      <c r="L1452" s="39">
        <v>9.9699999999999997E-2</v>
      </c>
      <c r="M1452" s="61">
        <v>5000</v>
      </c>
      <c r="N1452" s="61">
        <v>1000000</v>
      </c>
    </row>
    <row r="1453" spans="1:14" ht="15" customHeight="1" x14ac:dyDescent="0.25">
      <c r="A1453" s="64" t="str">
        <f t="shared" si="22"/>
        <v>0.8-19-0-TOU-3 year APR - Reward Plus</v>
      </c>
      <c r="B1453" s="62" t="s">
        <v>13</v>
      </c>
      <c r="C1453" s="54">
        <v>19</v>
      </c>
      <c r="D1453" s="59" t="s">
        <v>28</v>
      </c>
      <c r="E1453" s="59" t="s">
        <v>87</v>
      </c>
      <c r="F1453" s="38" t="s">
        <v>88</v>
      </c>
      <c r="G1453" s="51">
        <v>0.8</v>
      </c>
      <c r="H1453" s="60" t="s">
        <v>71</v>
      </c>
      <c r="I1453" s="39">
        <v>0.77800000000000002</v>
      </c>
      <c r="J1453" s="39">
        <v>0.156</v>
      </c>
      <c r="K1453" s="39">
        <v>0.12559999999999999</v>
      </c>
      <c r="L1453" s="39">
        <v>9.9199999999999997E-2</v>
      </c>
      <c r="M1453" s="61">
        <v>5000</v>
      </c>
      <c r="N1453" s="61">
        <v>1000000</v>
      </c>
    </row>
    <row r="1454" spans="1:14" ht="15" customHeight="1" x14ac:dyDescent="0.25">
      <c r="A1454" s="64" t="str">
        <f t="shared" si="22"/>
        <v>0.8-20-0-TOU-3 year APR - Reward Plus</v>
      </c>
      <c r="B1454" s="62" t="s">
        <v>13</v>
      </c>
      <c r="C1454" s="54">
        <v>20</v>
      </c>
      <c r="D1454" s="59" t="s">
        <v>29</v>
      </c>
      <c r="E1454" s="59" t="s">
        <v>87</v>
      </c>
      <c r="F1454" s="38" t="s">
        <v>88</v>
      </c>
      <c r="G1454" s="51">
        <v>0.8</v>
      </c>
      <c r="H1454" s="60" t="s">
        <v>71</v>
      </c>
      <c r="I1454" s="39">
        <v>0.82699999999999996</v>
      </c>
      <c r="J1454" s="39">
        <v>0.15569999999999998</v>
      </c>
      <c r="K1454" s="39">
        <v>0.12539999999999998</v>
      </c>
      <c r="L1454" s="39">
        <v>9.9000000000000005E-2</v>
      </c>
      <c r="M1454" s="61">
        <v>5000</v>
      </c>
      <c r="N1454" s="61">
        <v>1000000</v>
      </c>
    </row>
    <row r="1455" spans="1:14" ht="15" customHeight="1" x14ac:dyDescent="0.25">
      <c r="A1455" s="64" t="str">
        <f t="shared" si="22"/>
        <v>0.8-21-0-TOU-3 year APR - Reward Plus</v>
      </c>
      <c r="B1455" s="62" t="s">
        <v>13</v>
      </c>
      <c r="C1455" s="54">
        <v>21</v>
      </c>
      <c r="D1455" s="59" t="s">
        <v>30</v>
      </c>
      <c r="E1455" s="59" t="s">
        <v>87</v>
      </c>
      <c r="F1455" s="38" t="s">
        <v>88</v>
      </c>
      <c r="G1455" s="51">
        <v>0.8</v>
      </c>
      <c r="H1455" s="60" t="s">
        <v>71</v>
      </c>
      <c r="I1455" s="39">
        <v>0.92300000000000004</v>
      </c>
      <c r="J1455" s="39">
        <v>0.1656</v>
      </c>
      <c r="K1455" s="39">
        <v>0.1333</v>
      </c>
      <c r="L1455" s="39">
        <v>0.1053</v>
      </c>
      <c r="M1455" s="61">
        <v>5000</v>
      </c>
      <c r="N1455" s="61">
        <v>1000000</v>
      </c>
    </row>
    <row r="1456" spans="1:14" ht="15" customHeight="1" x14ac:dyDescent="0.25">
      <c r="A1456" s="64" t="str">
        <f t="shared" si="22"/>
        <v>0.8-22-0-TOU-3 year APR - Reward Plus</v>
      </c>
      <c r="B1456" s="62" t="s">
        <v>13</v>
      </c>
      <c r="C1456" s="54">
        <v>22</v>
      </c>
      <c r="D1456" s="59" t="s">
        <v>31</v>
      </c>
      <c r="E1456" s="59" t="s">
        <v>87</v>
      </c>
      <c r="F1456" s="38" t="s">
        <v>88</v>
      </c>
      <c r="G1456" s="51">
        <v>0.8</v>
      </c>
      <c r="H1456" s="60" t="s">
        <v>71</v>
      </c>
      <c r="I1456" s="39">
        <v>0.90400000000000003</v>
      </c>
      <c r="J1456" s="39">
        <v>0.16619999999999999</v>
      </c>
      <c r="K1456" s="39">
        <v>0.1338</v>
      </c>
      <c r="L1456" s="39">
        <v>0.1056</v>
      </c>
      <c r="M1456" s="61">
        <v>5000</v>
      </c>
      <c r="N1456" s="61">
        <v>1000000</v>
      </c>
    </row>
    <row r="1457" spans="1:14" ht="15" customHeight="1" x14ac:dyDescent="0.25">
      <c r="A1457" s="64" t="str">
        <f t="shared" si="22"/>
        <v>0.8-23-0-TOU-3 year APR - Reward Plus</v>
      </c>
      <c r="B1457" s="62" t="s">
        <v>13</v>
      </c>
      <c r="C1457" s="54">
        <v>23</v>
      </c>
      <c r="D1457" s="59" t="s">
        <v>32</v>
      </c>
      <c r="E1457" s="59" t="s">
        <v>87</v>
      </c>
      <c r="F1457" s="38" t="s">
        <v>88</v>
      </c>
      <c r="G1457" s="51">
        <v>0.8</v>
      </c>
      <c r="H1457" s="60" t="s">
        <v>71</v>
      </c>
      <c r="I1457" s="39">
        <v>0.90600000000000003</v>
      </c>
      <c r="J1457" s="39">
        <v>0.1588</v>
      </c>
      <c r="K1457" s="39">
        <v>0.1278</v>
      </c>
      <c r="L1457" s="39">
        <v>0.1009</v>
      </c>
      <c r="M1457" s="61">
        <v>5000</v>
      </c>
      <c r="N1457" s="61">
        <v>1000000</v>
      </c>
    </row>
    <row r="1458" spans="1:14" ht="15" customHeight="1" x14ac:dyDescent="0.25">
      <c r="A1458" s="64" t="str">
        <f t="shared" si="22"/>
        <v>0.9-10-0-TOU-3 year APR - Reward Plus</v>
      </c>
      <c r="B1458" s="62" t="s">
        <v>13</v>
      </c>
      <c r="C1458" s="54">
        <v>10</v>
      </c>
      <c r="D1458" s="59" t="s">
        <v>14</v>
      </c>
      <c r="E1458" s="59" t="s">
        <v>87</v>
      </c>
      <c r="F1458" s="38" t="s">
        <v>88</v>
      </c>
      <c r="G1458" s="51">
        <v>0.9</v>
      </c>
      <c r="H1458" s="60" t="s">
        <v>71</v>
      </c>
      <c r="I1458" s="39">
        <v>0.88100000000000001</v>
      </c>
      <c r="J1458" s="39">
        <v>0.156</v>
      </c>
      <c r="K1458" s="39">
        <v>0.12559999999999999</v>
      </c>
      <c r="L1458" s="39">
        <v>9.9199999999999997E-2</v>
      </c>
      <c r="M1458" s="61">
        <v>5000</v>
      </c>
      <c r="N1458" s="61">
        <v>1000000</v>
      </c>
    </row>
    <row r="1459" spans="1:14" ht="15" customHeight="1" x14ac:dyDescent="0.25">
      <c r="A1459" s="64" t="str">
        <f t="shared" si="22"/>
        <v>0.9-11-0-TOU-3 year APR - Reward Plus</v>
      </c>
      <c r="B1459" s="62" t="s">
        <v>13</v>
      </c>
      <c r="C1459" s="54">
        <v>11</v>
      </c>
      <c r="D1459" s="59" t="s">
        <v>20</v>
      </c>
      <c r="E1459" s="59" t="s">
        <v>87</v>
      </c>
      <c r="F1459" s="38" t="s">
        <v>88</v>
      </c>
      <c r="G1459" s="51">
        <v>0.9</v>
      </c>
      <c r="H1459" s="60" t="s">
        <v>71</v>
      </c>
      <c r="I1459" s="39">
        <v>0.86099999999999999</v>
      </c>
      <c r="J1459" s="39">
        <v>0.1583</v>
      </c>
      <c r="K1459" s="39">
        <v>0.12739999999999999</v>
      </c>
      <c r="L1459" s="39">
        <v>0.10060000000000001</v>
      </c>
      <c r="M1459" s="61">
        <v>5000</v>
      </c>
      <c r="N1459" s="61">
        <v>1000000</v>
      </c>
    </row>
    <row r="1460" spans="1:14" ht="15" customHeight="1" x14ac:dyDescent="0.25">
      <c r="A1460" s="64" t="str">
        <f t="shared" si="22"/>
        <v>0.9-12-0-TOU-3 year APR - Reward Plus</v>
      </c>
      <c r="B1460" s="62" t="s">
        <v>13</v>
      </c>
      <c r="C1460" s="54">
        <v>12</v>
      </c>
      <c r="D1460" s="59" t="s">
        <v>21</v>
      </c>
      <c r="E1460" s="59" t="s">
        <v>87</v>
      </c>
      <c r="F1460" s="38" t="s">
        <v>88</v>
      </c>
      <c r="G1460" s="51">
        <v>0.9</v>
      </c>
      <c r="H1460" s="60" t="s">
        <v>71</v>
      </c>
      <c r="I1460" s="39">
        <v>0.90300000000000002</v>
      </c>
      <c r="J1460" s="39">
        <v>0.15559999999999999</v>
      </c>
      <c r="K1460" s="39">
        <v>0.12529999999999999</v>
      </c>
      <c r="L1460" s="39">
        <v>9.8900000000000002E-2</v>
      </c>
      <c r="M1460" s="61">
        <v>5000</v>
      </c>
      <c r="N1460" s="61">
        <v>1000000</v>
      </c>
    </row>
    <row r="1461" spans="1:14" ht="15" customHeight="1" x14ac:dyDescent="0.25">
      <c r="A1461" s="64" t="str">
        <f t="shared" si="22"/>
        <v>0.9-13-0-TOU-3 year APR - Reward Plus</v>
      </c>
      <c r="B1461" s="62" t="s">
        <v>13</v>
      </c>
      <c r="C1461" s="54">
        <v>13</v>
      </c>
      <c r="D1461" s="59" t="s">
        <v>22</v>
      </c>
      <c r="E1461" s="59" t="s">
        <v>87</v>
      </c>
      <c r="F1461" s="38" t="s">
        <v>88</v>
      </c>
      <c r="G1461" s="51">
        <v>0.9</v>
      </c>
      <c r="H1461" s="60" t="s">
        <v>71</v>
      </c>
      <c r="I1461" s="39">
        <v>0.88100000000000001</v>
      </c>
      <c r="J1461" s="39">
        <v>0.16769999999999999</v>
      </c>
      <c r="K1461" s="39">
        <v>0.13499999999999998</v>
      </c>
      <c r="L1461" s="39">
        <v>0.1066</v>
      </c>
      <c r="M1461" s="61">
        <v>5000</v>
      </c>
      <c r="N1461" s="61">
        <v>1000000</v>
      </c>
    </row>
    <row r="1462" spans="1:14" ht="15" customHeight="1" x14ac:dyDescent="0.25">
      <c r="A1462" s="64" t="str">
        <f t="shared" si="22"/>
        <v>0.9-14-0-TOU-3 year APR - Reward Plus</v>
      </c>
      <c r="B1462" s="62" t="s">
        <v>13</v>
      </c>
      <c r="C1462" s="54">
        <v>14</v>
      </c>
      <c r="D1462" s="59" t="s">
        <v>23</v>
      </c>
      <c r="E1462" s="59" t="s">
        <v>87</v>
      </c>
      <c r="F1462" s="38" t="s">
        <v>88</v>
      </c>
      <c r="G1462" s="51">
        <v>0.9</v>
      </c>
      <c r="H1462" s="60" t="s">
        <v>71</v>
      </c>
      <c r="I1462" s="39">
        <v>0.89</v>
      </c>
      <c r="J1462" s="39">
        <v>0.15919999999999998</v>
      </c>
      <c r="K1462" s="39">
        <v>0.12819999999999998</v>
      </c>
      <c r="L1462" s="39">
        <v>0.1012</v>
      </c>
      <c r="M1462" s="61">
        <v>5000</v>
      </c>
      <c r="N1462" s="61">
        <v>1000000</v>
      </c>
    </row>
    <row r="1463" spans="1:14" ht="15" customHeight="1" x14ac:dyDescent="0.25">
      <c r="A1463" s="64" t="str">
        <f t="shared" si="22"/>
        <v>0.9-15-0-TOU-3 year APR - Reward Plus</v>
      </c>
      <c r="B1463" s="62" t="s">
        <v>13</v>
      </c>
      <c r="C1463" s="54">
        <v>15</v>
      </c>
      <c r="D1463" s="59" t="s">
        <v>24</v>
      </c>
      <c r="E1463" s="59" t="s">
        <v>87</v>
      </c>
      <c r="F1463" s="38" t="s">
        <v>88</v>
      </c>
      <c r="G1463" s="51">
        <v>0.9</v>
      </c>
      <c r="H1463" s="60" t="s">
        <v>71</v>
      </c>
      <c r="I1463" s="39">
        <v>0.96</v>
      </c>
      <c r="J1463" s="39">
        <v>0.16009999999999999</v>
      </c>
      <c r="K1463" s="39">
        <v>0.12889999999999999</v>
      </c>
      <c r="L1463" s="39">
        <v>0.1017</v>
      </c>
      <c r="M1463" s="61">
        <v>5000</v>
      </c>
      <c r="N1463" s="61">
        <v>1000000</v>
      </c>
    </row>
    <row r="1464" spans="1:14" ht="15" customHeight="1" x14ac:dyDescent="0.25">
      <c r="A1464" s="64" t="str">
        <f t="shared" si="22"/>
        <v>0.9-16-0-TOU-3 year APR - Reward Plus</v>
      </c>
      <c r="B1464" s="62" t="s">
        <v>13</v>
      </c>
      <c r="C1464" s="54">
        <v>16</v>
      </c>
      <c r="D1464" s="59" t="s">
        <v>25</v>
      </c>
      <c r="E1464" s="59" t="s">
        <v>87</v>
      </c>
      <c r="F1464" s="38" t="s">
        <v>88</v>
      </c>
      <c r="G1464" s="51">
        <v>0.9</v>
      </c>
      <c r="H1464" s="60" t="s">
        <v>71</v>
      </c>
      <c r="I1464" s="39">
        <v>0.72699999999999998</v>
      </c>
      <c r="J1464" s="39">
        <v>0.15889999999999999</v>
      </c>
      <c r="K1464" s="39">
        <v>0.12789999999999999</v>
      </c>
      <c r="L1464" s="39">
        <v>0.10100000000000001</v>
      </c>
      <c r="M1464" s="61">
        <v>5000</v>
      </c>
      <c r="N1464" s="61">
        <v>1000000</v>
      </c>
    </row>
    <row r="1465" spans="1:14" ht="15" customHeight="1" x14ac:dyDescent="0.25">
      <c r="A1465" s="64" t="str">
        <f t="shared" si="22"/>
        <v>0.9-17-0-TOU-3 year APR - Reward Plus</v>
      </c>
      <c r="B1465" s="62" t="s">
        <v>13</v>
      </c>
      <c r="C1465" s="54">
        <v>17</v>
      </c>
      <c r="D1465" s="59" t="s">
        <v>26</v>
      </c>
      <c r="E1465" s="59" t="s">
        <v>87</v>
      </c>
      <c r="F1465" s="38" t="s">
        <v>88</v>
      </c>
      <c r="G1465" s="51">
        <v>0.9</v>
      </c>
      <c r="H1465" s="60" t="s">
        <v>71</v>
      </c>
      <c r="I1465" s="39">
        <v>1.484</v>
      </c>
      <c r="J1465" s="39">
        <v>0.17729999999999999</v>
      </c>
      <c r="K1465" s="39">
        <v>0.14269999999999999</v>
      </c>
      <c r="L1465" s="39">
        <v>0.11270000000000001</v>
      </c>
      <c r="M1465" s="61">
        <v>5000</v>
      </c>
      <c r="N1465" s="61">
        <v>1000000</v>
      </c>
    </row>
    <row r="1466" spans="1:14" ht="15" customHeight="1" x14ac:dyDescent="0.25">
      <c r="A1466" s="64" t="str">
        <f t="shared" si="22"/>
        <v>0.9-18-0-TOU-3 year APR - Reward Plus</v>
      </c>
      <c r="B1466" s="62" t="s">
        <v>13</v>
      </c>
      <c r="C1466" s="54">
        <v>18</v>
      </c>
      <c r="D1466" s="59" t="s">
        <v>27</v>
      </c>
      <c r="E1466" s="59" t="s">
        <v>87</v>
      </c>
      <c r="F1466" s="38" t="s">
        <v>88</v>
      </c>
      <c r="G1466" s="51">
        <v>0.9</v>
      </c>
      <c r="H1466" s="60" t="s">
        <v>71</v>
      </c>
      <c r="I1466" s="39">
        <v>0.89900000000000002</v>
      </c>
      <c r="J1466" s="39">
        <v>0.15809999999999999</v>
      </c>
      <c r="K1466" s="39">
        <v>0.1273</v>
      </c>
      <c r="L1466" s="39">
        <v>0.10050000000000001</v>
      </c>
      <c r="M1466" s="61">
        <v>5000</v>
      </c>
      <c r="N1466" s="61">
        <v>1000000</v>
      </c>
    </row>
    <row r="1467" spans="1:14" ht="15" customHeight="1" x14ac:dyDescent="0.25">
      <c r="A1467" s="64" t="str">
        <f t="shared" si="22"/>
        <v>0.9-19-0-TOU-3 year APR - Reward Plus</v>
      </c>
      <c r="B1467" s="62" t="s">
        <v>13</v>
      </c>
      <c r="C1467" s="54">
        <v>19</v>
      </c>
      <c r="D1467" s="59" t="s">
        <v>28</v>
      </c>
      <c r="E1467" s="59" t="s">
        <v>87</v>
      </c>
      <c r="F1467" s="38" t="s">
        <v>88</v>
      </c>
      <c r="G1467" s="51">
        <v>0.9</v>
      </c>
      <c r="H1467" s="60" t="s">
        <v>71</v>
      </c>
      <c r="I1467" s="39">
        <v>0.77800000000000002</v>
      </c>
      <c r="J1467" s="39">
        <v>0.15719999999999998</v>
      </c>
      <c r="K1467" s="39">
        <v>0.12659999999999999</v>
      </c>
      <c r="L1467" s="39">
        <v>9.9900000000000003E-2</v>
      </c>
      <c r="M1467" s="61">
        <v>5000</v>
      </c>
      <c r="N1467" s="61">
        <v>1000000</v>
      </c>
    </row>
    <row r="1468" spans="1:14" ht="15" customHeight="1" x14ac:dyDescent="0.25">
      <c r="A1468" s="64" t="str">
        <f t="shared" si="22"/>
        <v>0.9-20-0-TOU-3 year APR - Reward Plus</v>
      </c>
      <c r="B1468" s="62" t="s">
        <v>13</v>
      </c>
      <c r="C1468" s="54">
        <v>20</v>
      </c>
      <c r="D1468" s="59" t="s">
        <v>29</v>
      </c>
      <c r="E1468" s="59" t="s">
        <v>87</v>
      </c>
      <c r="F1468" s="38" t="s">
        <v>88</v>
      </c>
      <c r="G1468" s="51">
        <v>0.9</v>
      </c>
      <c r="H1468" s="60" t="s">
        <v>71</v>
      </c>
      <c r="I1468" s="39">
        <v>0.82699999999999996</v>
      </c>
      <c r="J1468" s="39">
        <v>0.15689999999999998</v>
      </c>
      <c r="K1468" s="39">
        <v>0.1263</v>
      </c>
      <c r="L1468" s="39">
        <v>9.9699999999999997E-2</v>
      </c>
      <c r="M1468" s="61">
        <v>5000</v>
      </c>
      <c r="N1468" s="61">
        <v>1000000</v>
      </c>
    </row>
    <row r="1469" spans="1:14" ht="15" customHeight="1" x14ac:dyDescent="0.25">
      <c r="A1469" s="64" t="str">
        <f t="shared" si="22"/>
        <v>0.9-21-0-TOU-3 year APR - Reward Plus</v>
      </c>
      <c r="B1469" s="62" t="s">
        <v>13</v>
      </c>
      <c r="C1469" s="54">
        <v>21</v>
      </c>
      <c r="D1469" s="59" t="s">
        <v>30</v>
      </c>
      <c r="E1469" s="59" t="s">
        <v>87</v>
      </c>
      <c r="F1469" s="38" t="s">
        <v>88</v>
      </c>
      <c r="G1469" s="51">
        <v>0.9</v>
      </c>
      <c r="H1469" s="60" t="s">
        <v>71</v>
      </c>
      <c r="I1469" s="39">
        <v>0.92300000000000004</v>
      </c>
      <c r="J1469" s="39">
        <v>0.16679999999999998</v>
      </c>
      <c r="K1469" s="39">
        <v>0.1343</v>
      </c>
      <c r="L1469" s="39">
        <v>0.106</v>
      </c>
      <c r="M1469" s="61">
        <v>5000</v>
      </c>
      <c r="N1469" s="61">
        <v>1000000</v>
      </c>
    </row>
    <row r="1470" spans="1:14" ht="15" customHeight="1" x14ac:dyDescent="0.25">
      <c r="A1470" s="64" t="str">
        <f t="shared" si="22"/>
        <v>0.9-22-0-TOU-3 year APR - Reward Plus</v>
      </c>
      <c r="B1470" s="62" t="s">
        <v>13</v>
      </c>
      <c r="C1470" s="54">
        <v>22</v>
      </c>
      <c r="D1470" s="59" t="s">
        <v>31</v>
      </c>
      <c r="E1470" s="59" t="s">
        <v>87</v>
      </c>
      <c r="F1470" s="38" t="s">
        <v>88</v>
      </c>
      <c r="G1470" s="51">
        <v>0.9</v>
      </c>
      <c r="H1470" s="60" t="s">
        <v>71</v>
      </c>
      <c r="I1470" s="39">
        <v>0.90400000000000003</v>
      </c>
      <c r="J1470" s="39">
        <v>0.16739999999999999</v>
      </c>
      <c r="K1470" s="39">
        <v>0.13479999999999998</v>
      </c>
      <c r="L1470" s="39">
        <v>0.10640000000000001</v>
      </c>
      <c r="M1470" s="61">
        <v>5000</v>
      </c>
      <c r="N1470" s="61">
        <v>1000000</v>
      </c>
    </row>
    <row r="1471" spans="1:14" ht="15" customHeight="1" x14ac:dyDescent="0.25">
      <c r="A1471" s="64" t="str">
        <f t="shared" si="22"/>
        <v>0.9-23-0-TOU-3 year APR - Reward Plus</v>
      </c>
      <c r="B1471" s="62" t="s">
        <v>13</v>
      </c>
      <c r="C1471" s="54">
        <v>23</v>
      </c>
      <c r="D1471" s="59" t="s">
        <v>32</v>
      </c>
      <c r="E1471" s="59" t="s">
        <v>87</v>
      </c>
      <c r="F1471" s="38" t="s">
        <v>88</v>
      </c>
      <c r="G1471" s="51">
        <v>0.9</v>
      </c>
      <c r="H1471" s="60" t="s">
        <v>71</v>
      </c>
      <c r="I1471" s="39">
        <v>0.90600000000000003</v>
      </c>
      <c r="J1471" s="39">
        <v>0.15989999999999999</v>
      </c>
      <c r="K1471" s="39">
        <v>0.1288</v>
      </c>
      <c r="L1471" s="39">
        <v>0.1017</v>
      </c>
      <c r="M1471" s="61">
        <v>5000</v>
      </c>
      <c r="N1471" s="61">
        <v>1000000</v>
      </c>
    </row>
    <row r="1472" spans="1:14" ht="15" customHeight="1" x14ac:dyDescent="0.25">
      <c r="A1472" s="64" t="str">
        <f t="shared" si="22"/>
        <v>1-10-0-TOU-3 year APR - Reward Plus</v>
      </c>
      <c r="B1472" s="62" t="s">
        <v>13</v>
      </c>
      <c r="C1472" s="54">
        <v>10</v>
      </c>
      <c r="D1472" s="59" t="s">
        <v>14</v>
      </c>
      <c r="E1472" s="59" t="s">
        <v>87</v>
      </c>
      <c r="F1472" s="38" t="s">
        <v>88</v>
      </c>
      <c r="G1472" s="51">
        <v>1</v>
      </c>
      <c r="H1472" s="60" t="s">
        <v>71</v>
      </c>
      <c r="I1472" s="39">
        <v>0.88100000000000001</v>
      </c>
      <c r="J1472" s="39">
        <v>0.15719999999999998</v>
      </c>
      <c r="K1472" s="39">
        <v>0.12659999999999999</v>
      </c>
      <c r="L1472" s="39">
        <v>9.9900000000000003E-2</v>
      </c>
      <c r="M1472" s="61">
        <v>5000</v>
      </c>
      <c r="N1472" s="61">
        <v>1000000</v>
      </c>
    </row>
    <row r="1473" spans="1:14" ht="15" customHeight="1" x14ac:dyDescent="0.25">
      <c r="A1473" s="64" t="str">
        <f t="shared" si="22"/>
        <v>1-11-0-TOU-3 year APR - Reward Plus</v>
      </c>
      <c r="B1473" s="62" t="s">
        <v>13</v>
      </c>
      <c r="C1473" s="54">
        <v>11</v>
      </c>
      <c r="D1473" s="59" t="s">
        <v>20</v>
      </c>
      <c r="E1473" s="59" t="s">
        <v>87</v>
      </c>
      <c r="F1473" s="38" t="s">
        <v>88</v>
      </c>
      <c r="G1473" s="51">
        <v>1</v>
      </c>
      <c r="H1473" s="60" t="s">
        <v>71</v>
      </c>
      <c r="I1473" s="39">
        <v>0.86099999999999999</v>
      </c>
      <c r="J1473" s="39">
        <v>0.15949999999999998</v>
      </c>
      <c r="K1473" s="39">
        <v>0.12839999999999999</v>
      </c>
      <c r="L1473" s="39">
        <v>0.1014</v>
      </c>
      <c r="M1473" s="61">
        <v>5000</v>
      </c>
      <c r="N1473" s="61">
        <v>1000000</v>
      </c>
    </row>
    <row r="1474" spans="1:14" ht="15" customHeight="1" x14ac:dyDescent="0.25">
      <c r="A1474" s="64" t="str">
        <f t="shared" si="22"/>
        <v>1-12-0-TOU-3 year APR - Reward Plus</v>
      </c>
      <c r="B1474" s="62" t="s">
        <v>13</v>
      </c>
      <c r="C1474" s="54">
        <v>12</v>
      </c>
      <c r="D1474" s="59" t="s">
        <v>21</v>
      </c>
      <c r="E1474" s="59" t="s">
        <v>87</v>
      </c>
      <c r="F1474" s="38" t="s">
        <v>88</v>
      </c>
      <c r="G1474" s="51">
        <v>1</v>
      </c>
      <c r="H1474" s="60" t="s">
        <v>71</v>
      </c>
      <c r="I1474" s="39">
        <v>0.90300000000000002</v>
      </c>
      <c r="J1474" s="39">
        <v>0.15679999999999999</v>
      </c>
      <c r="K1474" s="39">
        <v>0.12619999999999998</v>
      </c>
      <c r="L1474" s="39">
        <v>9.9599999999999994E-2</v>
      </c>
      <c r="M1474" s="61">
        <v>5000</v>
      </c>
      <c r="N1474" s="61">
        <v>1000000</v>
      </c>
    </row>
    <row r="1475" spans="1:14" ht="15" customHeight="1" x14ac:dyDescent="0.25">
      <c r="A1475" s="64" t="str">
        <f t="shared" ref="A1475:A1538" si="23">IF(E1475="OP","",CONCATENATE(G1475,"-",C1475,"-",RIGHT(F1475,1),"-",E1475,"-",H1475))</f>
        <v>1-13-0-TOU-3 year APR - Reward Plus</v>
      </c>
      <c r="B1475" s="62" t="s">
        <v>13</v>
      </c>
      <c r="C1475" s="54">
        <v>13</v>
      </c>
      <c r="D1475" s="59" t="s">
        <v>22</v>
      </c>
      <c r="E1475" s="59" t="s">
        <v>87</v>
      </c>
      <c r="F1475" s="38" t="s">
        <v>88</v>
      </c>
      <c r="G1475" s="51">
        <v>1</v>
      </c>
      <c r="H1475" s="60" t="s">
        <v>71</v>
      </c>
      <c r="I1475" s="39">
        <v>0.88100000000000001</v>
      </c>
      <c r="J1475" s="39">
        <v>0.16889999999999999</v>
      </c>
      <c r="K1475" s="39">
        <v>0.13599999999999998</v>
      </c>
      <c r="L1475" s="39">
        <v>0.10740000000000001</v>
      </c>
      <c r="M1475" s="61">
        <v>5000</v>
      </c>
      <c r="N1475" s="61">
        <v>1000000</v>
      </c>
    </row>
    <row r="1476" spans="1:14" ht="15" customHeight="1" x14ac:dyDescent="0.25">
      <c r="A1476" s="64" t="str">
        <f t="shared" si="23"/>
        <v>1-14-0-TOU-3 year APR - Reward Plus</v>
      </c>
      <c r="B1476" s="62" t="s">
        <v>13</v>
      </c>
      <c r="C1476" s="54">
        <v>14</v>
      </c>
      <c r="D1476" s="59" t="s">
        <v>23</v>
      </c>
      <c r="E1476" s="59" t="s">
        <v>87</v>
      </c>
      <c r="F1476" s="38" t="s">
        <v>88</v>
      </c>
      <c r="G1476" s="51">
        <v>1</v>
      </c>
      <c r="H1476" s="60" t="s">
        <v>71</v>
      </c>
      <c r="I1476" s="39">
        <v>0.89</v>
      </c>
      <c r="J1476" s="39">
        <v>0.16039999999999999</v>
      </c>
      <c r="K1476" s="39">
        <v>0.12919999999999998</v>
      </c>
      <c r="L1476" s="39">
        <v>0.10200000000000001</v>
      </c>
      <c r="M1476" s="61">
        <v>5000</v>
      </c>
      <c r="N1476" s="61">
        <v>1000000</v>
      </c>
    </row>
    <row r="1477" spans="1:14" ht="15" customHeight="1" x14ac:dyDescent="0.25">
      <c r="A1477" s="64" t="str">
        <f t="shared" si="23"/>
        <v>1-15-0-TOU-3 year APR - Reward Plus</v>
      </c>
      <c r="B1477" s="62" t="s">
        <v>13</v>
      </c>
      <c r="C1477" s="54">
        <v>15</v>
      </c>
      <c r="D1477" s="59" t="s">
        <v>24</v>
      </c>
      <c r="E1477" s="59" t="s">
        <v>87</v>
      </c>
      <c r="F1477" s="38" t="s">
        <v>88</v>
      </c>
      <c r="G1477" s="51">
        <v>1</v>
      </c>
      <c r="H1477" s="60" t="s">
        <v>71</v>
      </c>
      <c r="I1477" s="39">
        <v>0.96</v>
      </c>
      <c r="J1477" s="39">
        <v>0.16119999999999998</v>
      </c>
      <c r="K1477" s="39">
        <v>0.1298</v>
      </c>
      <c r="L1477" s="39">
        <v>0.10250000000000001</v>
      </c>
      <c r="M1477" s="61">
        <v>5000</v>
      </c>
      <c r="N1477" s="61">
        <v>1000000</v>
      </c>
    </row>
    <row r="1478" spans="1:14" ht="15" customHeight="1" x14ac:dyDescent="0.25">
      <c r="A1478" s="64" t="str">
        <f t="shared" si="23"/>
        <v>1-16-0-TOU-3 year APR - Reward Plus</v>
      </c>
      <c r="B1478" s="62" t="s">
        <v>13</v>
      </c>
      <c r="C1478" s="54">
        <v>16</v>
      </c>
      <c r="D1478" s="59" t="s">
        <v>25</v>
      </c>
      <c r="E1478" s="59" t="s">
        <v>87</v>
      </c>
      <c r="F1478" s="38" t="s">
        <v>88</v>
      </c>
      <c r="G1478" s="51">
        <v>1</v>
      </c>
      <c r="H1478" s="60" t="s">
        <v>71</v>
      </c>
      <c r="I1478" s="39">
        <v>0.72699999999999998</v>
      </c>
      <c r="J1478" s="39">
        <v>0.16009999999999999</v>
      </c>
      <c r="K1478" s="39">
        <v>0.12889999999999999</v>
      </c>
      <c r="L1478" s="39">
        <v>0.1017</v>
      </c>
      <c r="M1478" s="61">
        <v>5000</v>
      </c>
      <c r="N1478" s="61">
        <v>1000000</v>
      </c>
    </row>
    <row r="1479" spans="1:14" ht="15" customHeight="1" x14ac:dyDescent="0.25">
      <c r="A1479" s="64" t="str">
        <f t="shared" si="23"/>
        <v>1-17-0-TOU-3 year APR - Reward Plus</v>
      </c>
      <c r="B1479" s="62" t="s">
        <v>13</v>
      </c>
      <c r="C1479" s="54">
        <v>17</v>
      </c>
      <c r="D1479" s="59" t="s">
        <v>26</v>
      </c>
      <c r="E1479" s="59" t="s">
        <v>87</v>
      </c>
      <c r="F1479" s="38" t="s">
        <v>88</v>
      </c>
      <c r="G1479" s="51">
        <v>1</v>
      </c>
      <c r="H1479" s="60" t="s">
        <v>71</v>
      </c>
      <c r="I1479" s="39">
        <v>1.484</v>
      </c>
      <c r="J1479" s="39">
        <v>0.17849999999999999</v>
      </c>
      <c r="K1479" s="39">
        <v>0.14369999999999999</v>
      </c>
      <c r="L1479" s="39">
        <v>0.1134</v>
      </c>
      <c r="M1479" s="61">
        <v>5000</v>
      </c>
      <c r="N1479" s="61">
        <v>1000000</v>
      </c>
    </row>
    <row r="1480" spans="1:14" ht="15" customHeight="1" x14ac:dyDescent="0.25">
      <c r="A1480" s="64" t="str">
        <f t="shared" si="23"/>
        <v>1-18-0-TOU-3 year APR - Reward Plus</v>
      </c>
      <c r="B1480" s="62" t="s">
        <v>13</v>
      </c>
      <c r="C1480" s="54">
        <v>18</v>
      </c>
      <c r="D1480" s="59" t="s">
        <v>27</v>
      </c>
      <c r="E1480" s="59" t="s">
        <v>87</v>
      </c>
      <c r="F1480" s="38" t="s">
        <v>88</v>
      </c>
      <c r="G1480" s="51">
        <v>1</v>
      </c>
      <c r="H1480" s="60" t="s">
        <v>71</v>
      </c>
      <c r="I1480" s="39">
        <v>0.89900000000000002</v>
      </c>
      <c r="J1480" s="39">
        <v>0.15919999999999998</v>
      </c>
      <c r="K1480" s="39">
        <v>0.12819999999999998</v>
      </c>
      <c r="L1480" s="39">
        <v>0.1012</v>
      </c>
      <c r="M1480" s="61">
        <v>5000</v>
      </c>
      <c r="N1480" s="61">
        <v>1000000</v>
      </c>
    </row>
    <row r="1481" spans="1:14" ht="15" customHeight="1" x14ac:dyDescent="0.25">
      <c r="A1481" s="64" t="str">
        <f t="shared" si="23"/>
        <v>1-19-0-TOU-3 year APR - Reward Plus</v>
      </c>
      <c r="B1481" s="62" t="s">
        <v>13</v>
      </c>
      <c r="C1481" s="54">
        <v>19</v>
      </c>
      <c r="D1481" s="59" t="s">
        <v>28</v>
      </c>
      <c r="E1481" s="59" t="s">
        <v>87</v>
      </c>
      <c r="F1481" s="38" t="s">
        <v>88</v>
      </c>
      <c r="G1481" s="51">
        <v>1</v>
      </c>
      <c r="H1481" s="60" t="s">
        <v>71</v>
      </c>
      <c r="I1481" s="39">
        <v>0.77800000000000002</v>
      </c>
      <c r="J1481" s="39">
        <v>0.15839999999999999</v>
      </c>
      <c r="K1481" s="39">
        <v>0.1275</v>
      </c>
      <c r="L1481" s="39">
        <v>0.1007</v>
      </c>
      <c r="M1481" s="61">
        <v>5000</v>
      </c>
      <c r="N1481" s="61">
        <v>1000000</v>
      </c>
    </row>
    <row r="1482" spans="1:14" ht="15" customHeight="1" x14ac:dyDescent="0.25">
      <c r="A1482" s="64" t="str">
        <f t="shared" si="23"/>
        <v>1-20-0-TOU-3 year APR - Reward Plus</v>
      </c>
      <c r="B1482" s="62" t="s">
        <v>13</v>
      </c>
      <c r="C1482" s="54">
        <v>20</v>
      </c>
      <c r="D1482" s="59" t="s">
        <v>29</v>
      </c>
      <c r="E1482" s="59" t="s">
        <v>87</v>
      </c>
      <c r="F1482" s="38" t="s">
        <v>88</v>
      </c>
      <c r="G1482" s="51">
        <v>1</v>
      </c>
      <c r="H1482" s="60" t="s">
        <v>71</v>
      </c>
      <c r="I1482" s="39">
        <v>0.82699999999999996</v>
      </c>
      <c r="J1482" s="39">
        <v>0.15809999999999999</v>
      </c>
      <c r="K1482" s="39">
        <v>0.1273</v>
      </c>
      <c r="L1482" s="39">
        <v>0.10050000000000001</v>
      </c>
      <c r="M1482" s="61">
        <v>5000</v>
      </c>
      <c r="N1482" s="61">
        <v>1000000</v>
      </c>
    </row>
    <row r="1483" spans="1:14" ht="15" customHeight="1" x14ac:dyDescent="0.25">
      <c r="A1483" s="64" t="str">
        <f t="shared" si="23"/>
        <v>1-21-0-TOU-3 year APR - Reward Plus</v>
      </c>
      <c r="B1483" s="62" t="s">
        <v>13</v>
      </c>
      <c r="C1483" s="54">
        <v>21</v>
      </c>
      <c r="D1483" s="59" t="s">
        <v>30</v>
      </c>
      <c r="E1483" s="59" t="s">
        <v>87</v>
      </c>
      <c r="F1483" s="38" t="s">
        <v>88</v>
      </c>
      <c r="G1483" s="51">
        <v>1</v>
      </c>
      <c r="H1483" s="60" t="s">
        <v>71</v>
      </c>
      <c r="I1483" s="39">
        <v>0.92300000000000004</v>
      </c>
      <c r="J1483" s="39">
        <v>0.16799999999999998</v>
      </c>
      <c r="K1483" s="39">
        <v>0.13519999999999999</v>
      </c>
      <c r="L1483" s="39">
        <v>0.10680000000000001</v>
      </c>
      <c r="M1483" s="61">
        <v>5000</v>
      </c>
      <c r="N1483" s="61">
        <v>1000000</v>
      </c>
    </row>
    <row r="1484" spans="1:14" ht="15" customHeight="1" x14ac:dyDescent="0.25">
      <c r="A1484" s="64" t="str">
        <f t="shared" si="23"/>
        <v>1-22-0-TOU-3 year APR - Reward Plus</v>
      </c>
      <c r="B1484" s="62" t="s">
        <v>13</v>
      </c>
      <c r="C1484" s="54">
        <v>22</v>
      </c>
      <c r="D1484" s="59" t="s">
        <v>31</v>
      </c>
      <c r="E1484" s="59" t="s">
        <v>87</v>
      </c>
      <c r="F1484" s="38" t="s">
        <v>88</v>
      </c>
      <c r="G1484" s="51">
        <v>1</v>
      </c>
      <c r="H1484" s="60" t="s">
        <v>71</v>
      </c>
      <c r="I1484" s="39">
        <v>0.90400000000000003</v>
      </c>
      <c r="J1484" s="39">
        <v>0.1686</v>
      </c>
      <c r="K1484" s="39">
        <v>0.13569999999999999</v>
      </c>
      <c r="L1484" s="39">
        <v>0.1071</v>
      </c>
      <c r="M1484" s="61">
        <v>5000</v>
      </c>
      <c r="N1484" s="61">
        <v>1000000</v>
      </c>
    </row>
    <row r="1485" spans="1:14" ht="15" customHeight="1" x14ac:dyDescent="0.25">
      <c r="A1485" s="64" t="str">
        <f t="shared" si="23"/>
        <v>1-23-0-TOU-3 year APR - Reward Plus</v>
      </c>
      <c r="B1485" s="62" t="s">
        <v>13</v>
      </c>
      <c r="C1485" s="54">
        <v>23</v>
      </c>
      <c r="D1485" s="59" t="s">
        <v>32</v>
      </c>
      <c r="E1485" s="59" t="s">
        <v>87</v>
      </c>
      <c r="F1485" s="38" t="s">
        <v>88</v>
      </c>
      <c r="G1485" s="51">
        <v>1</v>
      </c>
      <c r="H1485" s="60" t="s">
        <v>71</v>
      </c>
      <c r="I1485" s="39">
        <v>0.90600000000000003</v>
      </c>
      <c r="J1485" s="39">
        <v>0.16109999999999999</v>
      </c>
      <c r="K1485" s="39">
        <v>0.12969999999999998</v>
      </c>
      <c r="L1485" s="39">
        <v>0.1024</v>
      </c>
      <c r="M1485" s="61">
        <v>5000</v>
      </c>
      <c r="N1485" s="61">
        <v>1000000</v>
      </c>
    </row>
    <row r="1486" spans="1:14" ht="15" customHeight="1" x14ac:dyDescent="0.25">
      <c r="A1486" s="64" t="str">
        <f t="shared" si="23"/>
        <v>1.1-10-0-TOU-3 year APR - Reward Plus</v>
      </c>
      <c r="B1486" s="62" t="s">
        <v>13</v>
      </c>
      <c r="C1486" s="54">
        <v>10</v>
      </c>
      <c r="D1486" s="59" t="s">
        <v>14</v>
      </c>
      <c r="E1486" s="59" t="s">
        <v>87</v>
      </c>
      <c r="F1486" s="38" t="s">
        <v>88</v>
      </c>
      <c r="G1486" s="51">
        <v>1.1000000000000001</v>
      </c>
      <c r="H1486" s="60" t="s">
        <v>71</v>
      </c>
      <c r="I1486" s="39">
        <v>0.88100000000000001</v>
      </c>
      <c r="J1486" s="39">
        <v>0.15839999999999999</v>
      </c>
      <c r="K1486" s="39">
        <v>0.1275</v>
      </c>
      <c r="L1486" s="39">
        <v>0.1007</v>
      </c>
      <c r="M1486" s="61">
        <v>5000</v>
      </c>
      <c r="N1486" s="61">
        <v>1000000</v>
      </c>
    </row>
    <row r="1487" spans="1:14" ht="15" customHeight="1" x14ac:dyDescent="0.25">
      <c r="A1487" s="64" t="str">
        <f t="shared" si="23"/>
        <v>1.1-11-0-TOU-3 year APR - Reward Plus</v>
      </c>
      <c r="B1487" s="62" t="s">
        <v>13</v>
      </c>
      <c r="C1487" s="54">
        <v>11</v>
      </c>
      <c r="D1487" s="59" t="s">
        <v>20</v>
      </c>
      <c r="E1487" s="59" t="s">
        <v>87</v>
      </c>
      <c r="F1487" s="38" t="s">
        <v>88</v>
      </c>
      <c r="G1487" s="51">
        <v>1.1000000000000001</v>
      </c>
      <c r="H1487" s="60" t="s">
        <v>71</v>
      </c>
      <c r="I1487" s="39">
        <v>0.86099999999999999</v>
      </c>
      <c r="J1487" s="39">
        <v>0.16059999999999999</v>
      </c>
      <c r="K1487" s="39">
        <v>0.1293</v>
      </c>
      <c r="L1487" s="39">
        <v>0.1021</v>
      </c>
      <c r="M1487" s="61">
        <v>5000</v>
      </c>
      <c r="N1487" s="61">
        <v>1000000</v>
      </c>
    </row>
    <row r="1488" spans="1:14" ht="15" customHeight="1" x14ac:dyDescent="0.25">
      <c r="A1488" s="64" t="str">
        <f t="shared" si="23"/>
        <v>1.1-12-0-TOU-3 year APR - Reward Plus</v>
      </c>
      <c r="B1488" s="62" t="s">
        <v>13</v>
      </c>
      <c r="C1488" s="54">
        <v>12</v>
      </c>
      <c r="D1488" s="59" t="s">
        <v>21</v>
      </c>
      <c r="E1488" s="59" t="s">
        <v>87</v>
      </c>
      <c r="F1488" s="38" t="s">
        <v>88</v>
      </c>
      <c r="G1488" s="51">
        <v>1.1000000000000001</v>
      </c>
      <c r="H1488" s="60" t="s">
        <v>71</v>
      </c>
      <c r="I1488" s="39">
        <v>0.90300000000000002</v>
      </c>
      <c r="J1488" s="39">
        <v>0.15789999999999998</v>
      </c>
      <c r="K1488" s="39">
        <v>0.12719999999999998</v>
      </c>
      <c r="L1488" s="39">
        <v>0.1004</v>
      </c>
      <c r="M1488" s="61">
        <v>5000</v>
      </c>
      <c r="N1488" s="61">
        <v>1000000</v>
      </c>
    </row>
    <row r="1489" spans="1:14" ht="15" customHeight="1" x14ac:dyDescent="0.25">
      <c r="A1489" s="64" t="str">
        <f t="shared" si="23"/>
        <v>1.1-13-0-TOU-3 year APR - Reward Plus</v>
      </c>
      <c r="B1489" s="62" t="s">
        <v>13</v>
      </c>
      <c r="C1489" s="54">
        <v>13</v>
      </c>
      <c r="D1489" s="59" t="s">
        <v>22</v>
      </c>
      <c r="E1489" s="59" t="s">
        <v>87</v>
      </c>
      <c r="F1489" s="38" t="s">
        <v>88</v>
      </c>
      <c r="G1489" s="51">
        <v>1.1000000000000001</v>
      </c>
      <c r="H1489" s="60" t="s">
        <v>71</v>
      </c>
      <c r="I1489" s="39">
        <v>0.88100000000000001</v>
      </c>
      <c r="J1489" s="39">
        <v>0.1701</v>
      </c>
      <c r="K1489" s="39">
        <v>0.13689999999999999</v>
      </c>
      <c r="L1489" s="39">
        <v>0.1081</v>
      </c>
      <c r="M1489" s="61">
        <v>5000</v>
      </c>
      <c r="N1489" s="61">
        <v>1000000</v>
      </c>
    </row>
    <row r="1490" spans="1:14" ht="15" customHeight="1" x14ac:dyDescent="0.25">
      <c r="A1490" s="64" t="str">
        <f t="shared" si="23"/>
        <v>1.1-14-0-TOU-3 year APR - Reward Plus</v>
      </c>
      <c r="B1490" s="62" t="s">
        <v>13</v>
      </c>
      <c r="C1490" s="54">
        <v>14</v>
      </c>
      <c r="D1490" s="59" t="s">
        <v>23</v>
      </c>
      <c r="E1490" s="59" t="s">
        <v>87</v>
      </c>
      <c r="F1490" s="38" t="s">
        <v>88</v>
      </c>
      <c r="G1490" s="51">
        <v>1.1000000000000001</v>
      </c>
      <c r="H1490" s="60" t="s">
        <v>71</v>
      </c>
      <c r="I1490" s="39">
        <v>0.89</v>
      </c>
      <c r="J1490" s="39">
        <v>0.16159999999999999</v>
      </c>
      <c r="K1490" s="39">
        <v>0.13009999999999999</v>
      </c>
      <c r="L1490" s="39">
        <v>0.1027</v>
      </c>
      <c r="M1490" s="61">
        <v>5000</v>
      </c>
      <c r="N1490" s="61">
        <v>1000000</v>
      </c>
    </row>
    <row r="1491" spans="1:14" ht="15" customHeight="1" x14ac:dyDescent="0.25">
      <c r="A1491" s="64" t="str">
        <f t="shared" si="23"/>
        <v>1.1-15-0-TOU-3 year APR - Reward Plus</v>
      </c>
      <c r="B1491" s="62" t="s">
        <v>13</v>
      </c>
      <c r="C1491" s="54">
        <v>15</v>
      </c>
      <c r="D1491" s="59" t="s">
        <v>24</v>
      </c>
      <c r="E1491" s="59" t="s">
        <v>87</v>
      </c>
      <c r="F1491" s="38" t="s">
        <v>88</v>
      </c>
      <c r="G1491" s="51">
        <v>1.1000000000000001</v>
      </c>
      <c r="H1491" s="60" t="s">
        <v>71</v>
      </c>
      <c r="I1491" s="39">
        <v>0.96</v>
      </c>
      <c r="J1491" s="39">
        <v>0.16239999999999999</v>
      </c>
      <c r="K1491" s="39">
        <v>0.1308</v>
      </c>
      <c r="L1491" s="39">
        <v>0.1032</v>
      </c>
      <c r="M1491" s="61">
        <v>5000</v>
      </c>
      <c r="N1491" s="61">
        <v>1000000</v>
      </c>
    </row>
    <row r="1492" spans="1:14" ht="15" customHeight="1" x14ac:dyDescent="0.25">
      <c r="A1492" s="64" t="str">
        <f t="shared" si="23"/>
        <v>1.1-16-0-TOU-3 year APR - Reward Plus</v>
      </c>
      <c r="B1492" s="62" t="s">
        <v>13</v>
      </c>
      <c r="C1492" s="54">
        <v>16</v>
      </c>
      <c r="D1492" s="59" t="s">
        <v>25</v>
      </c>
      <c r="E1492" s="59" t="s">
        <v>87</v>
      </c>
      <c r="F1492" s="38" t="s">
        <v>88</v>
      </c>
      <c r="G1492" s="51">
        <v>1.1000000000000001</v>
      </c>
      <c r="H1492" s="60" t="s">
        <v>71</v>
      </c>
      <c r="I1492" s="39">
        <v>0.72699999999999998</v>
      </c>
      <c r="J1492" s="39">
        <v>0.16119999999999998</v>
      </c>
      <c r="K1492" s="39">
        <v>0.1298</v>
      </c>
      <c r="L1492" s="39">
        <v>0.10250000000000001</v>
      </c>
      <c r="M1492" s="61">
        <v>5000</v>
      </c>
      <c r="N1492" s="61">
        <v>1000000</v>
      </c>
    </row>
    <row r="1493" spans="1:14" ht="15" customHeight="1" x14ac:dyDescent="0.25">
      <c r="A1493" s="64" t="str">
        <f t="shared" si="23"/>
        <v>1.1-17-0-TOU-3 year APR - Reward Plus</v>
      </c>
      <c r="B1493" s="62" t="s">
        <v>13</v>
      </c>
      <c r="C1493" s="54">
        <v>17</v>
      </c>
      <c r="D1493" s="59" t="s">
        <v>26</v>
      </c>
      <c r="E1493" s="59" t="s">
        <v>87</v>
      </c>
      <c r="F1493" s="38" t="s">
        <v>88</v>
      </c>
      <c r="G1493" s="51">
        <v>1.1000000000000001</v>
      </c>
      <c r="H1493" s="60" t="s">
        <v>71</v>
      </c>
      <c r="I1493" s="39">
        <v>1.484</v>
      </c>
      <c r="J1493" s="39">
        <v>0.17959999999999998</v>
      </c>
      <c r="K1493" s="39">
        <v>0.14459999999999998</v>
      </c>
      <c r="L1493" s="39">
        <v>0.1142</v>
      </c>
      <c r="M1493" s="61">
        <v>5000</v>
      </c>
      <c r="N1493" s="61">
        <v>1000000</v>
      </c>
    </row>
    <row r="1494" spans="1:14" ht="15" customHeight="1" x14ac:dyDescent="0.25">
      <c r="A1494" s="64" t="str">
        <f t="shared" si="23"/>
        <v>1.1-18-0-TOU-3 year APR - Reward Plus</v>
      </c>
      <c r="B1494" s="62" t="s">
        <v>13</v>
      </c>
      <c r="C1494" s="54">
        <v>18</v>
      </c>
      <c r="D1494" s="59" t="s">
        <v>27</v>
      </c>
      <c r="E1494" s="59" t="s">
        <v>87</v>
      </c>
      <c r="F1494" s="38" t="s">
        <v>88</v>
      </c>
      <c r="G1494" s="51">
        <v>1.1000000000000001</v>
      </c>
      <c r="H1494" s="60" t="s">
        <v>71</v>
      </c>
      <c r="I1494" s="39">
        <v>0.89900000000000002</v>
      </c>
      <c r="J1494" s="39">
        <v>0.16039999999999999</v>
      </c>
      <c r="K1494" s="39">
        <v>0.12919999999999998</v>
      </c>
      <c r="L1494" s="39">
        <v>0.10200000000000001</v>
      </c>
      <c r="M1494" s="61">
        <v>5000</v>
      </c>
      <c r="N1494" s="61">
        <v>1000000</v>
      </c>
    </row>
    <row r="1495" spans="1:14" ht="15" customHeight="1" x14ac:dyDescent="0.25">
      <c r="A1495" s="64" t="str">
        <f t="shared" si="23"/>
        <v>1.1-19-0-TOU-3 year APR - Reward Plus</v>
      </c>
      <c r="B1495" s="62" t="s">
        <v>13</v>
      </c>
      <c r="C1495" s="54">
        <v>19</v>
      </c>
      <c r="D1495" s="59" t="s">
        <v>28</v>
      </c>
      <c r="E1495" s="59" t="s">
        <v>87</v>
      </c>
      <c r="F1495" s="38" t="s">
        <v>88</v>
      </c>
      <c r="G1495" s="51">
        <v>1.1000000000000001</v>
      </c>
      <c r="H1495" s="60" t="s">
        <v>71</v>
      </c>
      <c r="I1495" s="39">
        <v>0.77800000000000002</v>
      </c>
      <c r="J1495" s="39">
        <v>0.15959999999999999</v>
      </c>
      <c r="K1495" s="39">
        <v>0.12849999999999998</v>
      </c>
      <c r="L1495" s="39">
        <v>0.1014</v>
      </c>
      <c r="M1495" s="61">
        <v>5000</v>
      </c>
      <c r="N1495" s="61">
        <v>1000000</v>
      </c>
    </row>
    <row r="1496" spans="1:14" ht="15" customHeight="1" x14ac:dyDescent="0.25">
      <c r="A1496" s="64" t="str">
        <f t="shared" si="23"/>
        <v>1.1-20-0-TOU-3 year APR - Reward Plus</v>
      </c>
      <c r="B1496" s="62" t="s">
        <v>13</v>
      </c>
      <c r="C1496" s="54">
        <v>20</v>
      </c>
      <c r="D1496" s="59" t="s">
        <v>29</v>
      </c>
      <c r="E1496" s="59" t="s">
        <v>87</v>
      </c>
      <c r="F1496" s="38" t="s">
        <v>88</v>
      </c>
      <c r="G1496" s="51">
        <v>1.1000000000000001</v>
      </c>
      <c r="H1496" s="60" t="s">
        <v>71</v>
      </c>
      <c r="I1496" s="39">
        <v>0.82699999999999996</v>
      </c>
      <c r="J1496" s="39">
        <v>0.15919999999999998</v>
      </c>
      <c r="K1496" s="39">
        <v>0.12819999999999998</v>
      </c>
      <c r="L1496" s="39">
        <v>0.1012</v>
      </c>
      <c r="M1496" s="61">
        <v>5000</v>
      </c>
      <c r="N1496" s="61">
        <v>1000000</v>
      </c>
    </row>
    <row r="1497" spans="1:14" ht="15" customHeight="1" x14ac:dyDescent="0.25">
      <c r="A1497" s="64" t="str">
        <f t="shared" si="23"/>
        <v>1.1-21-0-TOU-3 year APR - Reward Plus</v>
      </c>
      <c r="B1497" s="62" t="s">
        <v>13</v>
      </c>
      <c r="C1497" s="54">
        <v>21</v>
      </c>
      <c r="D1497" s="59" t="s">
        <v>30</v>
      </c>
      <c r="E1497" s="59" t="s">
        <v>87</v>
      </c>
      <c r="F1497" s="38" t="s">
        <v>88</v>
      </c>
      <c r="G1497" s="51">
        <v>1.1000000000000001</v>
      </c>
      <c r="H1497" s="60" t="s">
        <v>71</v>
      </c>
      <c r="I1497" s="39">
        <v>0.92300000000000004</v>
      </c>
      <c r="J1497" s="39">
        <v>0.1691</v>
      </c>
      <c r="K1497" s="39">
        <v>0.13619999999999999</v>
      </c>
      <c r="L1497" s="39">
        <v>0.1075</v>
      </c>
      <c r="M1497" s="61">
        <v>5000</v>
      </c>
      <c r="N1497" s="61">
        <v>1000000</v>
      </c>
    </row>
    <row r="1498" spans="1:14" ht="15" customHeight="1" x14ac:dyDescent="0.25">
      <c r="A1498" s="64" t="str">
        <f t="shared" si="23"/>
        <v>1.1-22-0-TOU-3 year APR - Reward Plus</v>
      </c>
      <c r="B1498" s="62" t="s">
        <v>13</v>
      </c>
      <c r="C1498" s="54">
        <v>22</v>
      </c>
      <c r="D1498" s="59" t="s">
        <v>31</v>
      </c>
      <c r="E1498" s="59" t="s">
        <v>87</v>
      </c>
      <c r="F1498" s="38" t="s">
        <v>88</v>
      </c>
      <c r="G1498" s="51">
        <v>1.1000000000000001</v>
      </c>
      <c r="H1498" s="60" t="s">
        <v>71</v>
      </c>
      <c r="I1498" s="39">
        <v>0.90400000000000003</v>
      </c>
      <c r="J1498" s="39">
        <v>0.16969999999999999</v>
      </c>
      <c r="K1498" s="39">
        <v>0.13669999999999999</v>
      </c>
      <c r="L1498" s="39">
        <v>0.10790000000000001</v>
      </c>
      <c r="M1498" s="61">
        <v>5000</v>
      </c>
      <c r="N1498" s="61">
        <v>1000000</v>
      </c>
    </row>
    <row r="1499" spans="1:14" ht="15" customHeight="1" x14ac:dyDescent="0.25">
      <c r="A1499" s="64" t="str">
        <f t="shared" si="23"/>
        <v>1.1-23-0-TOU-3 year APR - Reward Plus</v>
      </c>
      <c r="B1499" s="62" t="s">
        <v>13</v>
      </c>
      <c r="C1499" s="54">
        <v>23</v>
      </c>
      <c r="D1499" s="59" t="s">
        <v>32</v>
      </c>
      <c r="E1499" s="59" t="s">
        <v>87</v>
      </c>
      <c r="F1499" s="38" t="s">
        <v>88</v>
      </c>
      <c r="G1499" s="51">
        <v>1.1000000000000001</v>
      </c>
      <c r="H1499" s="60" t="s">
        <v>71</v>
      </c>
      <c r="I1499" s="39">
        <v>0.90600000000000003</v>
      </c>
      <c r="J1499" s="39">
        <v>0.1623</v>
      </c>
      <c r="K1499" s="39">
        <v>0.13069999999999998</v>
      </c>
      <c r="L1499" s="39">
        <v>0.1032</v>
      </c>
      <c r="M1499" s="61">
        <v>5000</v>
      </c>
      <c r="N1499" s="61">
        <v>1000000</v>
      </c>
    </row>
    <row r="1500" spans="1:14" ht="15" customHeight="1" x14ac:dyDescent="0.25">
      <c r="A1500" s="64" t="str">
        <f t="shared" si="23"/>
        <v>1.2-10-0-TOU-3 year APR - Reward Plus</v>
      </c>
      <c r="B1500" s="62" t="s">
        <v>13</v>
      </c>
      <c r="C1500" s="54">
        <v>10</v>
      </c>
      <c r="D1500" s="59" t="s">
        <v>14</v>
      </c>
      <c r="E1500" s="59" t="s">
        <v>87</v>
      </c>
      <c r="F1500" s="38" t="s">
        <v>88</v>
      </c>
      <c r="G1500" s="51">
        <v>1.2</v>
      </c>
      <c r="H1500" s="60" t="s">
        <v>71</v>
      </c>
      <c r="I1500" s="39">
        <v>0.88100000000000001</v>
      </c>
      <c r="J1500" s="39">
        <v>0.15959999999999999</v>
      </c>
      <c r="K1500" s="39">
        <v>0.12849999999999998</v>
      </c>
      <c r="L1500" s="39">
        <v>0.1014</v>
      </c>
      <c r="M1500" s="61">
        <v>5000</v>
      </c>
      <c r="N1500" s="61">
        <v>1000000</v>
      </c>
    </row>
    <row r="1501" spans="1:14" ht="15" customHeight="1" x14ac:dyDescent="0.25">
      <c r="A1501" s="64" t="str">
        <f t="shared" si="23"/>
        <v>1.2-11-0-TOU-3 year APR - Reward Plus</v>
      </c>
      <c r="B1501" s="62" t="s">
        <v>13</v>
      </c>
      <c r="C1501" s="54">
        <v>11</v>
      </c>
      <c r="D1501" s="59" t="s">
        <v>20</v>
      </c>
      <c r="E1501" s="59" t="s">
        <v>87</v>
      </c>
      <c r="F1501" s="38" t="s">
        <v>88</v>
      </c>
      <c r="G1501" s="51">
        <v>1.2</v>
      </c>
      <c r="H1501" s="60" t="s">
        <v>71</v>
      </c>
      <c r="I1501" s="39">
        <v>0.86099999999999999</v>
      </c>
      <c r="J1501" s="39">
        <v>0.1618</v>
      </c>
      <c r="K1501" s="39">
        <v>0.1303</v>
      </c>
      <c r="L1501" s="39">
        <v>0.10290000000000001</v>
      </c>
      <c r="M1501" s="61">
        <v>5000</v>
      </c>
      <c r="N1501" s="61">
        <v>1000000</v>
      </c>
    </row>
    <row r="1502" spans="1:14" ht="15" customHeight="1" x14ac:dyDescent="0.25">
      <c r="A1502" s="64" t="str">
        <f t="shared" si="23"/>
        <v>1.2-12-0-TOU-3 year APR - Reward Plus</v>
      </c>
      <c r="B1502" s="62" t="s">
        <v>13</v>
      </c>
      <c r="C1502" s="54">
        <v>12</v>
      </c>
      <c r="D1502" s="59" t="s">
        <v>21</v>
      </c>
      <c r="E1502" s="59" t="s">
        <v>87</v>
      </c>
      <c r="F1502" s="38" t="s">
        <v>88</v>
      </c>
      <c r="G1502" s="51">
        <v>1.2</v>
      </c>
      <c r="H1502" s="60" t="s">
        <v>71</v>
      </c>
      <c r="I1502" s="39">
        <v>0.90300000000000002</v>
      </c>
      <c r="J1502" s="39">
        <v>0.15909999999999999</v>
      </c>
      <c r="K1502" s="39">
        <v>0.12809999999999999</v>
      </c>
      <c r="L1502" s="39">
        <v>0.1011</v>
      </c>
      <c r="M1502" s="61">
        <v>5000</v>
      </c>
      <c r="N1502" s="61">
        <v>1000000</v>
      </c>
    </row>
    <row r="1503" spans="1:14" ht="15" customHeight="1" x14ac:dyDescent="0.25">
      <c r="A1503" s="64" t="str">
        <f t="shared" si="23"/>
        <v>1.2-13-0-TOU-3 year APR - Reward Plus</v>
      </c>
      <c r="B1503" s="62" t="s">
        <v>13</v>
      </c>
      <c r="C1503" s="54">
        <v>13</v>
      </c>
      <c r="D1503" s="59" t="s">
        <v>22</v>
      </c>
      <c r="E1503" s="59" t="s">
        <v>87</v>
      </c>
      <c r="F1503" s="38" t="s">
        <v>88</v>
      </c>
      <c r="G1503" s="51">
        <v>1.2</v>
      </c>
      <c r="H1503" s="60" t="s">
        <v>71</v>
      </c>
      <c r="I1503" s="39">
        <v>0.88100000000000001</v>
      </c>
      <c r="J1503" s="39">
        <v>0.17129999999999998</v>
      </c>
      <c r="K1503" s="39">
        <v>0.13789999999999999</v>
      </c>
      <c r="L1503" s="39">
        <v>0.1089</v>
      </c>
      <c r="M1503" s="61">
        <v>5000</v>
      </c>
      <c r="N1503" s="61">
        <v>1000000</v>
      </c>
    </row>
    <row r="1504" spans="1:14" ht="15" customHeight="1" x14ac:dyDescent="0.25">
      <c r="A1504" s="64" t="str">
        <f t="shared" si="23"/>
        <v>1.2-14-0-TOU-3 year APR - Reward Plus</v>
      </c>
      <c r="B1504" s="62" t="s">
        <v>13</v>
      </c>
      <c r="C1504" s="54">
        <v>14</v>
      </c>
      <c r="D1504" s="59" t="s">
        <v>23</v>
      </c>
      <c r="E1504" s="59" t="s">
        <v>87</v>
      </c>
      <c r="F1504" s="38" t="s">
        <v>88</v>
      </c>
      <c r="G1504" s="51">
        <v>1.2</v>
      </c>
      <c r="H1504" s="60" t="s">
        <v>71</v>
      </c>
      <c r="I1504" s="39">
        <v>0.89</v>
      </c>
      <c r="J1504" s="39">
        <v>0.1628</v>
      </c>
      <c r="K1504" s="39">
        <v>0.13109999999999999</v>
      </c>
      <c r="L1504" s="39">
        <v>0.10350000000000001</v>
      </c>
      <c r="M1504" s="61">
        <v>5000</v>
      </c>
      <c r="N1504" s="61">
        <v>1000000</v>
      </c>
    </row>
    <row r="1505" spans="1:14" ht="15" customHeight="1" x14ac:dyDescent="0.25">
      <c r="A1505" s="64" t="str">
        <f t="shared" si="23"/>
        <v>1.2-15-0-TOU-3 year APR - Reward Plus</v>
      </c>
      <c r="B1505" s="62" t="s">
        <v>13</v>
      </c>
      <c r="C1505" s="54">
        <v>15</v>
      </c>
      <c r="D1505" s="59" t="s">
        <v>24</v>
      </c>
      <c r="E1505" s="59" t="s">
        <v>87</v>
      </c>
      <c r="F1505" s="38" t="s">
        <v>88</v>
      </c>
      <c r="G1505" s="51">
        <v>1.2</v>
      </c>
      <c r="H1505" s="60" t="s">
        <v>71</v>
      </c>
      <c r="I1505" s="39">
        <v>0.96</v>
      </c>
      <c r="J1505" s="39">
        <v>0.1636</v>
      </c>
      <c r="K1505" s="39">
        <v>0.13169999999999998</v>
      </c>
      <c r="L1505" s="39">
        <v>0.10400000000000001</v>
      </c>
      <c r="M1505" s="61">
        <v>5000</v>
      </c>
      <c r="N1505" s="61">
        <v>1000000</v>
      </c>
    </row>
    <row r="1506" spans="1:14" ht="15" customHeight="1" x14ac:dyDescent="0.25">
      <c r="A1506" s="64" t="str">
        <f t="shared" si="23"/>
        <v>1.2-16-0-TOU-3 year APR - Reward Plus</v>
      </c>
      <c r="B1506" s="62" t="s">
        <v>13</v>
      </c>
      <c r="C1506" s="54">
        <v>16</v>
      </c>
      <c r="D1506" s="59" t="s">
        <v>25</v>
      </c>
      <c r="E1506" s="59" t="s">
        <v>87</v>
      </c>
      <c r="F1506" s="38" t="s">
        <v>88</v>
      </c>
      <c r="G1506" s="51">
        <v>1.2</v>
      </c>
      <c r="H1506" s="60" t="s">
        <v>71</v>
      </c>
      <c r="I1506" s="39">
        <v>0.72699999999999998</v>
      </c>
      <c r="J1506" s="39">
        <v>0.16239999999999999</v>
      </c>
      <c r="K1506" s="39">
        <v>0.1308</v>
      </c>
      <c r="L1506" s="39">
        <v>0.1032</v>
      </c>
      <c r="M1506" s="61">
        <v>5000</v>
      </c>
      <c r="N1506" s="61">
        <v>1000000</v>
      </c>
    </row>
    <row r="1507" spans="1:14" ht="15" customHeight="1" x14ac:dyDescent="0.25">
      <c r="A1507" s="64" t="str">
        <f t="shared" si="23"/>
        <v>1.2-17-0-TOU-3 year APR - Reward Plus</v>
      </c>
      <c r="B1507" s="62" t="s">
        <v>13</v>
      </c>
      <c r="C1507" s="54">
        <v>17</v>
      </c>
      <c r="D1507" s="59" t="s">
        <v>26</v>
      </c>
      <c r="E1507" s="59" t="s">
        <v>87</v>
      </c>
      <c r="F1507" s="38" t="s">
        <v>88</v>
      </c>
      <c r="G1507" s="51">
        <v>1.2</v>
      </c>
      <c r="H1507" s="60" t="s">
        <v>71</v>
      </c>
      <c r="I1507" s="39">
        <v>1.484</v>
      </c>
      <c r="J1507" s="39">
        <v>0.18079999999999999</v>
      </c>
      <c r="K1507" s="39">
        <v>0.14559999999999998</v>
      </c>
      <c r="L1507" s="39">
        <v>0.1149</v>
      </c>
      <c r="M1507" s="61">
        <v>5000</v>
      </c>
      <c r="N1507" s="61">
        <v>1000000</v>
      </c>
    </row>
    <row r="1508" spans="1:14" ht="15" customHeight="1" x14ac:dyDescent="0.25">
      <c r="A1508" s="64" t="str">
        <f t="shared" si="23"/>
        <v>1.2-18-0-TOU-3 year APR - Reward Plus</v>
      </c>
      <c r="B1508" s="62" t="s">
        <v>13</v>
      </c>
      <c r="C1508" s="54">
        <v>18</v>
      </c>
      <c r="D1508" s="59" t="s">
        <v>27</v>
      </c>
      <c r="E1508" s="59" t="s">
        <v>87</v>
      </c>
      <c r="F1508" s="38" t="s">
        <v>88</v>
      </c>
      <c r="G1508" s="51">
        <v>1.2</v>
      </c>
      <c r="H1508" s="60" t="s">
        <v>71</v>
      </c>
      <c r="I1508" s="39">
        <v>0.89900000000000002</v>
      </c>
      <c r="J1508" s="39">
        <v>0.16159999999999999</v>
      </c>
      <c r="K1508" s="39">
        <v>0.13009999999999999</v>
      </c>
      <c r="L1508" s="39">
        <v>0.1027</v>
      </c>
      <c r="M1508" s="61">
        <v>5000</v>
      </c>
      <c r="N1508" s="61">
        <v>1000000</v>
      </c>
    </row>
    <row r="1509" spans="1:14" ht="15" customHeight="1" x14ac:dyDescent="0.25">
      <c r="A1509" s="64" t="str">
        <f t="shared" si="23"/>
        <v>1.2-19-0-TOU-3 year APR - Reward Plus</v>
      </c>
      <c r="B1509" s="62" t="s">
        <v>13</v>
      </c>
      <c r="C1509" s="54">
        <v>19</v>
      </c>
      <c r="D1509" s="59" t="s">
        <v>28</v>
      </c>
      <c r="E1509" s="59" t="s">
        <v>87</v>
      </c>
      <c r="F1509" s="38" t="s">
        <v>88</v>
      </c>
      <c r="G1509" s="51">
        <v>1.2</v>
      </c>
      <c r="H1509" s="60" t="s">
        <v>71</v>
      </c>
      <c r="I1509" s="39">
        <v>0.77800000000000002</v>
      </c>
      <c r="J1509" s="39">
        <v>0.1608</v>
      </c>
      <c r="K1509" s="39">
        <v>0.12939999999999999</v>
      </c>
      <c r="L1509" s="39">
        <v>0.1022</v>
      </c>
      <c r="M1509" s="61">
        <v>5000</v>
      </c>
      <c r="N1509" s="61">
        <v>1000000</v>
      </c>
    </row>
    <row r="1510" spans="1:14" ht="15" customHeight="1" x14ac:dyDescent="0.25">
      <c r="A1510" s="64" t="str">
        <f t="shared" si="23"/>
        <v>1.2-20-0-TOU-3 year APR - Reward Plus</v>
      </c>
      <c r="B1510" s="62" t="s">
        <v>13</v>
      </c>
      <c r="C1510" s="54">
        <v>20</v>
      </c>
      <c r="D1510" s="59" t="s">
        <v>29</v>
      </c>
      <c r="E1510" s="59" t="s">
        <v>87</v>
      </c>
      <c r="F1510" s="38" t="s">
        <v>88</v>
      </c>
      <c r="G1510" s="51">
        <v>1.2</v>
      </c>
      <c r="H1510" s="60" t="s">
        <v>71</v>
      </c>
      <c r="I1510" s="39">
        <v>0.82699999999999996</v>
      </c>
      <c r="J1510" s="39">
        <v>0.16039999999999999</v>
      </c>
      <c r="K1510" s="39">
        <v>0.12919999999999998</v>
      </c>
      <c r="L1510" s="39">
        <v>0.10200000000000001</v>
      </c>
      <c r="M1510" s="61">
        <v>5000</v>
      </c>
      <c r="N1510" s="61">
        <v>1000000</v>
      </c>
    </row>
    <row r="1511" spans="1:14" ht="15" customHeight="1" x14ac:dyDescent="0.25">
      <c r="A1511" s="64" t="str">
        <f t="shared" si="23"/>
        <v>1.2-21-0-TOU-3 year APR - Reward Plus</v>
      </c>
      <c r="B1511" s="62" t="s">
        <v>13</v>
      </c>
      <c r="C1511" s="54">
        <v>21</v>
      </c>
      <c r="D1511" s="59" t="s">
        <v>30</v>
      </c>
      <c r="E1511" s="59" t="s">
        <v>87</v>
      </c>
      <c r="F1511" s="38" t="s">
        <v>88</v>
      </c>
      <c r="G1511" s="51">
        <v>1.2</v>
      </c>
      <c r="H1511" s="60" t="s">
        <v>71</v>
      </c>
      <c r="I1511" s="39">
        <v>0.92300000000000004</v>
      </c>
      <c r="J1511" s="39">
        <v>0.17029999999999998</v>
      </c>
      <c r="K1511" s="39">
        <v>0.1371</v>
      </c>
      <c r="L1511" s="39">
        <v>0.10830000000000001</v>
      </c>
      <c r="M1511" s="61">
        <v>5000</v>
      </c>
      <c r="N1511" s="61">
        <v>1000000</v>
      </c>
    </row>
    <row r="1512" spans="1:14" ht="15" customHeight="1" x14ac:dyDescent="0.25">
      <c r="A1512" s="64" t="str">
        <f t="shared" si="23"/>
        <v>1.2-22-0-TOU-3 year APR - Reward Plus</v>
      </c>
      <c r="B1512" s="62" t="s">
        <v>13</v>
      </c>
      <c r="C1512" s="54">
        <v>22</v>
      </c>
      <c r="D1512" s="59" t="s">
        <v>31</v>
      </c>
      <c r="E1512" s="59" t="s">
        <v>87</v>
      </c>
      <c r="F1512" s="38" t="s">
        <v>88</v>
      </c>
      <c r="G1512" s="51">
        <v>1.2</v>
      </c>
      <c r="H1512" s="60" t="s">
        <v>71</v>
      </c>
      <c r="I1512" s="39">
        <v>0.90400000000000003</v>
      </c>
      <c r="J1512" s="39">
        <v>0.1709</v>
      </c>
      <c r="K1512" s="39">
        <v>0.1376</v>
      </c>
      <c r="L1512" s="39">
        <v>0.1086</v>
      </c>
      <c r="M1512" s="61">
        <v>5000</v>
      </c>
      <c r="N1512" s="61">
        <v>1000000</v>
      </c>
    </row>
    <row r="1513" spans="1:14" ht="15" customHeight="1" x14ac:dyDescent="0.25">
      <c r="A1513" s="64" t="str">
        <f t="shared" si="23"/>
        <v>1.2-23-0-TOU-3 year APR - Reward Plus</v>
      </c>
      <c r="B1513" s="62" t="s">
        <v>13</v>
      </c>
      <c r="C1513" s="54">
        <v>23</v>
      </c>
      <c r="D1513" s="59" t="s">
        <v>32</v>
      </c>
      <c r="E1513" s="59" t="s">
        <v>87</v>
      </c>
      <c r="F1513" s="38" t="s">
        <v>88</v>
      </c>
      <c r="G1513" s="51">
        <v>1.2</v>
      </c>
      <c r="H1513" s="60" t="s">
        <v>71</v>
      </c>
      <c r="I1513" s="39">
        <v>0.90600000000000003</v>
      </c>
      <c r="J1513" s="39">
        <v>0.16349999999999998</v>
      </c>
      <c r="K1513" s="39">
        <v>0.13159999999999999</v>
      </c>
      <c r="L1513" s="39">
        <v>0.10390000000000001</v>
      </c>
      <c r="M1513" s="61">
        <v>5000</v>
      </c>
      <c r="N1513" s="61">
        <v>1000000</v>
      </c>
    </row>
    <row r="1514" spans="1:14" ht="15" customHeight="1" x14ac:dyDescent="0.25">
      <c r="A1514" s="64" t="str">
        <f t="shared" si="23"/>
        <v>1.3-10-0-TOU-3 year APR - Reward Plus</v>
      </c>
      <c r="B1514" s="62" t="s">
        <v>13</v>
      </c>
      <c r="C1514" s="54">
        <v>10</v>
      </c>
      <c r="D1514" s="59" t="s">
        <v>14</v>
      </c>
      <c r="E1514" s="59" t="s">
        <v>87</v>
      </c>
      <c r="F1514" s="38" t="s">
        <v>88</v>
      </c>
      <c r="G1514" s="51">
        <v>1.3</v>
      </c>
      <c r="H1514" s="60" t="s">
        <v>71</v>
      </c>
      <c r="I1514" s="39">
        <v>0.88100000000000001</v>
      </c>
      <c r="J1514" s="39">
        <v>0.1608</v>
      </c>
      <c r="K1514" s="39">
        <v>0.12939999999999999</v>
      </c>
      <c r="L1514" s="39">
        <v>0.1022</v>
      </c>
      <c r="M1514" s="61">
        <v>5000</v>
      </c>
      <c r="N1514" s="61">
        <v>1000000</v>
      </c>
    </row>
    <row r="1515" spans="1:14" ht="15" customHeight="1" x14ac:dyDescent="0.25">
      <c r="A1515" s="64" t="str">
        <f t="shared" si="23"/>
        <v>1.3-11-0-TOU-3 year APR - Reward Plus</v>
      </c>
      <c r="B1515" s="62" t="s">
        <v>13</v>
      </c>
      <c r="C1515" s="54">
        <v>11</v>
      </c>
      <c r="D1515" s="59" t="s">
        <v>20</v>
      </c>
      <c r="E1515" s="59" t="s">
        <v>87</v>
      </c>
      <c r="F1515" s="38" t="s">
        <v>88</v>
      </c>
      <c r="G1515" s="51">
        <v>1.3</v>
      </c>
      <c r="H1515" s="60" t="s">
        <v>71</v>
      </c>
      <c r="I1515" s="39">
        <v>0.86099999999999999</v>
      </c>
      <c r="J1515" s="39">
        <v>0.16299999999999998</v>
      </c>
      <c r="K1515" s="39">
        <v>0.13119999999999998</v>
      </c>
      <c r="L1515" s="39">
        <v>0.1036</v>
      </c>
      <c r="M1515" s="61">
        <v>5000</v>
      </c>
      <c r="N1515" s="61">
        <v>1000000</v>
      </c>
    </row>
    <row r="1516" spans="1:14" ht="15" customHeight="1" x14ac:dyDescent="0.25">
      <c r="A1516" s="64" t="str">
        <f t="shared" si="23"/>
        <v>1.3-12-0-TOU-3 year APR - Reward Plus</v>
      </c>
      <c r="B1516" s="62" t="s">
        <v>13</v>
      </c>
      <c r="C1516" s="54">
        <v>12</v>
      </c>
      <c r="D1516" s="59" t="s">
        <v>21</v>
      </c>
      <c r="E1516" s="59" t="s">
        <v>87</v>
      </c>
      <c r="F1516" s="38" t="s">
        <v>88</v>
      </c>
      <c r="G1516" s="51">
        <v>1.3</v>
      </c>
      <c r="H1516" s="60" t="s">
        <v>71</v>
      </c>
      <c r="I1516" s="39">
        <v>0.90300000000000002</v>
      </c>
      <c r="J1516" s="39">
        <v>0.1603</v>
      </c>
      <c r="K1516" s="39">
        <v>0.12909999999999999</v>
      </c>
      <c r="L1516" s="39">
        <v>0.1019</v>
      </c>
      <c r="M1516" s="61">
        <v>5000</v>
      </c>
      <c r="N1516" s="61">
        <v>1000000</v>
      </c>
    </row>
    <row r="1517" spans="1:14" ht="15" customHeight="1" x14ac:dyDescent="0.25">
      <c r="A1517" s="64" t="str">
        <f t="shared" si="23"/>
        <v>1.3-13-0-TOU-3 year APR - Reward Plus</v>
      </c>
      <c r="B1517" s="62" t="s">
        <v>13</v>
      </c>
      <c r="C1517" s="54">
        <v>13</v>
      </c>
      <c r="D1517" s="59" t="s">
        <v>22</v>
      </c>
      <c r="E1517" s="59" t="s">
        <v>87</v>
      </c>
      <c r="F1517" s="38" t="s">
        <v>88</v>
      </c>
      <c r="G1517" s="51">
        <v>1.3</v>
      </c>
      <c r="H1517" s="60" t="s">
        <v>71</v>
      </c>
      <c r="I1517" s="39">
        <v>0.88100000000000001</v>
      </c>
      <c r="J1517" s="39">
        <v>0.1724</v>
      </c>
      <c r="K1517" s="39">
        <v>0.13879999999999998</v>
      </c>
      <c r="L1517" s="39">
        <v>0.1096</v>
      </c>
      <c r="M1517" s="61">
        <v>5000</v>
      </c>
      <c r="N1517" s="61">
        <v>1000000</v>
      </c>
    </row>
    <row r="1518" spans="1:14" ht="15" customHeight="1" x14ac:dyDescent="0.25">
      <c r="A1518" s="64" t="str">
        <f t="shared" si="23"/>
        <v>1.3-14-0-TOU-3 year APR - Reward Plus</v>
      </c>
      <c r="B1518" s="62" t="s">
        <v>13</v>
      </c>
      <c r="C1518" s="54">
        <v>14</v>
      </c>
      <c r="D1518" s="59" t="s">
        <v>23</v>
      </c>
      <c r="E1518" s="59" t="s">
        <v>87</v>
      </c>
      <c r="F1518" s="38" t="s">
        <v>88</v>
      </c>
      <c r="G1518" s="51">
        <v>1.3</v>
      </c>
      <c r="H1518" s="60" t="s">
        <v>71</v>
      </c>
      <c r="I1518" s="39">
        <v>0.89</v>
      </c>
      <c r="J1518" s="39">
        <v>0.16399999999999998</v>
      </c>
      <c r="K1518" s="39">
        <v>0.13199999999999998</v>
      </c>
      <c r="L1518" s="39">
        <v>0.1042</v>
      </c>
      <c r="M1518" s="61">
        <v>5000</v>
      </c>
      <c r="N1518" s="61">
        <v>1000000</v>
      </c>
    </row>
    <row r="1519" spans="1:14" ht="15" customHeight="1" x14ac:dyDescent="0.25">
      <c r="A1519" s="64" t="str">
        <f t="shared" si="23"/>
        <v>1.3-15-0-TOU-3 year APR - Reward Plus</v>
      </c>
      <c r="B1519" s="62" t="s">
        <v>13</v>
      </c>
      <c r="C1519" s="54">
        <v>15</v>
      </c>
      <c r="D1519" s="59" t="s">
        <v>24</v>
      </c>
      <c r="E1519" s="59" t="s">
        <v>87</v>
      </c>
      <c r="F1519" s="38" t="s">
        <v>88</v>
      </c>
      <c r="G1519" s="51">
        <v>1.3</v>
      </c>
      <c r="H1519" s="60" t="s">
        <v>71</v>
      </c>
      <c r="I1519" s="39">
        <v>0.96</v>
      </c>
      <c r="J1519" s="39">
        <v>0.1648</v>
      </c>
      <c r="K1519" s="39">
        <v>0.13269999999999998</v>
      </c>
      <c r="L1519" s="39">
        <v>0.1047</v>
      </c>
      <c r="M1519" s="61">
        <v>5000</v>
      </c>
      <c r="N1519" s="61">
        <v>1000000</v>
      </c>
    </row>
    <row r="1520" spans="1:14" ht="15" customHeight="1" x14ac:dyDescent="0.25">
      <c r="A1520" s="64" t="str">
        <f t="shared" si="23"/>
        <v>1.3-16-0-TOU-3 year APR - Reward Plus</v>
      </c>
      <c r="B1520" s="62" t="s">
        <v>13</v>
      </c>
      <c r="C1520" s="54">
        <v>16</v>
      </c>
      <c r="D1520" s="59" t="s">
        <v>25</v>
      </c>
      <c r="E1520" s="59" t="s">
        <v>87</v>
      </c>
      <c r="F1520" s="38" t="s">
        <v>88</v>
      </c>
      <c r="G1520" s="51">
        <v>1.3</v>
      </c>
      <c r="H1520" s="60" t="s">
        <v>71</v>
      </c>
      <c r="I1520" s="39">
        <v>0.72699999999999998</v>
      </c>
      <c r="J1520" s="39">
        <v>0.1636</v>
      </c>
      <c r="K1520" s="39">
        <v>0.13169999999999998</v>
      </c>
      <c r="L1520" s="39">
        <v>0.10400000000000001</v>
      </c>
      <c r="M1520" s="61">
        <v>5000</v>
      </c>
      <c r="N1520" s="61">
        <v>1000000</v>
      </c>
    </row>
    <row r="1521" spans="1:14" ht="15" customHeight="1" x14ac:dyDescent="0.25">
      <c r="A1521" s="64" t="str">
        <f t="shared" si="23"/>
        <v>1.3-17-0-TOU-3 year APR - Reward Plus</v>
      </c>
      <c r="B1521" s="62" t="s">
        <v>13</v>
      </c>
      <c r="C1521" s="54">
        <v>17</v>
      </c>
      <c r="D1521" s="59" t="s">
        <v>26</v>
      </c>
      <c r="E1521" s="59" t="s">
        <v>87</v>
      </c>
      <c r="F1521" s="38" t="s">
        <v>88</v>
      </c>
      <c r="G1521" s="51">
        <v>1.3</v>
      </c>
      <c r="H1521" s="60" t="s">
        <v>71</v>
      </c>
      <c r="I1521" s="39">
        <v>1.484</v>
      </c>
      <c r="J1521" s="39">
        <v>0.182</v>
      </c>
      <c r="K1521" s="39">
        <v>0.14649999999999999</v>
      </c>
      <c r="L1521" s="39">
        <v>0.1157</v>
      </c>
      <c r="M1521" s="61">
        <v>5000</v>
      </c>
      <c r="N1521" s="61">
        <v>1000000</v>
      </c>
    </row>
    <row r="1522" spans="1:14" ht="15" customHeight="1" x14ac:dyDescent="0.25">
      <c r="A1522" s="64" t="str">
        <f t="shared" si="23"/>
        <v>1.3-18-0-TOU-3 year APR - Reward Plus</v>
      </c>
      <c r="B1522" s="62" t="s">
        <v>13</v>
      </c>
      <c r="C1522" s="54">
        <v>18</v>
      </c>
      <c r="D1522" s="59" t="s">
        <v>27</v>
      </c>
      <c r="E1522" s="59" t="s">
        <v>87</v>
      </c>
      <c r="F1522" s="38" t="s">
        <v>88</v>
      </c>
      <c r="G1522" s="51">
        <v>1.3</v>
      </c>
      <c r="H1522" s="60" t="s">
        <v>71</v>
      </c>
      <c r="I1522" s="39">
        <v>0.89900000000000002</v>
      </c>
      <c r="J1522" s="39">
        <v>0.1628</v>
      </c>
      <c r="K1522" s="39">
        <v>0.13109999999999999</v>
      </c>
      <c r="L1522" s="39">
        <v>0.10350000000000001</v>
      </c>
      <c r="M1522" s="61">
        <v>5000</v>
      </c>
      <c r="N1522" s="61">
        <v>1000000</v>
      </c>
    </row>
    <row r="1523" spans="1:14" ht="15" customHeight="1" x14ac:dyDescent="0.25">
      <c r="A1523" s="64" t="str">
        <f t="shared" si="23"/>
        <v>1.3-19-0-TOU-3 year APR - Reward Plus</v>
      </c>
      <c r="B1523" s="62" t="s">
        <v>13</v>
      </c>
      <c r="C1523" s="54">
        <v>19</v>
      </c>
      <c r="D1523" s="59" t="s">
        <v>28</v>
      </c>
      <c r="E1523" s="59" t="s">
        <v>87</v>
      </c>
      <c r="F1523" s="38" t="s">
        <v>88</v>
      </c>
      <c r="G1523" s="51">
        <v>1.3</v>
      </c>
      <c r="H1523" s="60" t="s">
        <v>71</v>
      </c>
      <c r="I1523" s="39">
        <v>0.77800000000000002</v>
      </c>
      <c r="J1523" s="39">
        <v>0.16189999999999999</v>
      </c>
      <c r="K1523" s="39">
        <v>0.13039999999999999</v>
      </c>
      <c r="L1523" s="39">
        <v>0.10290000000000001</v>
      </c>
      <c r="M1523" s="61">
        <v>5000</v>
      </c>
      <c r="N1523" s="61">
        <v>1000000</v>
      </c>
    </row>
    <row r="1524" spans="1:14" ht="15" customHeight="1" x14ac:dyDescent="0.25">
      <c r="A1524" s="64" t="str">
        <f t="shared" si="23"/>
        <v>1.3-20-0-TOU-3 year APR - Reward Plus</v>
      </c>
      <c r="B1524" s="62" t="s">
        <v>13</v>
      </c>
      <c r="C1524" s="54">
        <v>20</v>
      </c>
      <c r="D1524" s="59" t="s">
        <v>29</v>
      </c>
      <c r="E1524" s="59" t="s">
        <v>87</v>
      </c>
      <c r="F1524" s="38" t="s">
        <v>88</v>
      </c>
      <c r="G1524" s="51">
        <v>1.3</v>
      </c>
      <c r="H1524" s="60" t="s">
        <v>71</v>
      </c>
      <c r="I1524" s="39">
        <v>0.82699999999999996</v>
      </c>
      <c r="J1524" s="39">
        <v>0.16159999999999999</v>
      </c>
      <c r="K1524" s="39">
        <v>0.13009999999999999</v>
      </c>
      <c r="L1524" s="39">
        <v>0.1027</v>
      </c>
      <c r="M1524" s="61">
        <v>5000</v>
      </c>
      <c r="N1524" s="61">
        <v>1000000</v>
      </c>
    </row>
    <row r="1525" spans="1:14" ht="15" customHeight="1" x14ac:dyDescent="0.25">
      <c r="A1525" s="64" t="str">
        <f t="shared" si="23"/>
        <v>1.3-21-0-TOU-3 year APR - Reward Plus</v>
      </c>
      <c r="B1525" s="62" t="s">
        <v>13</v>
      </c>
      <c r="C1525" s="54">
        <v>21</v>
      </c>
      <c r="D1525" s="59" t="s">
        <v>30</v>
      </c>
      <c r="E1525" s="59" t="s">
        <v>87</v>
      </c>
      <c r="F1525" s="38" t="s">
        <v>88</v>
      </c>
      <c r="G1525" s="51">
        <v>1.3</v>
      </c>
      <c r="H1525" s="60" t="s">
        <v>71</v>
      </c>
      <c r="I1525" s="39">
        <v>0.92300000000000004</v>
      </c>
      <c r="J1525" s="39">
        <v>0.17149999999999999</v>
      </c>
      <c r="K1525" s="39">
        <v>0.1381</v>
      </c>
      <c r="L1525" s="39">
        <v>0.109</v>
      </c>
      <c r="M1525" s="61">
        <v>5000</v>
      </c>
      <c r="N1525" s="61">
        <v>1000000</v>
      </c>
    </row>
    <row r="1526" spans="1:14" ht="15" customHeight="1" x14ac:dyDescent="0.25">
      <c r="A1526" s="64" t="str">
        <f t="shared" si="23"/>
        <v>1.3-22-0-TOU-3 year APR - Reward Plus</v>
      </c>
      <c r="B1526" s="62" t="s">
        <v>13</v>
      </c>
      <c r="C1526" s="54">
        <v>22</v>
      </c>
      <c r="D1526" s="59" t="s">
        <v>31</v>
      </c>
      <c r="E1526" s="59" t="s">
        <v>87</v>
      </c>
      <c r="F1526" s="38" t="s">
        <v>88</v>
      </c>
      <c r="G1526" s="51">
        <v>1.3</v>
      </c>
      <c r="H1526" s="60" t="s">
        <v>71</v>
      </c>
      <c r="I1526" s="39">
        <v>0.90400000000000003</v>
      </c>
      <c r="J1526" s="39">
        <v>0.17209999999999998</v>
      </c>
      <c r="K1526" s="39">
        <v>0.1386</v>
      </c>
      <c r="L1526" s="39">
        <v>0.1094</v>
      </c>
      <c r="M1526" s="61">
        <v>5000</v>
      </c>
      <c r="N1526" s="61">
        <v>1000000</v>
      </c>
    </row>
    <row r="1527" spans="1:14" ht="15" customHeight="1" x14ac:dyDescent="0.25">
      <c r="A1527" s="64" t="str">
        <f t="shared" si="23"/>
        <v>1.3-23-0-TOU-3 year APR - Reward Plus</v>
      </c>
      <c r="B1527" s="62" t="s">
        <v>13</v>
      </c>
      <c r="C1527" s="54">
        <v>23</v>
      </c>
      <c r="D1527" s="59" t="s">
        <v>32</v>
      </c>
      <c r="E1527" s="59" t="s">
        <v>87</v>
      </c>
      <c r="F1527" s="38" t="s">
        <v>88</v>
      </c>
      <c r="G1527" s="51">
        <v>1.3</v>
      </c>
      <c r="H1527" s="60" t="s">
        <v>71</v>
      </c>
      <c r="I1527" s="39">
        <v>0.90600000000000003</v>
      </c>
      <c r="J1527" s="39">
        <v>0.16469999999999999</v>
      </c>
      <c r="K1527" s="39">
        <v>0.1326</v>
      </c>
      <c r="L1527" s="39">
        <v>0.1047</v>
      </c>
      <c r="M1527" s="61">
        <v>5000</v>
      </c>
      <c r="N1527" s="61">
        <v>1000000</v>
      </c>
    </row>
    <row r="1528" spans="1:14" ht="15" customHeight="1" x14ac:dyDescent="0.25">
      <c r="A1528" s="64" t="str">
        <f t="shared" si="23"/>
        <v>1.4-10-0-TOU-3 year APR - Reward Plus</v>
      </c>
      <c r="B1528" s="62" t="s">
        <v>13</v>
      </c>
      <c r="C1528" s="54">
        <v>10</v>
      </c>
      <c r="D1528" s="59" t="s">
        <v>14</v>
      </c>
      <c r="E1528" s="59" t="s">
        <v>87</v>
      </c>
      <c r="F1528" s="38" t="s">
        <v>88</v>
      </c>
      <c r="G1528" s="51">
        <v>1.4</v>
      </c>
      <c r="H1528" s="60" t="s">
        <v>71</v>
      </c>
      <c r="I1528" s="39">
        <v>0.88100000000000001</v>
      </c>
      <c r="J1528" s="39">
        <v>0.16189999999999999</v>
      </c>
      <c r="K1528" s="39">
        <v>0.13039999999999999</v>
      </c>
      <c r="L1528" s="39">
        <v>0.10290000000000001</v>
      </c>
      <c r="M1528" s="61">
        <v>5000</v>
      </c>
      <c r="N1528" s="61">
        <v>1000000</v>
      </c>
    </row>
    <row r="1529" spans="1:14" ht="15" customHeight="1" x14ac:dyDescent="0.25">
      <c r="A1529" s="64" t="str">
        <f t="shared" si="23"/>
        <v>1.4-11-0-TOU-3 year APR - Reward Plus</v>
      </c>
      <c r="B1529" s="62" t="s">
        <v>13</v>
      </c>
      <c r="C1529" s="54">
        <v>11</v>
      </c>
      <c r="D1529" s="59" t="s">
        <v>20</v>
      </c>
      <c r="E1529" s="59" t="s">
        <v>87</v>
      </c>
      <c r="F1529" s="38" t="s">
        <v>88</v>
      </c>
      <c r="G1529" s="51">
        <v>1.4</v>
      </c>
      <c r="H1529" s="60" t="s">
        <v>71</v>
      </c>
      <c r="I1529" s="39">
        <v>0.86099999999999999</v>
      </c>
      <c r="J1529" s="39">
        <v>0.16419999999999998</v>
      </c>
      <c r="K1529" s="39">
        <v>0.13219999999999998</v>
      </c>
      <c r="L1529" s="39">
        <v>0.10440000000000001</v>
      </c>
      <c r="M1529" s="61">
        <v>5000</v>
      </c>
      <c r="N1529" s="61">
        <v>1000000</v>
      </c>
    </row>
    <row r="1530" spans="1:14" ht="15" customHeight="1" x14ac:dyDescent="0.25">
      <c r="A1530" s="64" t="str">
        <f t="shared" si="23"/>
        <v>1.4-12-0-TOU-3 year APR - Reward Plus</v>
      </c>
      <c r="B1530" s="62" t="s">
        <v>13</v>
      </c>
      <c r="C1530" s="54">
        <v>12</v>
      </c>
      <c r="D1530" s="59" t="s">
        <v>21</v>
      </c>
      <c r="E1530" s="59" t="s">
        <v>87</v>
      </c>
      <c r="F1530" s="38" t="s">
        <v>88</v>
      </c>
      <c r="G1530" s="51">
        <v>1.4</v>
      </c>
      <c r="H1530" s="60" t="s">
        <v>71</v>
      </c>
      <c r="I1530" s="39">
        <v>0.90300000000000002</v>
      </c>
      <c r="J1530" s="39">
        <v>0.16149999999999998</v>
      </c>
      <c r="K1530" s="39">
        <v>0.12999999999999998</v>
      </c>
      <c r="L1530" s="39">
        <v>0.1026</v>
      </c>
      <c r="M1530" s="61">
        <v>5000</v>
      </c>
      <c r="N1530" s="61">
        <v>1000000</v>
      </c>
    </row>
    <row r="1531" spans="1:14" ht="15" customHeight="1" x14ac:dyDescent="0.25">
      <c r="A1531" s="64" t="str">
        <f t="shared" si="23"/>
        <v>1.4-13-0-TOU-3 year APR - Reward Plus</v>
      </c>
      <c r="B1531" s="62" t="s">
        <v>13</v>
      </c>
      <c r="C1531" s="54">
        <v>13</v>
      </c>
      <c r="D1531" s="59" t="s">
        <v>22</v>
      </c>
      <c r="E1531" s="59" t="s">
        <v>87</v>
      </c>
      <c r="F1531" s="38" t="s">
        <v>88</v>
      </c>
      <c r="G1531" s="51">
        <v>1.4</v>
      </c>
      <c r="H1531" s="60" t="s">
        <v>71</v>
      </c>
      <c r="I1531" s="39">
        <v>0.88100000000000001</v>
      </c>
      <c r="J1531" s="39">
        <v>0.17359999999999998</v>
      </c>
      <c r="K1531" s="39">
        <v>0.13979999999999998</v>
      </c>
      <c r="L1531" s="39">
        <v>0.1104</v>
      </c>
      <c r="M1531" s="61">
        <v>5000</v>
      </c>
      <c r="N1531" s="61">
        <v>1000000</v>
      </c>
    </row>
    <row r="1532" spans="1:14" ht="15" customHeight="1" x14ac:dyDescent="0.25">
      <c r="A1532" s="64" t="str">
        <f t="shared" si="23"/>
        <v>1.4-14-0-TOU-3 year APR - Reward Plus</v>
      </c>
      <c r="B1532" s="62" t="s">
        <v>13</v>
      </c>
      <c r="C1532" s="54">
        <v>14</v>
      </c>
      <c r="D1532" s="59" t="s">
        <v>23</v>
      </c>
      <c r="E1532" s="59" t="s">
        <v>87</v>
      </c>
      <c r="F1532" s="38" t="s">
        <v>88</v>
      </c>
      <c r="G1532" s="51">
        <v>1.4</v>
      </c>
      <c r="H1532" s="60" t="s">
        <v>71</v>
      </c>
      <c r="I1532" s="39">
        <v>0.89</v>
      </c>
      <c r="J1532" s="39">
        <v>0.1651</v>
      </c>
      <c r="K1532" s="39">
        <v>0.13299999999999998</v>
      </c>
      <c r="L1532" s="39">
        <v>0.105</v>
      </c>
      <c r="M1532" s="61">
        <v>5000</v>
      </c>
      <c r="N1532" s="61">
        <v>1000000</v>
      </c>
    </row>
    <row r="1533" spans="1:14" ht="15" customHeight="1" x14ac:dyDescent="0.25">
      <c r="A1533" s="64" t="str">
        <f t="shared" si="23"/>
        <v>1.4-15-0-TOU-3 year APR - Reward Plus</v>
      </c>
      <c r="B1533" s="62" t="s">
        <v>13</v>
      </c>
      <c r="C1533" s="54">
        <v>15</v>
      </c>
      <c r="D1533" s="59" t="s">
        <v>24</v>
      </c>
      <c r="E1533" s="59" t="s">
        <v>87</v>
      </c>
      <c r="F1533" s="38" t="s">
        <v>88</v>
      </c>
      <c r="G1533" s="51">
        <v>1.4</v>
      </c>
      <c r="H1533" s="60" t="s">
        <v>71</v>
      </c>
      <c r="I1533" s="39">
        <v>0.96</v>
      </c>
      <c r="J1533" s="39">
        <v>0.16599999999999998</v>
      </c>
      <c r="K1533" s="39">
        <v>0.1336</v>
      </c>
      <c r="L1533" s="39">
        <v>0.1055</v>
      </c>
      <c r="M1533" s="61">
        <v>5000</v>
      </c>
      <c r="N1533" s="61">
        <v>1000000</v>
      </c>
    </row>
    <row r="1534" spans="1:14" ht="15" customHeight="1" x14ac:dyDescent="0.25">
      <c r="A1534" s="64" t="str">
        <f t="shared" si="23"/>
        <v>1.4-16-0-TOU-3 year APR - Reward Plus</v>
      </c>
      <c r="B1534" s="62" t="s">
        <v>13</v>
      </c>
      <c r="C1534" s="54">
        <v>16</v>
      </c>
      <c r="D1534" s="59" t="s">
        <v>25</v>
      </c>
      <c r="E1534" s="59" t="s">
        <v>87</v>
      </c>
      <c r="F1534" s="38" t="s">
        <v>88</v>
      </c>
      <c r="G1534" s="51">
        <v>1.4</v>
      </c>
      <c r="H1534" s="60" t="s">
        <v>71</v>
      </c>
      <c r="I1534" s="39">
        <v>0.72699999999999998</v>
      </c>
      <c r="J1534" s="39">
        <v>0.1648</v>
      </c>
      <c r="K1534" s="39">
        <v>0.13269999999999998</v>
      </c>
      <c r="L1534" s="39">
        <v>0.1047</v>
      </c>
      <c r="M1534" s="61">
        <v>5000</v>
      </c>
      <c r="N1534" s="61">
        <v>1000000</v>
      </c>
    </row>
    <row r="1535" spans="1:14" ht="15" customHeight="1" x14ac:dyDescent="0.25">
      <c r="A1535" s="64" t="str">
        <f t="shared" si="23"/>
        <v>1.4-17-0-TOU-3 year APR - Reward Plus</v>
      </c>
      <c r="B1535" s="62" t="s">
        <v>13</v>
      </c>
      <c r="C1535" s="54">
        <v>17</v>
      </c>
      <c r="D1535" s="59" t="s">
        <v>26</v>
      </c>
      <c r="E1535" s="59" t="s">
        <v>87</v>
      </c>
      <c r="F1535" s="38" t="s">
        <v>88</v>
      </c>
      <c r="G1535" s="51">
        <v>1.4</v>
      </c>
      <c r="H1535" s="60" t="s">
        <v>71</v>
      </c>
      <c r="I1535" s="39">
        <v>1.484</v>
      </c>
      <c r="J1535" s="39">
        <v>0.1832</v>
      </c>
      <c r="K1535" s="39">
        <v>0.14749999999999999</v>
      </c>
      <c r="L1535" s="39">
        <v>0.1164</v>
      </c>
      <c r="M1535" s="61">
        <v>5000</v>
      </c>
      <c r="N1535" s="61">
        <v>1000000</v>
      </c>
    </row>
    <row r="1536" spans="1:14" ht="15" customHeight="1" x14ac:dyDescent="0.25">
      <c r="A1536" s="64" t="str">
        <f t="shared" si="23"/>
        <v>1.4-18-0-TOU-3 year APR - Reward Plus</v>
      </c>
      <c r="B1536" s="62" t="s">
        <v>13</v>
      </c>
      <c r="C1536" s="54">
        <v>18</v>
      </c>
      <c r="D1536" s="59" t="s">
        <v>27</v>
      </c>
      <c r="E1536" s="59" t="s">
        <v>87</v>
      </c>
      <c r="F1536" s="38" t="s">
        <v>88</v>
      </c>
      <c r="G1536" s="51">
        <v>1.4</v>
      </c>
      <c r="H1536" s="60" t="s">
        <v>71</v>
      </c>
      <c r="I1536" s="39">
        <v>0.89900000000000002</v>
      </c>
      <c r="J1536" s="39">
        <v>0.16399999999999998</v>
      </c>
      <c r="K1536" s="39">
        <v>0.13199999999999998</v>
      </c>
      <c r="L1536" s="39">
        <v>0.1042</v>
      </c>
      <c r="M1536" s="61">
        <v>5000</v>
      </c>
      <c r="N1536" s="61">
        <v>1000000</v>
      </c>
    </row>
    <row r="1537" spans="1:14" ht="15" customHeight="1" x14ac:dyDescent="0.25">
      <c r="A1537" s="64" t="str">
        <f t="shared" si="23"/>
        <v>1.4-19-0-TOU-3 year APR - Reward Plus</v>
      </c>
      <c r="B1537" s="62" t="s">
        <v>13</v>
      </c>
      <c r="C1537" s="54">
        <v>19</v>
      </c>
      <c r="D1537" s="59" t="s">
        <v>28</v>
      </c>
      <c r="E1537" s="59" t="s">
        <v>87</v>
      </c>
      <c r="F1537" s="38" t="s">
        <v>88</v>
      </c>
      <c r="G1537" s="51">
        <v>1.4</v>
      </c>
      <c r="H1537" s="60" t="s">
        <v>71</v>
      </c>
      <c r="I1537" s="39">
        <v>0.77800000000000002</v>
      </c>
      <c r="J1537" s="39">
        <v>0.16309999999999999</v>
      </c>
      <c r="K1537" s="39">
        <v>0.1313</v>
      </c>
      <c r="L1537" s="39">
        <v>0.1037</v>
      </c>
      <c r="M1537" s="61">
        <v>5000</v>
      </c>
      <c r="N1537" s="61">
        <v>1000000</v>
      </c>
    </row>
    <row r="1538" spans="1:14" ht="15" customHeight="1" x14ac:dyDescent="0.25">
      <c r="A1538" s="64" t="str">
        <f t="shared" si="23"/>
        <v>1.4-20-0-TOU-3 year APR - Reward Plus</v>
      </c>
      <c r="B1538" s="62" t="s">
        <v>13</v>
      </c>
      <c r="C1538" s="54">
        <v>20</v>
      </c>
      <c r="D1538" s="59" t="s">
        <v>29</v>
      </c>
      <c r="E1538" s="59" t="s">
        <v>87</v>
      </c>
      <c r="F1538" s="38" t="s">
        <v>88</v>
      </c>
      <c r="G1538" s="51">
        <v>1.4</v>
      </c>
      <c r="H1538" s="60" t="s">
        <v>71</v>
      </c>
      <c r="I1538" s="39">
        <v>0.82699999999999996</v>
      </c>
      <c r="J1538" s="39">
        <v>0.1628</v>
      </c>
      <c r="K1538" s="39">
        <v>0.13109999999999999</v>
      </c>
      <c r="L1538" s="39">
        <v>0.10350000000000001</v>
      </c>
      <c r="M1538" s="61">
        <v>5000</v>
      </c>
      <c r="N1538" s="61">
        <v>1000000</v>
      </c>
    </row>
    <row r="1539" spans="1:14" ht="15" customHeight="1" x14ac:dyDescent="0.25">
      <c r="A1539" s="64" t="str">
        <f t="shared" ref="A1539:A1602" si="24">IF(E1539="OP","",CONCATENATE(G1539,"-",C1539,"-",RIGHT(F1539,1),"-",E1539,"-",H1539))</f>
        <v>1.4-21-0-TOU-3 year APR - Reward Plus</v>
      </c>
      <c r="B1539" s="62" t="s">
        <v>13</v>
      </c>
      <c r="C1539" s="54">
        <v>21</v>
      </c>
      <c r="D1539" s="59" t="s">
        <v>30</v>
      </c>
      <c r="E1539" s="59" t="s">
        <v>87</v>
      </c>
      <c r="F1539" s="38" t="s">
        <v>88</v>
      </c>
      <c r="G1539" s="51">
        <v>1.4</v>
      </c>
      <c r="H1539" s="60" t="s">
        <v>71</v>
      </c>
      <c r="I1539" s="39">
        <v>0.92300000000000004</v>
      </c>
      <c r="J1539" s="39">
        <v>0.17269999999999999</v>
      </c>
      <c r="K1539" s="39">
        <v>0.13899999999999998</v>
      </c>
      <c r="L1539" s="39">
        <v>0.10980000000000001</v>
      </c>
      <c r="M1539" s="61">
        <v>5000</v>
      </c>
      <c r="N1539" s="61">
        <v>1000000</v>
      </c>
    </row>
    <row r="1540" spans="1:14" ht="15" customHeight="1" x14ac:dyDescent="0.25">
      <c r="A1540" s="64" t="str">
        <f t="shared" si="24"/>
        <v>1.4-22-0-TOU-3 year APR - Reward Plus</v>
      </c>
      <c r="B1540" s="62" t="s">
        <v>13</v>
      </c>
      <c r="C1540" s="54">
        <v>22</v>
      </c>
      <c r="D1540" s="59" t="s">
        <v>31</v>
      </c>
      <c r="E1540" s="59" t="s">
        <v>87</v>
      </c>
      <c r="F1540" s="38" t="s">
        <v>88</v>
      </c>
      <c r="G1540" s="51">
        <v>1.4</v>
      </c>
      <c r="H1540" s="60" t="s">
        <v>71</v>
      </c>
      <c r="I1540" s="39">
        <v>0.90400000000000003</v>
      </c>
      <c r="J1540" s="39">
        <v>0.17329999999999998</v>
      </c>
      <c r="K1540" s="39">
        <v>0.13949999999999999</v>
      </c>
      <c r="L1540" s="39">
        <v>0.1101</v>
      </c>
      <c r="M1540" s="61">
        <v>5000</v>
      </c>
      <c r="N1540" s="61">
        <v>1000000</v>
      </c>
    </row>
    <row r="1541" spans="1:14" ht="15" customHeight="1" x14ac:dyDescent="0.25">
      <c r="A1541" s="64" t="str">
        <f t="shared" si="24"/>
        <v>1.4-23-0-TOU-3 year APR - Reward Plus</v>
      </c>
      <c r="B1541" s="62" t="s">
        <v>13</v>
      </c>
      <c r="C1541" s="54">
        <v>23</v>
      </c>
      <c r="D1541" s="59" t="s">
        <v>32</v>
      </c>
      <c r="E1541" s="59" t="s">
        <v>87</v>
      </c>
      <c r="F1541" s="38" t="s">
        <v>88</v>
      </c>
      <c r="G1541" s="51">
        <v>1.4</v>
      </c>
      <c r="H1541" s="60" t="s">
        <v>71</v>
      </c>
      <c r="I1541" s="39">
        <v>0.90600000000000003</v>
      </c>
      <c r="J1541" s="39">
        <v>0.16579999999999998</v>
      </c>
      <c r="K1541" s="39">
        <v>0.13349999999999998</v>
      </c>
      <c r="L1541" s="39">
        <v>0.10540000000000001</v>
      </c>
      <c r="M1541" s="61">
        <v>5000</v>
      </c>
      <c r="N1541" s="61">
        <v>1000000</v>
      </c>
    </row>
    <row r="1542" spans="1:14" ht="15" customHeight="1" x14ac:dyDescent="0.25">
      <c r="A1542" s="64" t="str">
        <f t="shared" si="24"/>
        <v>1.5-10-0-TOU-3 year APR - Reward Plus</v>
      </c>
      <c r="B1542" s="62" t="s">
        <v>13</v>
      </c>
      <c r="C1542" s="54">
        <v>10</v>
      </c>
      <c r="D1542" s="59" t="s">
        <v>14</v>
      </c>
      <c r="E1542" s="59" t="s">
        <v>87</v>
      </c>
      <c r="F1542" s="38" t="s">
        <v>88</v>
      </c>
      <c r="G1542" s="51">
        <v>1.5</v>
      </c>
      <c r="H1542" s="60" t="s">
        <v>71</v>
      </c>
      <c r="I1542" s="39">
        <v>0.88100000000000001</v>
      </c>
      <c r="J1542" s="39">
        <v>0.16309999999999999</v>
      </c>
      <c r="K1542" s="39">
        <v>0.1313</v>
      </c>
      <c r="L1542" s="39">
        <v>0.1037</v>
      </c>
      <c r="M1542" s="61">
        <v>5000</v>
      </c>
      <c r="N1542" s="61">
        <v>1000000</v>
      </c>
    </row>
    <row r="1543" spans="1:14" ht="15" customHeight="1" x14ac:dyDescent="0.25">
      <c r="A1543" s="64" t="str">
        <f t="shared" si="24"/>
        <v>1.5-11-0-TOU-3 year APR - Reward Plus</v>
      </c>
      <c r="B1543" s="62" t="s">
        <v>13</v>
      </c>
      <c r="C1543" s="54">
        <v>11</v>
      </c>
      <c r="D1543" s="59" t="s">
        <v>20</v>
      </c>
      <c r="E1543" s="59" t="s">
        <v>87</v>
      </c>
      <c r="F1543" s="38" t="s">
        <v>88</v>
      </c>
      <c r="G1543" s="51">
        <v>1.5</v>
      </c>
      <c r="H1543" s="60" t="s">
        <v>71</v>
      </c>
      <c r="I1543" s="39">
        <v>0.86099999999999999</v>
      </c>
      <c r="J1543" s="39">
        <v>0.16539999999999999</v>
      </c>
      <c r="K1543" s="39">
        <v>0.1331</v>
      </c>
      <c r="L1543" s="39">
        <v>0.1051</v>
      </c>
      <c r="M1543" s="61">
        <v>5000</v>
      </c>
      <c r="N1543" s="61">
        <v>1000000</v>
      </c>
    </row>
    <row r="1544" spans="1:14" ht="15" customHeight="1" x14ac:dyDescent="0.25">
      <c r="A1544" s="64" t="str">
        <f t="shared" si="24"/>
        <v>1.5-12-0-TOU-3 year APR - Reward Plus</v>
      </c>
      <c r="B1544" s="62" t="s">
        <v>13</v>
      </c>
      <c r="C1544" s="54">
        <v>12</v>
      </c>
      <c r="D1544" s="59" t="s">
        <v>21</v>
      </c>
      <c r="E1544" s="59" t="s">
        <v>87</v>
      </c>
      <c r="F1544" s="38" t="s">
        <v>88</v>
      </c>
      <c r="G1544" s="51">
        <v>1.5</v>
      </c>
      <c r="H1544" s="60" t="s">
        <v>71</v>
      </c>
      <c r="I1544" s="39">
        <v>0.90300000000000002</v>
      </c>
      <c r="J1544" s="39">
        <v>0.16269999999999998</v>
      </c>
      <c r="K1544" s="39">
        <v>0.13099999999999998</v>
      </c>
      <c r="L1544" s="39">
        <v>0.10340000000000001</v>
      </c>
      <c r="M1544" s="61">
        <v>5000</v>
      </c>
      <c r="N1544" s="61">
        <v>1000000</v>
      </c>
    </row>
    <row r="1545" spans="1:14" ht="15" customHeight="1" x14ac:dyDescent="0.25">
      <c r="A1545" s="64" t="str">
        <f t="shared" si="24"/>
        <v>1.5-13-0-TOU-3 year APR - Reward Plus</v>
      </c>
      <c r="B1545" s="62" t="s">
        <v>13</v>
      </c>
      <c r="C1545" s="54">
        <v>13</v>
      </c>
      <c r="D1545" s="59" t="s">
        <v>22</v>
      </c>
      <c r="E1545" s="59" t="s">
        <v>87</v>
      </c>
      <c r="F1545" s="38" t="s">
        <v>88</v>
      </c>
      <c r="G1545" s="51">
        <v>1.5</v>
      </c>
      <c r="H1545" s="60" t="s">
        <v>71</v>
      </c>
      <c r="I1545" s="39">
        <v>0.88100000000000001</v>
      </c>
      <c r="J1545" s="39">
        <v>0.17479999999999998</v>
      </c>
      <c r="K1545" s="39">
        <v>0.14069999999999999</v>
      </c>
      <c r="L1545" s="39">
        <v>0.1111</v>
      </c>
      <c r="M1545" s="61">
        <v>5000</v>
      </c>
      <c r="N1545" s="61">
        <v>1000000</v>
      </c>
    </row>
    <row r="1546" spans="1:14" ht="15" customHeight="1" x14ac:dyDescent="0.25">
      <c r="A1546" s="64" t="str">
        <f t="shared" si="24"/>
        <v>1.5-14-0-TOU-3 year APR - Reward Plus</v>
      </c>
      <c r="B1546" s="62" t="s">
        <v>13</v>
      </c>
      <c r="C1546" s="54">
        <v>14</v>
      </c>
      <c r="D1546" s="59" t="s">
        <v>23</v>
      </c>
      <c r="E1546" s="59" t="s">
        <v>87</v>
      </c>
      <c r="F1546" s="38" t="s">
        <v>88</v>
      </c>
      <c r="G1546" s="51">
        <v>1.5</v>
      </c>
      <c r="H1546" s="60" t="s">
        <v>71</v>
      </c>
      <c r="I1546" s="39">
        <v>0.89</v>
      </c>
      <c r="J1546" s="39">
        <v>0.16629999999999998</v>
      </c>
      <c r="K1546" s="39">
        <v>0.13389999999999999</v>
      </c>
      <c r="L1546" s="39">
        <v>0.1057</v>
      </c>
      <c r="M1546" s="61">
        <v>5000</v>
      </c>
      <c r="N1546" s="61">
        <v>1000000</v>
      </c>
    </row>
    <row r="1547" spans="1:14" ht="15" customHeight="1" x14ac:dyDescent="0.25">
      <c r="A1547" s="64" t="str">
        <f t="shared" si="24"/>
        <v>1.5-15-0-TOU-3 year APR - Reward Plus</v>
      </c>
      <c r="B1547" s="62" t="s">
        <v>13</v>
      </c>
      <c r="C1547" s="54">
        <v>15</v>
      </c>
      <c r="D1547" s="59" t="s">
        <v>24</v>
      </c>
      <c r="E1547" s="59" t="s">
        <v>87</v>
      </c>
      <c r="F1547" s="38" t="s">
        <v>88</v>
      </c>
      <c r="G1547" s="51">
        <v>1.5</v>
      </c>
      <c r="H1547" s="60" t="s">
        <v>71</v>
      </c>
      <c r="I1547" s="39">
        <v>0.96</v>
      </c>
      <c r="J1547" s="39">
        <v>0.1671</v>
      </c>
      <c r="K1547" s="39">
        <v>0.1346</v>
      </c>
      <c r="L1547" s="39">
        <v>0.1062</v>
      </c>
      <c r="M1547" s="61">
        <v>5000</v>
      </c>
      <c r="N1547" s="61">
        <v>1000000</v>
      </c>
    </row>
    <row r="1548" spans="1:14" ht="15" customHeight="1" x14ac:dyDescent="0.25">
      <c r="A1548" s="64" t="str">
        <f t="shared" si="24"/>
        <v>1.5-16-0-TOU-3 year APR - Reward Plus</v>
      </c>
      <c r="B1548" s="62" t="s">
        <v>13</v>
      </c>
      <c r="C1548" s="54">
        <v>16</v>
      </c>
      <c r="D1548" s="59" t="s">
        <v>25</v>
      </c>
      <c r="E1548" s="59" t="s">
        <v>87</v>
      </c>
      <c r="F1548" s="38" t="s">
        <v>88</v>
      </c>
      <c r="G1548" s="51">
        <v>1.5</v>
      </c>
      <c r="H1548" s="60" t="s">
        <v>71</v>
      </c>
      <c r="I1548" s="39">
        <v>0.72699999999999998</v>
      </c>
      <c r="J1548" s="39">
        <v>0.16599999999999998</v>
      </c>
      <c r="K1548" s="39">
        <v>0.1336</v>
      </c>
      <c r="L1548" s="39">
        <v>0.1055</v>
      </c>
      <c r="M1548" s="61">
        <v>5000</v>
      </c>
      <c r="N1548" s="61">
        <v>1000000</v>
      </c>
    </row>
    <row r="1549" spans="1:14" ht="15" customHeight="1" x14ac:dyDescent="0.25">
      <c r="A1549" s="64" t="str">
        <f t="shared" si="24"/>
        <v>1.5-17-0-TOU-3 year APR - Reward Plus</v>
      </c>
      <c r="B1549" s="62" t="s">
        <v>13</v>
      </c>
      <c r="C1549" s="54">
        <v>17</v>
      </c>
      <c r="D1549" s="59" t="s">
        <v>26</v>
      </c>
      <c r="E1549" s="59" t="s">
        <v>87</v>
      </c>
      <c r="F1549" s="38" t="s">
        <v>88</v>
      </c>
      <c r="G1549" s="51">
        <v>1.5</v>
      </c>
      <c r="H1549" s="60" t="s">
        <v>71</v>
      </c>
      <c r="I1549" s="39">
        <v>1.484</v>
      </c>
      <c r="J1549" s="39">
        <v>0.18439999999999998</v>
      </c>
      <c r="K1549" s="39">
        <v>0.14839999999999998</v>
      </c>
      <c r="L1549" s="39">
        <v>0.1172</v>
      </c>
      <c r="M1549" s="61">
        <v>5000</v>
      </c>
      <c r="N1549" s="61">
        <v>1000000</v>
      </c>
    </row>
    <row r="1550" spans="1:14" ht="15" customHeight="1" x14ac:dyDescent="0.25">
      <c r="A1550" s="64" t="str">
        <f t="shared" si="24"/>
        <v>1.5-18-0-TOU-3 year APR - Reward Plus</v>
      </c>
      <c r="B1550" s="62" t="s">
        <v>13</v>
      </c>
      <c r="C1550" s="54">
        <v>18</v>
      </c>
      <c r="D1550" s="59" t="s">
        <v>27</v>
      </c>
      <c r="E1550" s="59" t="s">
        <v>87</v>
      </c>
      <c r="F1550" s="38" t="s">
        <v>88</v>
      </c>
      <c r="G1550" s="51">
        <v>1.5</v>
      </c>
      <c r="H1550" s="60" t="s">
        <v>71</v>
      </c>
      <c r="I1550" s="39">
        <v>0.89900000000000002</v>
      </c>
      <c r="J1550" s="39">
        <v>0.1651</v>
      </c>
      <c r="K1550" s="39">
        <v>0.13299999999999998</v>
      </c>
      <c r="L1550" s="39">
        <v>0.105</v>
      </c>
      <c r="M1550" s="61">
        <v>5000</v>
      </c>
      <c r="N1550" s="61">
        <v>1000000</v>
      </c>
    </row>
    <row r="1551" spans="1:14" ht="15" customHeight="1" x14ac:dyDescent="0.25">
      <c r="A1551" s="64" t="str">
        <f t="shared" si="24"/>
        <v>1.5-19-0-TOU-3 year APR - Reward Plus</v>
      </c>
      <c r="B1551" s="62" t="s">
        <v>13</v>
      </c>
      <c r="C1551" s="54">
        <v>19</v>
      </c>
      <c r="D1551" s="59" t="s">
        <v>28</v>
      </c>
      <c r="E1551" s="59" t="s">
        <v>87</v>
      </c>
      <c r="F1551" s="38" t="s">
        <v>88</v>
      </c>
      <c r="G1551" s="51">
        <v>1.5</v>
      </c>
      <c r="H1551" s="60" t="s">
        <v>71</v>
      </c>
      <c r="I1551" s="39">
        <v>0.77800000000000002</v>
      </c>
      <c r="J1551" s="39">
        <v>0.1643</v>
      </c>
      <c r="K1551" s="39">
        <v>0.1323</v>
      </c>
      <c r="L1551" s="39">
        <v>0.10440000000000001</v>
      </c>
      <c r="M1551" s="61">
        <v>5000</v>
      </c>
      <c r="N1551" s="61">
        <v>1000000</v>
      </c>
    </row>
    <row r="1552" spans="1:14" ht="15" customHeight="1" x14ac:dyDescent="0.25">
      <c r="A1552" s="64" t="str">
        <f t="shared" si="24"/>
        <v>1.5-20-0-TOU-3 year APR - Reward Plus</v>
      </c>
      <c r="B1552" s="62" t="s">
        <v>13</v>
      </c>
      <c r="C1552" s="54">
        <v>20</v>
      </c>
      <c r="D1552" s="59" t="s">
        <v>29</v>
      </c>
      <c r="E1552" s="59" t="s">
        <v>87</v>
      </c>
      <c r="F1552" s="38" t="s">
        <v>88</v>
      </c>
      <c r="G1552" s="51">
        <v>1.5</v>
      </c>
      <c r="H1552" s="60" t="s">
        <v>71</v>
      </c>
      <c r="I1552" s="39">
        <v>0.82699999999999996</v>
      </c>
      <c r="J1552" s="39">
        <v>0.16399999999999998</v>
      </c>
      <c r="K1552" s="39">
        <v>0.13199999999999998</v>
      </c>
      <c r="L1552" s="39">
        <v>0.1042</v>
      </c>
      <c r="M1552" s="61">
        <v>5000</v>
      </c>
      <c r="N1552" s="61">
        <v>1000000</v>
      </c>
    </row>
    <row r="1553" spans="1:14" ht="15" customHeight="1" x14ac:dyDescent="0.25">
      <c r="A1553" s="64" t="str">
        <f t="shared" si="24"/>
        <v>1.5-21-0-TOU-3 year APR - Reward Plus</v>
      </c>
      <c r="B1553" s="62" t="s">
        <v>13</v>
      </c>
      <c r="C1553" s="54">
        <v>21</v>
      </c>
      <c r="D1553" s="59" t="s">
        <v>30</v>
      </c>
      <c r="E1553" s="59" t="s">
        <v>87</v>
      </c>
      <c r="F1553" s="38" t="s">
        <v>88</v>
      </c>
      <c r="G1553" s="51">
        <v>1.5</v>
      </c>
      <c r="H1553" s="60" t="s">
        <v>71</v>
      </c>
      <c r="I1553" s="39">
        <v>0.92300000000000004</v>
      </c>
      <c r="J1553" s="39">
        <v>0.1739</v>
      </c>
      <c r="K1553" s="39">
        <v>0.13999999999999999</v>
      </c>
      <c r="L1553" s="39">
        <v>0.1105</v>
      </c>
      <c r="M1553" s="61">
        <v>5000</v>
      </c>
      <c r="N1553" s="61">
        <v>1000000</v>
      </c>
    </row>
    <row r="1554" spans="1:14" ht="15" customHeight="1" x14ac:dyDescent="0.25">
      <c r="A1554" s="64" t="str">
        <f t="shared" si="24"/>
        <v>1.5-22-0-TOU-3 year APR - Reward Plus</v>
      </c>
      <c r="B1554" s="62" t="s">
        <v>13</v>
      </c>
      <c r="C1554" s="54">
        <v>22</v>
      </c>
      <c r="D1554" s="59" t="s">
        <v>31</v>
      </c>
      <c r="E1554" s="59" t="s">
        <v>87</v>
      </c>
      <c r="F1554" s="38" t="s">
        <v>88</v>
      </c>
      <c r="G1554" s="51">
        <v>1.5</v>
      </c>
      <c r="H1554" s="60" t="s">
        <v>71</v>
      </c>
      <c r="I1554" s="39">
        <v>0.90400000000000003</v>
      </c>
      <c r="J1554" s="39">
        <v>0.17449999999999999</v>
      </c>
      <c r="K1554" s="39">
        <v>0.14049999999999999</v>
      </c>
      <c r="L1554" s="39">
        <v>0.1109</v>
      </c>
      <c r="M1554" s="61">
        <v>5000</v>
      </c>
      <c r="N1554" s="61">
        <v>1000000</v>
      </c>
    </row>
    <row r="1555" spans="1:14" ht="15" customHeight="1" x14ac:dyDescent="0.25">
      <c r="A1555" s="64" t="str">
        <f t="shared" si="24"/>
        <v>1.5-23-0-TOU-3 year APR - Reward Plus</v>
      </c>
      <c r="B1555" s="62" t="s">
        <v>13</v>
      </c>
      <c r="C1555" s="54">
        <v>23</v>
      </c>
      <c r="D1555" s="59" t="s">
        <v>32</v>
      </c>
      <c r="E1555" s="59" t="s">
        <v>87</v>
      </c>
      <c r="F1555" s="38" t="s">
        <v>88</v>
      </c>
      <c r="G1555" s="51">
        <v>1.5</v>
      </c>
      <c r="H1555" s="60" t="s">
        <v>71</v>
      </c>
      <c r="I1555" s="39">
        <v>0.90600000000000003</v>
      </c>
      <c r="J1555" s="39">
        <v>0.16699999999999998</v>
      </c>
      <c r="K1555" s="39">
        <v>0.13449999999999998</v>
      </c>
      <c r="L1555" s="39">
        <v>0.1062</v>
      </c>
      <c r="M1555" s="61">
        <v>5000</v>
      </c>
      <c r="N1555" s="61">
        <v>1000000</v>
      </c>
    </row>
    <row r="1556" spans="1:14" ht="15" customHeight="1" x14ac:dyDescent="0.25">
      <c r="A1556" s="64" t="str">
        <f t="shared" si="24"/>
        <v>1.6-10-0-TOU-3 year APR - Reward Plus</v>
      </c>
      <c r="B1556" s="62" t="s">
        <v>13</v>
      </c>
      <c r="C1556" s="54">
        <v>10</v>
      </c>
      <c r="D1556" s="59" t="s">
        <v>14</v>
      </c>
      <c r="E1556" s="59" t="s">
        <v>87</v>
      </c>
      <c r="F1556" s="38" t="s">
        <v>88</v>
      </c>
      <c r="G1556" s="51">
        <v>1.6</v>
      </c>
      <c r="H1556" s="60" t="s">
        <v>71</v>
      </c>
      <c r="I1556" s="39">
        <v>0.88100000000000001</v>
      </c>
      <c r="J1556" s="39">
        <v>0.1643</v>
      </c>
      <c r="K1556" s="39">
        <v>0.1323</v>
      </c>
      <c r="L1556" s="39">
        <v>0.10440000000000001</v>
      </c>
      <c r="M1556" s="61">
        <v>5000</v>
      </c>
      <c r="N1556" s="61">
        <v>1000000</v>
      </c>
    </row>
    <row r="1557" spans="1:14" ht="15" customHeight="1" x14ac:dyDescent="0.25">
      <c r="A1557" s="64" t="str">
        <f t="shared" si="24"/>
        <v>1.6-11-0-TOU-3 year APR - Reward Plus</v>
      </c>
      <c r="B1557" s="62" t="s">
        <v>13</v>
      </c>
      <c r="C1557" s="54">
        <v>11</v>
      </c>
      <c r="D1557" s="59" t="s">
        <v>20</v>
      </c>
      <c r="E1557" s="59" t="s">
        <v>87</v>
      </c>
      <c r="F1557" s="38" t="s">
        <v>88</v>
      </c>
      <c r="G1557" s="51">
        <v>1.6</v>
      </c>
      <c r="H1557" s="60" t="s">
        <v>71</v>
      </c>
      <c r="I1557" s="39">
        <v>0.86099999999999999</v>
      </c>
      <c r="J1557" s="39">
        <v>0.16649999999999998</v>
      </c>
      <c r="K1557" s="39">
        <v>0.1341</v>
      </c>
      <c r="L1557" s="39">
        <v>0.10590000000000001</v>
      </c>
      <c r="M1557" s="61">
        <v>5000</v>
      </c>
      <c r="N1557" s="61">
        <v>1000000</v>
      </c>
    </row>
    <row r="1558" spans="1:14" ht="15" customHeight="1" x14ac:dyDescent="0.25">
      <c r="A1558" s="64" t="str">
        <f t="shared" si="24"/>
        <v>1.6-12-0-TOU-3 year APR - Reward Plus</v>
      </c>
      <c r="B1558" s="62" t="s">
        <v>13</v>
      </c>
      <c r="C1558" s="54">
        <v>12</v>
      </c>
      <c r="D1558" s="59" t="s">
        <v>21</v>
      </c>
      <c r="E1558" s="59" t="s">
        <v>87</v>
      </c>
      <c r="F1558" s="38" t="s">
        <v>88</v>
      </c>
      <c r="G1558" s="51">
        <v>1.6</v>
      </c>
      <c r="H1558" s="60" t="s">
        <v>71</v>
      </c>
      <c r="I1558" s="39">
        <v>0.90300000000000002</v>
      </c>
      <c r="J1558" s="39">
        <v>0.1638</v>
      </c>
      <c r="K1558" s="39">
        <v>0.13189999999999999</v>
      </c>
      <c r="L1558" s="39">
        <v>0.1041</v>
      </c>
      <c r="M1558" s="61">
        <v>5000</v>
      </c>
      <c r="N1558" s="61">
        <v>1000000</v>
      </c>
    </row>
    <row r="1559" spans="1:14" ht="15" customHeight="1" x14ac:dyDescent="0.25">
      <c r="A1559" s="64" t="str">
        <f t="shared" si="24"/>
        <v>1.6-13-0-TOU-3 year APR - Reward Plus</v>
      </c>
      <c r="B1559" s="62" t="s">
        <v>13</v>
      </c>
      <c r="C1559" s="54">
        <v>13</v>
      </c>
      <c r="D1559" s="59" t="s">
        <v>22</v>
      </c>
      <c r="E1559" s="59" t="s">
        <v>87</v>
      </c>
      <c r="F1559" s="38" t="s">
        <v>88</v>
      </c>
      <c r="G1559" s="51">
        <v>1.6</v>
      </c>
      <c r="H1559" s="60" t="s">
        <v>71</v>
      </c>
      <c r="I1559" s="39">
        <v>0.88100000000000001</v>
      </c>
      <c r="J1559" s="39">
        <v>0.17599999999999999</v>
      </c>
      <c r="K1559" s="39">
        <v>0.14169999999999999</v>
      </c>
      <c r="L1559" s="39">
        <v>0.1119</v>
      </c>
      <c r="M1559" s="61">
        <v>5000</v>
      </c>
      <c r="N1559" s="61">
        <v>1000000</v>
      </c>
    </row>
    <row r="1560" spans="1:14" ht="15" customHeight="1" x14ac:dyDescent="0.25">
      <c r="A1560" s="64" t="str">
        <f t="shared" si="24"/>
        <v>1.6-14-0-TOU-3 year APR - Reward Plus</v>
      </c>
      <c r="B1560" s="62" t="s">
        <v>13</v>
      </c>
      <c r="C1560" s="54">
        <v>14</v>
      </c>
      <c r="D1560" s="59" t="s">
        <v>23</v>
      </c>
      <c r="E1560" s="59" t="s">
        <v>87</v>
      </c>
      <c r="F1560" s="38" t="s">
        <v>88</v>
      </c>
      <c r="G1560" s="51">
        <v>1.6</v>
      </c>
      <c r="H1560" s="60" t="s">
        <v>71</v>
      </c>
      <c r="I1560" s="39">
        <v>0.89</v>
      </c>
      <c r="J1560" s="39">
        <v>0.16749999999999998</v>
      </c>
      <c r="K1560" s="39">
        <v>0.13489999999999999</v>
      </c>
      <c r="L1560" s="39">
        <v>0.1065</v>
      </c>
      <c r="M1560" s="61">
        <v>5000</v>
      </c>
      <c r="N1560" s="61">
        <v>1000000</v>
      </c>
    </row>
    <row r="1561" spans="1:14" ht="15" customHeight="1" x14ac:dyDescent="0.25">
      <c r="A1561" s="64" t="str">
        <f t="shared" si="24"/>
        <v>1.6-15-0-TOU-3 year APR - Reward Plus</v>
      </c>
      <c r="B1561" s="62" t="s">
        <v>13</v>
      </c>
      <c r="C1561" s="54">
        <v>15</v>
      </c>
      <c r="D1561" s="59" t="s">
        <v>24</v>
      </c>
      <c r="E1561" s="59" t="s">
        <v>87</v>
      </c>
      <c r="F1561" s="38" t="s">
        <v>88</v>
      </c>
      <c r="G1561" s="51">
        <v>1.6</v>
      </c>
      <c r="H1561" s="60" t="s">
        <v>71</v>
      </c>
      <c r="I1561" s="39">
        <v>0.96</v>
      </c>
      <c r="J1561" s="39">
        <v>0.16829999999999998</v>
      </c>
      <c r="K1561" s="39">
        <v>0.13549999999999998</v>
      </c>
      <c r="L1561" s="39">
        <v>0.107</v>
      </c>
      <c r="M1561" s="61">
        <v>5000</v>
      </c>
      <c r="N1561" s="61">
        <v>1000000</v>
      </c>
    </row>
    <row r="1562" spans="1:14" ht="15" customHeight="1" x14ac:dyDescent="0.25">
      <c r="A1562" s="64" t="str">
        <f t="shared" si="24"/>
        <v>1.6-16-0-TOU-3 year APR - Reward Plus</v>
      </c>
      <c r="B1562" s="62" t="s">
        <v>13</v>
      </c>
      <c r="C1562" s="54">
        <v>16</v>
      </c>
      <c r="D1562" s="59" t="s">
        <v>25</v>
      </c>
      <c r="E1562" s="59" t="s">
        <v>87</v>
      </c>
      <c r="F1562" s="38" t="s">
        <v>88</v>
      </c>
      <c r="G1562" s="51">
        <v>1.6</v>
      </c>
      <c r="H1562" s="60" t="s">
        <v>71</v>
      </c>
      <c r="I1562" s="39">
        <v>0.72699999999999998</v>
      </c>
      <c r="J1562" s="39">
        <v>0.1671</v>
      </c>
      <c r="K1562" s="39">
        <v>0.1346</v>
      </c>
      <c r="L1562" s="39">
        <v>0.1062</v>
      </c>
      <c r="M1562" s="61">
        <v>5000</v>
      </c>
      <c r="N1562" s="61">
        <v>1000000</v>
      </c>
    </row>
    <row r="1563" spans="1:14" ht="15" customHeight="1" x14ac:dyDescent="0.25">
      <c r="A1563" s="64" t="str">
        <f t="shared" si="24"/>
        <v>1.6-17-0-TOU-3 year APR - Reward Plus</v>
      </c>
      <c r="B1563" s="62" t="s">
        <v>13</v>
      </c>
      <c r="C1563" s="54">
        <v>17</v>
      </c>
      <c r="D1563" s="59" t="s">
        <v>26</v>
      </c>
      <c r="E1563" s="59" t="s">
        <v>87</v>
      </c>
      <c r="F1563" s="38" t="s">
        <v>88</v>
      </c>
      <c r="G1563" s="51">
        <v>1.6</v>
      </c>
      <c r="H1563" s="60" t="s">
        <v>71</v>
      </c>
      <c r="I1563" s="39">
        <v>1.484</v>
      </c>
      <c r="J1563" s="39">
        <v>0.1855</v>
      </c>
      <c r="K1563" s="39">
        <v>0.14939999999999998</v>
      </c>
      <c r="L1563" s="39">
        <v>0.1179</v>
      </c>
      <c r="M1563" s="61">
        <v>5000</v>
      </c>
      <c r="N1563" s="61">
        <v>1000000</v>
      </c>
    </row>
    <row r="1564" spans="1:14" ht="15" customHeight="1" x14ac:dyDescent="0.25">
      <c r="A1564" s="64" t="str">
        <f t="shared" si="24"/>
        <v>1.6-18-0-TOU-3 year APR - Reward Plus</v>
      </c>
      <c r="B1564" s="62" t="s">
        <v>13</v>
      </c>
      <c r="C1564" s="54">
        <v>18</v>
      </c>
      <c r="D1564" s="59" t="s">
        <v>27</v>
      </c>
      <c r="E1564" s="59" t="s">
        <v>87</v>
      </c>
      <c r="F1564" s="38" t="s">
        <v>88</v>
      </c>
      <c r="G1564" s="51">
        <v>1.6</v>
      </c>
      <c r="H1564" s="60" t="s">
        <v>71</v>
      </c>
      <c r="I1564" s="39">
        <v>0.89900000000000002</v>
      </c>
      <c r="J1564" s="39">
        <v>0.16629999999999998</v>
      </c>
      <c r="K1564" s="39">
        <v>0.13389999999999999</v>
      </c>
      <c r="L1564" s="39">
        <v>0.1057</v>
      </c>
      <c r="M1564" s="61">
        <v>5000</v>
      </c>
      <c r="N1564" s="61">
        <v>1000000</v>
      </c>
    </row>
    <row r="1565" spans="1:14" ht="15" customHeight="1" x14ac:dyDescent="0.25">
      <c r="A1565" s="64" t="str">
        <f t="shared" si="24"/>
        <v>1.6-19-0-TOU-3 year APR - Reward Plus</v>
      </c>
      <c r="B1565" s="62" t="s">
        <v>13</v>
      </c>
      <c r="C1565" s="54">
        <v>19</v>
      </c>
      <c r="D1565" s="59" t="s">
        <v>28</v>
      </c>
      <c r="E1565" s="59" t="s">
        <v>87</v>
      </c>
      <c r="F1565" s="38" t="s">
        <v>88</v>
      </c>
      <c r="G1565" s="51">
        <v>1.6</v>
      </c>
      <c r="H1565" s="60" t="s">
        <v>71</v>
      </c>
      <c r="I1565" s="39">
        <v>0.77800000000000002</v>
      </c>
      <c r="J1565" s="39">
        <v>0.16549999999999998</v>
      </c>
      <c r="K1565" s="39">
        <v>0.13319999999999999</v>
      </c>
      <c r="L1565" s="39">
        <v>0.1052</v>
      </c>
      <c r="M1565" s="61">
        <v>5000</v>
      </c>
      <c r="N1565" s="61">
        <v>1000000</v>
      </c>
    </row>
    <row r="1566" spans="1:14" ht="15" customHeight="1" x14ac:dyDescent="0.25">
      <c r="A1566" s="64" t="str">
        <f t="shared" si="24"/>
        <v>1.6-20-0-TOU-3 year APR - Reward Plus</v>
      </c>
      <c r="B1566" s="62" t="s">
        <v>13</v>
      </c>
      <c r="C1566" s="54">
        <v>20</v>
      </c>
      <c r="D1566" s="59" t="s">
        <v>29</v>
      </c>
      <c r="E1566" s="59" t="s">
        <v>87</v>
      </c>
      <c r="F1566" s="38" t="s">
        <v>88</v>
      </c>
      <c r="G1566" s="51">
        <v>1.6</v>
      </c>
      <c r="H1566" s="60" t="s">
        <v>71</v>
      </c>
      <c r="I1566" s="39">
        <v>0.82699999999999996</v>
      </c>
      <c r="J1566" s="39">
        <v>0.1651</v>
      </c>
      <c r="K1566" s="39">
        <v>0.13299999999999998</v>
      </c>
      <c r="L1566" s="39">
        <v>0.105</v>
      </c>
      <c r="M1566" s="61">
        <v>5000</v>
      </c>
      <c r="N1566" s="61">
        <v>1000000</v>
      </c>
    </row>
    <row r="1567" spans="1:14" ht="15" customHeight="1" x14ac:dyDescent="0.25">
      <c r="A1567" s="64" t="str">
        <f t="shared" si="24"/>
        <v>1.6-21-0-TOU-3 year APR - Reward Plus</v>
      </c>
      <c r="B1567" s="62" t="s">
        <v>13</v>
      </c>
      <c r="C1567" s="54">
        <v>21</v>
      </c>
      <c r="D1567" s="59" t="s">
        <v>30</v>
      </c>
      <c r="E1567" s="59" t="s">
        <v>87</v>
      </c>
      <c r="F1567" s="38" t="s">
        <v>88</v>
      </c>
      <c r="G1567" s="51">
        <v>1.6</v>
      </c>
      <c r="H1567" s="60" t="s">
        <v>71</v>
      </c>
      <c r="I1567" s="39">
        <v>0.92300000000000004</v>
      </c>
      <c r="J1567" s="39">
        <v>0.17499999999999999</v>
      </c>
      <c r="K1567" s="39">
        <v>0.1409</v>
      </c>
      <c r="L1567" s="39">
        <v>0.1113</v>
      </c>
      <c r="M1567" s="61">
        <v>5000</v>
      </c>
      <c r="N1567" s="61">
        <v>1000000</v>
      </c>
    </row>
    <row r="1568" spans="1:14" ht="15" customHeight="1" x14ac:dyDescent="0.25">
      <c r="A1568" s="64" t="str">
        <f t="shared" si="24"/>
        <v>1.6-22-0-TOU-3 year APR - Reward Plus</v>
      </c>
      <c r="B1568" s="62" t="s">
        <v>13</v>
      </c>
      <c r="C1568" s="54">
        <v>22</v>
      </c>
      <c r="D1568" s="59" t="s">
        <v>31</v>
      </c>
      <c r="E1568" s="59" t="s">
        <v>87</v>
      </c>
      <c r="F1568" s="38" t="s">
        <v>88</v>
      </c>
      <c r="G1568" s="51">
        <v>1.6</v>
      </c>
      <c r="H1568" s="60" t="s">
        <v>71</v>
      </c>
      <c r="I1568" s="39">
        <v>0.90400000000000003</v>
      </c>
      <c r="J1568" s="39">
        <v>0.17559999999999998</v>
      </c>
      <c r="K1568" s="39">
        <v>0.1414</v>
      </c>
      <c r="L1568" s="39">
        <v>0.1116</v>
      </c>
      <c r="M1568" s="61">
        <v>5000</v>
      </c>
      <c r="N1568" s="61">
        <v>1000000</v>
      </c>
    </row>
    <row r="1569" spans="1:14" ht="15" customHeight="1" x14ac:dyDescent="0.25">
      <c r="A1569" s="64" t="str">
        <f t="shared" si="24"/>
        <v>1.6-23-0-TOU-3 year APR - Reward Plus</v>
      </c>
      <c r="B1569" s="62" t="s">
        <v>13</v>
      </c>
      <c r="C1569" s="54">
        <v>23</v>
      </c>
      <c r="D1569" s="59" t="s">
        <v>32</v>
      </c>
      <c r="E1569" s="59" t="s">
        <v>87</v>
      </c>
      <c r="F1569" s="38" t="s">
        <v>88</v>
      </c>
      <c r="G1569" s="51">
        <v>1.6</v>
      </c>
      <c r="H1569" s="60" t="s">
        <v>71</v>
      </c>
      <c r="I1569" s="39">
        <v>0.90600000000000003</v>
      </c>
      <c r="J1569" s="39">
        <v>0.16819999999999999</v>
      </c>
      <c r="K1569" s="39">
        <v>0.13539999999999999</v>
      </c>
      <c r="L1569" s="39">
        <v>0.10690000000000001</v>
      </c>
      <c r="M1569" s="61">
        <v>5000</v>
      </c>
      <c r="N1569" s="61">
        <v>1000000</v>
      </c>
    </row>
    <row r="1570" spans="1:14" ht="15" customHeight="1" x14ac:dyDescent="0.25">
      <c r="A1570" s="64" t="str">
        <f t="shared" si="24"/>
        <v>1.7-10-0-TOU-3 year APR - Reward Plus</v>
      </c>
      <c r="B1570" s="62" t="s">
        <v>13</v>
      </c>
      <c r="C1570" s="54">
        <v>10</v>
      </c>
      <c r="D1570" s="59" t="s">
        <v>14</v>
      </c>
      <c r="E1570" s="59" t="s">
        <v>87</v>
      </c>
      <c r="F1570" s="38" t="s">
        <v>88</v>
      </c>
      <c r="G1570" s="51">
        <v>1.7</v>
      </c>
      <c r="H1570" s="60" t="s">
        <v>71</v>
      </c>
      <c r="I1570" s="39">
        <v>0.88100000000000001</v>
      </c>
      <c r="J1570" s="39">
        <v>0.16549999999999998</v>
      </c>
      <c r="K1570" s="39">
        <v>0.13319999999999999</v>
      </c>
      <c r="L1570" s="39">
        <v>0.1052</v>
      </c>
      <c r="M1570" s="61">
        <v>5000</v>
      </c>
      <c r="N1570" s="61">
        <v>1000000</v>
      </c>
    </row>
    <row r="1571" spans="1:14" ht="15" customHeight="1" x14ac:dyDescent="0.25">
      <c r="A1571" s="64" t="str">
        <f t="shared" si="24"/>
        <v>1.7-11-0-TOU-3 year APR - Reward Plus</v>
      </c>
      <c r="B1571" s="62" t="s">
        <v>13</v>
      </c>
      <c r="C1571" s="54">
        <v>11</v>
      </c>
      <c r="D1571" s="59" t="s">
        <v>20</v>
      </c>
      <c r="E1571" s="59" t="s">
        <v>87</v>
      </c>
      <c r="F1571" s="38" t="s">
        <v>88</v>
      </c>
      <c r="G1571" s="51">
        <v>1.7</v>
      </c>
      <c r="H1571" s="60" t="s">
        <v>71</v>
      </c>
      <c r="I1571" s="39">
        <v>0.86099999999999999</v>
      </c>
      <c r="J1571" s="39">
        <v>0.16769999999999999</v>
      </c>
      <c r="K1571" s="39">
        <v>0.13499999999999998</v>
      </c>
      <c r="L1571" s="39">
        <v>0.1066</v>
      </c>
      <c r="M1571" s="61">
        <v>5000</v>
      </c>
      <c r="N1571" s="61">
        <v>1000000</v>
      </c>
    </row>
    <row r="1572" spans="1:14" ht="15" customHeight="1" x14ac:dyDescent="0.25">
      <c r="A1572" s="64" t="str">
        <f t="shared" si="24"/>
        <v>1.7-12-0-TOU-3 year APR - Reward Plus</v>
      </c>
      <c r="B1572" s="62" t="s">
        <v>13</v>
      </c>
      <c r="C1572" s="54">
        <v>12</v>
      </c>
      <c r="D1572" s="59" t="s">
        <v>21</v>
      </c>
      <c r="E1572" s="59" t="s">
        <v>87</v>
      </c>
      <c r="F1572" s="38" t="s">
        <v>88</v>
      </c>
      <c r="G1572" s="51">
        <v>1.7</v>
      </c>
      <c r="H1572" s="60" t="s">
        <v>71</v>
      </c>
      <c r="I1572" s="39">
        <v>0.90300000000000002</v>
      </c>
      <c r="J1572" s="39">
        <v>0.16499999999999998</v>
      </c>
      <c r="K1572" s="39">
        <v>0.13289999999999999</v>
      </c>
      <c r="L1572" s="39">
        <v>0.10490000000000001</v>
      </c>
      <c r="M1572" s="61">
        <v>5000</v>
      </c>
      <c r="N1572" s="61">
        <v>1000000</v>
      </c>
    </row>
    <row r="1573" spans="1:14" ht="15" customHeight="1" x14ac:dyDescent="0.25">
      <c r="A1573" s="64" t="str">
        <f t="shared" si="24"/>
        <v>1.7-13-0-TOU-3 year APR - Reward Plus</v>
      </c>
      <c r="B1573" s="62" t="s">
        <v>13</v>
      </c>
      <c r="C1573" s="54">
        <v>13</v>
      </c>
      <c r="D1573" s="59" t="s">
        <v>22</v>
      </c>
      <c r="E1573" s="59" t="s">
        <v>87</v>
      </c>
      <c r="F1573" s="38" t="s">
        <v>88</v>
      </c>
      <c r="G1573" s="51">
        <v>1.7</v>
      </c>
      <c r="H1573" s="60" t="s">
        <v>71</v>
      </c>
      <c r="I1573" s="39">
        <v>0.88100000000000001</v>
      </c>
      <c r="J1573" s="39">
        <v>0.1772</v>
      </c>
      <c r="K1573" s="39">
        <v>0.14259999999999998</v>
      </c>
      <c r="L1573" s="39">
        <v>0.11260000000000001</v>
      </c>
      <c r="M1573" s="61">
        <v>5000</v>
      </c>
      <c r="N1573" s="61">
        <v>1000000</v>
      </c>
    </row>
    <row r="1574" spans="1:14" ht="15" customHeight="1" x14ac:dyDescent="0.25">
      <c r="A1574" s="64" t="str">
        <f t="shared" si="24"/>
        <v>1.7-14-0-TOU-3 year APR - Reward Plus</v>
      </c>
      <c r="B1574" s="62" t="s">
        <v>13</v>
      </c>
      <c r="C1574" s="54">
        <v>14</v>
      </c>
      <c r="D1574" s="59" t="s">
        <v>23</v>
      </c>
      <c r="E1574" s="59" t="s">
        <v>87</v>
      </c>
      <c r="F1574" s="38" t="s">
        <v>88</v>
      </c>
      <c r="G1574" s="51">
        <v>1.7</v>
      </c>
      <c r="H1574" s="60" t="s">
        <v>71</v>
      </c>
      <c r="I1574" s="39">
        <v>0.89</v>
      </c>
      <c r="J1574" s="39">
        <v>0.16869999999999999</v>
      </c>
      <c r="K1574" s="39">
        <v>0.13579999999999998</v>
      </c>
      <c r="L1574" s="39">
        <v>0.1072</v>
      </c>
      <c r="M1574" s="61">
        <v>5000</v>
      </c>
      <c r="N1574" s="61">
        <v>1000000</v>
      </c>
    </row>
    <row r="1575" spans="1:14" ht="15" customHeight="1" x14ac:dyDescent="0.25">
      <c r="A1575" s="64" t="str">
        <f t="shared" si="24"/>
        <v>1.7-15-0-TOU-3 year APR - Reward Plus</v>
      </c>
      <c r="B1575" s="62" t="s">
        <v>13</v>
      </c>
      <c r="C1575" s="54">
        <v>15</v>
      </c>
      <c r="D1575" s="59" t="s">
        <v>24</v>
      </c>
      <c r="E1575" s="59" t="s">
        <v>87</v>
      </c>
      <c r="F1575" s="38" t="s">
        <v>88</v>
      </c>
      <c r="G1575" s="51">
        <v>1.7</v>
      </c>
      <c r="H1575" s="60" t="s">
        <v>71</v>
      </c>
      <c r="I1575" s="39">
        <v>0.96</v>
      </c>
      <c r="J1575" s="39">
        <v>0.16949999999999998</v>
      </c>
      <c r="K1575" s="39">
        <v>0.13649999999999998</v>
      </c>
      <c r="L1575" s="39">
        <v>0.1077</v>
      </c>
      <c r="M1575" s="61">
        <v>5000</v>
      </c>
      <c r="N1575" s="61">
        <v>1000000</v>
      </c>
    </row>
    <row r="1576" spans="1:14" ht="15" customHeight="1" x14ac:dyDescent="0.25">
      <c r="A1576" s="64" t="str">
        <f t="shared" si="24"/>
        <v>1.7-16-0-TOU-3 year APR - Reward Plus</v>
      </c>
      <c r="B1576" s="62" t="s">
        <v>13</v>
      </c>
      <c r="C1576" s="54">
        <v>16</v>
      </c>
      <c r="D1576" s="59" t="s">
        <v>25</v>
      </c>
      <c r="E1576" s="59" t="s">
        <v>87</v>
      </c>
      <c r="F1576" s="38" t="s">
        <v>88</v>
      </c>
      <c r="G1576" s="51">
        <v>1.7</v>
      </c>
      <c r="H1576" s="60" t="s">
        <v>71</v>
      </c>
      <c r="I1576" s="39">
        <v>0.72699999999999998</v>
      </c>
      <c r="J1576" s="39">
        <v>0.16829999999999998</v>
      </c>
      <c r="K1576" s="39">
        <v>0.13549999999999998</v>
      </c>
      <c r="L1576" s="39">
        <v>0.107</v>
      </c>
      <c r="M1576" s="61">
        <v>5000</v>
      </c>
      <c r="N1576" s="61">
        <v>1000000</v>
      </c>
    </row>
    <row r="1577" spans="1:14" ht="15" customHeight="1" x14ac:dyDescent="0.25">
      <c r="A1577" s="64" t="str">
        <f t="shared" si="24"/>
        <v>1.7-17-0-TOU-3 year APR - Reward Plus</v>
      </c>
      <c r="B1577" s="62" t="s">
        <v>13</v>
      </c>
      <c r="C1577" s="54">
        <v>17</v>
      </c>
      <c r="D1577" s="59" t="s">
        <v>26</v>
      </c>
      <c r="E1577" s="59" t="s">
        <v>87</v>
      </c>
      <c r="F1577" s="38" t="s">
        <v>88</v>
      </c>
      <c r="G1577" s="51">
        <v>1.7</v>
      </c>
      <c r="H1577" s="60" t="s">
        <v>71</v>
      </c>
      <c r="I1577" s="39">
        <v>1.484</v>
      </c>
      <c r="J1577" s="39">
        <v>0.18669999999999998</v>
      </c>
      <c r="K1577" s="39">
        <v>0.15029999999999999</v>
      </c>
      <c r="L1577" s="39">
        <v>0.1187</v>
      </c>
      <c r="M1577" s="61">
        <v>5000</v>
      </c>
      <c r="N1577" s="61">
        <v>1000000</v>
      </c>
    </row>
    <row r="1578" spans="1:14" ht="15" customHeight="1" x14ac:dyDescent="0.25">
      <c r="A1578" s="64" t="str">
        <f t="shared" si="24"/>
        <v>1.7-18-0-TOU-3 year APR - Reward Plus</v>
      </c>
      <c r="B1578" s="62" t="s">
        <v>13</v>
      </c>
      <c r="C1578" s="54">
        <v>18</v>
      </c>
      <c r="D1578" s="59" t="s">
        <v>27</v>
      </c>
      <c r="E1578" s="59" t="s">
        <v>87</v>
      </c>
      <c r="F1578" s="38" t="s">
        <v>88</v>
      </c>
      <c r="G1578" s="51">
        <v>1.7</v>
      </c>
      <c r="H1578" s="60" t="s">
        <v>71</v>
      </c>
      <c r="I1578" s="39">
        <v>0.89900000000000002</v>
      </c>
      <c r="J1578" s="39">
        <v>0.16749999999999998</v>
      </c>
      <c r="K1578" s="39">
        <v>0.13489999999999999</v>
      </c>
      <c r="L1578" s="39">
        <v>0.1065</v>
      </c>
      <c r="M1578" s="61">
        <v>5000</v>
      </c>
      <c r="N1578" s="61">
        <v>1000000</v>
      </c>
    </row>
    <row r="1579" spans="1:14" ht="15" customHeight="1" x14ac:dyDescent="0.25">
      <c r="A1579" s="64" t="str">
        <f t="shared" si="24"/>
        <v>1.7-19-0-TOU-3 year APR - Reward Plus</v>
      </c>
      <c r="B1579" s="62" t="s">
        <v>13</v>
      </c>
      <c r="C1579" s="54">
        <v>19</v>
      </c>
      <c r="D1579" s="59" t="s">
        <v>28</v>
      </c>
      <c r="E1579" s="59" t="s">
        <v>87</v>
      </c>
      <c r="F1579" s="38" t="s">
        <v>88</v>
      </c>
      <c r="G1579" s="51">
        <v>1.7</v>
      </c>
      <c r="H1579" s="60" t="s">
        <v>71</v>
      </c>
      <c r="I1579" s="39">
        <v>0.77800000000000002</v>
      </c>
      <c r="J1579" s="39">
        <v>0.16669999999999999</v>
      </c>
      <c r="K1579" s="39">
        <v>0.13419999999999999</v>
      </c>
      <c r="L1579" s="39">
        <v>0.10589999999999999</v>
      </c>
      <c r="M1579" s="61">
        <v>5000</v>
      </c>
      <c r="N1579" s="61">
        <v>1000000</v>
      </c>
    </row>
    <row r="1580" spans="1:14" ht="15" customHeight="1" x14ac:dyDescent="0.25">
      <c r="A1580" s="64" t="str">
        <f t="shared" si="24"/>
        <v>1.7-20-0-TOU-3 year APR - Reward Plus</v>
      </c>
      <c r="B1580" s="62" t="s">
        <v>13</v>
      </c>
      <c r="C1580" s="54">
        <v>20</v>
      </c>
      <c r="D1580" s="59" t="s">
        <v>29</v>
      </c>
      <c r="E1580" s="59" t="s">
        <v>87</v>
      </c>
      <c r="F1580" s="38" t="s">
        <v>88</v>
      </c>
      <c r="G1580" s="51">
        <v>1.7</v>
      </c>
      <c r="H1580" s="60" t="s">
        <v>71</v>
      </c>
      <c r="I1580" s="39">
        <v>0.82699999999999996</v>
      </c>
      <c r="J1580" s="39">
        <v>0.16629999999999998</v>
      </c>
      <c r="K1580" s="39">
        <v>0.13389999999999999</v>
      </c>
      <c r="L1580" s="39">
        <v>0.1057</v>
      </c>
      <c r="M1580" s="61">
        <v>5000</v>
      </c>
      <c r="N1580" s="61">
        <v>1000000</v>
      </c>
    </row>
    <row r="1581" spans="1:14" ht="15" customHeight="1" x14ac:dyDescent="0.25">
      <c r="A1581" s="64" t="str">
        <f t="shared" si="24"/>
        <v>1.7-21-0-TOU-3 year APR - Reward Plus</v>
      </c>
      <c r="B1581" s="62" t="s">
        <v>13</v>
      </c>
      <c r="C1581" s="54">
        <v>21</v>
      </c>
      <c r="D1581" s="59" t="s">
        <v>30</v>
      </c>
      <c r="E1581" s="59" t="s">
        <v>87</v>
      </c>
      <c r="F1581" s="38" t="s">
        <v>88</v>
      </c>
      <c r="G1581" s="51">
        <v>1.7</v>
      </c>
      <c r="H1581" s="60" t="s">
        <v>71</v>
      </c>
      <c r="I1581" s="39">
        <v>0.92300000000000004</v>
      </c>
      <c r="J1581" s="39">
        <v>0.1762</v>
      </c>
      <c r="K1581" s="39">
        <v>0.1419</v>
      </c>
      <c r="L1581" s="39">
        <v>0.112</v>
      </c>
      <c r="M1581" s="61">
        <v>5000</v>
      </c>
      <c r="N1581" s="61">
        <v>1000000</v>
      </c>
    </row>
    <row r="1582" spans="1:14" ht="15" customHeight="1" x14ac:dyDescent="0.25">
      <c r="A1582" s="64" t="str">
        <f t="shared" si="24"/>
        <v>1.7-22-0-TOU-3 year APR - Reward Plus</v>
      </c>
      <c r="B1582" s="62" t="s">
        <v>13</v>
      </c>
      <c r="C1582" s="54">
        <v>22</v>
      </c>
      <c r="D1582" s="59" t="s">
        <v>31</v>
      </c>
      <c r="E1582" s="59" t="s">
        <v>87</v>
      </c>
      <c r="F1582" s="38" t="s">
        <v>88</v>
      </c>
      <c r="G1582" s="51">
        <v>1.7</v>
      </c>
      <c r="H1582" s="60" t="s">
        <v>71</v>
      </c>
      <c r="I1582" s="39">
        <v>0.90400000000000003</v>
      </c>
      <c r="J1582" s="39">
        <v>0.17679999999999998</v>
      </c>
      <c r="K1582" s="39">
        <v>0.1424</v>
      </c>
      <c r="L1582" s="39">
        <v>0.1124</v>
      </c>
      <c r="M1582" s="61">
        <v>5000</v>
      </c>
      <c r="N1582" s="61">
        <v>1000000</v>
      </c>
    </row>
    <row r="1583" spans="1:14" ht="15" customHeight="1" x14ac:dyDescent="0.25">
      <c r="A1583" s="64" t="str">
        <f t="shared" si="24"/>
        <v>1.7-23-0-TOU-3 year APR - Reward Plus</v>
      </c>
      <c r="B1583" s="62" t="s">
        <v>13</v>
      </c>
      <c r="C1583" s="54">
        <v>23</v>
      </c>
      <c r="D1583" s="59" t="s">
        <v>32</v>
      </c>
      <c r="E1583" s="59" t="s">
        <v>87</v>
      </c>
      <c r="F1583" s="38" t="s">
        <v>88</v>
      </c>
      <c r="G1583" s="51">
        <v>1.7</v>
      </c>
      <c r="H1583" s="60" t="s">
        <v>71</v>
      </c>
      <c r="I1583" s="39">
        <v>0.90600000000000003</v>
      </c>
      <c r="J1583" s="39">
        <v>0.1694</v>
      </c>
      <c r="K1583" s="39">
        <v>0.13639999999999999</v>
      </c>
      <c r="L1583" s="39">
        <v>0.1077</v>
      </c>
      <c r="M1583" s="61">
        <v>5000</v>
      </c>
      <c r="N1583" s="61">
        <v>1000000</v>
      </c>
    </row>
    <row r="1584" spans="1:14" ht="15" customHeight="1" x14ac:dyDescent="0.25">
      <c r="A1584" s="64" t="str">
        <f t="shared" si="24"/>
        <v>1.8-10-0-TOU-3 year APR - Reward Plus</v>
      </c>
      <c r="B1584" s="62" t="s">
        <v>13</v>
      </c>
      <c r="C1584" s="54">
        <v>10</v>
      </c>
      <c r="D1584" s="59" t="s">
        <v>14</v>
      </c>
      <c r="E1584" s="59" t="s">
        <v>87</v>
      </c>
      <c r="F1584" s="38" t="s">
        <v>88</v>
      </c>
      <c r="G1584" s="51">
        <v>1.8</v>
      </c>
      <c r="H1584" s="60" t="s">
        <v>71</v>
      </c>
      <c r="I1584" s="39">
        <v>0.88100000000000001</v>
      </c>
      <c r="J1584" s="39">
        <v>0.16669999999999999</v>
      </c>
      <c r="K1584" s="39">
        <v>0.13419999999999999</v>
      </c>
      <c r="L1584" s="39">
        <v>0.10589999999999999</v>
      </c>
      <c r="M1584" s="61">
        <v>5000</v>
      </c>
      <c r="N1584" s="61">
        <v>1000000</v>
      </c>
    </row>
    <row r="1585" spans="1:14" ht="15" customHeight="1" x14ac:dyDescent="0.25">
      <c r="A1585" s="64" t="str">
        <f t="shared" si="24"/>
        <v>1.8-11-0-TOU-3 year APR - Reward Plus</v>
      </c>
      <c r="B1585" s="62" t="s">
        <v>13</v>
      </c>
      <c r="C1585" s="54">
        <v>11</v>
      </c>
      <c r="D1585" s="59" t="s">
        <v>20</v>
      </c>
      <c r="E1585" s="59" t="s">
        <v>87</v>
      </c>
      <c r="F1585" s="38" t="s">
        <v>88</v>
      </c>
      <c r="G1585" s="51">
        <v>1.8</v>
      </c>
      <c r="H1585" s="60" t="s">
        <v>71</v>
      </c>
      <c r="I1585" s="39">
        <v>0.86099999999999999</v>
      </c>
      <c r="J1585" s="39">
        <v>0.16889999999999999</v>
      </c>
      <c r="K1585" s="39">
        <v>0.13599999999999998</v>
      </c>
      <c r="L1585" s="39">
        <v>0.10740000000000001</v>
      </c>
      <c r="M1585" s="61">
        <v>5000</v>
      </c>
      <c r="N1585" s="61">
        <v>1000000</v>
      </c>
    </row>
    <row r="1586" spans="1:14" ht="15" customHeight="1" x14ac:dyDescent="0.25">
      <c r="A1586" s="64" t="str">
        <f t="shared" si="24"/>
        <v>1.8-12-0-TOU-3 year APR - Reward Plus</v>
      </c>
      <c r="B1586" s="62" t="s">
        <v>13</v>
      </c>
      <c r="C1586" s="54">
        <v>12</v>
      </c>
      <c r="D1586" s="59" t="s">
        <v>21</v>
      </c>
      <c r="E1586" s="59" t="s">
        <v>87</v>
      </c>
      <c r="F1586" s="38" t="s">
        <v>88</v>
      </c>
      <c r="G1586" s="51">
        <v>1.8</v>
      </c>
      <c r="H1586" s="60" t="s">
        <v>71</v>
      </c>
      <c r="I1586" s="39">
        <v>0.90300000000000002</v>
      </c>
      <c r="J1586" s="39">
        <v>0.16619999999999999</v>
      </c>
      <c r="K1586" s="39">
        <v>0.1338</v>
      </c>
      <c r="L1586" s="39">
        <v>0.1056</v>
      </c>
      <c r="M1586" s="61">
        <v>5000</v>
      </c>
      <c r="N1586" s="61">
        <v>1000000</v>
      </c>
    </row>
    <row r="1587" spans="1:14" ht="15" customHeight="1" x14ac:dyDescent="0.25">
      <c r="A1587" s="64" t="str">
        <f t="shared" si="24"/>
        <v>1.8-13-0-TOU-3 year APR - Reward Plus</v>
      </c>
      <c r="B1587" s="62" t="s">
        <v>13</v>
      </c>
      <c r="C1587" s="54">
        <v>13</v>
      </c>
      <c r="D1587" s="59" t="s">
        <v>22</v>
      </c>
      <c r="E1587" s="59" t="s">
        <v>87</v>
      </c>
      <c r="F1587" s="38" t="s">
        <v>88</v>
      </c>
      <c r="G1587" s="51">
        <v>1.8</v>
      </c>
      <c r="H1587" s="60" t="s">
        <v>71</v>
      </c>
      <c r="I1587" s="39">
        <v>0.88100000000000001</v>
      </c>
      <c r="J1587" s="39">
        <v>0.17829999999999999</v>
      </c>
      <c r="K1587" s="39">
        <v>0.14359999999999998</v>
      </c>
      <c r="L1587" s="39">
        <v>0.1134</v>
      </c>
      <c r="M1587" s="61">
        <v>5000</v>
      </c>
      <c r="N1587" s="61">
        <v>1000000</v>
      </c>
    </row>
    <row r="1588" spans="1:14" ht="15" customHeight="1" x14ac:dyDescent="0.25">
      <c r="A1588" s="64" t="str">
        <f t="shared" si="24"/>
        <v>1.8-14-0-TOU-3 year APR - Reward Plus</v>
      </c>
      <c r="B1588" s="62" t="s">
        <v>13</v>
      </c>
      <c r="C1588" s="54">
        <v>14</v>
      </c>
      <c r="D1588" s="59" t="s">
        <v>23</v>
      </c>
      <c r="E1588" s="59" t="s">
        <v>87</v>
      </c>
      <c r="F1588" s="38" t="s">
        <v>88</v>
      </c>
      <c r="G1588" s="51">
        <v>1.8</v>
      </c>
      <c r="H1588" s="60" t="s">
        <v>71</v>
      </c>
      <c r="I1588" s="39">
        <v>0.89</v>
      </c>
      <c r="J1588" s="39">
        <v>0.1699</v>
      </c>
      <c r="K1588" s="39">
        <v>0.13679999999999998</v>
      </c>
      <c r="L1588" s="39">
        <v>0.108</v>
      </c>
      <c r="M1588" s="61">
        <v>5000</v>
      </c>
      <c r="N1588" s="61">
        <v>1000000</v>
      </c>
    </row>
    <row r="1589" spans="1:14" ht="15" customHeight="1" x14ac:dyDescent="0.25">
      <c r="A1589" s="64" t="str">
        <f t="shared" si="24"/>
        <v>1.8-15-0-TOU-3 year APR - Reward Plus</v>
      </c>
      <c r="B1589" s="62" t="s">
        <v>13</v>
      </c>
      <c r="C1589" s="54">
        <v>15</v>
      </c>
      <c r="D1589" s="59" t="s">
        <v>24</v>
      </c>
      <c r="E1589" s="59" t="s">
        <v>87</v>
      </c>
      <c r="F1589" s="38" t="s">
        <v>88</v>
      </c>
      <c r="G1589" s="51">
        <v>1.8</v>
      </c>
      <c r="H1589" s="60" t="s">
        <v>71</v>
      </c>
      <c r="I1589" s="39">
        <v>0.96</v>
      </c>
      <c r="J1589" s="39">
        <v>0.17069999999999999</v>
      </c>
      <c r="K1589" s="39">
        <v>0.13739999999999999</v>
      </c>
      <c r="L1589" s="39">
        <v>0.1085</v>
      </c>
      <c r="M1589" s="61">
        <v>5000</v>
      </c>
      <c r="N1589" s="61">
        <v>1000000</v>
      </c>
    </row>
    <row r="1590" spans="1:14" ht="15" customHeight="1" x14ac:dyDescent="0.25">
      <c r="A1590" s="64" t="str">
        <f t="shared" si="24"/>
        <v>1.8-16-0-TOU-3 year APR - Reward Plus</v>
      </c>
      <c r="B1590" s="62" t="s">
        <v>13</v>
      </c>
      <c r="C1590" s="54">
        <v>16</v>
      </c>
      <c r="D1590" s="59" t="s">
        <v>25</v>
      </c>
      <c r="E1590" s="59" t="s">
        <v>87</v>
      </c>
      <c r="F1590" s="38" t="s">
        <v>88</v>
      </c>
      <c r="G1590" s="51">
        <v>1.8</v>
      </c>
      <c r="H1590" s="60" t="s">
        <v>71</v>
      </c>
      <c r="I1590" s="39">
        <v>0.72699999999999998</v>
      </c>
      <c r="J1590" s="39">
        <v>0.16949999999999998</v>
      </c>
      <c r="K1590" s="39">
        <v>0.13649999999999998</v>
      </c>
      <c r="L1590" s="39">
        <v>0.1077</v>
      </c>
      <c r="M1590" s="61">
        <v>5000</v>
      </c>
      <c r="N1590" s="61">
        <v>1000000</v>
      </c>
    </row>
    <row r="1591" spans="1:14" ht="15" customHeight="1" x14ac:dyDescent="0.25">
      <c r="A1591" s="64" t="str">
        <f t="shared" si="24"/>
        <v>1.8-17-0-TOU-3 year APR - Reward Plus</v>
      </c>
      <c r="B1591" s="62" t="s">
        <v>13</v>
      </c>
      <c r="C1591" s="54">
        <v>17</v>
      </c>
      <c r="D1591" s="59" t="s">
        <v>26</v>
      </c>
      <c r="E1591" s="59" t="s">
        <v>87</v>
      </c>
      <c r="F1591" s="38" t="s">
        <v>88</v>
      </c>
      <c r="G1591" s="51">
        <v>1.8</v>
      </c>
      <c r="H1591" s="60" t="s">
        <v>71</v>
      </c>
      <c r="I1591" s="39">
        <v>1.484</v>
      </c>
      <c r="J1591" s="39">
        <v>0.18789999999999998</v>
      </c>
      <c r="K1591" s="39">
        <v>0.15129999999999999</v>
      </c>
      <c r="L1591" s="39">
        <v>0.11940000000000001</v>
      </c>
      <c r="M1591" s="61">
        <v>5000</v>
      </c>
      <c r="N1591" s="61">
        <v>1000000</v>
      </c>
    </row>
    <row r="1592" spans="1:14" ht="15" customHeight="1" x14ac:dyDescent="0.25">
      <c r="A1592" s="64" t="str">
        <f t="shared" si="24"/>
        <v>1.8-18-0-TOU-3 year APR - Reward Plus</v>
      </c>
      <c r="B1592" s="62" t="s">
        <v>13</v>
      </c>
      <c r="C1592" s="54">
        <v>18</v>
      </c>
      <c r="D1592" s="59" t="s">
        <v>27</v>
      </c>
      <c r="E1592" s="59" t="s">
        <v>87</v>
      </c>
      <c r="F1592" s="38" t="s">
        <v>88</v>
      </c>
      <c r="G1592" s="51">
        <v>1.8</v>
      </c>
      <c r="H1592" s="60" t="s">
        <v>71</v>
      </c>
      <c r="I1592" s="39">
        <v>0.89900000000000002</v>
      </c>
      <c r="J1592" s="39">
        <v>0.16869999999999999</v>
      </c>
      <c r="K1592" s="39">
        <v>0.13579999999999998</v>
      </c>
      <c r="L1592" s="39">
        <v>0.1072</v>
      </c>
      <c r="M1592" s="61">
        <v>5000</v>
      </c>
      <c r="N1592" s="61">
        <v>1000000</v>
      </c>
    </row>
    <row r="1593" spans="1:14" ht="15" customHeight="1" x14ac:dyDescent="0.25">
      <c r="A1593" s="64" t="str">
        <f t="shared" si="24"/>
        <v>1.8-19-0-TOU-3 year APR - Reward Plus</v>
      </c>
      <c r="B1593" s="62" t="s">
        <v>13</v>
      </c>
      <c r="C1593" s="54">
        <v>19</v>
      </c>
      <c r="D1593" s="59" t="s">
        <v>28</v>
      </c>
      <c r="E1593" s="59" t="s">
        <v>87</v>
      </c>
      <c r="F1593" s="38" t="s">
        <v>88</v>
      </c>
      <c r="G1593" s="51">
        <v>1.8</v>
      </c>
      <c r="H1593" s="60" t="s">
        <v>71</v>
      </c>
      <c r="I1593" s="39">
        <v>0.77800000000000002</v>
      </c>
      <c r="J1593" s="39">
        <v>0.16779999999999998</v>
      </c>
      <c r="K1593" s="39">
        <v>0.1351</v>
      </c>
      <c r="L1593" s="39">
        <v>0.1067</v>
      </c>
      <c r="M1593" s="61">
        <v>5000</v>
      </c>
      <c r="N1593" s="61">
        <v>1000000</v>
      </c>
    </row>
    <row r="1594" spans="1:14" ht="15" customHeight="1" x14ac:dyDescent="0.25">
      <c r="A1594" s="64" t="str">
        <f t="shared" si="24"/>
        <v>1.8-20-0-TOU-3 year APR - Reward Plus</v>
      </c>
      <c r="B1594" s="62" t="s">
        <v>13</v>
      </c>
      <c r="C1594" s="54">
        <v>20</v>
      </c>
      <c r="D1594" s="59" t="s">
        <v>29</v>
      </c>
      <c r="E1594" s="59" t="s">
        <v>87</v>
      </c>
      <c r="F1594" s="38" t="s">
        <v>88</v>
      </c>
      <c r="G1594" s="51">
        <v>1.8</v>
      </c>
      <c r="H1594" s="60" t="s">
        <v>71</v>
      </c>
      <c r="I1594" s="39">
        <v>0.82699999999999996</v>
      </c>
      <c r="J1594" s="39">
        <v>0.16749999999999998</v>
      </c>
      <c r="K1594" s="39">
        <v>0.13489999999999999</v>
      </c>
      <c r="L1594" s="39">
        <v>0.1065</v>
      </c>
      <c r="M1594" s="61">
        <v>5000</v>
      </c>
      <c r="N1594" s="61">
        <v>1000000</v>
      </c>
    </row>
    <row r="1595" spans="1:14" ht="15" customHeight="1" x14ac:dyDescent="0.25">
      <c r="A1595" s="64" t="str">
        <f t="shared" si="24"/>
        <v>1.8-21-0-TOU-3 year APR - Reward Plus</v>
      </c>
      <c r="B1595" s="62" t="s">
        <v>13</v>
      </c>
      <c r="C1595" s="54">
        <v>21</v>
      </c>
      <c r="D1595" s="59" t="s">
        <v>30</v>
      </c>
      <c r="E1595" s="59" t="s">
        <v>87</v>
      </c>
      <c r="F1595" s="38" t="s">
        <v>88</v>
      </c>
      <c r="G1595" s="51">
        <v>1.8</v>
      </c>
      <c r="H1595" s="60" t="s">
        <v>71</v>
      </c>
      <c r="I1595" s="39">
        <v>0.92300000000000004</v>
      </c>
      <c r="J1595" s="39">
        <v>0.1774</v>
      </c>
      <c r="K1595" s="39">
        <v>0.14279999999999998</v>
      </c>
      <c r="L1595" s="39">
        <v>0.1128</v>
      </c>
      <c r="M1595" s="61">
        <v>5000</v>
      </c>
      <c r="N1595" s="61">
        <v>1000000</v>
      </c>
    </row>
    <row r="1596" spans="1:14" ht="15" customHeight="1" x14ac:dyDescent="0.25">
      <c r="A1596" s="64" t="str">
        <f t="shared" si="24"/>
        <v>1.8-22-0-TOU-3 year APR - Reward Plus</v>
      </c>
      <c r="B1596" s="62" t="s">
        <v>13</v>
      </c>
      <c r="C1596" s="54">
        <v>22</v>
      </c>
      <c r="D1596" s="59" t="s">
        <v>31</v>
      </c>
      <c r="E1596" s="59" t="s">
        <v>87</v>
      </c>
      <c r="F1596" s="38" t="s">
        <v>88</v>
      </c>
      <c r="G1596" s="51">
        <v>1.8</v>
      </c>
      <c r="H1596" s="60" t="s">
        <v>71</v>
      </c>
      <c r="I1596" s="39">
        <v>0.90400000000000003</v>
      </c>
      <c r="J1596" s="39">
        <v>0.17799999999999999</v>
      </c>
      <c r="K1596" s="39">
        <v>0.14329999999999998</v>
      </c>
      <c r="L1596" s="39">
        <v>0.11310000000000001</v>
      </c>
      <c r="M1596" s="61">
        <v>5000</v>
      </c>
      <c r="N1596" s="61">
        <v>1000000</v>
      </c>
    </row>
    <row r="1597" spans="1:14" ht="15" customHeight="1" x14ac:dyDescent="0.25">
      <c r="A1597" s="64" t="str">
        <f t="shared" si="24"/>
        <v>1.8-23-0-TOU-3 year APR - Reward Plus</v>
      </c>
      <c r="B1597" s="62" t="s">
        <v>13</v>
      </c>
      <c r="C1597" s="54">
        <v>23</v>
      </c>
      <c r="D1597" s="59" t="s">
        <v>32</v>
      </c>
      <c r="E1597" s="59" t="s">
        <v>87</v>
      </c>
      <c r="F1597" s="38" t="s">
        <v>88</v>
      </c>
      <c r="G1597" s="51">
        <v>1.8</v>
      </c>
      <c r="H1597" s="60" t="s">
        <v>71</v>
      </c>
      <c r="I1597" s="39">
        <v>0.90600000000000003</v>
      </c>
      <c r="J1597" s="39">
        <v>0.1706</v>
      </c>
      <c r="K1597" s="39">
        <v>0.13729999999999998</v>
      </c>
      <c r="L1597" s="39">
        <v>0.1084</v>
      </c>
      <c r="M1597" s="61">
        <v>5000</v>
      </c>
      <c r="N1597" s="61">
        <v>1000000</v>
      </c>
    </row>
    <row r="1598" spans="1:14" ht="15" customHeight="1" x14ac:dyDescent="0.25">
      <c r="A1598" s="64" t="str">
        <f t="shared" si="24"/>
        <v>1.9-10-0-TOU-3 year APR - Reward Plus</v>
      </c>
      <c r="B1598" s="62" t="s">
        <v>13</v>
      </c>
      <c r="C1598" s="54">
        <v>10</v>
      </c>
      <c r="D1598" s="59" t="s">
        <v>14</v>
      </c>
      <c r="E1598" s="59" t="s">
        <v>87</v>
      </c>
      <c r="F1598" s="38" t="s">
        <v>88</v>
      </c>
      <c r="G1598" s="51">
        <v>1.9</v>
      </c>
      <c r="H1598" s="60" t="s">
        <v>71</v>
      </c>
      <c r="I1598" s="39">
        <v>0.88100000000000001</v>
      </c>
      <c r="J1598" s="39">
        <v>0.16779999999999998</v>
      </c>
      <c r="K1598" s="39">
        <v>0.1351</v>
      </c>
      <c r="L1598" s="39">
        <v>0.1067</v>
      </c>
      <c r="M1598" s="61">
        <v>5000</v>
      </c>
      <c r="N1598" s="61">
        <v>1000000</v>
      </c>
    </row>
    <row r="1599" spans="1:14" ht="15" customHeight="1" x14ac:dyDescent="0.25">
      <c r="A1599" s="64" t="str">
        <f t="shared" si="24"/>
        <v>1.9-11-0-TOU-3 year APR - Reward Plus</v>
      </c>
      <c r="B1599" s="62" t="s">
        <v>13</v>
      </c>
      <c r="C1599" s="54">
        <v>11</v>
      </c>
      <c r="D1599" s="59" t="s">
        <v>20</v>
      </c>
      <c r="E1599" s="59" t="s">
        <v>87</v>
      </c>
      <c r="F1599" s="38" t="s">
        <v>88</v>
      </c>
      <c r="G1599" s="51">
        <v>1.9</v>
      </c>
      <c r="H1599" s="60" t="s">
        <v>71</v>
      </c>
      <c r="I1599" s="39">
        <v>0.86099999999999999</v>
      </c>
      <c r="J1599" s="39">
        <v>0.1701</v>
      </c>
      <c r="K1599" s="39">
        <v>0.13689999999999999</v>
      </c>
      <c r="L1599" s="39">
        <v>0.1081</v>
      </c>
      <c r="M1599" s="61">
        <v>5000</v>
      </c>
      <c r="N1599" s="61">
        <v>1000000</v>
      </c>
    </row>
    <row r="1600" spans="1:14" ht="15" customHeight="1" x14ac:dyDescent="0.25">
      <c r="A1600" s="64" t="str">
        <f t="shared" si="24"/>
        <v>1.9-12-0-TOU-3 year APR - Reward Plus</v>
      </c>
      <c r="B1600" s="62" t="s">
        <v>13</v>
      </c>
      <c r="C1600" s="54">
        <v>12</v>
      </c>
      <c r="D1600" s="59" t="s">
        <v>21</v>
      </c>
      <c r="E1600" s="59" t="s">
        <v>87</v>
      </c>
      <c r="F1600" s="38" t="s">
        <v>88</v>
      </c>
      <c r="G1600" s="51">
        <v>1.9</v>
      </c>
      <c r="H1600" s="60" t="s">
        <v>71</v>
      </c>
      <c r="I1600" s="39">
        <v>0.90300000000000002</v>
      </c>
      <c r="J1600" s="39">
        <v>0.16739999999999999</v>
      </c>
      <c r="K1600" s="39">
        <v>0.13479999999999998</v>
      </c>
      <c r="L1600" s="39">
        <v>0.10640000000000001</v>
      </c>
      <c r="M1600" s="61">
        <v>5000</v>
      </c>
      <c r="N1600" s="61">
        <v>1000000</v>
      </c>
    </row>
    <row r="1601" spans="1:14" ht="15" customHeight="1" x14ac:dyDescent="0.25">
      <c r="A1601" s="64" t="str">
        <f t="shared" si="24"/>
        <v>1.9-13-0-TOU-3 year APR - Reward Plus</v>
      </c>
      <c r="B1601" s="62" t="s">
        <v>13</v>
      </c>
      <c r="C1601" s="54">
        <v>13</v>
      </c>
      <c r="D1601" s="59" t="s">
        <v>22</v>
      </c>
      <c r="E1601" s="59" t="s">
        <v>87</v>
      </c>
      <c r="F1601" s="38" t="s">
        <v>88</v>
      </c>
      <c r="G1601" s="51">
        <v>1.9</v>
      </c>
      <c r="H1601" s="60" t="s">
        <v>71</v>
      </c>
      <c r="I1601" s="39">
        <v>0.88100000000000001</v>
      </c>
      <c r="J1601" s="39">
        <v>0.17949999999999999</v>
      </c>
      <c r="K1601" s="39">
        <v>0.14449999999999999</v>
      </c>
      <c r="L1601" s="39">
        <v>0.11410000000000001</v>
      </c>
      <c r="M1601" s="61">
        <v>5000</v>
      </c>
      <c r="N1601" s="61">
        <v>1000000</v>
      </c>
    </row>
    <row r="1602" spans="1:14" ht="15" customHeight="1" x14ac:dyDescent="0.25">
      <c r="A1602" s="64" t="str">
        <f t="shared" si="24"/>
        <v>1.9-14-0-TOU-3 year APR - Reward Plus</v>
      </c>
      <c r="B1602" s="62" t="s">
        <v>13</v>
      </c>
      <c r="C1602" s="54">
        <v>14</v>
      </c>
      <c r="D1602" s="59" t="s">
        <v>23</v>
      </c>
      <c r="E1602" s="59" t="s">
        <v>87</v>
      </c>
      <c r="F1602" s="38" t="s">
        <v>88</v>
      </c>
      <c r="G1602" s="51">
        <v>1.9</v>
      </c>
      <c r="H1602" s="60" t="s">
        <v>71</v>
      </c>
      <c r="I1602" s="39">
        <v>0.89</v>
      </c>
      <c r="J1602" s="39">
        <v>0.17099999999999999</v>
      </c>
      <c r="K1602" s="39">
        <v>0.13769999999999999</v>
      </c>
      <c r="L1602" s="39">
        <v>0.1087</v>
      </c>
      <c r="M1602" s="61">
        <v>5000</v>
      </c>
      <c r="N1602" s="61">
        <v>1000000</v>
      </c>
    </row>
    <row r="1603" spans="1:14" ht="15" customHeight="1" x14ac:dyDescent="0.25">
      <c r="A1603" s="64" t="str">
        <f t="shared" ref="A1603:A1666" si="25">IF(E1603="OP","",CONCATENATE(G1603,"-",C1603,"-",RIGHT(F1603,1),"-",E1603,"-",H1603))</f>
        <v>1.9-15-0-TOU-3 year APR - Reward Plus</v>
      </c>
      <c r="B1603" s="62" t="s">
        <v>13</v>
      </c>
      <c r="C1603" s="54">
        <v>15</v>
      </c>
      <c r="D1603" s="59" t="s">
        <v>24</v>
      </c>
      <c r="E1603" s="59" t="s">
        <v>87</v>
      </c>
      <c r="F1603" s="38" t="s">
        <v>88</v>
      </c>
      <c r="G1603" s="51">
        <v>1.9</v>
      </c>
      <c r="H1603" s="60" t="s">
        <v>71</v>
      </c>
      <c r="I1603" s="39">
        <v>0.96</v>
      </c>
      <c r="J1603" s="39">
        <v>0.1719</v>
      </c>
      <c r="K1603" s="39">
        <v>0.1384</v>
      </c>
      <c r="L1603" s="39">
        <v>0.10920000000000001</v>
      </c>
      <c r="M1603" s="61">
        <v>5000</v>
      </c>
      <c r="N1603" s="61">
        <v>1000000</v>
      </c>
    </row>
    <row r="1604" spans="1:14" ht="15" customHeight="1" x14ac:dyDescent="0.25">
      <c r="A1604" s="64" t="str">
        <f t="shared" si="25"/>
        <v>1.9-16-0-TOU-3 year APR - Reward Plus</v>
      </c>
      <c r="B1604" s="62" t="s">
        <v>13</v>
      </c>
      <c r="C1604" s="54">
        <v>16</v>
      </c>
      <c r="D1604" s="59" t="s">
        <v>25</v>
      </c>
      <c r="E1604" s="59" t="s">
        <v>87</v>
      </c>
      <c r="F1604" s="38" t="s">
        <v>88</v>
      </c>
      <c r="G1604" s="51">
        <v>1.9</v>
      </c>
      <c r="H1604" s="60" t="s">
        <v>71</v>
      </c>
      <c r="I1604" s="39">
        <v>0.72699999999999998</v>
      </c>
      <c r="J1604" s="39">
        <v>0.17069999999999999</v>
      </c>
      <c r="K1604" s="39">
        <v>0.13739999999999999</v>
      </c>
      <c r="L1604" s="39">
        <v>0.1085</v>
      </c>
      <c r="M1604" s="61">
        <v>5000</v>
      </c>
      <c r="N1604" s="61">
        <v>1000000</v>
      </c>
    </row>
    <row r="1605" spans="1:14" ht="15" customHeight="1" x14ac:dyDescent="0.25">
      <c r="A1605" s="64" t="str">
        <f t="shared" si="25"/>
        <v>1.9-17-0-TOU-3 year APR - Reward Plus</v>
      </c>
      <c r="B1605" s="62" t="s">
        <v>13</v>
      </c>
      <c r="C1605" s="54">
        <v>17</v>
      </c>
      <c r="D1605" s="59" t="s">
        <v>26</v>
      </c>
      <c r="E1605" s="59" t="s">
        <v>87</v>
      </c>
      <c r="F1605" s="38" t="s">
        <v>88</v>
      </c>
      <c r="G1605" s="51">
        <v>1.9</v>
      </c>
      <c r="H1605" s="60" t="s">
        <v>71</v>
      </c>
      <c r="I1605" s="39">
        <v>1.484</v>
      </c>
      <c r="J1605" s="39">
        <v>0.18909999999999999</v>
      </c>
      <c r="K1605" s="39">
        <v>0.1522</v>
      </c>
      <c r="L1605" s="39">
        <v>0.1202</v>
      </c>
      <c r="M1605" s="61">
        <v>5000</v>
      </c>
      <c r="N1605" s="61">
        <v>1000000</v>
      </c>
    </row>
    <row r="1606" spans="1:14" ht="15" customHeight="1" x14ac:dyDescent="0.25">
      <c r="A1606" s="64" t="str">
        <f t="shared" si="25"/>
        <v>1.9-18-0-TOU-3 year APR - Reward Plus</v>
      </c>
      <c r="B1606" s="62" t="s">
        <v>13</v>
      </c>
      <c r="C1606" s="54">
        <v>18</v>
      </c>
      <c r="D1606" s="59" t="s">
        <v>27</v>
      </c>
      <c r="E1606" s="59" t="s">
        <v>87</v>
      </c>
      <c r="F1606" s="38" t="s">
        <v>88</v>
      </c>
      <c r="G1606" s="51">
        <v>1.9</v>
      </c>
      <c r="H1606" s="60" t="s">
        <v>71</v>
      </c>
      <c r="I1606" s="39">
        <v>0.89900000000000002</v>
      </c>
      <c r="J1606" s="39">
        <v>0.1699</v>
      </c>
      <c r="K1606" s="39">
        <v>0.13679999999999998</v>
      </c>
      <c r="L1606" s="39">
        <v>0.108</v>
      </c>
      <c r="M1606" s="61">
        <v>5000</v>
      </c>
      <c r="N1606" s="61">
        <v>1000000</v>
      </c>
    </row>
    <row r="1607" spans="1:14" ht="15" customHeight="1" x14ac:dyDescent="0.25">
      <c r="A1607" s="64" t="str">
        <f t="shared" si="25"/>
        <v>1.9-19-0-TOU-3 year APR - Reward Plus</v>
      </c>
      <c r="B1607" s="62" t="s">
        <v>13</v>
      </c>
      <c r="C1607" s="54">
        <v>19</v>
      </c>
      <c r="D1607" s="59" t="s">
        <v>28</v>
      </c>
      <c r="E1607" s="59" t="s">
        <v>87</v>
      </c>
      <c r="F1607" s="38" t="s">
        <v>88</v>
      </c>
      <c r="G1607" s="51">
        <v>1.9</v>
      </c>
      <c r="H1607" s="60" t="s">
        <v>71</v>
      </c>
      <c r="I1607" s="39">
        <v>0.77800000000000002</v>
      </c>
      <c r="J1607" s="39">
        <v>0.16899999999999998</v>
      </c>
      <c r="K1607" s="39">
        <v>0.1361</v>
      </c>
      <c r="L1607" s="39">
        <v>0.1074</v>
      </c>
      <c r="M1607" s="61">
        <v>5000</v>
      </c>
      <c r="N1607" s="61">
        <v>1000000</v>
      </c>
    </row>
    <row r="1608" spans="1:14" ht="15" customHeight="1" x14ac:dyDescent="0.25">
      <c r="A1608" s="64" t="str">
        <f t="shared" si="25"/>
        <v>1.9-20-0-TOU-3 year APR - Reward Plus</v>
      </c>
      <c r="B1608" s="62" t="s">
        <v>13</v>
      </c>
      <c r="C1608" s="54">
        <v>20</v>
      </c>
      <c r="D1608" s="59" t="s">
        <v>29</v>
      </c>
      <c r="E1608" s="59" t="s">
        <v>87</v>
      </c>
      <c r="F1608" s="38" t="s">
        <v>88</v>
      </c>
      <c r="G1608" s="51">
        <v>1.9</v>
      </c>
      <c r="H1608" s="60" t="s">
        <v>71</v>
      </c>
      <c r="I1608" s="39">
        <v>0.82699999999999996</v>
      </c>
      <c r="J1608" s="39">
        <v>0.16869999999999999</v>
      </c>
      <c r="K1608" s="39">
        <v>0.13579999999999998</v>
      </c>
      <c r="L1608" s="39">
        <v>0.1072</v>
      </c>
      <c r="M1608" s="61">
        <v>5000</v>
      </c>
      <c r="N1608" s="61">
        <v>1000000</v>
      </c>
    </row>
    <row r="1609" spans="1:14" ht="15" customHeight="1" x14ac:dyDescent="0.25">
      <c r="A1609" s="64" t="str">
        <f t="shared" si="25"/>
        <v>1.9-21-0-TOU-3 year APR - Reward Plus</v>
      </c>
      <c r="B1609" s="62" t="s">
        <v>13</v>
      </c>
      <c r="C1609" s="54">
        <v>21</v>
      </c>
      <c r="D1609" s="59" t="s">
        <v>30</v>
      </c>
      <c r="E1609" s="59" t="s">
        <v>87</v>
      </c>
      <c r="F1609" s="38" t="s">
        <v>88</v>
      </c>
      <c r="G1609" s="51">
        <v>1.9</v>
      </c>
      <c r="H1609" s="60" t="s">
        <v>71</v>
      </c>
      <c r="I1609" s="39">
        <v>0.92300000000000004</v>
      </c>
      <c r="J1609" s="39">
        <v>0.17859999999999998</v>
      </c>
      <c r="K1609" s="39">
        <v>0.14379999999999998</v>
      </c>
      <c r="L1609" s="39">
        <v>0.1135</v>
      </c>
      <c r="M1609" s="61">
        <v>5000</v>
      </c>
      <c r="N1609" s="61">
        <v>1000000</v>
      </c>
    </row>
    <row r="1610" spans="1:14" ht="15" customHeight="1" x14ac:dyDescent="0.25">
      <c r="A1610" s="64" t="str">
        <f t="shared" si="25"/>
        <v>1.9-22-0-TOU-3 year APR - Reward Plus</v>
      </c>
      <c r="B1610" s="62" t="s">
        <v>13</v>
      </c>
      <c r="C1610" s="54">
        <v>22</v>
      </c>
      <c r="D1610" s="59" t="s">
        <v>31</v>
      </c>
      <c r="E1610" s="59" t="s">
        <v>87</v>
      </c>
      <c r="F1610" s="38" t="s">
        <v>88</v>
      </c>
      <c r="G1610" s="51">
        <v>1.9</v>
      </c>
      <c r="H1610" s="60" t="s">
        <v>71</v>
      </c>
      <c r="I1610" s="39">
        <v>0.90400000000000003</v>
      </c>
      <c r="J1610" s="39">
        <v>0.1792</v>
      </c>
      <c r="K1610" s="39">
        <v>0.14429999999999998</v>
      </c>
      <c r="L1610" s="39">
        <v>0.1139</v>
      </c>
      <c r="M1610" s="61">
        <v>5000</v>
      </c>
      <c r="N1610" s="61">
        <v>1000000</v>
      </c>
    </row>
    <row r="1611" spans="1:14" ht="15" customHeight="1" x14ac:dyDescent="0.25">
      <c r="A1611" s="64" t="str">
        <f t="shared" si="25"/>
        <v>1.9-23-0-TOU-3 year APR - Reward Plus</v>
      </c>
      <c r="B1611" s="62" t="s">
        <v>13</v>
      </c>
      <c r="C1611" s="54">
        <v>23</v>
      </c>
      <c r="D1611" s="59" t="s">
        <v>32</v>
      </c>
      <c r="E1611" s="59" t="s">
        <v>87</v>
      </c>
      <c r="F1611" s="38" t="s">
        <v>88</v>
      </c>
      <c r="G1611" s="51">
        <v>1.9</v>
      </c>
      <c r="H1611" s="60" t="s">
        <v>71</v>
      </c>
      <c r="I1611" s="39">
        <v>0.90600000000000003</v>
      </c>
      <c r="J1611" s="39">
        <v>0.17169999999999999</v>
      </c>
      <c r="K1611" s="39">
        <v>0.13829999999999998</v>
      </c>
      <c r="L1611" s="39">
        <v>0.10920000000000001</v>
      </c>
      <c r="M1611" s="61">
        <v>5000</v>
      </c>
      <c r="N1611" s="61">
        <v>1000000</v>
      </c>
    </row>
    <row r="1612" spans="1:14" ht="15" customHeight="1" x14ac:dyDescent="0.25">
      <c r="A1612" s="64" t="str">
        <f t="shared" si="25"/>
        <v>2-10-0-TOU-3 year APR - Reward Plus</v>
      </c>
      <c r="B1612" s="62" t="s">
        <v>13</v>
      </c>
      <c r="C1612" s="54">
        <v>10</v>
      </c>
      <c r="D1612" s="59" t="s">
        <v>14</v>
      </c>
      <c r="E1612" s="59" t="s">
        <v>87</v>
      </c>
      <c r="F1612" s="38" t="s">
        <v>88</v>
      </c>
      <c r="G1612" s="51">
        <v>2</v>
      </c>
      <c r="H1612" s="60" t="s">
        <v>71</v>
      </c>
      <c r="I1612" s="39">
        <v>0.88100000000000001</v>
      </c>
      <c r="J1612" s="39">
        <v>0.16899999999999998</v>
      </c>
      <c r="K1612" s="39">
        <v>0.1361</v>
      </c>
      <c r="L1612" s="39">
        <v>0.1074</v>
      </c>
      <c r="M1612" s="61">
        <v>5000</v>
      </c>
      <c r="N1612" s="61">
        <v>1000000</v>
      </c>
    </row>
    <row r="1613" spans="1:14" ht="15" customHeight="1" x14ac:dyDescent="0.25">
      <c r="A1613" s="64" t="str">
        <f t="shared" si="25"/>
        <v>2-11-0-TOU-3 year APR - Reward Plus</v>
      </c>
      <c r="B1613" s="62" t="s">
        <v>13</v>
      </c>
      <c r="C1613" s="54">
        <v>11</v>
      </c>
      <c r="D1613" s="59" t="s">
        <v>20</v>
      </c>
      <c r="E1613" s="59" t="s">
        <v>87</v>
      </c>
      <c r="F1613" s="38" t="s">
        <v>88</v>
      </c>
      <c r="G1613" s="51">
        <v>2</v>
      </c>
      <c r="H1613" s="60" t="s">
        <v>71</v>
      </c>
      <c r="I1613" s="39">
        <v>0.86099999999999999</v>
      </c>
      <c r="J1613" s="39">
        <v>0.17129999999999998</v>
      </c>
      <c r="K1613" s="39">
        <v>0.13789999999999999</v>
      </c>
      <c r="L1613" s="39">
        <v>0.1089</v>
      </c>
      <c r="M1613" s="61">
        <v>5000</v>
      </c>
      <c r="N1613" s="61">
        <v>1000000</v>
      </c>
    </row>
    <row r="1614" spans="1:14" ht="15" customHeight="1" x14ac:dyDescent="0.25">
      <c r="A1614" s="64" t="str">
        <f t="shared" si="25"/>
        <v>2-12-0-TOU-3 year APR - Reward Plus</v>
      </c>
      <c r="B1614" s="62" t="s">
        <v>13</v>
      </c>
      <c r="C1614" s="54">
        <v>12</v>
      </c>
      <c r="D1614" s="59" t="s">
        <v>21</v>
      </c>
      <c r="E1614" s="59" t="s">
        <v>87</v>
      </c>
      <c r="F1614" s="38" t="s">
        <v>88</v>
      </c>
      <c r="G1614" s="51">
        <v>2</v>
      </c>
      <c r="H1614" s="60" t="s">
        <v>71</v>
      </c>
      <c r="I1614" s="39">
        <v>0.90300000000000002</v>
      </c>
      <c r="J1614" s="39">
        <v>0.1686</v>
      </c>
      <c r="K1614" s="39">
        <v>0.13569999999999999</v>
      </c>
      <c r="L1614" s="39">
        <v>0.1071</v>
      </c>
      <c r="M1614" s="61">
        <v>5000</v>
      </c>
      <c r="N1614" s="61">
        <v>1000000</v>
      </c>
    </row>
    <row r="1615" spans="1:14" ht="15" customHeight="1" x14ac:dyDescent="0.25">
      <c r="A1615" s="64" t="str">
        <f t="shared" si="25"/>
        <v>2-13-0-TOU-3 year APR - Reward Plus</v>
      </c>
      <c r="B1615" s="62" t="s">
        <v>13</v>
      </c>
      <c r="C1615" s="54">
        <v>13</v>
      </c>
      <c r="D1615" s="59" t="s">
        <v>22</v>
      </c>
      <c r="E1615" s="59" t="s">
        <v>87</v>
      </c>
      <c r="F1615" s="38" t="s">
        <v>88</v>
      </c>
      <c r="G1615" s="51">
        <v>2</v>
      </c>
      <c r="H1615" s="60" t="s">
        <v>71</v>
      </c>
      <c r="I1615" s="39">
        <v>0.88100000000000001</v>
      </c>
      <c r="J1615" s="39">
        <v>0.1807</v>
      </c>
      <c r="K1615" s="39">
        <v>0.14549999999999999</v>
      </c>
      <c r="L1615" s="39">
        <v>0.1149</v>
      </c>
      <c r="M1615" s="61">
        <v>5000</v>
      </c>
      <c r="N1615" s="61">
        <v>1000000</v>
      </c>
    </row>
    <row r="1616" spans="1:14" ht="15" customHeight="1" x14ac:dyDescent="0.25">
      <c r="A1616" s="64" t="str">
        <f t="shared" si="25"/>
        <v>2-14-0-TOU-3 year APR - Reward Plus</v>
      </c>
      <c r="B1616" s="62" t="s">
        <v>13</v>
      </c>
      <c r="C1616" s="54">
        <v>14</v>
      </c>
      <c r="D1616" s="59" t="s">
        <v>23</v>
      </c>
      <c r="E1616" s="59" t="s">
        <v>87</v>
      </c>
      <c r="F1616" s="38" t="s">
        <v>88</v>
      </c>
      <c r="G1616" s="51">
        <v>2</v>
      </c>
      <c r="H1616" s="60" t="s">
        <v>71</v>
      </c>
      <c r="I1616" s="39">
        <v>0.89</v>
      </c>
      <c r="J1616" s="39">
        <v>0.17219999999999999</v>
      </c>
      <c r="K1616" s="39">
        <v>0.13869999999999999</v>
      </c>
      <c r="L1616" s="39">
        <v>0.1095</v>
      </c>
      <c r="M1616" s="61">
        <v>5000</v>
      </c>
      <c r="N1616" s="61">
        <v>1000000</v>
      </c>
    </row>
    <row r="1617" spans="1:14" ht="15" customHeight="1" x14ac:dyDescent="0.25">
      <c r="A1617" s="64" t="str">
        <f t="shared" si="25"/>
        <v>2-15-0-TOU-3 year APR - Reward Plus</v>
      </c>
      <c r="B1617" s="62" t="s">
        <v>13</v>
      </c>
      <c r="C1617" s="54">
        <v>15</v>
      </c>
      <c r="D1617" s="59" t="s">
        <v>24</v>
      </c>
      <c r="E1617" s="59" t="s">
        <v>87</v>
      </c>
      <c r="F1617" s="38" t="s">
        <v>88</v>
      </c>
      <c r="G1617" s="51">
        <v>2</v>
      </c>
      <c r="H1617" s="60" t="s">
        <v>71</v>
      </c>
      <c r="I1617" s="39">
        <v>0.96</v>
      </c>
      <c r="J1617" s="39">
        <v>0.17299999999999999</v>
      </c>
      <c r="K1617" s="39">
        <v>0.13929999999999998</v>
      </c>
      <c r="L1617" s="39">
        <v>0.11</v>
      </c>
      <c r="M1617" s="61">
        <v>5000</v>
      </c>
      <c r="N1617" s="61">
        <v>1000000</v>
      </c>
    </row>
    <row r="1618" spans="1:14" ht="15" customHeight="1" x14ac:dyDescent="0.25">
      <c r="A1618" s="64" t="str">
        <f t="shared" si="25"/>
        <v>2-16-0-TOU-3 year APR - Reward Plus</v>
      </c>
      <c r="B1618" s="62" t="s">
        <v>13</v>
      </c>
      <c r="C1618" s="54">
        <v>16</v>
      </c>
      <c r="D1618" s="59" t="s">
        <v>25</v>
      </c>
      <c r="E1618" s="59" t="s">
        <v>87</v>
      </c>
      <c r="F1618" s="38" t="s">
        <v>88</v>
      </c>
      <c r="G1618" s="51">
        <v>2</v>
      </c>
      <c r="H1618" s="60" t="s">
        <v>71</v>
      </c>
      <c r="I1618" s="39">
        <v>0.72699999999999998</v>
      </c>
      <c r="J1618" s="39">
        <v>0.1719</v>
      </c>
      <c r="K1618" s="39">
        <v>0.1384</v>
      </c>
      <c r="L1618" s="39">
        <v>0.10920000000000001</v>
      </c>
      <c r="M1618" s="61">
        <v>5000</v>
      </c>
      <c r="N1618" s="61">
        <v>1000000</v>
      </c>
    </row>
    <row r="1619" spans="1:14" ht="15" customHeight="1" x14ac:dyDescent="0.25">
      <c r="A1619" s="64" t="str">
        <f t="shared" si="25"/>
        <v>2-17-0-TOU-3 year APR - Reward Plus</v>
      </c>
      <c r="B1619" s="62" t="s">
        <v>13</v>
      </c>
      <c r="C1619" s="54">
        <v>17</v>
      </c>
      <c r="D1619" s="59" t="s">
        <v>26</v>
      </c>
      <c r="E1619" s="59" t="s">
        <v>87</v>
      </c>
      <c r="F1619" s="38" t="s">
        <v>88</v>
      </c>
      <c r="G1619" s="51">
        <v>2</v>
      </c>
      <c r="H1619" s="60" t="s">
        <v>71</v>
      </c>
      <c r="I1619" s="39">
        <v>1.484</v>
      </c>
      <c r="J1619" s="39">
        <v>0.1903</v>
      </c>
      <c r="K1619" s="39">
        <v>0.1532</v>
      </c>
      <c r="L1619" s="39">
        <v>0.12089999999999999</v>
      </c>
      <c r="M1619" s="61">
        <v>5000</v>
      </c>
      <c r="N1619" s="61">
        <v>1000000</v>
      </c>
    </row>
    <row r="1620" spans="1:14" ht="15" customHeight="1" x14ac:dyDescent="0.25">
      <c r="A1620" s="64" t="str">
        <f t="shared" si="25"/>
        <v>2-18-0-TOU-3 year APR - Reward Plus</v>
      </c>
      <c r="B1620" s="62" t="s">
        <v>13</v>
      </c>
      <c r="C1620" s="54">
        <v>18</v>
      </c>
      <c r="D1620" s="59" t="s">
        <v>27</v>
      </c>
      <c r="E1620" s="59" t="s">
        <v>87</v>
      </c>
      <c r="F1620" s="38" t="s">
        <v>88</v>
      </c>
      <c r="G1620" s="51">
        <v>2</v>
      </c>
      <c r="H1620" s="60" t="s">
        <v>71</v>
      </c>
      <c r="I1620" s="39">
        <v>0.89900000000000002</v>
      </c>
      <c r="J1620" s="39">
        <v>0.17099999999999999</v>
      </c>
      <c r="K1620" s="39">
        <v>0.13769999999999999</v>
      </c>
      <c r="L1620" s="39">
        <v>0.1087</v>
      </c>
      <c r="M1620" s="61">
        <v>5000</v>
      </c>
      <c r="N1620" s="61">
        <v>1000000</v>
      </c>
    </row>
    <row r="1621" spans="1:14" ht="15" customHeight="1" x14ac:dyDescent="0.25">
      <c r="A1621" s="64" t="str">
        <f t="shared" si="25"/>
        <v>2-19-0-TOU-3 year APR - Reward Plus</v>
      </c>
      <c r="B1621" s="62" t="s">
        <v>13</v>
      </c>
      <c r="C1621" s="54">
        <v>19</v>
      </c>
      <c r="D1621" s="59" t="s">
        <v>28</v>
      </c>
      <c r="E1621" s="59" t="s">
        <v>87</v>
      </c>
      <c r="F1621" s="38" t="s">
        <v>88</v>
      </c>
      <c r="G1621" s="51">
        <v>2</v>
      </c>
      <c r="H1621" s="60" t="s">
        <v>71</v>
      </c>
      <c r="I1621" s="39">
        <v>0.77800000000000002</v>
      </c>
      <c r="J1621" s="39">
        <v>0.17019999999999999</v>
      </c>
      <c r="K1621" s="39">
        <v>0.13699999999999998</v>
      </c>
      <c r="L1621" s="39">
        <v>0.1082</v>
      </c>
      <c r="M1621" s="61">
        <v>5000</v>
      </c>
      <c r="N1621" s="61">
        <v>1000000</v>
      </c>
    </row>
    <row r="1622" spans="1:14" ht="15" customHeight="1" x14ac:dyDescent="0.25">
      <c r="A1622" s="64" t="str">
        <f t="shared" si="25"/>
        <v>2-20-0-TOU-3 year APR - Reward Plus</v>
      </c>
      <c r="B1622" s="62" t="s">
        <v>13</v>
      </c>
      <c r="C1622" s="54">
        <v>20</v>
      </c>
      <c r="D1622" s="59" t="s">
        <v>29</v>
      </c>
      <c r="E1622" s="59" t="s">
        <v>87</v>
      </c>
      <c r="F1622" s="38" t="s">
        <v>88</v>
      </c>
      <c r="G1622" s="51">
        <v>2</v>
      </c>
      <c r="H1622" s="60" t="s">
        <v>71</v>
      </c>
      <c r="I1622" s="39">
        <v>0.82699999999999996</v>
      </c>
      <c r="J1622" s="39">
        <v>0.1699</v>
      </c>
      <c r="K1622" s="39">
        <v>0.13679999999999998</v>
      </c>
      <c r="L1622" s="39">
        <v>0.108</v>
      </c>
      <c r="M1622" s="61">
        <v>5000</v>
      </c>
      <c r="N1622" s="61">
        <v>1000000</v>
      </c>
    </row>
    <row r="1623" spans="1:14" ht="15" customHeight="1" x14ac:dyDescent="0.25">
      <c r="A1623" s="64" t="str">
        <f t="shared" si="25"/>
        <v>2-21-0-TOU-3 year APR - Reward Plus</v>
      </c>
      <c r="B1623" s="62" t="s">
        <v>13</v>
      </c>
      <c r="C1623" s="54">
        <v>21</v>
      </c>
      <c r="D1623" s="59" t="s">
        <v>30</v>
      </c>
      <c r="E1623" s="59" t="s">
        <v>87</v>
      </c>
      <c r="F1623" s="38" t="s">
        <v>88</v>
      </c>
      <c r="G1623" s="51">
        <v>2</v>
      </c>
      <c r="H1623" s="60" t="s">
        <v>71</v>
      </c>
      <c r="I1623" s="39">
        <v>0.92300000000000004</v>
      </c>
      <c r="J1623" s="39">
        <v>0.17979999999999999</v>
      </c>
      <c r="K1623" s="39">
        <v>0.1447</v>
      </c>
      <c r="L1623" s="39">
        <v>0.1143</v>
      </c>
      <c r="M1623" s="61">
        <v>5000</v>
      </c>
      <c r="N1623" s="61">
        <v>1000000</v>
      </c>
    </row>
    <row r="1624" spans="1:14" ht="15" customHeight="1" x14ac:dyDescent="0.25">
      <c r="A1624" s="64" t="str">
        <f t="shared" si="25"/>
        <v>2-22-0-TOU-3 year APR - Reward Plus</v>
      </c>
      <c r="B1624" s="62" t="s">
        <v>13</v>
      </c>
      <c r="C1624" s="54">
        <v>22</v>
      </c>
      <c r="D1624" s="59" t="s">
        <v>31</v>
      </c>
      <c r="E1624" s="59" t="s">
        <v>87</v>
      </c>
      <c r="F1624" s="38" t="s">
        <v>88</v>
      </c>
      <c r="G1624" s="51">
        <v>2</v>
      </c>
      <c r="H1624" s="60" t="s">
        <v>71</v>
      </c>
      <c r="I1624" s="39">
        <v>0.90400000000000003</v>
      </c>
      <c r="J1624" s="39">
        <v>0.18039999999999998</v>
      </c>
      <c r="K1624" s="39">
        <v>0.1452</v>
      </c>
      <c r="L1624" s="39">
        <v>0.11459999999999999</v>
      </c>
      <c r="M1624" s="61">
        <v>5000</v>
      </c>
      <c r="N1624" s="61">
        <v>1000000</v>
      </c>
    </row>
    <row r="1625" spans="1:14" ht="15" customHeight="1" x14ac:dyDescent="0.25">
      <c r="A1625" s="64" t="str">
        <f t="shared" si="25"/>
        <v>2-23-0-TOU-3 year APR - Reward Plus</v>
      </c>
      <c r="B1625" s="62" t="s">
        <v>13</v>
      </c>
      <c r="C1625" s="54">
        <v>23</v>
      </c>
      <c r="D1625" s="59" t="s">
        <v>32</v>
      </c>
      <c r="E1625" s="59" t="s">
        <v>87</v>
      </c>
      <c r="F1625" s="38" t="s">
        <v>88</v>
      </c>
      <c r="G1625" s="51">
        <v>2</v>
      </c>
      <c r="H1625" s="60" t="s">
        <v>71</v>
      </c>
      <c r="I1625" s="39">
        <v>0.90600000000000003</v>
      </c>
      <c r="J1625" s="39">
        <v>0.1729</v>
      </c>
      <c r="K1625" s="39">
        <v>0.13919999999999999</v>
      </c>
      <c r="L1625" s="39">
        <v>0.1099</v>
      </c>
      <c r="M1625" s="61">
        <v>5000</v>
      </c>
      <c r="N1625" s="61">
        <v>1000000</v>
      </c>
    </row>
    <row r="1626" spans="1:14" ht="15" customHeight="1" x14ac:dyDescent="0.25">
      <c r="A1626" s="64" t="str">
        <f t="shared" si="25"/>
        <v>2.1-10-0-TOU-3 year APR - Reward Plus</v>
      </c>
      <c r="B1626" s="62" t="s">
        <v>13</v>
      </c>
      <c r="C1626" s="54">
        <v>10</v>
      </c>
      <c r="D1626" s="59" t="s">
        <v>14</v>
      </c>
      <c r="E1626" s="59" t="s">
        <v>87</v>
      </c>
      <c r="F1626" s="38" t="s">
        <v>88</v>
      </c>
      <c r="G1626" s="51">
        <v>2.1</v>
      </c>
      <c r="H1626" s="60" t="s">
        <v>71</v>
      </c>
      <c r="I1626" s="39">
        <v>0.88100000000000001</v>
      </c>
      <c r="J1626" s="39">
        <v>0.17019999999999999</v>
      </c>
      <c r="K1626" s="39">
        <v>0.13699999999999998</v>
      </c>
      <c r="L1626" s="39">
        <v>0.1082</v>
      </c>
      <c r="M1626" s="61">
        <v>5000</v>
      </c>
      <c r="N1626" s="61">
        <v>1000000</v>
      </c>
    </row>
    <row r="1627" spans="1:14" ht="15" customHeight="1" x14ac:dyDescent="0.25">
      <c r="A1627" s="64" t="str">
        <f t="shared" si="25"/>
        <v>2.1-11-0-TOU-3 year APR - Reward Plus</v>
      </c>
      <c r="B1627" s="62" t="s">
        <v>13</v>
      </c>
      <c r="C1627" s="54">
        <v>11</v>
      </c>
      <c r="D1627" s="59" t="s">
        <v>20</v>
      </c>
      <c r="E1627" s="59" t="s">
        <v>87</v>
      </c>
      <c r="F1627" s="38" t="s">
        <v>88</v>
      </c>
      <c r="G1627" s="51">
        <v>2.1</v>
      </c>
      <c r="H1627" s="60" t="s">
        <v>71</v>
      </c>
      <c r="I1627" s="39">
        <v>0.86099999999999999</v>
      </c>
      <c r="J1627" s="39">
        <v>0.1724</v>
      </c>
      <c r="K1627" s="39">
        <v>0.13879999999999998</v>
      </c>
      <c r="L1627" s="39">
        <v>0.1096</v>
      </c>
      <c r="M1627" s="61">
        <v>5000</v>
      </c>
      <c r="N1627" s="61">
        <v>1000000</v>
      </c>
    </row>
    <row r="1628" spans="1:14" ht="15" customHeight="1" x14ac:dyDescent="0.25">
      <c r="A1628" s="64" t="str">
        <f t="shared" si="25"/>
        <v>2.1-12-0-TOU-3 year APR - Reward Plus</v>
      </c>
      <c r="B1628" s="62" t="s">
        <v>13</v>
      </c>
      <c r="C1628" s="54">
        <v>12</v>
      </c>
      <c r="D1628" s="59" t="s">
        <v>21</v>
      </c>
      <c r="E1628" s="59" t="s">
        <v>87</v>
      </c>
      <c r="F1628" s="38" t="s">
        <v>88</v>
      </c>
      <c r="G1628" s="51">
        <v>2.1</v>
      </c>
      <c r="H1628" s="60" t="s">
        <v>71</v>
      </c>
      <c r="I1628" s="39">
        <v>0.90300000000000002</v>
      </c>
      <c r="J1628" s="39">
        <v>0.16969999999999999</v>
      </c>
      <c r="K1628" s="39">
        <v>0.13669999999999999</v>
      </c>
      <c r="L1628" s="39">
        <v>0.10790000000000001</v>
      </c>
      <c r="M1628" s="61">
        <v>5000</v>
      </c>
      <c r="N1628" s="61">
        <v>1000000</v>
      </c>
    </row>
    <row r="1629" spans="1:14" ht="15" customHeight="1" x14ac:dyDescent="0.25">
      <c r="A1629" s="64" t="str">
        <f t="shared" si="25"/>
        <v>2.1-13-0-TOU-3 year APR - Reward Plus</v>
      </c>
      <c r="B1629" s="62" t="s">
        <v>13</v>
      </c>
      <c r="C1629" s="54">
        <v>13</v>
      </c>
      <c r="D1629" s="59" t="s">
        <v>22</v>
      </c>
      <c r="E1629" s="59" t="s">
        <v>87</v>
      </c>
      <c r="F1629" s="38" t="s">
        <v>88</v>
      </c>
      <c r="G1629" s="51">
        <v>2.1</v>
      </c>
      <c r="H1629" s="60" t="s">
        <v>71</v>
      </c>
      <c r="I1629" s="39">
        <v>0.88100000000000001</v>
      </c>
      <c r="J1629" s="39">
        <v>0.18189999999999998</v>
      </c>
      <c r="K1629" s="39">
        <v>0.1464</v>
      </c>
      <c r="L1629" s="39">
        <v>0.11560000000000001</v>
      </c>
      <c r="M1629" s="61">
        <v>5000</v>
      </c>
      <c r="N1629" s="61">
        <v>1000000</v>
      </c>
    </row>
    <row r="1630" spans="1:14" ht="15" customHeight="1" x14ac:dyDescent="0.25">
      <c r="A1630" s="64" t="str">
        <f t="shared" si="25"/>
        <v>2.1-14-0-TOU-3 year APR - Reward Plus</v>
      </c>
      <c r="B1630" s="62" t="s">
        <v>13</v>
      </c>
      <c r="C1630" s="54">
        <v>14</v>
      </c>
      <c r="D1630" s="59" t="s">
        <v>23</v>
      </c>
      <c r="E1630" s="59" t="s">
        <v>87</v>
      </c>
      <c r="F1630" s="38" t="s">
        <v>88</v>
      </c>
      <c r="G1630" s="51">
        <v>2.1</v>
      </c>
      <c r="H1630" s="60" t="s">
        <v>71</v>
      </c>
      <c r="I1630" s="39">
        <v>0.89</v>
      </c>
      <c r="J1630" s="39">
        <v>0.1734</v>
      </c>
      <c r="K1630" s="39">
        <v>0.1396</v>
      </c>
      <c r="L1630" s="39">
        <v>0.11020000000000001</v>
      </c>
      <c r="M1630" s="61">
        <v>5000</v>
      </c>
      <c r="N1630" s="61">
        <v>1000000</v>
      </c>
    </row>
    <row r="1631" spans="1:14" ht="15" customHeight="1" x14ac:dyDescent="0.25">
      <c r="A1631" s="64" t="str">
        <f t="shared" si="25"/>
        <v>2.1-15-0-TOU-3 year APR - Reward Plus</v>
      </c>
      <c r="B1631" s="62" t="s">
        <v>13</v>
      </c>
      <c r="C1631" s="54">
        <v>15</v>
      </c>
      <c r="D1631" s="59" t="s">
        <v>24</v>
      </c>
      <c r="E1631" s="59" t="s">
        <v>87</v>
      </c>
      <c r="F1631" s="38" t="s">
        <v>88</v>
      </c>
      <c r="G1631" s="51">
        <v>2.1</v>
      </c>
      <c r="H1631" s="60" t="s">
        <v>71</v>
      </c>
      <c r="I1631" s="39">
        <v>0.96</v>
      </c>
      <c r="J1631" s="39">
        <v>0.17419999999999999</v>
      </c>
      <c r="K1631" s="39">
        <v>0.14029999999999998</v>
      </c>
      <c r="L1631" s="39">
        <v>0.11070000000000001</v>
      </c>
      <c r="M1631" s="61">
        <v>5000</v>
      </c>
      <c r="N1631" s="61">
        <v>1000000</v>
      </c>
    </row>
    <row r="1632" spans="1:14" ht="15" customHeight="1" x14ac:dyDescent="0.25">
      <c r="A1632" s="64" t="str">
        <f t="shared" si="25"/>
        <v>2.1-16-0-TOU-3 year APR - Reward Plus</v>
      </c>
      <c r="B1632" s="62" t="s">
        <v>13</v>
      </c>
      <c r="C1632" s="54">
        <v>16</v>
      </c>
      <c r="D1632" s="59" t="s">
        <v>25</v>
      </c>
      <c r="E1632" s="59" t="s">
        <v>87</v>
      </c>
      <c r="F1632" s="38" t="s">
        <v>88</v>
      </c>
      <c r="G1632" s="51">
        <v>2.1</v>
      </c>
      <c r="H1632" s="60" t="s">
        <v>71</v>
      </c>
      <c r="I1632" s="39">
        <v>0.72699999999999998</v>
      </c>
      <c r="J1632" s="39">
        <v>0.17299999999999999</v>
      </c>
      <c r="K1632" s="39">
        <v>0.13929999999999998</v>
      </c>
      <c r="L1632" s="39">
        <v>0.11</v>
      </c>
      <c r="M1632" s="61">
        <v>5000</v>
      </c>
      <c r="N1632" s="61">
        <v>1000000</v>
      </c>
    </row>
    <row r="1633" spans="1:14" ht="15" customHeight="1" x14ac:dyDescent="0.25">
      <c r="A1633" s="64" t="str">
        <f t="shared" si="25"/>
        <v>2.1-17-0-TOU-3 year APR - Reward Plus</v>
      </c>
      <c r="B1633" s="62" t="s">
        <v>13</v>
      </c>
      <c r="C1633" s="54">
        <v>17</v>
      </c>
      <c r="D1633" s="59" t="s">
        <v>26</v>
      </c>
      <c r="E1633" s="59" t="s">
        <v>87</v>
      </c>
      <c r="F1633" s="38" t="s">
        <v>88</v>
      </c>
      <c r="G1633" s="51">
        <v>2.1</v>
      </c>
      <c r="H1633" s="60" t="s">
        <v>71</v>
      </c>
      <c r="I1633" s="39">
        <v>1.484</v>
      </c>
      <c r="J1633" s="39">
        <v>0.19139999999999999</v>
      </c>
      <c r="K1633" s="39">
        <v>0.15409999999999999</v>
      </c>
      <c r="L1633" s="39">
        <v>0.1217</v>
      </c>
      <c r="M1633" s="61">
        <v>5000</v>
      </c>
      <c r="N1633" s="61">
        <v>1000000</v>
      </c>
    </row>
    <row r="1634" spans="1:14" ht="15" customHeight="1" x14ac:dyDescent="0.25">
      <c r="A1634" s="64" t="str">
        <f t="shared" si="25"/>
        <v>2.1-18-0-TOU-3 year APR - Reward Plus</v>
      </c>
      <c r="B1634" s="62" t="s">
        <v>13</v>
      </c>
      <c r="C1634" s="54">
        <v>18</v>
      </c>
      <c r="D1634" s="59" t="s">
        <v>27</v>
      </c>
      <c r="E1634" s="59" t="s">
        <v>87</v>
      </c>
      <c r="F1634" s="38" t="s">
        <v>88</v>
      </c>
      <c r="G1634" s="51">
        <v>2.1</v>
      </c>
      <c r="H1634" s="60" t="s">
        <v>71</v>
      </c>
      <c r="I1634" s="39">
        <v>0.89900000000000002</v>
      </c>
      <c r="J1634" s="39">
        <v>0.17219999999999999</v>
      </c>
      <c r="K1634" s="39">
        <v>0.13869999999999999</v>
      </c>
      <c r="L1634" s="39">
        <v>0.1095</v>
      </c>
      <c r="M1634" s="61">
        <v>5000</v>
      </c>
      <c r="N1634" s="61">
        <v>1000000</v>
      </c>
    </row>
    <row r="1635" spans="1:14" ht="15" customHeight="1" x14ac:dyDescent="0.25">
      <c r="A1635" s="64" t="str">
        <f t="shared" si="25"/>
        <v>2.1-19-0-TOU-3 year APR - Reward Plus</v>
      </c>
      <c r="B1635" s="62" t="s">
        <v>13</v>
      </c>
      <c r="C1635" s="54">
        <v>19</v>
      </c>
      <c r="D1635" s="59" t="s">
        <v>28</v>
      </c>
      <c r="E1635" s="59" t="s">
        <v>87</v>
      </c>
      <c r="F1635" s="38" t="s">
        <v>88</v>
      </c>
      <c r="G1635" s="51">
        <v>2.1</v>
      </c>
      <c r="H1635" s="60" t="s">
        <v>71</v>
      </c>
      <c r="I1635" s="39">
        <v>0.77800000000000002</v>
      </c>
      <c r="J1635" s="39">
        <v>0.1714</v>
      </c>
      <c r="K1635" s="39">
        <v>0.13799999999999998</v>
      </c>
      <c r="L1635" s="39">
        <v>0.1089</v>
      </c>
      <c r="M1635" s="61">
        <v>5000</v>
      </c>
      <c r="N1635" s="61">
        <v>1000000</v>
      </c>
    </row>
    <row r="1636" spans="1:14" ht="15" customHeight="1" x14ac:dyDescent="0.25">
      <c r="A1636" s="64" t="str">
        <f t="shared" si="25"/>
        <v>2.1-20-0-TOU-3 year APR - Reward Plus</v>
      </c>
      <c r="B1636" s="62" t="s">
        <v>13</v>
      </c>
      <c r="C1636" s="54">
        <v>20</v>
      </c>
      <c r="D1636" s="59" t="s">
        <v>29</v>
      </c>
      <c r="E1636" s="59" t="s">
        <v>87</v>
      </c>
      <c r="F1636" s="38" t="s">
        <v>88</v>
      </c>
      <c r="G1636" s="51">
        <v>2.1</v>
      </c>
      <c r="H1636" s="60" t="s">
        <v>71</v>
      </c>
      <c r="I1636" s="39">
        <v>0.82699999999999996</v>
      </c>
      <c r="J1636" s="39">
        <v>0.17099999999999999</v>
      </c>
      <c r="K1636" s="39">
        <v>0.13769999999999999</v>
      </c>
      <c r="L1636" s="39">
        <v>0.1087</v>
      </c>
      <c r="M1636" s="61">
        <v>5000</v>
      </c>
      <c r="N1636" s="61">
        <v>1000000</v>
      </c>
    </row>
    <row r="1637" spans="1:14" ht="15" customHeight="1" x14ac:dyDescent="0.25">
      <c r="A1637" s="64" t="str">
        <f t="shared" si="25"/>
        <v>2.1-21-0-TOU-3 year APR - Reward Plus</v>
      </c>
      <c r="B1637" s="62" t="s">
        <v>13</v>
      </c>
      <c r="C1637" s="54">
        <v>21</v>
      </c>
      <c r="D1637" s="59" t="s">
        <v>30</v>
      </c>
      <c r="E1637" s="59" t="s">
        <v>87</v>
      </c>
      <c r="F1637" s="38" t="s">
        <v>88</v>
      </c>
      <c r="G1637" s="51">
        <v>2.1</v>
      </c>
      <c r="H1637" s="60" t="s">
        <v>71</v>
      </c>
      <c r="I1637" s="39">
        <v>0.92300000000000004</v>
      </c>
      <c r="J1637" s="39">
        <v>0.18089999999999998</v>
      </c>
      <c r="K1637" s="39">
        <v>0.1457</v>
      </c>
      <c r="L1637" s="39">
        <v>0.115</v>
      </c>
      <c r="M1637" s="61">
        <v>5000</v>
      </c>
      <c r="N1637" s="61">
        <v>1000000</v>
      </c>
    </row>
    <row r="1638" spans="1:14" ht="15" customHeight="1" x14ac:dyDescent="0.25">
      <c r="A1638" s="64" t="str">
        <f t="shared" si="25"/>
        <v>2.1-22-0-TOU-3 year APR - Reward Plus</v>
      </c>
      <c r="B1638" s="62" t="s">
        <v>13</v>
      </c>
      <c r="C1638" s="54">
        <v>22</v>
      </c>
      <c r="D1638" s="59" t="s">
        <v>31</v>
      </c>
      <c r="E1638" s="59" t="s">
        <v>87</v>
      </c>
      <c r="F1638" s="38" t="s">
        <v>88</v>
      </c>
      <c r="G1638" s="51">
        <v>2.1</v>
      </c>
      <c r="H1638" s="60" t="s">
        <v>71</v>
      </c>
      <c r="I1638" s="39">
        <v>0.90400000000000003</v>
      </c>
      <c r="J1638" s="39">
        <v>0.18149999999999999</v>
      </c>
      <c r="K1638" s="39">
        <v>0.1462</v>
      </c>
      <c r="L1638" s="39">
        <v>0.1154</v>
      </c>
      <c r="M1638" s="61">
        <v>5000</v>
      </c>
      <c r="N1638" s="61">
        <v>1000000</v>
      </c>
    </row>
    <row r="1639" spans="1:14" ht="15" customHeight="1" x14ac:dyDescent="0.25">
      <c r="A1639" s="64" t="str">
        <f t="shared" si="25"/>
        <v>2.1-23-0-TOU-3 year APR - Reward Plus</v>
      </c>
      <c r="B1639" s="62" t="s">
        <v>13</v>
      </c>
      <c r="C1639" s="54">
        <v>23</v>
      </c>
      <c r="D1639" s="59" t="s">
        <v>32</v>
      </c>
      <c r="E1639" s="59" t="s">
        <v>87</v>
      </c>
      <c r="F1639" s="38" t="s">
        <v>88</v>
      </c>
      <c r="G1639" s="51">
        <v>2.1</v>
      </c>
      <c r="H1639" s="60" t="s">
        <v>71</v>
      </c>
      <c r="I1639" s="39">
        <v>0.90600000000000003</v>
      </c>
      <c r="J1639" s="39">
        <v>0.17409999999999998</v>
      </c>
      <c r="K1639" s="39">
        <v>0.14019999999999999</v>
      </c>
      <c r="L1639" s="39">
        <v>0.11070000000000001</v>
      </c>
      <c r="M1639" s="61">
        <v>5000</v>
      </c>
      <c r="N1639" s="61">
        <v>1000000</v>
      </c>
    </row>
    <row r="1640" spans="1:14" ht="15" customHeight="1" x14ac:dyDescent="0.25">
      <c r="A1640" s="64" t="str">
        <f t="shared" si="25"/>
        <v>2.2-10-0-TOU-3 year APR - Reward Plus</v>
      </c>
      <c r="B1640" s="62" t="s">
        <v>13</v>
      </c>
      <c r="C1640" s="54">
        <v>10</v>
      </c>
      <c r="D1640" s="59" t="s">
        <v>14</v>
      </c>
      <c r="E1640" s="59" t="s">
        <v>87</v>
      </c>
      <c r="F1640" s="38" t="s">
        <v>88</v>
      </c>
      <c r="G1640" s="51">
        <v>2.2000000000000002</v>
      </c>
      <c r="H1640" s="60" t="s">
        <v>71</v>
      </c>
      <c r="I1640" s="39">
        <v>0.88100000000000001</v>
      </c>
      <c r="J1640" s="39">
        <v>0.1714</v>
      </c>
      <c r="K1640" s="39">
        <v>0.13799999999999998</v>
      </c>
      <c r="L1640" s="39">
        <v>0.1089</v>
      </c>
      <c r="M1640" s="61">
        <v>5000</v>
      </c>
      <c r="N1640" s="61">
        <v>1000000</v>
      </c>
    </row>
    <row r="1641" spans="1:14" ht="15" customHeight="1" x14ac:dyDescent="0.25">
      <c r="A1641" s="64" t="str">
        <f t="shared" si="25"/>
        <v>2.2-11-0-TOU-3 year APR - Reward Plus</v>
      </c>
      <c r="B1641" s="62" t="s">
        <v>13</v>
      </c>
      <c r="C1641" s="54">
        <v>11</v>
      </c>
      <c r="D1641" s="59" t="s">
        <v>20</v>
      </c>
      <c r="E1641" s="59" t="s">
        <v>87</v>
      </c>
      <c r="F1641" s="38" t="s">
        <v>88</v>
      </c>
      <c r="G1641" s="51">
        <v>2.2000000000000002</v>
      </c>
      <c r="H1641" s="60" t="s">
        <v>71</v>
      </c>
      <c r="I1641" s="39">
        <v>0.86099999999999999</v>
      </c>
      <c r="J1641" s="39">
        <v>0.17359999999999998</v>
      </c>
      <c r="K1641" s="39">
        <v>0.13979999999999998</v>
      </c>
      <c r="L1641" s="39">
        <v>0.1104</v>
      </c>
      <c r="M1641" s="61">
        <v>5000</v>
      </c>
      <c r="N1641" s="61">
        <v>1000000</v>
      </c>
    </row>
    <row r="1642" spans="1:14" ht="15" customHeight="1" x14ac:dyDescent="0.25">
      <c r="A1642" s="64" t="str">
        <f t="shared" si="25"/>
        <v>2.2-12-0-TOU-3 year APR - Reward Plus</v>
      </c>
      <c r="B1642" s="62" t="s">
        <v>13</v>
      </c>
      <c r="C1642" s="54">
        <v>12</v>
      </c>
      <c r="D1642" s="59" t="s">
        <v>21</v>
      </c>
      <c r="E1642" s="59" t="s">
        <v>87</v>
      </c>
      <c r="F1642" s="38" t="s">
        <v>88</v>
      </c>
      <c r="G1642" s="51">
        <v>2.2000000000000002</v>
      </c>
      <c r="H1642" s="60" t="s">
        <v>71</v>
      </c>
      <c r="I1642" s="39">
        <v>0.90300000000000002</v>
      </c>
      <c r="J1642" s="39">
        <v>0.1709</v>
      </c>
      <c r="K1642" s="39">
        <v>0.1376</v>
      </c>
      <c r="L1642" s="39">
        <v>0.1086</v>
      </c>
      <c r="M1642" s="61">
        <v>5000</v>
      </c>
      <c r="N1642" s="61">
        <v>1000000</v>
      </c>
    </row>
    <row r="1643" spans="1:14" ht="15" customHeight="1" x14ac:dyDescent="0.25">
      <c r="A1643" s="64" t="str">
        <f t="shared" si="25"/>
        <v>2.2-13-0-TOU-3 year APR - Reward Plus</v>
      </c>
      <c r="B1643" s="62" t="s">
        <v>13</v>
      </c>
      <c r="C1643" s="54">
        <v>13</v>
      </c>
      <c r="D1643" s="59" t="s">
        <v>22</v>
      </c>
      <c r="E1643" s="59" t="s">
        <v>87</v>
      </c>
      <c r="F1643" s="38" t="s">
        <v>88</v>
      </c>
      <c r="G1643" s="51">
        <v>2.2000000000000002</v>
      </c>
      <c r="H1643" s="60" t="s">
        <v>71</v>
      </c>
      <c r="I1643" s="39">
        <v>0.88100000000000001</v>
      </c>
      <c r="J1643" s="39">
        <v>0.18309999999999998</v>
      </c>
      <c r="K1643" s="39">
        <v>0.14739999999999998</v>
      </c>
      <c r="L1643" s="39">
        <v>0.1164</v>
      </c>
      <c r="M1643" s="61">
        <v>5000</v>
      </c>
      <c r="N1643" s="61">
        <v>1000000</v>
      </c>
    </row>
    <row r="1644" spans="1:14" ht="15" customHeight="1" x14ac:dyDescent="0.25">
      <c r="A1644" s="64" t="str">
        <f t="shared" si="25"/>
        <v>2.2-14-0-TOU-3 year APR - Reward Plus</v>
      </c>
      <c r="B1644" s="62" t="s">
        <v>13</v>
      </c>
      <c r="C1644" s="54">
        <v>14</v>
      </c>
      <c r="D1644" s="59" t="s">
        <v>23</v>
      </c>
      <c r="E1644" s="59" t="s">
        <v>87</v>
      </c>
      <c r="F1644" s="38" t="s">
        <v>88</v>
      </c>
      <c r="G1644" s="51">
        <v>2.2000000000000002</v>
      </c>
      <c r="H1644" s="60" t="s">
        <v>71</v>
      </c>
      <c r="I1644" s="39">
        <v>0.89</v>
      </c>
      <c r="J1644" s="39">
        <v>0.17459999999999998</v>
      </c>
      <c r="K1644" s="39">
        <v>0.1406</v>
      </c>
      <c r="L1644" s="39">
        <v>0.111</v>
      </c>
      <c r="M1644" s="61">
        <v>5000</v>
      </c>
      <c r="N1644" s="61">
        <v>1000000</v>
      </c>
    </row>
    <row r="1645" spans="1:14" ht="15" customHeight="1" x14ac:dyDescent="0.25">
      <c r="A1645" s="64" t="str">
        <f t="shared" si="25"/>
        <v>2.2-15-0-TOU-3 year APR - Reward Plus</v>
      </c>
      <c r="B1645" s="62" t="s">
        <v>13</v>
      </c>
      <c r="C1645" s="54">
        <v>15</v>
      </c>
      <c r="D1645" s="59" t="s">
        <v>24</v>
      </c>
      <c r="E1645" s="59" t="s">
        <v>87</v>
      </c>
      <c r="F1645" s="38" t="s">
        <v>88</v>
      </c>
      <c r="G1645" s="51">
        <v>2.2000000000000002</v>
      </c>
      <c r="H1645" s="60" t="s">
        <v>71</v>
      </c>
      <c r="I1645" s="39">
        <v>0.96</v>
      </c>
      <c r="J1645" s="39">
        <v>0.1754</v>
      </c>
      <c r="K1645" s="39">
        <v>0.14119999999999999</v>
      </c>
      <c r="L1645" s="39">
        <v>0.1115</v>
      </c>
      <c r="M1645" s="61">
        <v>5000</v>
      </c>
      <c r="N1645" s="61">
        <v>1000000</v>
      </c>
    </row>
    <row r="1646" spans="1:14" ht="15" customHeight="1" x14ac:dyDescent="0.25">
      <c r="A1646" s="64" t="str">
        <f t="shared" si="25"/>
        <v>2.2-16-0-TOU-3 year APR - Reward Plus</v>
      </c>
      <c r="B1646" s="62" t="s">
        <v>13</v>
      </c>
      <c r="C1646" s="54">
        <v>16</v>
      </c>
      <c r="D1646" s="59" t="s">
        <v>25</v>
      </c>
      <c r="E1646" s="59" t="s">
        <v>87</v>
      </c>
      <c r="F1646" s="38" t="s">
        <v>88</v>
      </c>
      <c r="G1646" s="51">
        <v>2.2000000000000002</v>
      </c>
      <c r="H1646" s="60" t="s">
        <v>71</v>
      </c>
      <c r="I1646" s="39">
        <v>0.72699999999999998</v>
      </c>
      <c r="J1646" s="39">
        <v>0.17419999999999999</v>
      </c>
      <c r="K1646" s="39">
        <v>0.14029999999999998</v>
      </c>
      <c r="L1646" s="39">
        <v>0.11070000000000001</v>
      </c>
      <c r="M1646" s="61">
        <v>5000</v>
      </c>
      <c r="N1646" s="61">
        <v>1000000</v>
      </c>
    </row>
    <row r="1647" spans="1:14" ht="15" customHeight="1" x14ac:dyDescent="0.25">
      <c r="A1647" s="64" t="str">
        <f t="shared" si="25"/>
        <v>2.2-17-0-TOU-3 year APR - Reward Plus</v>
      </c>
      <c r="B1647" s="62" t="s">
        <v>13</v>
      </c>
      <c r="C1647" s="54">
        <v>17</v>
      </c>
      <c r="D1647" s="59" t="s">
        <v>26</v>
      </c>
      <c r="E1647" s="59" t="s">
        <v>87</v>
      </c>
      <c r="F1647" s="38" t="s">
        <v>88</v>
      </c>
      <c r="G1647" s="51">
        <v>2.2000000000000002</v>
      </c>
      <c r="H1647" s="60" t="s">
        <v>71</v>
      </c>
      <c r="I1647" s="39">
        <v>1.484</v>
      </c>
      <c r="J1647" s="39">
        <v>0.19259999999999999</v>
      </c>
      <c r="K1647" s="39">
        <v>0.15509999999999999</v>
      </c>
      <c r="L1647" s="39">
        <v>0.12239999999999999</v>
      </c>
      <c r="M1647" s="61">
        <v>5000</v>
      </c>
      <c r="N1647" s="61">
        <v>1000000</v>
      </c>
    </row>
    <row r="1648" spans="1:14" ht="15" customHeight="1" x14ac:dyDescent="0.25">
      <c r="A1648" s="64" t="str">
        <f t="shared" si="25"/>
        <v>2.2-18-0-TOU-3 year APR - Reward Plus</v>
      </c>
      <c r="B1648" s="62" t="s">
        <v>13</v>
      </c>
      <c r="C1648" s="54">
        <v>18</v>
      </c>
      <c r="D1648" s="59" t="s">
        <v>27</v>
      </c>
      <c r="E1648" s="59" t="s">
        <v>87</v>
      </c>
      <c r="F1648" s="38" t="s">
        <v>88</v>
      </c>
      <c r="G1648" s="51">
        <v>2.2000000000000002</v>
      </c>
      <c r="H1648" s="60" t="s">
        <v>71</v>
      </c>
      <c r="I1648" s="39">
        <v>0.89900000000000002</v>
      </c>
      <c r="J1648" s="39">
        <v>0.1734</v>
      </c>
      <c r="K1648" s="39">
        <v>0.1396</v>
      </c>
      <c r="L1648" s="39">
        <v>0.11020000000000001</v>
      </c>
      <c r="M1648" s="61">
        <v>5000</v>
      </c>
      <c r="N1648" s="61">
        <v>1000000</v>
      </c>
    </row>
    <row r="1649" spans="1:14" ht="15" customHeight="1" x14ac:dyDescent="0.25">
      <c r="A1649" s="64" t="str">
        <f t="shared" si="25"/>
        <v>2.2-19-0-TOU-3 year APR - Reward Plus</v>
      </c>
      <c r="B1649" s="62" t="s">
        <v>13</v>
      </c>
      <c r="C1649" s="54">
        <v>19</v>
      </c>
      <c r="D1649" s="59" t="s">
        <v>28</v>
      </c>
      <c r="E1649" s="59" t="s">
        <v>87</v>
      </c>
      <c r="F1649" s="38" t="s">
        <v>88</v>
      </c>
      <c r="G1649" s="51">
        <v>2.2000000000000002</v>
      </c>
      <c r="H1649" s="60" t="s">
        <v>71</v>
      </c>
      <c r="I1649" s="39">
        <v>0.77800000000000002</v>
      </c>
      <c r="J1649" s="39">
        <v>0.17259999999999998</v>
      </c>
      <c r="K1649" s="39">
        <v>0.1389</v>
      </c>
      <c r="L1649" s="39">
        <v>0.10970000000000001</v>
      </c>
      <c r="M1649" s="61">
        <v>5000</v>
      </c>
      <c r="N1649" s="61">
        <v>1000000</v>
      </c>
    </row>
    <row r="1650" spans="1:14" ht="15" customHeight="1" x14ac:dyDescent="0.25">
      <c r="A1650" s="64" t="str">
        <f t="shared" si="25"/>
        <v>2.2-20-0-TOU-3 year APR - Reward Plus</v>
      </c>
      <c r="B1650" s="62" t="s">
        <v>13</v>
      </c>
      <c r="C1650" s="54">
        <v>20</v>
      </c>
      <c r="D1650" s="59" t="s">
        <v>29</v>
      </c>
      <c r="E1650" s="59" t="s">
        <v>87</v>
      </c>
      <c r="F1650" s="38" t="s">
        <v>88</v>
      </c>
      <c r="G1650" s="51">
        <v>2.2000000000000002</v>
      </c>
      <c r="H1650" s="60" t="s">
        <v>71</v>
      </c>
      <c r="I1650" s="39">
        <v>0.82699999999999996</v>
      </c>
      <c r="J1650" s="39">
        <v>0.17219999999999999</v>
      </c>
      <c r="K1650" s="39">
        <v>0.13869999999999999</v>
      </c>
      <c r="L1650" s="39">
        <v>0.1095</v>
      </c>
      <c r="M1650" s="61">
        <v>5000</v>
      </c>
      <c r="N1650" s="61">
        <v>1000000</v>
      </c>
    </row>
    <row r="1651" spans="1:14" ht="15" customHeight="1" x14ac:dyDescent="0.25">
      <c r="A1651" s="64" t="str">
        <f t="shared" si="25"/>
        <v>2.2-21-0-TOU-3 year APR - Reward Plus</v>
      </c>
      <c r="B1651" s="62" t="s">
        <v>13</v>
      </c>
      <c r="C1651" s="54">
        <v>21</v>
      </c>
      <c r="D1651" s="59" t="s">
        <v>30</v>
      </c>
      <c r="E1651" s="59" t="s">
        <v>87</v>
      </c>
      <c r="F1651" s="38" t="s">
        <v>88</v>
      </c>
      <c r="G1651" s="51">
        <v>2.2000000000000002</v>
      </c>
      <c r="H1651" s="60" t="s">
        <v>71</v>
      </c>
      <c r="I1651" s="39">
        <v>0.92300000000000004</v>
      </c>
      <c r="J1651" s="39">
        <v>0.18209999999999998</v>
      </c>
      <c r="K1651" s="39">
        <v>0.14659999999999998</v>
      </c>
      <c r="L1651" s="39">
        <v>0.1158</v>
      </c>
      <c r="M1651" s="61">
        <v>5000</v>
      </c>
      <c r="N1651" s="61">
        <v>1000000</v>
      </c>
    </row>
    <row r="1652" spans="1:14" ht="15" customHeight="1" x14ac:dyDescent="0.25">
      <c r="A1652" s="64" t="str">
        <f t="shared" si="25"/>
        <v>2.2-22-0-TOU-3 year APR - Reward Plus</v>
      </c>
      <c r="B1652" s="62" t="s">
        <v>13</v>
      </c>
      <c r="C1652" s="54">
        <v>22</v>
      </c>
      <c r="D1652" s="59" t="s">
        <v>31</v>
      </c>
      <c r="E1652" s="59" t="s">
        <v>87</v>
      </c>
      <c r="F1652" s="38" t="s">
        <v>88</v>
      </c>
      <c r="G1652" s="51">
        <v>2.2000000000000002</v>
      </c>
      <c r="H1652" s="60" t="s">
        <v>71</v>
      </c>
      <c r="I1652" s="39">
        <v>0.90400000000000003</v>
      </c>
      <c r="J1652" s="39">
        <v>0.1827</v>
      </c>
      <c r="K1652" s="39">
        <v>0.14709999999999998</v>
      </c>
      <c r="L1652" s="39">
        <v>0.11609999999999999</v>
      </c>
      <c r="M1652" s="61">
        <v>5000</v>
      </c>
      <c r="N1652" s="61">
        <v>1000000</v>
      </c>
    </row>
    <row r="1653" spans="1:14" ht="15" customHeight="1" x14ac:dyDescent="0.25">
      <c r="A1653" s="64" t="str">
        <f t="shared" si="25"/>
        <v>2.2-23-0-TOU-3 year APR - Reward Plus</v>
      </c>
      <c r="B1653" s="62" t="s">
        <v>13</v>
      </c>
      <c r="C1653" s="54">
        <v>23</v>
      </c>
      <c r="D1653" s="59" t="s">
        <v>32</v>
      </c>
      <c r="E1653" s="59" t="s">
        <v>87</v>
      </c>
      <c r="F1653" s="38" t="s">
        <v>88</v>
      </c>
      <c r="G1653" s="51">
        <v>2.2000000000000002</v>
      </c>
      <c r="H1653" s="60" t="s">
        <v>71</v>
      </c>
      <c r="I1653" s="39">
        <v>0.90600000000000003</v>
      </c>
      <c r="J1653" s="39">
        <v>0.17529999999999998</v>
      </c>
      <c r="K1653" s="39">
        <v>0.14109999999999998</v>
      </c>
      <c r="L1653" s="39">
        <v>0.1114</v>
      </c>
      <c r="M1653" s="61">
        <v>5000</v>
      </c>
      <c r="N1653" s="61">
        <v>1000000</v>
      </c>
    </row>
    <row r="1654" spans="1:14" ht="15" customHeight="1" x14ac:dyDescent="0.25">
      <c r="A1654" s="64" t="str">
        <f t="shared" si="25"/>
        <v>2.3-10-0-TOU-3 year APR - Reward Plus</v>
      </c>
      <c r="B1654" s="62" t="s">
        <v>13</v>
      </c>
      <c r="C1654" s="54">
        <v>10</v>
      </c>
      <c r="D1654" s="59" t="s">
        <v>14</v>
      </c>
      <c r="E1654" s="59" t="s">
        <v>87</v>
      </c>
      <c r="F1654" s="38" t="s">
        <v>88</v>
      </c>
      <c r="G1654" s="51">
        <v>2.2999999999999998</v>
      </c>
      <c r="H1654" s="60" t="s">
        <v>71</v>
      </c>
      <c r="I1654" s="39">
        <v>0.88100000000000001</v>
      </c>
      <c r="J1654" s="39">
        <v>0.17259999999999998</v>
      </c>
      <c r="K1654" s="39">
        <v>0.1389</v>
      </c>
      <c r="L1654" s="39">
        <v>0.10970000000000001</v>
      </c>
      <c r="M1654" s="61">
        <v>5000</v>
      </c>
      <c r="N1654" s="61">
        <v>1000000</v>
      </c>
    </row>
    <row r="1655" spans="1:14" ht="15" customHeight="1" x14ac:dyDescent="0.25">
      <c r="A1655" s="64" t="str">
        <f t="shared" si="25"/>
        <v>2.3-11-0-TOU-3 year APR - Reward Plus</v>
      </c>
      <c r="B1655" s="62" t="s">
        <v>13</v>
      </c>
      <c r="C1655" s="54">
        <v>11</v>
      </c>
      <c r="D1655" s="59" t="s">
        <v>20</v>
      </c>
      <c r="E1655" s="59" t="s">
        <v>87</v>
      </c>
      <c r="F1655" s="38" t="s">
        <v>88</v>
      </c>
      <c r="G1655" s="51">
        <v>2.2999999999999998</v>
      </c>
      <c r="H1655" s="60" t="s">
        <v>71</v>
      </c>
      <c r="I1655" s="39">
        <v>0.86099999999999999</v>
      </c>
      <c r="J1655" s="39">
        <v>0.17479999999999998</v>
      </c>
      <c r="K1655" s="39">
        <v>0.14069999999999999</v>
      </c>
      <c r="L1655" s="39">
        <v>0.1111</v>
      </c>
      <c r="M1655" s="61">
        <v>5000</v>
      </c>
      <c r="N1655" s="61">
        <v>1000000</v>
      </c>
    </row>
    <row r="1656" spans="1:14" ht="15" customHeight="1" x14ac:dyDescent="0.25">
      <c r="A1656" s="64" t="str">
        <f t="shared" si="25"/>
        <v>2.3-12-0-TOU-3 year APR - Reward Plus</v>
      </c>
      <c r="B1656" s="62" t="s">
        <v>13</v>
      </c>
      <c r="C1656" s="54">
        <v>12</v>
      </c>
      <c r="D1656" s="59" t="s">
        <v>21</v>
      </c>
      <c r="E1656" s="59" t="s">
        <v>87</v>
      </c>
      <c r="F1656" s="38" t="s">
        <v>88</v>
      </c>
      <c r="G1656" s="51">
        <v>2.2999999999999998</v>
      </c>
      <c r="H1656" s="60" t="s">
        <v>71</v>
      </c>
      <c r="I1656" s="39">
        <v>0.90300000000000002</v>
      </c>
      <c r="J1656" s="39">
        <v>0.17209999999999998</v>
      </c>
      <c r="K1656" s="39">
        <v>0.1386</v>
      </c>
      <c r="L1656" s="39">
        <v>0.1094</v>
      </c>
      <c r="M1656" s="61">
        <v>5000</v>
      </c>
      <c r="N1656" s="61">
        <v>1000000</v>
      </c>
    </row>
    <row r="1657" spans="1:14" ht="15" customHeight="1" x14ac:dyDescent="0.25">
      <c r="A1657" s="64" t="str">
        <f t="shared" si="25"/>
        <v>2.3-13-0-TOU-3 year APR - Reward Plus</v>
      </c>
      <c r="B1657" s="62" t="s">
        <v>13</v>
      </c>
      <c r="C1657" s="54">
        <v>13</v>
      </c>
      <c r="D1657" s="59" t="s">
        <v>22</v>
      </c>
      <c r="E1657" s="59" t="s">
        <v>87</v>
      </c>
      <c r="F1657" s="38" t="s">
        <v>88</v>
      </c>
      <c r="G1657" s="51">
        <v>2.2999999999999998</v>
      </c>
      <c r="H1657" s="60" t="s">
        <v>71</v>
      </c>
      <c r="I1657" s="39">
        <v>0.88100000000000001</v>
      </c>
      <c r="J1657" s="39">
        <v>0.1842</v>
      </c>
      <c r="K1657" s="39">
        <v>0.14829999999999999</v>
      </c>
      <c r="L1657" s="39">
        <v>0.11710000000000001</v>
      </c>
      <c r="M1657" s="61">
        <v>5000</v>
      </c>
      <c r="N1657" s="61">
        <v>1000000</v>
      </c>
    </row>
    <row r="1658" spans="1:14" ht="15" customHeight="1" x14ac:dyDescent="0.25">
      <c r="A1658" s="64" t="str">
        <f t="shared" si="25"/>
        <v>2.3-14-0-TOU-3 year APR - Reward Plus</v>
      </c>
      <c r="B1658" s="62" t="s">
        <v>13</v>
      </c>
      <c r="C1658" s="54">
        <v>14</v>
      </c>
      <c r="D1658" s="59" t="s">
        <v>23</v>
      </c>
      <c r="E1658" s="59" t="s">
        <v>87</v>
      </c>
      <c r="F1658" s="38" t="s">
        <v>88</v>
      </c>
      <c r="G1658" s="51">
        <v>2.2999999999999998</v>
      </c>
      <c r="H1658" s="60" t="s">
        <v>71</v>
      </c>
      <c r="I1658" s="39">
        <v>0.89</v>
      </c>
      <c r="J1658" s="39">
        <v>0.17579999999999998</v>
      </c>
      <c r="K1658" s="39">
        <v>0.14149999999999999</v>
      </c>
      <c r="L1658" s="39">
        <v>0.11170000000000001</v>
      </c>
      <c r="M1658" s="61">
        <v>5000</v>
      </c>
      <c r="N1658" s="61">
        <v>1000000</v>
      </c>
    </row>
    <row r="1659" spans="1:14" ht="15" customHeight="1" x14ac:dyDescent="0.25">
      <c r="A1659" s="64" t="str">
        <f t="shared" si="25"/>
        <v>2.3-15-0-TOU-3 year APR - Reward Plus</v>
      </c>
      <c r="B1659" s="62" t="s">
        <v>13</v>
      </c>
      <c r="C1659" s="54">
        <v>15</v>
      </c>
      <c r="D1659" s="59" t="s">
        <v>24</v>
      </c>
      <c r="E1659" s="59" t="s">
        <v>87</v>
      </c>
      <c r="F1659" s="38" t="s">
        <v>88</v>
      </c>
      <c r="G1659" s="51">
        <v>2.2999999999999998</v>
      </c>
      <c r="H1659" s="60" t="s">
        <v>71</v>
      </c>
      <c r="I1659" s="39">
        <v>0.96</v>
      </c>
      <c r="J1659" s="39">
        <v>0.17659999999999998</v>
      </c>
      <c r="K1659" s="39">
        <v>0.14219999999999999</v>
      </c>
      <c r="L1659" s="39">
        <v>0.11219999999999999</v>
      </c>
      <c r="M1659" s="61">
        <v>5000</v>
      </c>
      <c r="N1659" s="61">
        <v>1000000</v>
      </c>
    </row>
    <row r="1660" spans="1:14" ht="15" customHeight="1" x14ac:dyDescent="0.25">
      <c r="A1660" s="64" t="str">
        <f t="shared" si="25"/>
        <v>2.3-16-0-TOU-3 year APR - Reward Plus</v>
      </c>
      <c r="B1660" s="62" t="s">
        <v>13</v>
      </c>
      <c r="C1660" s="54">
        <v>16</v>
      </c>
      <c r="D1660" s="59" t="s">
        <v>25</v>
      </c>
      <c r="E1660" s="59" t="s">
        <v>87</v>
      </c>
      <c r="F1660" s="38" t="s">
        <v>88</v>
      </c>
      <c r="G1660" s="51">
        <v>2.2999999999999998</v>
      </c>
      <c r="H1660" s="60" t="s">
        <v>71</v>
      </c>
      <c r="I1660" s="39">
        <v>0.72699999999999998</v>
      </c>
      <c r="J1660" s="39">
        <v>0.1754</v>
      </c>
      <c r="K1660" s="39">
        <v>0.14119999999999999</v>
      </c>
      <c r="L1660" s="39">
        <v>0.1115</v>
      </c>
      <c r="M1660" s="61">
        <v>5000</v>
      </c>
      <c r="N1660" s="61">
        <v>1000000</v>
      </c>
    </row>
    <row r="1661" spans="1:14" ht="15" customHeight="1" x14ac:dyDescent="0.25">
      <c r="A1661" s="64" t="str">
        <f t="shared" si="25"/>
        <v>2.3-17-0-TOU-3 year APR - Reward Plus</v>
      </c>
      <c r="B1661" s="62" t="s">
        <v>13</v>
      </c>
      <c r="C1661" s="54">
        <v>17</v>
      </c>
      <c r="D1661" s="59" t="s">
        <v>26</v>
      </c>
      <c r="E1661" s="59" t="s">
        <v>87</v>
      </c>
      <c r="F1661" s="38" t="s">
        <v>88</v>
      </c>
      <c r="G1661" s="51">
        <v>2.2999999999999998</v>
      </c>
      <c r="H1661" s="60" t="s">
        <v>71</v>
      </c>
      <c r="I1661" s="39">
        <v>1.484</v>
      </c>
      <c r="J1661" s="39">
        <v>0.1938</v>
      </c>
      <c r="K1661" s="39">
        <v>0.156</v>
      </c>
      <c r="L1661" s="39">
        <v>0.1232</v>
      </c>
      <c r="M1661" s="61">
        <v>5000</v>
      </c>
      <c r="N1661" s="61">
        <v>1000000</v>
      </c>
    </row>
    <row r="1662" spans="1:14" ht="15" customHeight="1" x14ac:dyDescent="0.25">
      <c r="A1662" s="64" t="str">
        <f t="shared" si="25"/>
        <v>2.3-18-0-TOU-3 year APR - Reward Plus</v>
      </c>
      <c r="B1662" s="62" t="s">
        <v>13</v>
      </c>
      <c r="C1662" s="54">
        <v>18</v>
      </c>
      <c r="D1662" s="59" t="s">
        <v>27</v>
      </c>
      <c r="E1662" s="59" t="s">
        <v>87</v>
      </c>
      <c r="F1662" s="38" t="s">
        <v>88</v>
      </c>
      <c r="G1662" s="51">
        <v>2.2999999999999998</v>
      </c>
      <c r="H1662" s="60" t="s">
        <v>71</v>
      </c>
      <c r="I1662" s="39">
        <v>0.89900000000000002</v>
      </c>
      <c r="J1662" s="39">
        <v>0.17459999999999998</v>
      </c>
      <c r="K1662" s="39">
        <v>0.1406</v>
      </c>
      <c r="L1662" s="39">
        <v>0.111</v>
      </c>
      <c r="M1662" s="61">
        <v>5000</v>
      </c>
      <c r="N1662" s="61">
        <v>1000000</v>
      </c>
    </row>
    <row r="1663" spans="1:14" ht="15" customHeight="1" x14ac:dyDescent="0.25">
      <c r="A1663" s="64" t="str">
        <f t="shared" si="25"/>
        <v>2.3-19-0-TOU-3 year APR - Reward Plus</v>
      </c>
      <c r="B1663" s="62" t="s">
        <v>13</v>
      </c>
      <c r="C1663" s="54">
        <v>19</v>
      </c>
      <c r="D1663" s="59" t="s">
        <v>28</v>
      </c>
      <c r="E1663" s="59" t="s">
        <v>87</v>
      </c>
      <c r="F1663" s="38" t="s">
        <v>88</v>
      </c>
      <c r="G1663" s="51">
        <v>2.2999999999999998</v>
      </c>
      <c r="H1663" s="60" t="s">
        <v>71</v>
      </c>
      <c r="I1663" s="39">
        <v>0.77800000000000002</v>
      </c>
      <c r="J1663" s="39">
        <v>0.17369999999999999</v>
      </c>
      <c r="K1663" s="39">
        <v>0.1399</v>
      </c>
      <c r="L1663" s="39">
        <v>0.1104</v>
      </c>
      <c r="M1663" s="61">
        <v>5000</v>
      </c>
      <c r="N1663" s="61">
        <v>1000000</v>
      </c>
    </row>
    <row r="1664" spans="1:14" ht="15" customHeight="1" x14ac:dyDescent="0.25">
      <c r="A1664" s="64" t="str">
        <f t="shared" si="25"/>
        <v>2.3-20-0-TOU-3 year APR - Reward Plus</v>
      </c>
      <c r="B1664" s="62" t="s">
        <v>13</v>
      </c>
      <c r="C1664" s="54">
        <v>20</v>
      </c>
      <c r="D1664" s="59" t="s">
        <v>29</v>
      </c>
      <c r="E1664" s="59" t="s">
        <v>87</v>
      </c>
      <c r="F1664" s="38" t="s">
        <v>88</v>
      </c>
      <c r="G1664" s="51">
        <v>2.2999999999999998</v>
      </c>
      <c r="H1664" s="60" t="s">
        <v>71</v>
      </c>
      <c r="I1664" s="39">
        <v>0.82699999999999996</v>
      </c>
      <c r="J1664" s="39">
        <v>0.1734</v>
      </c>
      <c r="K1664" s="39">
        <v>0.1396</v>
      </c>
      <c r="L1664" s="39">
        <v>0.11020000000000001</v>
      </c>
      <c r="M1664" s="61">
        <v>5000</v>
      </c>
      <c r="N1664" s="61">
        <v>1000000</v>
      </c>
    </row>
    <row r="1665" spans="1:14" ht="15" customHeight="1" x14ac:dyDescent="0.25">
      <c r="A1665" s="64" t="str">
        <f t="shared" si="25"/>
        <v>2.3-21-0-TOU-3 year APR - Reward Plus</v>
      </c>
      <c r="B1665" s="62" t="s">
        <v>13</v>
      </c>
      <c r="C1665" s="54">
        <v>21</v>
      </c>
      <c r="D1665" s="59" t="s">
        <v>30</v>
      </c>
      <c r="E1665" s="59" t="s">
        <v>87</v>
      </c>
      <c r="F1665" s="38" t="s">
        <v>88</v>
      </c>
      <c r="G1665" s="51">
        <v>2.2999999999999998</v>
      </c>
      <c r="H1665" s="60" t="s">
        <v>71</v>
      </c>
      <c r="I1665" s="39">
        <v>0.92300000000000004</v>
      </c>
      <c r="J1665" s="39">
        <v>0.18329999999999999</v>
      </c>
      <c r="K1665" s="39">
        <v>0.14759999999999998</v>
      </c>
      <c r="L1665" s="39">
        <v>0.11650000000000001</v>
      </c>
      <c r="M1665" s="61">
        <v>5000</v>
      </c>
      <c r="N1665" s="61">
        <v>1000000</v>
      </c>
    </row>
    <row r="1666" spans="1:14" ht="15" customHeight="1" x14ac:dyDescent="0.25">
      <c r="A1666" s="64" t="str">
        <f t="shared" si="25"/>
        <v>2.3-22-0-TOU-3 year APR - Reward Plus</v>
      </c>
      <c r="B1666" s="62" t="s">
        <v>13</v>
      </c>
      <c r="C1666" s="54">
        <v>22</v>
      </c>
      <c r="D1666" s="59" t="s">
        <v>31</v>
      </c>
      <c r="E1666" s="59" t="s">
        <v>87</v>
      </c>
      <c r="F1666" s="38" t="s">
        <v>88</v>
      </c>
      <c r="G1666" s="51">
        <v>2.2999999999999998</v>
      </c>
      <c r="H1666" s="60" t="s">
        <v>71</v>
      </c>
      <c r="I1666" s="39">
        <v>0.90400000000000003</v>
      </c>
      <c r="J1666" s="39">
        <v>0.18389999999999998</v>
      </c>
      <c r="K1666" s="39">
        <v>0.14809999999999998</v>
      </c>
      <c r="L1666" s="39">
        <v>0.1169</v>
      </c>
      <c r="M1666" s="61">
        <v>5000</v>
      </c>
      <c r="N1666" s="61">
        <v>1000000</v>
      </c>
    </row>
    <row r="1667" spans="1:14" ht="15" customHeight="1" x14ac:dyDescent="0.25">
      <c r="A1667" s="64" t="str">
        <f t="shared" ref="A1667:A1730" si="26">IF(E1667="OP","",CONCATENATE(G1667,"-",C1667,"-",RIGHT(F1667,1),"-",E1667,"-",H1667))</f>
        <v>2.3-23-0-TOU-3 year APR - Reward Plus</v>
      </c>
      <c r="B1667" s="62" t="s">
        <v>13</v>
      </c>
      <c r="C1667" s="54">
        <v>23</v>
      </c>
      <c r="D1667" s="59" t="s">
        <v>32</v>
      </c>
      <c r="E1667" s="59" t="s">
        <v>87</v>
      </c>
      <c r="F1667" s="38" t="s">
        <v>88</v>
      </c>
      <c r="G1667" s="51">
        <v>2.2999999999999998</v>
      </c>
      <c r="H1667" s="60" t="s">
        <v>71</v>
      </c>
      <c r="I1667" s="39">
        <v>0.90600000000000003</v>
      </c>
      <c r="J1667" s="39">
        <v>0.17649999999999999</v>
      </c>
      <c r="K1667" s="39">
        <v>0.14209999999999998</v>
      </c>
      <c r="L1667" s="39">
        <v>0.11220000000000001</v>
      </c>
      <c r="M1667" s="61">
        <v>5000</v>
      </c>
      <c r="N1667" s="61">
        <v>1000000</v>
      </c>
    </row>
    <row r="1668" spans="1:14" ht="15" customHeight="1" x14ac:dyDescent="0.25">
      <c r="A1668" s="64" t="str">
        <f t="shared" si="26"/>
        <v>2.4-10-0-TOU-3 year APR - Reward Plus</v>
      </c>
      <c r="B1668" s="62" t="s">
        <v>13</v>
      </c>
      <c r="C1668" s="54">
        <v>10</v>
      </c>
      <c r="D1668" s="59" t="s">
        <v>14</v>
      </c>
      <c r="E1668" s="59" t="s">
        <v>87</v>
      </c>
      <c r="F1668" s="38" t="s">
        <v>88</v>
      </c>
      <c r="G1668" s="51">
        <v>2.4</v>
      </c>
      <c r="H1668" s="60" t="s">
        <v>71</v>
      </c>
      <c r="I1668" s="39">
        <v>0.88100000000000001</v>
      </c>
      <c r="J1668" s="39">
        <v>0.17369999999999999</v>
      </c>
      <c r="K1668" s="39">
        <v>0.1399</v>
      </c>
      <c r="L1668" s="39">
        <v>0.1104</v>
      </c>
      <c r="M1668" s="61">
        <v>5000</v>
      </c>
      <c r="N1668" s="61">
        <v>1000000</v>
      </c>
    </row>
    <row r="1669" spans="1:14" ht="15" customHeight="1" x14ac:dyDescent="0.25">
      <c r="A1669" s="64" t="str">
        <f t="shared" si="26"/>
        <v>2.4-11-0-TOU-3 year APR - Reward Plus</v>
      </c>
      <c r="B1669" s="62" t="s">
        <v>13</v>
      </c>
      <c r="C1669" s="54">
        <v>11</v>
      </c>
      <c r="D1669" s="59" t="s">
        <v>20</v>
      </c>
      <c r="E1669" s="59" t="s">
        <v>87</v>
      </c>
      <c r="F1669" s="38" t="s">
        <v>88</v>
      </c>
      <c r="G1669" s="51">
        <v>2.4</v>
      </c>
      <c r="H1669" s="60" t="s">
        <v>71</v>
      </c>
      <c r="I1669" s="39">
        <v>0.86099999999999999</v>
      </c>
      <c r="J1669" s="39">
        <v>0.17599999999999999</v>
      </c>
      <c r="K1669" s="39">
        <v>0.14169999999999999</v>
      </c>
      <c r="L1669" s="39">
        <v>0.1119</v>
      </c>
      <c r="M1669" s="61">
        <v>5000</v>
      </c>
      <c r="N1669" s="61">
        <v>1000000</v>
      </c>
    </row>
    <row r="1670" spans="1:14" ht="15" customHeight="1" x14ac:dyDescent="0.25">
      <c r="A1670" s="64" t="str">
        <f t="shared" si="26"/>
        <v>2.4-12-0-TOU-3 year APR - Reward Plus</v>
      </c>
      <c r="B1670" s="62" t="s">
        <v>13</v>
      </c>
      <c r="C1670" s="54">
        <v>12</v>
      </c>
      <c r="D1670" s="59" t="s">
        <v>21</v>
      </c>
      <c r="E1670" s="59" t="s">
        <v>87</v>
      </c>
      <c r="F1670" s="38" t="s">
        <v>88</v>
      </c>
      <c r="G1670" s="51">
        <v>2.4</v>
      </c>
      <c r="H1670" s="60" t="s">
        <v>71</v>
      </c>
      <c r="I1670" s="39">
        <v>0.90300000000000002</v>
      </c>
      <c r="J1670" s="39">
        <v>0.17329999999999998</v>
      </c>
      <c r="K1670" s="39">
        <v>0.13949999999999999</v>
      </c>
      <c r="L1670" s="39">
        <v>0.1101</v>
      </c>
      <c r="M1670" s="61">
        <v>5000</v>
      </c>
      <c r="N1670" s="61">
        <v>1000000</v>
      </c>
    </row>
    <row r="1671" spans="1:14" ht="15" customHeight="1" x14ac:dyDescent="0.25">
      <c r="A1671" s="64" t="str">
        <f t="shared" si="26"/>
        <v>2.4-13-0-TOU-3 year APR - Reward Plus</v>
      </c>
      <c r="B1671" s="62" t="s">
        <v>13</v>
      </c>
      <c r="C1671" s="54">
        <v>13</v>
      </c>
      <c r="D1671" s="59" t="s">
        <v>22</v>
      </c>
      <c r="E1671" s="59" t="s">
        <v>87</v>
      </c>
      <c r="F1671" s="38" t="s">
        <v>88</v>
      </c>
      <c r="G1671" s="51">
        <v>2.4</v>
      </c>
      <c r="H1671" s="60" t="s">
        <v>71</v>
      </c>
      <c r="I1671" s="39">
        <v>0.88100000000000001</v>
      </c>
      <c r="J1671" s="39">
        <v>0.18539999999999998</v>
      </c>
      <c r="K1671" s="39">
        <v>0.14929999999999999</v>
      </c>
      <c r="L1671" s="39">
        <v>0.1179</v>
      </c>
      <c r="M1671" s="61">
        <v>5000</v>
      </c>
      <c r="N1671" s="61">
        <v>1000000</v>
      </c>
    </row>
    <row r="1672" spans="1:14" ht="15" customHeight="1" x14ac:dyDescent="0.25">
      <c r="A1672" s="64" t="str">
        <f t="shared" si="26"/>
        <v>2.4-14-0-TOU-3 year APR - Reward Plus</v>
      </c>
      <c r="B1672" s="62" t="s">
        <v>13</v>
      </c>
      <c r="C1672" s="54">
        <v>14</v>
      </c>
      <c r="D1672" s="59" t="s">
        <v>23</v>
      </c>
      <c r="E1672" s="59" t="s">
        <v>87</v>
      </c>
      <c r="F1672" s="38" t="s">
        <v>88</v>
      </c>
      <c r="G1672" s="51">
        <v>2.4</v>
      </c>
      <c r="H1672" s="60" t="s">
        <v>71</v>
      </c>
      <c r="I1672" s="39">
        <v>0.89</v>
      </c>
      <c r="J1672" s="39">
        <v>0.1769</v>
      </c>
      <c r="K1672" s="39">
        <v>0.14249999999999999</v>
      </c>
      <c r="L1672" s="39">
        <v>0.1125</v>
      </c>
      <c r="M1672" s="61">
        <v>5000</v>
      </c>
      <c r="N1672" s="61">
        <v>1000000</v>
      </c>
    </row>
    <row r="1673" spans="1:14" ht="15" customHeight="1" x14ac:dyDescent="0.25">
      <c r="A1673" s="64" t="str">
        <f t="shared" si="26"/>
        <v>2.4-15-0-TOU-3 year APR - Reward Plus</v>
      </c>
      <c r="B1673" s="62" t="s">
        <v>13</v>
      </c>
      <c r="C1673" s="54">
        <v>15</v>
      </c>
      <c r="D1673" s="59" t="s">
        <v>24</v>
      </c>
      <c r="E1673" s="59" t="s">
        <v>87</v>
      </c>
      <c r="F1673" s="38" t="s">
        <v>88</v>
      </c>
      <c r="G1673" s="51">
        <v>2.4</v>
      </c>
      <c r="H1673" s="60" t="s">
        <v>71</v>
      </c>
      <c r="I1673" s="39">
        <v>0.96</v>
      </c>
      <c r="J1673" s="39">
        <v>0.17779999999999999</v>
      </c>
      <c r="K1673" s="39">
        <v>0.14309999999999998</v>
      </c>
      <c r="L1673" s="39">
        <v>0.113</v>
      </c>
      <c r="M1673" s="61">
        <v>5000</v>
      </c>
      <c r="N1673" s="61">
        <v>1000000</v>
      </c>
    </row>
    <row r="1674" spans="1:14" ht="15" customHeight="1" x14ac:dyDescent="0.25">
      <c r="A1674" s="64" t="str">
        <f t="shared" si="26"/>
        <v>2.4-16-0-TOU-3 year APR - Reward Plus</v>
      </c>
      <c r="B1674" s="62" t="s">
        <v>13</v>
      </c>
      <c r="C1674" s="54">
        <v>16</v>
      </c>
      <c r="D1674" s="59" t="s">
        <v>25</v>
      </c>
      <c r="E1674" s="59" t="s">
        <v>87</v>
      </c>
      <c r="F1674" s="38" t="s">
        <v>88</v>
      </c>
      <c r="G1674" s="51">
        <v>2.4</v>
      </c>
      <c r="H1674" s="60" t="s">
        <v>71</v>
      </c>
      <c r="I1674" s="39">
        <v>0.72699999999999998</v>
      </c>
      <c r="J1674" s="39">
        <v>0.17659999999999998</v>
      </c>
      <c r="K1674" s="39">
        <v>0.14219999999999999</v>
      </c>
      <c r="L1674" s="39">
        <v>0.11219999999999999</v>
      </c>
      <c r="M1674" s="61">
        <v>5000</v>
      </c>
      <c r="N1674" s="61">
        <v>1000000</v>
      </c>
    </row>
    <row r="1675" spans="1:14" ht="15" customHeight="1" x14ac:dyDescent="0.25">
      <c r="A1675" s="64" t="str">
        <f t="shared" si="26"/>
        <v>2.4-17-0-TOU-3 year APR - Reward Plus</v>
      </c>
      <c r="B1675" s="62" t="s">
        <v>13</v>
      </c>
      <c r="C1675" s="54">
        <v>17</v>
      </c>
      <c r="D1675" s="59" t="s">
        <v>26</v>
      </c>
      <c r="E1675" s="59" t="s">
        <v>87</v>
      </c>
      <c r="F1675" s="38" t="s">
        <v>88</v>
      </c>
      <c r="G1675" s="51">
        <v>2.4</v>
      </c>
      <c r="H1675" s="60" t="s">
        <v>71</v>
      </c>
      <c r="I1675" s="39">
        <v>1.484</v>
      </c>
      <c r="J1675" s="39">
        <v>0.19499999999999998</v>
      </c>
      <c r="K1675" s="39">
        <v>0.157</v>
      </c>
      <c r="L1675" s="39">
        <v>0.1239</v>
      </c>
      <c r="M1675" s="61">
        <v>5000</v>
      </c>
      <c r="N1675" s="61">
        <v>1000000</v>
      </c>
    </row>
    <row r="1676" spans="1:14" ht="15" customHeight="1" x14ac:dyDescent="0.25">
      <c r="A1676" s="64" t="str">
        <f t="shared" si="26"/>
        <v>2.4-18-0-TOU-3 year APR - Reward Plus</v>
      </c>
      <c r="B1676" s="62" t="s">
        <v>13</v>
      </c>
      <c r="C1676" s="54">
        <v>18</v>
      </c>
      <c r="D1676" s="59" t="s">
        <v>27</v>
      </c>
      <c r="E1676" s="59" t="s">
        <v>87</v>
      </c>
      <c r="F1676" s="38" t="s">
        <v>88</v>
      </c>
      <c r="G1676" s="51">
        <v>2.4</v>
      </c>
      <c r="H1676" s="60" t="s">
        <v>71</v>
      </c>
      <c r="I1676" s="39">
        <v>0.89900000000000002</v>
      </c>
      <c r="J1676" s="39">
        <v>0.17579999999999998</v>
      </c>
      <c r="K1676" s="39">
        <v>0.14149999999999999</v>
      </c>
      <c r="L1676" s="39">
        <v>0.11170000000000001</v>
      </c>
      <c r="M1676" s="61">
        <v>5000</v>
      </c>
      <c r="N1676" s="61">
        <v>1000000</v>
      </c>
    </row>
    <row r="1677" spans="1:14" ht="15" customHeight="1" x14ac:dyDescent="0.25">
      <c r="A1677" s="64" t="str">
        <f t="shared" si="26"/>
        <v>2.4-19-0-TOU-3 year APR - Reward Plus</v>
      </c>
      <c r="B1677" s="62" t="s">
        <v>13</v>
      </c>
      <c r="C1677" s="54">
        <v>19</v>
      </c>
      <c r="D1677" s="59" t="s">
        <v>28</v>
      </c>
      <c r="E1677" s="59" t="s">
        <v>87</v>
      </c>
      <c r="F1677" s="38" t="s">
        <v>88</v>
      </c>
      <c r="G1677" s="51">
        <v>2.4</v>
      </c>
      <c r="H1677" s="60" t="s">
        <v>71</v>
      </c>
      <c r="I1677" s="39">
        <v>0.77800000000000002</v>
      </c>
      <c r="J1677" s="39">
        <v>0.1749</v>
      </c>
      <c r="K1677" s="39">
        <v>0.14079999999999998</v>
      </c>
      <c r="L1677" s="39">
        <v>0.11120000000000001</v>
      </c>
      <c r="M1677" s="61">
        <v>5000</v>
      </c>
      <c r="N1677" s="61">
        <v>1000000</v>
      </c>
    </row>
    <row r="1678" spans="1:14" ht="15" customHeight="1" x14ac:dyDescent="0.25">
      <c r="A1678" s="64" t="str">
        <f t="shared" si="26"/>
        <v>2.4-20-0-TOU-3 year APR - Reward Plus</v>
      </c>
      <c r="B1678" s="62" t="s">
        <v>13</v>
      </c>
      <c r="C1678" s="54">
        <v>20</v>
      </c>
      <c r="D1678" s="59" t="s">
        <v>29</v>
      </c>
      <c r="E1678" s="59" t="s">
        <v>87</v>
      </c>
      <c r="F1678" s="38" t="s">
        <v>88</v>
      </c>
      <c r="G1678" s="51">
        <v>2.4</v>
      </c>
      <c r="H1678" s="60" t="s">
        <v>71</v>
      </c>
      <c r="I1678" s="39">
        <v>0.82699999999999996</v>
      </c>
      <c r="J1678" s="39">
        <v>0.17459999999999998</v>
      </c>
      <c r="K1678" s="39">
        <v>0.1406</v>
      </c>
      <c r="L1678" s="39">
        <v>0.111</v>
      </c>
      <c r="M1678" s="61">
        <v>5000</v>
      </c>
      <c r="N1678" s="61">
        <v>1000000</v>
      </c>
    </row>
    <row r="1679" spans="1:14" ht="15" customHeight="1" x14ac:dyDescent="0.25">
      <c r="A1679" s="64" t="str">
        <f t="shared" si="26"/>
        <v>2.4-21-0-TOU-3 year APR - Reward Plus</v>
      </c>
      <c r="B1679" s="62" t="s">
        <v>13</v>
      </c>
      <c r="C1679" s="54">
        <v>21</v>
      </c>
      <c r="D1679" s="59" t="s">
        <v>30</v>
      </c>
      <c r="E1679" s="59" t="s">
        <v>87</v>
      </c>
      <c r="F1679" s="38" t="s">
        <v>88</v>
      </c>
      <c r="G1679" s="51">
        <v>2.4</v>
      </c>
      <c r="H1679" s="60" t="s">
        <v>71</v>
      </c>
      <c r="I1679" s="39">
        <v>0.92300000000000004</v>
      </c>
      <c r="J1679" s="39">
        <v>0.1845</v>
      </c>
      <c r="K1679" s="39">
        <v>0.14849999999999999</v>
      </c>
      <c r="L1679" s="39">
        <v>0.1173</v>
      </c>
      <c r="M1679" s="61">
        <v>5000</v>
      </c>
      <c r="N1679" s="61">
        <v>1000000</v>
      </c>
    </row>
    <row r="1680" spans="1:14" ht="15" customHeight="1" x14ac:dyDescent="0.25">
      <c r="A1680" s="64" t="str">
        <f t="shared" si="26"/>
        <v>2.4-22-0-TOU-3 year APR - Reward Plus</v>
      </c>
      <c r="B1680" s="62" t="s">
        <v>13</v>
      </c>
      <c r="C1680" s="54">
        <v>22</v>
      </c>
      <c r="D1680" s="59" t="s">
        <v>31</v>
      </c>
      <c r="E1680" s="59" t="s">
        <v>87</v>
      </c>
      <c r="F1680" s="38" t="s">
        <v>88</v>
      </c>
      <c r="G1680" s="51">
        <v>2.4</v>
      </c>
      <c r="H1680" s="60" t="s">
        <v>71</v>
      </c>
      <c r="I1680" s="39">
        <v>0.90400000000000003</v>
      </c>
      <c r="J1680" s="39">
        <v>0.18509999999999999</v>
      </c>
      <c r="K1680" s="39">
        <v>0.14899999999999999</v>
      </c>
      <c r="L1680" s="39">
        <v>0.1176</v>
      </c>
      <c r="M1680" s="61">
        <v>5000</v>
      </c>
      <c r="N1680" s="61">
        <v>1000000</v>
      </c>
    </row>
    <row r="1681" spans="1:14" ht="15" customHeight="1" x14ac:dyDescent="0.25">
      <c r="A1681" s="64" t="str">
        <f t="shared" si="26"/>
        <v>2.4-23-0-TOU-3 year APR - Reward Plus</v>
      </c>
      <c r="B1681" s="62" t="s">
        <v>13</v>
      </c>
      <c r="C1681" s="54">
        <v>23</v>
      </c>
      <c r="D1681" s="59" t="s">
        <v>32</v>
      </c>
      <c r="E1681" s="59" t="s">
        <v>87</v>
      </c>
      <c r="F1681" s="38" t="s">
        <v>88</v>
      </c>
      <c r="G1681" s="51">
        <v>2.4</v>
      </c>
      <c r="H1681" s="60" t="s">
        <v>71</v>
      </c>
      <c r="I1681" s="39">
        <v>0.90600000000000003</v>
      </c>
      <c r="J1681" s="39">
        <v>0.17759999999999998</v>
      </c>
      <c r="K1681" s="39">
        <v>0.14299999999999999</v>
      </c>
      <c r="L1681" s="39">
        <v>0.1129</v>
      </c>
      <c r="M1681" s="61">
        <v>5000</v>
      </c>
      <c r="N1681" s="61">
        <v>1000000</v>
      </c>
    </row>
    <row r="1682" spans="1:14" ht="15" customHeight="1" x14ac:dyDescent="0.25">
      <c r="A1682" s="64" t="str">
        <f t="shared" si="26"/>
        <v>2.5-10-0-TOU-3 year APR - Reward Plus</v>
      </c>
      <c r="B1682" s="62" t="s">
        <v>13</v>
      </c>
      <c r="C1682" s="54">
        <v>10</v>
      </c>
      <c r="D1682" s="59" t="s">
        <v>14</v>
      </c>
      <c r="E1682" s="59" t="s">
        <v>87</v>
      </c>
      <c r="F1682" s="38" t="s">
        <v>88</v>
      </c>
      <c r="G1682" s="51">
        <v>2.5</v>
      </c>
      <c r="H1682" s="60" t="s">
        <v>71</v>
      </c>
      <c r="I1682" s="39">
        <v>0.88100000000000001</v>
      </c>
      <c r="J1682" s="39">
        <v>0.1749</v>
      </c>
      <c r="K1682" s="39">
        <v>0.14079999999999998</v>
      </c>
      <c r="L1682" s="39">
        <v>0.11120000000000001</v>
      </c>
      <c r="M1682" s="61">
        <v>5000</v>
      </c>
      <c r="N1682" s="61">
        <v>1000000</v>
      </c>
    </row>
    <row r="1683" spans="1:14" ht="15" customHeight="1" x14ac:dyDescent="0.25">
      <c r="A1683" s="64" t="str">
        <f t="shared" si="26"/>
        <v>2.5-11-0-TOU-3 year APR - Reward Plus</v>
      </c>
      <c r="B1683" s="62" t="s">
        <v>13</v>
      </c>
      <c r="C1683" s="54">
        <v>11</v>
      </c>
      <c r="D1683" s="59" t="s">
        <v>20</v>
      </c>
      <c r="E1683" s="59" t="s">
        <v>87</v>
      </c>
      <c r="F1683" s="38" t="s">
        <v>88</v>
      </c>
      <c r="G1683" s="51">
        <v>2.5</v>
      </c>
      <c r="H1683" s="60" t="s">
        <v>71</v>
      </c>
      <c r="I1683" s="39">
        <v>0.86099999999999999</v>
      </c>
      <c r="J1683" s="39">
        <v>0.1772</v>
      </c>
      <c r="K1683" s="39">
        <v>0.14259999999999998</v>
      </c>
      <c r="L1683" s="39">
        <v>0.11260000000000001</v>
      </c>
      <c r="M1683" s="61">
        <v>5000</v>
      </c>
      <c r="N1683" s="61">
        <v>1000000</v>
      </c>
    </row>
    <row r="1684" spans="1:14" ht="15" customHeight="1" x14ac:dyDescent="0.25">
      <c r="A1684" s="64" t="str">
        <f t="shared" si="26"/>
        <v>2.5-12-0-TOU-3 year APR - Reward Plus</v>
      </c>
      <c r="B1684" s="62" t="s">
        <v>13</v>
      </c>
      <c r="C1684" s="54">
        <v>12</v>
      </c>
      <c r="D1684" s="59" t="s">
        <v>21</v>
      </c>
      <c r="E1684" s="59" t="s">
        <v>87</v>
      </c>
      <c r="F1684" s="38" t="s">
        <v>88</v>
      </c>
      <c r="G1684" s="51">
        <v>2.5</v>
      </c>
      <c r="H1684" s="60" t="s">
        <v>71</v>
      </c>
      <c r="I1684" s="39">
        <v>0.90300000000000002</v>
      </c>
      <c r="J1684" s="39">
        <v>0.17449999999999999</v>
      </c>
      <c r="K1684" s="39">
        <v>0.14049999999999999</v>
      </c>
      <c r="L1684" s="39">
        <v>0.1109</v>
      </c>
      <c r="M1684" s="61">
        <v>5000</v>
      </c>
      <c r="N1684" s="61">
        <v>1000000</v>
      </c>
    </row>
    <row r="1685" spans="1:14" ht="15" customHeight="1" x14ac:dyDescent="0.25">
      <c r="A1685" s="64" t="str">
        <f t="shared" si="26"/>
        <v>2.5-13-0-TOU-3 year APR - Reward Plus</v>
      </c>
      <c r="B1685" s="62" t="s">
        <v>13</v>
      </c>
      <c r="C1685" s="54">
        <v>13</v>
      </c>
      <c r="D1685" s="59" t="s">
        <v>22</v>
      </c>
      <c r="E1685" s="59" t="s">
        <v>87</v>
      </c>
      <c r="F1685" s="38" t="s">
        <v>88</v>
      </c>
      <c r="G1685" s="51">
        <v>2.5</v>
      </c>
      <c r="H1685" s="60" t="s">
        <v>71</v>
      </c>
      <c r="I1685" s="39">
        <v>0.88100000000000001</v>
      </c>
      <c r="J1685" s="39">
        <v>0.18659999999999999</v>
      </c>
      <c r="K1685" s="39">
        <v>0.1502</v>
      </c>
      <c r="L1685" s="39">
        <v>0.1186</v>
      </c>
      <c r="M1685" s="61">
        <v>5000</v>
      </c>
      <c r="N1685" s="61">
        <v>1000000</v>
      </c>
    </row>
    <row r="1686" spans="1:14" ht="15" customHeight="1" x14ac:dyDescent="0.25">
      <c r="A1686" s="64" t="str">
        <f t="shared" si="26"/>
        <v>2.5-14-0-TOU-3 year APR - Reward Plus</v>
      </c>
      <c r="B1686" s="62" t="s">
        <v>13</v>
      </c>
      <c r="C1686" s="54">
        <v>14</v>
      </c>
      <c r="D1686" s="59" t="s">
        <v>23</v>
      </c>
      <c r="E1686" s="59" t="s">
        <v>87</v>
      </c>
      <c r="F1686" s="38" t="s">
        <v>88</v>
      </c>
      <c r="G1686" s="51">
        <v>2.5</v>
      </c>
      <c r="H1686" s="60" t="s">
        <v>71</v>
      </c>
      <c r="I1686" s="39">
        <v>0.89</v>
      </c>
      <c r="J1686" s="39">
        <v>0.17809999999999998</v>
      </c>
      <c r="K1686" s="39">
        <v>0.1434</v>
      </c>
      <c r="L1686" s="39">
        <v>0.11320000000000001</v>
      </c>
      <c r="M1686" s="61">
        <v>5000</v>
      </c>
      <c r="N1686" s="61">
        <v>1000000</v>
      </c>
    </row>
    <row r="1687" spans="1:14" ht="15" customHeight="1" x14ac:dyDescent="0.25">
      <c r="A1687" s="64" t="str">
        <f t="shared" si="26"/>
        <v>2.5-15-0-TOU-3 year APR - Reward Plus</v>
      </c>
      <c r="B1687" s="62" t="s">
        <v>13</v>
      </c>
      <c r="C1687" s="54">
        <v>15</v>
      </c>
      <c r="D1687" s="59" t="s">
        <v>24</v>
      </c>
      <c r="E1687" s="59" t="s">
        <v>87</v>
      </c>
      <c r="F1687" s="38" t="s">
        <v>88</v>
      </c>
      <c r="G1687" s="51">
        <v>2.5</v>
      </c>
      <c r="H1687" s="60" t="s">
        <v>71</v>
      </c>
      <c r="I1687" s="39">
        <v>0.96</v>
      </c>
      <c r="J1687" s="39">
        <v>0.17889999999999998</v>
      </c>
      <c r="K1687" s="39">
        <v>0.14409999999999998</v>
      </c>
      <c r="L1687" s="39">
        <v>0.1137</v>
      </c>
      <c r="M1687" s="61">
        <v>5000</v>
      </c>
      <c r="N1687" s="61">
        <v>1000000</v>
      </c>
    </row>
    <row r="1688" spans="1:14" ht="15" customHeight="1" x14ac:dyDescent="0.25">
      <c r="A1688" s="64" t="str">
        <f t="shared" si="26"/>
        <v>2.5-16-0-TOU-3 year APR - Reward Plus</v>
      </c>
      <c r="B1688" s="62" t="s">
        <v>13</v>
      </c>
      <c r="C1688" s="54">
        <v>16</v>
      </c>
      <c r="D1688" s="59" t="s">
        <v>25</v>
      </c>
      <c r="E1688" s="59" t="s">
        <v>87</v>
      </c>
      <c r="F1688" s="38" t="s">
        <v>88</v>
      </c>
      <c r="G1688" s="51">
        <v>2.5</v>
      </c>
      <c r="H1688" s="60" t="s">
        <v>71</v>
      </c>
      <c r="I1688" s="39">
        <v>0.72699999999999998</v>
      </c>
      <c r="J1688" s="39">
        <v>0.17779999999999999</v>
      </c>
      <c r="K1688" s="39">
        <v>0.14309999999999998</v>
      </c>
      <c r="L1688" s="39">
        <v>0.113</v>
      </c>
      <c r="M1688" s="61">
        <v>5000</v>
      </c>
      <c r="N1688" s="61">
        <v>1000000</v>
      </c>
    </row>
    <row r="1689" spans="1:14" ht="15" customHeight="1" x14ac:dyDescent="0.25">
      <c r="A1689" s="64" t="str">
        <f t="shared" si="26"/>
        <v>2.5-17-0-TOU-3 year APR - Reward Plus</v>
      </c>
      <c r="B1689" s="62" t="s">
        <v>13</v>
      </c>
      <c r="C1689" s="54">
        <v>17</v>
      </c>
      <c r="D1689" s="59" t="s">
        <v>26</v>
      </c>
      <c r="E1689" s="59" t="s">
        <v>87</v>
      </c>
      <c r="F1689" s="38" t="s">
        <v>88</v>
      </c>
      <c r="G1689" s="51">
        <v>2.5</v>
      </c>
      <c r="H1689" s="60" t="s">
        <v>71</v>
      </c>
      <c r="I1689" s="39">
        <v>1.484</v>
      </c>
      <c r="J1689" s="39">
        <v>0.19619999999999999</v>
      </c>
      <c r="K1689" s="39">
        <v>0.15789999999999998</v>
      </c>
      <c r="L1689" s="39">
        <v>0.12470000000000001</v>
      </c>
      <c r="M1689" s="61">
        <v>5000</v>
      </c>
      <c r="N1689" s="61">
        <v>1000000</v>
      </c>
    </row>
    <row r="1690" spans="1:14" ht="15" customHeight="1" x14ac:dyDescent="0.25">
      <c r="A1690" s="64" t="str">
        <f t="shared" si="26"/>
        <v>2.5-18-0-TOU-3 year APR - Reward Plus</v>
      </c>
      <c r="B1690" s="62" t="s">
        <v>13</v>
      </c>
      <c r="C1690" s="54">
        <v>18</v>
      </c>
      <c r="D1690" s="59" t="s">
        <v>27</v>
      </c>
      <c r="E1690" s="59" t="s">
        <v>87</v>
      </c>
      <c r="F1690" s="38" t="s">
        <v>88</v>
      </c>
      <c r="G1690" s="51">
        <v>2.5</v>
      </c>
      <c r="H1690" s="60" t="s">
        <v>71</v>
      </c>
      <c r="I1690" s="39">
        <v>0.89900000000000002</v>
      </c>
      <c r="J1690" s="39">
        <v>0.1769</v>
      </c>
      <c r="K1690" s="39">
        <v>0.14249999999999999</v>
      </c>
      <c r="L1690" s="39">
        <v>0.1125</v>
      </c>
      <c r="M1690" s="61">
        <v>5000</v>
      </c>
      <c r="N1690" s="61">
        <v>1000000</v>
      </c>
    </row>
    <row r="1691" spans="1:14" ht="15" customHeight="1" x14ac:dyDescent="0.25">
      <c r="A1691" s="64" t="str">
        <f t="shared" si="26"/>
        <v>2.5-19-0-TOU-3 year APR - Reward Plus</v>
      </c>
      <c r="B1691" s="62" t="s">
        <v>13</v>
      </c>
      <c r="C1691" s="54">
        <v>19</v>
      </c>
      <c r="D1691" s="59" t="s">
        <v>28</v>
      </c>
      <c r="E1691" s="59" t="s">
        <v>87</v>
      </c>
      <c r="F1691" s="38" t="s">
        <v>88</v>
      </c>
      <c r="G1691" s="51">
        <v>2.5</v>
      </c>
      <c r="H1691" s="60" t="s">
        <v>71</v>
      </c>
      <c r="I1691" s="39">
        <v>0.77800000000000002</v>
      </c>
      <c r="J1691" s="39">
        <v>0.17609999999999998</v>
      </c>
      <c r="K1691" s="39">
        <v>0.14179999999999998</v>
      </c>
      <c r="L1691" s="39">
        <v>0.1119</v>
      </c>
      <c r="M1691" s="61">
        <v>5000</v>
      </c>
      <c r="N1691" s="61">
        <v>1000000</v>
      </c>
    </row>
    <row r="1692" spans="1:14" ht="15" customHeight="1" x14ac:dyDescent="0.25">
      <c r="A1692" s="64" t="str">
        <f t="shared" si="26"/>
        <v>2.5-20-0-TOU-3 year APR - Reward Plus</v>
      </c>
      <c r="B1692" s="62" t="s">
        <v>13</v>
      </c>
      <c r="C1692" s="54">
        <v>20</v>
      </c>
      <c r="D1692" s="59" t="s">
        <v>29</v>
      </c>
      <c r="E1692" s="59" t="s">
        <v>87</v>
      </c>
      <c r="F1692" s="38" t="s">
        <v>88</v>
      </c>
      <c r="G1692" s="51">
        <v>2.5</v>
      </c>
      <c r="H1692" s="60" t="s">
        <v>71</v>
      </c>
      <c r="I1692" s="39">
        <v>0.82699999999999996</v>
      </c>
      <c r="J1692" s="39">
        <v>0.17579999999999998</v>
      </c>
      <c r="K1692" s="39">
        <v>0.14149999999999999</v>
      </c>
      <c r="L1692" s="39">
        <v>0.11170000000000001</v>
      </c>
      <c r="M1692" s="61">
        <v>5000</v>
      </c>
      <c r="N1692" s="61">
        <v>1000000</v>
      </c>
    </row>
    <row r="1693" spans="1:14" ht="15" customHeight="1" x14ac:dyDescent="0.25">
      <c r="A1693" s="64" t="str">
        <f t="shared" si="26"/>
        <v>2.5-21-0-TOU-3 year APR - Reward Plus</v>
      </c>
      <c r="B1693" s="62" t="s">
        <v>13</v>
      </c>
      <c r="C1693" s="54">
        <v>21</v>
      </c>
      <c r="D1693" s="59" t="s">
        <v>30</v>
      </c>
      <c r="E1693" s="59" t="s">
        <v>87</v>
      </c>
      <c r="F1693" s="38" t="s">
        <v>88</v>
      </c>
      <c r="G1693" s="51">
        <v>2.5</v>
      </c>
      <c r="H1693" s="60" t="s">
        <v>71</v>
      </c>
      <c r="I1693" s="39">
        <v>0.92300000000000004</v>
      </c>
      <c r="J1693" s="39">
        <v>0.18569999999999998</v>
      </c>
      <c r="K1693" s="39">
        <v>0.14949999999999999</v>
      </c>
      <c r="L1693" s="39">
        <v>0.11800000000000001</v>
      </c>
      <c r="M1693" s="61">
        <v>5000</v>
      </c>
      <c r="N1693" s="61">
        <v>1000000</v>
      </c>
    </row>
    <row r="1694" spans="1:14" ht="15" customHeight="1" x14ac:dyDescent="0.25">
      <c r="A1694" s="64" t="str">
        <f t="shared" si="26"/>
        <v>2.5-22-0-TOU-3 year APR - Reward Plus</v>
      </c>
      <c r="B1694" s="62" t="s">
        <v>13</v>
      </c>
      <c r="C1694" s="54">
        <v>22</v>
      </c>
      <c r="D1694" s="59" t="s">
        <v>31</v>
      </c>
      <c r="E1694" s="59" t="s">
        <v>87</v>
      </c>
      <c r="F1694" s="38" t="s">
        <v>88</v>
      </c>
      <c r="G1694" s="51">
        <v>2.5</v>
      </c>
      <c r="H1694" s="60" t="s">
        <v>71</v>
      </c>
      <c r="I1694" s="39">
        <v>0.90400000000000003</v>
      </c>
      <c r="J1694" s="39">
        <v>0.18629999999999999</v>
      </c>
      <c r="K1694" s="39">
        <v>0.15</v>
      </c>
      <c r="L1694" s="39">
        <v>0.11840000000000001</v>
      </c>
      <c r="M1694" s="61">
        <v>5000</v>
      </c>
      <c r="N1694" s="61">
        <v>1000000</v>
      </c>
    </row>
    <row r="1695" spans="1:14" ht="15" customHeight="1" x14ac:dyDescent="0.25">
      <c r="A1695" s="64" t="str">
        <f t="shared" si="26"/>
        <v>2.5-23-0-TOU-3 year APR - Reward Plus</v>
      </c>
      <c r="B1695" s="62" t="s">
        <v>13</v>
      </c>
      <c r="C1695" s="54">
        <v>23</v>
      </c>
      <c r="D1695" s="59" t="s">
        <v>32</v>
      </c>
      <c r="E1695" s="59" t="s">
        <v>87</v>
      </c>
      <c r="F1695" s="38" t="s">
        <v>88</v>
      </c>
      <c r="G1695" s="51">
        <v>2.5</v>
      </c>
      <c r="H1695" s="60" t="s">
        <v>71</v>
      </c>
      <c r="I1695" s="39">
        <v>0.90600000000000003</v>
      </c>
      <c r="J1695" s="39">
        <v>0.17879999999999999</v>
      </c>
      <c r="K1695" s="39">
        <v>0.14399999999999999</v>
      </c>
      <c r="L1695" s="39">
        <v>0.11370000000000001</v>
      </c>
      <c r="M1695" s="61">
        <v>5000</v>
      </c>
      <c r="N1695" s="61">
        <v>1000000</v>
      </c>
    </row>
    <row r="1696" spans="1:14" ht="15" customHeight="1" x14ac:dyDescent="0.25">
      <c r="A1696" s="64" t="str">
        <f t="shared" si="26"/>
        <v>2.6-10-0-TOU-3 year APR - Reward Plus</v>
      </c>
      <c r="B1696" s="62" t="s">
        <v>13</v>
      </c>
      <c r="C1696" s="54">
        <v>10</v>
      </c>
      <c r="D1696" s="59" t="s">
        <v>14</v>
      </c>
      <c r="E1696" s="59" t="s">
        <v>87</v>
      </c>
      <c r="F1696" s="38" t="s">
        <v>88</v>
      </c>
      <c r="G1696" s="51">
        <v>2.6</v>
      </c>
      <c r="H1696" s="60" t="s">
        <v>71</v>
      </c>
      <c r="I1696" s="39">
        <v>0.88100000000000001</v>
      </c>
      <c r="J1696" s="39">
        <v>0.17609999999999998</v>
      </c>
      <c r="K1696" s="39">
        <v>0.14179999999999998</v>
      </c>
      <c r="L1696" s="39">
        <v>0.1119</v>
      </c>
      <c r="M1696" s="61">
        <v>5000</v>
      </c>
      <c r="N1696" s="61">
        <v>1000000</v>
      </c>
    </row>
    <row r="1697" spans="1:14" ht="15" customHeight="1" x14ac:dyDescent="0.25">
      <c r="A1697" s="64" t="str">
        <f t="shared" si="26"/>
        <v>2.6-11-0-TOU-3 year APR - Reward Plus</v>
      </c>
      <c r="B1697" s="62" t="s">
        <v>13</v>
      </c>
      <c r="C1697" s="54">
        <v>11</v>
      </c>
      <c r="D1697" s="59" t="s">
        <v>20</v>
      </c>
      <c r="E1697" s="59" t="s">
        <v>87</v>
      </c>
      <c r="F1697" s="38" t="s">
        <v>88</v>
      </c>
      <c r="G1697" s="51">
        <v>2.6</v>
      </c>
      <c r="H1697" s="60" t="s">
        <v>71</v>
      </c>
      <c r="I1697" s="39">
        <v>0.86099999999999999</v>
      </c>
      <c r="J1697" s="39">
        <v>0.17829999999999999</v>
      </c>
      <c r="K1697" s="39">
        <v>0.14359999999999998</v>
      </c>
      <c r="L1697" s="39">
        <v>0.1134</v>
      </c>
      <c r="M1697" s="61">
        <v>5000</v>
      </c>
      <c r="N1697" s="61">
        <v>1000000</v>
      </c>
    </row>
    <row r="1698" spans="1:14" ht="15" customHeight="1" x14ac:dyDescent="0.25">
      <c r="A1698" s="64" t="str">
        <f t="shared" si="26"/>
        <v>2.6-12-0-TOU-3 year APR - Reward Plus</v>
      </c>
      <c r="B1698" s="62" t="s">
        <v>13</v>
      </c>
      <c r="C1698" s="54">
        <v>12</v>
      </c>
      <c r="D1698" s="59" t="s">
        <v>21</v>
      </c>
      <c r="E1698" s="59" t="s">
        <v>87</v>
      </c>
      <c r="F1698" s="38" t="s">
        <v>88</v>
      </c>
      <c r="G1698" s="51">
        <v>2.6</v>
      </c>
      <c r="H1698" s="60" t="s">
        <v>71</v>
      </c>
      <c r="I1698" s="39">
        <v>0.90300000000000002</v>
      </c>
      <c r="J1698" s="39">
        <v>0.17559999999999998</v>
      </c>
      <c r="K1698" s="39">
        <v>0.1414</v>
      </c>
      <c r="L1698" s="39">
        <v>0.1116</v>
      </c>
      <c r="M1698" s="61">
        <v>5000</v>
      </c>
      <c r="N1698" s="61">
        <v>1000000</v>
      </c>
    </row>
    <row r="1699" spans="1:14" ht="15" customHeight="1" x14ac:dyDescent="0.25">
      <c r="A1699" s="64" t="str">
        <f t="shared" si="26"/>
        <v>2.6-13-0-TOU-3 year APR - Reward Plus</v>
      </c>
      <c r="B1699" s="62" t="s">
        <v>13</v>
      </c>
      <c r="C1699" s="54">
        <v>13</v>
      </c>
      <c r="D1699" s="59" t="s">
        <v>22</v>
      </c>
      <c r="E1699" s="59" t="s">
        <v>87</v>
      </c>
      <c r="F1699" s="38" t="s">
        <v>88</v>
      </c>
      <c r="G1699" s="51">
        <v>2.6</v>
      </c>
      <c r="H1699" s="60" t="s">
        <v>71</v>
      </c>
      <c r="I1699" s="39">
        <v>0.88100000000000001</v>
      </c>
      <c r="J1699" s="39">
        <v>0.18779999999999999</v>
      </c>
      <c r="K1699" s="39">
        <v>0.1512</v>
      </c>
      <c r="L1699" s="39">
        <v>0.11940000000000001</v>
      </c>
      <c r="M1699" s="61">
        <v>5000</v>
      </c>
      <c r="N1699" s="61">
        <v>1000000</v>
      </c>
    </row>
    <row r="1700" spans="1:14" ht="15" customHeight="1" x14ac:dyDescent="0.25">
      <c r="A1700" s="64" t="str">
        <f t="shared" si="26"/>
        <v>2.6-14-0-TOU-3 year APR - Reward Plus</v>
      </c>
      <c r="B1700" s="62" t="s">
        <v>13</v>
      </c>
      <c r="C1700" s="54">
        <v>14</v>
      </c>
      <c r="D1700" s="59" t="s">
        <v>23</v>
      </c>
      <c r="E1700" s="59" t="s">
        <v>87</v>
      </c>
      <c r="F1700" s="38" t="s">
        <v>88</v>
      </c>
      <c r="G1700" s="51">
        <v>2.6</v>
      </c>
      <c r="H1700" s="60" t="s">
        <v>71</v>
      </c>
      <c r="I1700" s="39">
        <v>0.89</v>
      </c>
      <c r="J1700" s="39">
        <v>0.17929999999999999</v>
      </c>
      <c r="K1700" s="39">
        <v>0.1444</v>
      </c>
      <c r="L1700" s="39">
        <v>0.114</v>
      </c>
      <c r="M1700" s="61">
        <v>5000</v>
      </c>
      <c r="N1700" s="61">
        <v>1000000</v>
      </c>
    </row>
    <row r="1701" spans="1:14" ht="15" customHeight="1" x14ac:dyDescent="0.25">
      <c r="A1701" s="64" t="str">
        <f t="shared" si="26"/>
        <v>2.6-15-0-TOU-3 year APR - Reward Plus</v>
      </c>
      <c r="B1701" s="62" t="s">
        <v>13</v>
      </c>
      <c r="C1701" s="54">
        <v>15</v>
      </c>
      <c r="D1701" s="59" t="s">
        <v>24</v>
      </c>
      <c r="E1701" s="59" t="s">
        <v>87</v>
      </c>
      <c r="F1701" s="38" t="s">
        <v>88</v>
      </c>
      <c r="G1701" s="51">
        <v>2.6</v>
      </c>
      <c r="H1701" s="60" t="s">
        <v>71</v>
      </c>
      <c r="I1701" s="39">
        <v>0.96</v>
      </c>
      <c r="J1701" s="39">
        <v>0.18009999999999998</v>
      </c>
      <c r="K1701" s="39">
        <v>0.14499999999999999</v>
      </c>
      <c r="L1701" s="39">
        <v>0.1145</v>
      </c>
      <c r="M1701" s="61">
        <v>5000</v>
      </c>
      <c r="N1701" s="61">
        <v>1000000</v>
      </c>
    </row>
    <row r="1702" spans="1:14" ht="15" customHeight="1" x14ac:dyDescent="0.25">
      <c r="A1702" s="64" t="str">
        <f t="shared" si="26"/>
        <v>2.6-16-0-TOU-3 year APR - Reward Plus</v>
      </c>
      <c r="B1702" s="62" t="s">
        <v>13</v>
      </c>
      <c r="C1702" s="54">
        <v>16</v>
      </c>
      <c r="D1702" s="59" t="s">
        <v>25</v>
      </c>
      <c r="E1702" s="59" t="s">
        <v>87</v>
      </c>
      <c r="F1702" s="38" t="s">
        <v>88</v>
      </c>
      <c r="G1702" s="51">
        <v>2.6</v>
      </c>
      <c r="H1702" s="60" t="s">
        <v>71</v>
      </c>
      <c r="I1702" s="39">
        <v>0.72699999999999998</v>
      </c>
      <c r="J1702" s="39">
        <v>0.17889999999999998</v>
      </c>
      <c r="K1702" s="39">
        <v>0.14409999999999998</v>
      </c>
      <c r="L1702" s="39">
        <v>0.1137</v>
      </c>
      <c r="M1702" s="61">
        <v>5000</v>
      </c>
      <c r="N1702" s="61">
        <v>1000000</v>
      </c>
    </row>
    <row r="1703" spans="1:14" ht="15" customHeight="1" x14ac:dyDescent="0.25">
      <c r="A1703" s="64" t="str">
        <f t="shared" si="26"/>
        <v>2.6-17-0-TOU-3 year APR - Reward Plus</v>
      </c>
      <c r="B1703" s="62" t="s">
        <v>13</v>
      </c>
      <c r="C1703" s="54">
        <v>17</v>
      </c>
      <c r="D1703" s="59" t="s">
        <v>26</v>
      </c>
      <c r="E1703" s="59" t="s">
        <v>87</v>
      </c>
      <c r="F1703" s="38" t="s">
        <v>88</v>
      </c>
      <c r="G1703" s="51">
        <v>2.6</v>
      </c>
      <c r="H1703" s="60" t="s">
        <v>71</v>
      </c>
      <c r="I1703" s="39">
        <v>1.484</v>
      </c>
      <c r="J1703" s="39">
        <v>0.19729999999999998</v>
      </c>
      <c r="K1703" s="39">
        <v>0.15889999999999999</v>
      </c>
      <c r="L1703" s="39">
        <v>0.12540000000000001</v>
      </c>
      <c r="M1703" s="61">
        <v>5000</v>
      </c>
      <c r="N1703" s="61">
        <v>1000000</v>
      </c>
    </row>
    <row r="1704" spans="1:14" ht="15" customHeight="1" x14ac:dyDescent="0.25">
      <c r="A1704" s="64" t="str">
        <f t="shared" si="26"/>
        <v>2.6-18-0-TOU-3 year APR - Reward Plus</v>
      </c>
      <c r="B1704" s="62" t="s">
        <v>13</v>
      </c>
      <c r="C1704" s="54">
        <v>18</v>
      </c>
      <c r="D1704" s="59" t="s">
        <v>27</v>
      </c>
      <c r="E1704" s="59" t="s">
        <v>87</v>
      </c>
      <c r="F1704" s="38" t="s">
        <v>88</v>
      </c>
      <c r="G1704" s="51">
        <v>2.6</v>
      </c>
      <c r="H1704" s="60" t="s">
        <v>71</v>
      </c>
      <c r="I1704" s="39">
        <v>0.89900000000000002</v>
      </c>
      <c r="J1704" s="39">
        <v>0.17809999999999998</v>
      </c>
      <c r="K1704" s="39">
        <v>0.1434</v>
      </c>
      <c r="L1704" s="39">
        <v>0.11320000000000001</v>
      </c>
      <c r="M1704" s="61">
        <v>5000</v>
      </c>
      <c r="N1704" s="61">
        <v>1000000</v>
      </c>
    </row>
    <row r="1705" spans="1:14" ht="15" customHeight="1" x14ac:dyDescent="0.25">
      <c r="A1705" s="64" t="str">
        <f t="shared" si="26"/>
        <v>2.6-19-0-TOU-3 year APR - Reward Plus</v>
      </c>
      <c r="B1705" s="62" t="s">
        <v>13</v>
      </c>
      <c r="C1705" s="54">
        <v>19</v>
      </c>
      <c r="D1705" s="59" t="s">
        <v>28</v>
      </c>
      <c r="E1705" s="59" t="s">
        <v>87</v>
      </c>
      <c r="F1705" s="38" t="s">
        <v>88</v>
      </c>
      <c r="G1705" s="51">
        <v>2.6</v>
      </c>
      <c r="H1705" s="60" t="s">
        <v>71</v>
      </c>
      <c r="I1705" s="39">
        <v>0.77800000000000002</v>
      </c>
      <c r="J1705" s="39">
        <v>0.17729999999999999</v>
      </c>
      <c r="K1705" s="39">
        <v>0.14269999999999999</v>
      </c>
      <c r="L1705" s="39">
        <v>0.11270000000000001</v>
      </c>
      <c r="M1705" s="61">
        <v>5000</v>
      </c>
      <c r="N1705" s="61">
        <v>1000000</v>
      </c>
    </row>
    <row r="1706" spans="1:14" ht="15" customHeight="1" x14ac:dyDescent="0.25">
      <c r="A1706" s="64" t="str">
        <f t="shared" si="26"/>
        <v>2.6-20-0-TOU-3 year APR - Reward Plus</v>
      </c>
      <c r="B1706" s="62" t="s">
        <v>13</v>
      </c>
      <c r="C1706" s="54">
        <v>20</v>
      </c>
      <c r="D1706" s="59" t="s">
        <v>29</v>
      </c>
      <c r="E1706" s="59" t="s">
        <v>87</v>
      </c>
      <c r="F1706" s="38" t="s">
        <v>88</v>
      </c>
      <c r="G1706" s="51">
        <v>2.6</v>
      </c>
      <c r="H1706" s="60" t="s">
        <v>71</v>
      </c>
      <c r="I1706" s="39">
        <v>0.82699999999999996</v>
      </c>
      <c r="J1706" s="39">
        <v>0.1769</v>
      </c>
      <c r="K1706" s="39">
        <v>0.14249999999999999</v>
      </c>
      <c r="L1706" s="39">
        <v>0.1125</v>
      </c>
      <c r="M1706" s="61">
        <v>5000</v>
      </c>
      <c r="N1706" s="61">
        <v>1000000</v>
      </c>
    </row>
    <row r="1707" spans="1:14" ht="15" customHeight="1" x14ac:dyDescent="0.25">
      <c r="A1707" s="64" t="str">
        <f t="shared" si="26"/>
        <v>2.6-21-0-TOU-3 year APR - Reward Plus</v>
      </c>
      <c r="B1707" s="62" t="s">
        <v>13</v>
      </c>
      <c r="C1707" s="54">
        <v>21</v>
      </c>
      <c r="D1707" s="59" t="s">
        <v>30</v>
      </c>
      <c r="E1707" s="59" t="s">
        <v>87</v>
      </c>
      <c r="F1707" s="38" t="s">
        <v>88</v>
      </c>
      <c r="G1707" s="51">
        <v>2.6</v>
      </c>
      <c r="H1707" s="60" t="s">
        <v>71</v>
      </c>
      <c r="I1707" s="39">
        <v>0.92300000000000004</v>
      </c>
      <c r="J1707" s="39">
        <v>0.18679999999999999</v>
      </c>
      <c r="K1707" s="39">
        <v>0.15039999999999998</v>
      </c>
      <c r="L1707" s="39">
        <v>0.1188</v>
      </c>
      <c r="M1707" s="61">
        <v>5000</v>
      </c>
      <c r="N1707" s="61">
        <v>1000000</v>
      </c>
    </row>
    <row r="1708" spans="1:14" ht="15" customHeight="1" x14ac:dyDescent="0.25">
      <c r="A1708" s="64" t="str">
        <f t="shared" si="26"/>
        <v>2.6-22-0-TOU-3 year APR - Reward Plus</v>
      </c>
      <c r="B1708" s="62" t="s">
        <v>13</v>
      </c>
      <c r="C1708" s="54">
        <v>22</v>
      </c>
      <c r="D1708" s="59" t="s">
        <v>31</v>
      </c>
      <c r="E1708" s="59" t="s">
        <v>87</v>
      </c>
      <c r="F1708" s="38" t="s">
        <v>88</v>
      </c>
      <c r="G1708" s="51">
        <v>2.6</v>
      </c>
      <c r="H1708" s="60" t="s">
        <v>71</v>
      </c>
      <c r="I1708" s="39">
        <v>0.90400000000000003</v>
      </c>
      <c r="J1708" s="39">
        <v>0.18739999999999998</v>
      </c>
      <c r="K1708" s="39">
        <v>0.15089999999999998</v>
      </c>
      <c r="L1708" s="39">
        <v>0.1191</v>
      </c>
      <c r="M1708" s="61">
        <v>5000</v>
      </c>
      <c r="N1708" s="61">
        <v>1000000</v>
      </c>
    </row>
    <row r="1709" spans="1:14" ht="15" customHeight="1" x14ac:dyDescent="0.25">
      <c r="A1709" s="64" t="str">
        <f t="shared" si="26"/>
        <v>2.6-23-0-TOU-3 year APR - Reward Plus</v>
      </c>
      <c r="B1709" s="62" t="s">
        <v>13</v>
      </c>
      <c r="C1709" s="54">
        <v>23</v>
      </c>
      <c r="D1709" s="59" t="s">
        <v>32</v>
      </c>
      <c r="E1709" s="59" t="s">
        <v>87</v>
      </c>
      <c r="F1709" s="38" t="s">
        <v>88</v>
      </c>
      <c r="G1709" s="51">
        <v>2.6</v>
      </c>
      <c r="H1709" s="60" t="s">
        <v>71</v>
      </c>
      <c r="I1709" s="39">
        <v>0.90600000000000003</v>
      </c>
      <c r="J1709" s="39">
        <v>0.18</v>
      </c>
      <c r="K1709" s="39">
        <v>0.1449</v>
      </c>
      <c r="L1709" s="39">
        <v>0.1144</v>
      </c>
      <c r="M1709" s="61">
        <v>5000</v>
      </c>
      <c r="N1709" s="61">
        <v>1000000</v>
      </c>
    </row>
    <row r="1710" spans="1:14" ht="15" customHeight="1" x14ac:dyDescent="0.25">
      <c r="A1710" s="64" t="str">
        <f t="shared" si="26"/>
        <v>2.7-10-0-TOU-3 year APR - Reward Plus</v>
      </c>
      <c r="B1710" s="62" t="s">
        <v>13</v>
      </c>
      <c r="C1710" s="54">
        <v>10</v>
      </c>
      <c r="D1710" s="59" t="s">
        <v>14</v>
      </c>
      <c r="E1710" s="59" t="s">
        <v>87</v>
      </c>
      <c r="F1710" s="38" t="s">
        <v>88</v>
      </c>
      <c r="G1710" s="51">
        <v>2.7</v>
      </c>
      <c r="H1710" s="60" t="s">
        <v>71</v>
      </c>
      <c r="I1710" s="39">
        <v>0.88100000000000001</v>
      </c>
      <c r="J1710" s="39">
        <v>0.17729999999999999</v>
      </c>
      <c r="K1710" s="39">
        <v>0.14269999999999999</v>
      </c>
      <c r="L1710" s="39">
        <v>0.11270000000000001</v>
      </c>
      <c r="M1710" s="61">
        <v>5000</v>
      </c>
      <c r="N1710" s="61">
        <v>1000000</v>
      </c>
    </row>
    <row r="1711" spans="1:14" ht="15" customHeight="1" x14ac:dyDescent="0.25">
      <c r="A1711" s="64" t="str">
        <f t="shared" si="26"/>
        <v>2.7-11-0-TOU-3 year APR - Reward Plus</v>
      </c>
      <c r="B1711" s="62" t="s">
        <v>13</v>
      </c>
      <c r="C1711" s="54">
        <v>11</v>
      </c>
      <c r="D1711" s="59" t="s">
        <v>20</v>
      </c>
      <c r="E1711" s="59" t="s">
        <v>87</v>
      </c>
      <c r="F1711" s="38" t="s">
        <v>88</v>
      </c>
      <c r="G1711" s="51">
        <v>2.7</v>
      </c>
      <c r="H1711" s="60" t="s">
        <v>71</v>
      </c>
      <c r="I1711" s="39">
        <v>0.86099999999999999</v>
      </c>
      <c r="J1711" s="39">
        <v>0.17949999999999999</v>
      </c>
      <c r="K1711" s="39">
        <v>0.14449999999999999</v>
      </c>
      <c r="L1711" s="39">
        <v>0.11410000000000001</v>
      </c>
      <c r="M1711" s="61">
        <v>5000</v>
      </c>
      <c r="N1711" s="61">
        <v>1000000</v>
      </c>
    </row>
    <row r="1712" spans="1:14" ht="15" customHeight="1" x14ac:dyDescent="0.25">
      <c r="A1712" s="64" t="str">
        <f t="shared" si="26"/>
        <v>2.7-12-0-TOU-3 year APR - Reward Plus</v>
      </c>
      <c r="B1712" s="62" t="s">
        <v>13</v>
      </c>
      <c r="C1712" s="54">
        <v>12</v>
      </c>
      <c r="D1712" s="59" t="s">
        <v>21</v>
      </c>
      <c r="E1712" s="59" t="s">
        <v>87</v>
      </c>
      <c r="F1712" s="38" t="s">
        <v>88</v>
      </c>
      <c r="G1712" s="51">
        <v>2.7</v>
      </c>
      <c r="H1712" s="60" t="s">
        <v>71</v>
      </c>
      <c r="I1712" s="39">
        <v>0.90300000000000002</v>
      </c>
      <c r="J1712" s="39">
        <v>0.17679999999999998</v>
      </c>
      <c r="K1712" s="39">
        <v>0.1424</v>
      </c>
      <c r="L1712" s="39">
        <v>0.1124</v>
      </c>
      <c r="M1712" s="61">
        <v>5000</v>
      </c>
      <c r="N1712" s="61">
        <v>1000000</v>
      </c>
    </row>
    <row r="1713" spans="1:14" ht="15" customHeight="1" x14ac:dyDescent="0.25">
      <c r="A1713" s="64" t="str">
        <f t="shared" si="26"/>
        <v>2.7-13-0-TOU-3 year APR - Reward Plus</v>
      </c>
      <c r="B1713" s="62" t="s">
        <v>13</v>
      </c>
      <c r="C1713" s="54">
        <v>13</v>
      </c>
      <c r="D1713" s="59" t="s">
        <v>22</v>
      </c>
      <c r="E1713" s="59" t="s">
        <v>87</v>
      </c>
      <c r="F1713" s="38" t="s">
        <v>88</v>
      </c>
      <c r="G1713" s="51">
        <v>2.7</v>
      </c>
      <c r="H1713" s="60" t="s">
        <v>71</v>
      </c>
      <c r="I1713" s="39">
        <v>0.88100000000000001</v>
      </c>
      <c r="J1713" s="39">
        <v>0.189</v>
      </c>
      <c r="K1713" s="39">
        <v>0.15209999999999999</v>
      </c>
      <c r="L1713" s="39">
        <v>0.1201</v>
      </c>
      <c r="M1713" s="61">
        <v>5000</v>
      </c>
      <c r="N1713" s="61">
        <v>1000000</v>
      </c>
    </row>
    <row r="1714" spans="1:14" ht="15" customHeight="1" x14ac:dyDescent="0.25">
      <c r="A1714" s="64" t="str">
        <f t="shared" si="26"/>
        <v>2.7-14-0-TOU-3 year APR - Reward Plus</v>
      </c>
      <c r="B1714" s="62" t="s">
        <v>13</v>
      </c>
      <c r="C1714" s="54">
        <v>14</v>
      </c>
      <c r="D1714" s="59" t="s">
        <v>23</v>
      </c>
      <c r="E1714" s="59" t="s">
        <v>87</v>
      </c>
      <c r="F1714" s="38" t="s">
        <v>88</v>
      </c>
      <c r="G1714" s="51">
        <v>2.7</v>
      </c>
      <c r="H1714" s="60" t="s">
        <v>71</v>
      </c>
      <c r="I1714" s="39">
        <v>0.89</v>
      </c>
      <c r="J1714" s="39">
        <v>0.18049999999999999</v>
      </c>
      <c r="K1714" s="39">
        <v>0.14529999999999998</v>
      </c>
      <c r="L1714" s="39">
        <v>0.1147</v>
      </c>
      <c r="M1714" s="61">
        <v>5000</v>
      </c>
      <c r="N1714" s="61">
        <v>1000000</v>
      </c>
    </row>
    <row r="1715" spans="1:14" ht="15" customHeight="1" x14ac:dyDescent="0.25">
      <c r="A1715" s="64" t="str">
        <f t="shared" si="26"/>
        <v>2.7-15-0-TOU-3 year APR - Reward Plus</v>
      </c>
      <c r="B1715" s="62" t="s">
        <v>13</v>
      </c>
      <c r="C1715" s="54">
        <v>15</v>
      </c>
      <c r="D1715" s="59" t="s">
        <v>24</v>
      </c>
      <c r="E1715" s="59" t="s">
        <v>87</v>
      </c>
      <c r="F1715" s="38" t="s">
        <v>88</v>
      </c>
      <c r="G1715" s="51">
        <v>2.7</v>
      </c>
      <c r="H1715" s="60" t="s">
        <v>71</v>
      </c>
      <c r="I1715" s="39">
        <v>0.96</v>
      </c>
      <c r="J1715" s="39">
        <v>0.18129999999999999</v>
      </c>
      <c r="K1715" s="39">
        <v>0.14599999999999999</v>
      </c>
      <c r="L1715" s="39">
        <v>0.1152</v>
      </c>
      <c r="M1715" s="61">
        <v>5000</v>
      </c>
      <c r="N1715" s="61">
        <v>1000000</v>
      </c>
    </row>
    <row r="1716" spans="1:14" ht="15" customHeight="1" x14ac:dyDescent="0.25">
      <c r="A1716" s="64" t="str">
        <f t="shared" si="26"/>
        <v>2.7-16-0-TOU-3 year APR - Reward Plus</v>
      </c>
      <c r="B1716" s="62" t="s">
        <v>13</v>
      </c>
      <c r="C1716" s="54">
        <v>16</v>
      </c>
      <c r="D1716" s="59" t="s">
        <v>25</v>
      </c>
      <c r="E1716" s="59" t="s">
        <v>87</v>
      </c>
      <c r="F1716" s="38" t="s">
        <v>88</v>
      </c>
      <c r="G1716" s="51">
        <v>2.7</v>
      </c>
      <c r="H1716" s="60" t="s">
        <v>71</v>
      </c>
      <c r="I1716" s="39">
        <v>0.72699999999999998</v>
      </c>
      <c r="J1716" s="39">
        <v>0.18009999999999998</v>
      </c>
      <c r="K1716" s="39">
        <v>0.14499999999999999</v>
      </c>
      <c r="L1716" s="39">
        <v>0.1145</v>
      </c>
      <c r="M1716" s="61">
        <v>5000</v>
      </c>
      <c r="N1716" s="61">
        <v>1000000</v>
      </c>
    </row>
    <row r="1717" spans="1:14" ht="15" customHeight="1" x14ac:dyDescent="0.25">
      <c r="A1717" s="64" t="str">
        <f t="shared" si="26"/>
        <v>2.7-17-0-TOU-3 year APR - Reward Plus</v>
      </c>
      <c r="B1717" s="62" t="s">
        <v>13</v>
      </c>
      <c r="C1717" s="54">
        <v>17</v>
      </c>
      <c r="D1717" s="59" t="s">
        <v>26</v>
      </c>
      <c r="E1717" s="59" t="s">
        <v>87</v>
      </c>
      <c r="F1717" s="38" t="s">
        <v>88</v>
      </c>
      <c r="G1717" s="51">
        <v>2.7</v>
      </c>
      <c r="H1717" s="60" t="s">
        <v>71</v>
      </c>
      <c r="I1717" s="39">
        <v>1.484</v>
      </c>
      <c r="J1717" s="39">
        <v>0.19849999999999998</v>
      </c>
      <c r="K1717" s="39">
        <v>0.1598</v>
      </c>
      <c r="L1717" s="39">
        <v>0.12619999999999998</v>
      </c>
      <c r="M1717" s="61">
        <v>5000</v>
      </c>
      <c r="N1717" s="61">
        <v>1000000</v>
      </c>
    </row>
    <row r="1718" spans="1:14" ht="15" customHeight="1" x14ac:dyDescent="0.25">
      <c r="A1718" s="64" t="str">
        <f t="shared" si="26"/>
        <v>2.7-18-0-TOU-3 year APR - Reward Plus</v>
      </c>
      <c r="B1718" s="62" t="s">
        <v>13</v>
      </c>
      <c r="C1718" s="54">
        <v>18</v>
      </c>
      <c r="D1718" s="59" t="s">
        <v>27</v>
      </c>
      <c r="E1718" s="59" t="s">
        <v>87</v>
      </c>
      <c r="F1718" s="38" t="s">
        <v>88</v>
      </c>
      <c r="G1718" s="51">
        <v>2.7</v>
      </c>
      <c r="H1718" s="60" t="s">
        <v>71</v>
      </c>
      <c r="I1718" s="39">
        <v>0.89900000000000002</v>
      </c>
      <c r="J1718" s="39">
        <v>0.17929999999999999</v>
      </c>
      <c r="K1718" s="39">
        <v>0.1444</v>
      </c>
      <c r="L1718" s="39">
        <v>0.114</v>
      </c>
      <c r="M1718" s="61">
        <v>5000</v>
      </c>
      <c r="N1718" s="61">
        <v>1000000</v>
      </c>
    </row>
    <row r="1719" spans="1:14" ht="15" customHeight="1" x14ac:dyDescent="0.25">
      <c r="A1719" s="64" t="str">
        <f t="shared" si="26"/>
        <v>2.7-19-0-TOU-3 year APR - Reward Plus</v>
      </c>
      <c r="B1719" s="62" t="s">
        <v>13</v>
      </c>
      <c r="C1719" s="54">
        <v>19</v>
      </c>
      <c r="D1719" s="59" t="s">
        <v>28</v>
      </c>
      <c r="E1719" s="59" t="s">
        <v>87</v>
      </c>
      <c r="F1719" s="38" t="s">
        <v>88</v>
      </c>
      <c r="G1719" s="51">
        <v>2.7</v>
      </c>
      <c r="H1719" s="60" t="s">
        <v>71</v>
      </c>
      <c r="I1719" s="39">
        <v>0.77800000000000002</v>
      </c>
      <c r="J1719" s="39">
        <v>0.17849999999999999</v>
      </c>
      <c r="K1719" s="39">
        <v>0.14369999999999999</v>
      </c>
      <c r="L1719" s="39">
        <v>0.1134</v>
      </c>
      <c r="M1719" s="61">
        <v>5000</v>
      </c>
      <c r="N1719" s="61">
        <v>1000000</v>
      </c>
    </row>
    <row r="1720" spans="1:14" ht="15" customHeight="1" x14ac:dyDescent="0.25">
      <c r="A1720" s="64" t="str">
        <f t="shared" si="26"/>
        <v>2.7-20-0-TOU-3 year APR - Reward Plus</v>
      </c>
      <c r="B1720" s="62" t="s">
        <v>13</v>
      </c>
      <c r="C1720" s="54">
        <v>20</v>
      </c>
      <c r="D1720" s="59" t="s">
        <v>29</v>
      </c>
      <c r="E1720" s="59" t="s">
        <v>87</v>
      </c>
      <c r="F1720" s="38" t="s">
        <v>88</v>
      </c>
      <c r="G1720" s="51">
        <v>2.7</v>
      </c>
      <c r="H1720" s="60" t="s">
        <v>71</v>
      </c>
      <c r="I1720" s="39">
        <v>0.82699999999999996</v>
      </c>
      <c r="J1720" s="39">
        <v>0.17809999999999998</v>
      </c>
      <c r="K1720" s="39">
        <v>0.1434</v>
      </c>
      <c r="L1720" s="39">
        <v>0.11320000000000001</v>
      </c>
      <c r="M1720" s="61">
        <v>5000</v>
      </c>
      <c r="N1720" s="61">
        <v>1000000</v>
      </c>
    </row>
    <row r="1721" spans="1:14" ht="15" customHeight="1" x14ac:dyDescent="0.25">
      <c r="A1721" s="64" t="str">
        <f t="shared" si="26"/>
        <v>2.7-21-0-TOU-3 year APR - Reward Plus</v>
      </c>
      <c r="B1721" s="62" t="s">
        <v>13</v>
      </c>
      <c r="C1721" s="54">
        <v>21</v>
      </c>
      <c r="D1721" s="59" t="s">
        <v>30</v>
      </c>
      <c r="E1721" s="59" t="s">
        <v>87</v>
      </c>
      <c r="F1721" s="38" t="s">
        <v>88</v>
      </c>
      <c r="G1721" s="51">
        <v>2.7</v>
      </c>
      <c r="H1721" s="60" t="s">
        <v>71</v>
      </c>
      <c r="I1721" s="39">
        <v>0.92300000000000004</v>
      </c>
      <c r="J1721" s="39">
        <v>0.188</v>
      </c>
      <c r="K1721" s="39">
        <v>0.15139999999999998</v>
      </c>
      <c r="L1721" s="39">
        <v>0.11950000000000001</v>
      </c>
      <c r="M1721" s="61">
        <v>5000</v>
      </c>
      <c r="N1721" s="61">
        <v>1000000</v>
      </c>
    </row>
    <row r="1722" spans="1:14" ht="15" customHeight="1" x14ac:dyDescent="0.25">
      <c r="A1722" s="64" t="str">
        <f t="shared" si="26"/>
        <v>2.7-22-0-TOU-3 year APR - Reward Plus</v>
      </c>
      <c r="B1722" s="62" t="s">
        <v>13</v>
      </c>
      <c r="C1722" s="54">
        <v>22</v>
      </c>
      <c r="D1722" s="59" t="s">
        <v>31</v>
      </c>
      <c r="E1722" s="59" t="s">
        <v>87</v>
      </c>
      <c r="F1722" s="38" t="s">
        <v>88</v>
      </c>
      <c r="G1722" s="51">
        <v>2.7</v>
      </c>
      <c r="H1722" s="60" t="s">
        <v>71</v>
      </c>
      <c r="I1722" s="39">
        <v>0.90400000000000003</v>
      </c>
      <c r="J1722" s="39">
        <v>0.18859999999999999</v>
      </c>
      <c r="K1722" s="39">
        <v>0.15189999999999998</v>
      </c>
      <c r="L1722" s="39">
        <v>0.11990000000000001</v>
      </c>
      <c r="M1722" s="61">
        <v>5000</v>
      </c>
      <c r="N1722" s="61">
        <v>1000000</v>
      </c>
    </row>
    <row r="1723" spans="1:14" ht="15" customHeight="1" x14ac:dyDescent="0.25">
      <c r="A1723" s="64" t="str">
        <f t="shared" si="26"/>
        <v>2.7-23-0-TOU-3 year APR - Reward Plus</v>
      </c>
      <c r="B1723" s="62" t="s">
        <v>13</v>
      </c>
      <c r="C1723" s="54">
        <v>23</v>
      </c>
      <c r="D1723" s="59" t="s">
        <v>32</v>
      </c>
      <c r="E1723" s="59" t="s">
        <v>87</v>
      </c>
      <c r="F1723" s="38" t="s">
        <v>88</v>
      </c>
      <c r="G1723" s="51">
        <v>2.7</v>
      </c>
      <c r="H1723" s="60" t="s">
        <v>71</v>
      </c>
      <c r="I1723" s="39">
        <v>0.90600000000000003</v>
      </c>
      <c r="J1723" s="39">
        <v>0.1812</v>
      </c>
      <c r="K1723" s="39">
        <v>0.1459</v>
      </c>
      <c r="L1723" s="39">
        <v>0.1152</v>
      </c>
      <c r="M1723" s="61">
        <v>5000</v>
      </c>
      <c r="N1723" s="61">
        <v>1000000</v>
      </c>
    </row>
    <row r="1724" spans="1:14" ht="15" customHeight="1" x14ac:dyDescent="0.25">
      <c r="A1724" s="64" t="str">
        <f t="shared" si="26"/>
        <v>2.8-10-0-TOU-3 year APR - Reward Plus</v>
      </c>
      <c r="B1724" s="62" t="s">
        <v>13</v>
      </c>
      <c r="C1724" s="54">
        <v>10</v>
      </c>
      <c r="D1724" s="59" t="s">
        <v>14</v>
      </c>
      <c r="E1724" s="59" t="s">
        <v>87</v>
      </c>
      <c r="F1724" s="38" t="s">
        <v>88</v>
      </c>
      <c r="G1724" s="51">
        <v>2.8</v>
      </c>
      <c r="H1724" s="60" t="s">
        <v>71</v>
      </c>
      <c r="I1724" s="39">
        <v>0.88100000000000001</v>
      </c>
      <c r="J1724" s="39">
        <v>0.17849999999999999</v>
      </c>
      <c r="K1724" s="39">
        <v>0.14369999999999999</v>
      </c>
      <c r="L1724" s="39">
        <v>0.1134</v>
      </c>
      <c r="M1724" s="61">
        <v>5000</v>
      </c>
      <c r="N1724" s="61">
        <v>1000000</v>
      </c>
    </row>
    <row r="1725" spans="1:14" ht="15" customHeight="1" x14ac:dyDescent="0.25">
      <c r="A1725" s="64" t="str">
        <f t="shared" si="26"/>
        <v>2.8-11-0-TOU-3 year APR - Reward Plus</v>
      </c>
      <c r="B1725" s="62" t="s">
        <v>13</v>
      </c>
      <c r="C1725" s="54">
        <v>11</v>
      </c>
      <c r="D1725" s="59" t="s">
        <v>20</v>
      </c>
      <c r="E1725" s="59" t="s">
        <v>87</v>
      </c>
      <c r="F1725" s="38" t="s">
        <v>88</v>
      </c>
      <c r="G1725" s="51">
        <v>2.8</v>
      </c>
      <c r="H1725" s="60" t="s">
        <v>71</v>
      </c>
      <c r="I1725" s="39">
        <v>0.86099999999999999</v>
      </c>
      <c r="J1725" s="39">
        <v>0.1807</v>
      </c>
      <c r="K1725" s="39">
        <v>0.14549999999999999</v>
      </c>
      <c r="L1725" s="39">
        <v>0.1149</v>
      </c>
      <c r="M1725" s="61">
        <v>5000</v>
      </c>
      <c r="N1725" s="61">
        <v>1000000</v>
      </c>
    </row>
    <row r="1726" spans="1:14" ht="15" customHeight="1" x14ac:dyDescent="0.25">
      <c r="A1726" s="64" t="str">
        <f t="shared" si="26"/>
        <v>2.8-12-0-TOU-3 year APR - Reward Plus</v>
      </c>
      <c r="B1726" s="62" t="s">
        <v>13</v>
      </c>
      <c r="C1726" s="54">
        <v>12</v>
      </c>
      <c r="D1726" s="59" t="s">
        <v>21</v>
      </c>
      <c r="E1726" s="59" t="s">
        <v>87</v>
      </c>
      <c r="F1726" s="38" t="s">
        <v>88</v>
      </c>
      <c r="G1726" s="51">
        <v>2.8</v>
      </c>
      <c r="H1726" s="60" t="s">
        <v>71</v>
      </c>
      <c r="I1726" s="39">
        <v>0.90300000000000002</v>
      </c>
      <c r="J1726" s="39">
        <v>0.17799999999999999</v>
      </c>
      <c r="K1726" s="39">
        <v>0.14329999999999998</v>
      </c>
      <c r="L1726" s="39">
        <v>0.11310000000000001</v>
      </c>
      <c r="M1726" s="61">
        <v>5000</v>
      </c>
      <c r="N1726" s="61">
        <v>1000000</v>
      </c>
    </row>
    <row r="1727" spans="1:14" ht="15" customHeight="1" x14ac:dyDescent="0.25">
      <c r="A1727" s="64" t="str">
        <f t="shared" si="26"/>
        <v>2.8-13-0-TOU-3 year APR - Reward Plus</v>
      </c>
      <c r="B1727" s="62" t="s">
        <v>13</v>
      </c>
      <c r="C1727" s="54">
        <v>13</v>
      </c>
      <c r="D1727" s="59" t="s">
        <v>22</v>
      </c>
      <c r="E1727" s="59" t="s">
        <v>87</v>
      </c>
      <c r="F1727" s="38" t="s">
        <v>88</v>
      </c>
      <c r="G1727" s="51">
        <v>2.8</v>
      </c>
      <c r="H1727" s="60" t="s">
        <v>71</v>
      </c>
      <c r="I1727" s="39">
        <v>0.88100000000000001</v>
      </c>
      <c r="J1727" s="39">
        <v>0.19009999999999999</v>
      </c>
      <c r="K1727" s="39">
        <v>0.15309999999999999</v>
      </c>
      <c r="L1727" s="39">
        <v>0.12090000000000001</v>
      </c>
      <c r="M1727" s="61">
        <v>5000</v>
      </c>
      <c r="N1727" s="61">
        <v>1000000</v>
      </c>
    </row>
    <row r="1728" spans="1:14" ht="15" customHeight="1" x14ac:dyDescent="0.25">
      <c r="A1728" s="64" t="str">
        <f t="shared" si="26"/>
        <v>2.8-14-0-TOU-3 year APR - Reward Plus</v>
      </c>
      <c r="B1728" s="62" t="s">
        <v>13</v>
      </c>
      <c r="C1728" s="54">
        <v>14</v>
      </c>
      <c r="D1728" s="59" t="s">
        <v>23</v>
      </c>
      <c r="E1728" s="59" t="s">
        <v>87</v>
      </c>
      <c r="F1728" s="38" t="s">
        <v>88</v>
      </c>
      <c r="G1728" s="51">
        <v>2.8</v>
      </c>
      <c r="H1728" s="60" t="s">
        <v>71</v>
      </c>
      <c r="I1728" s="39">
        <v>0.89</v>
      </c>
      <c r="J1728" s="39">
        <v>0.1817</v>
      </c>
      <c r="K1728" s="39">
        <v>0.14629999999999999</v>
      </c>
      <c r="L1728" s="39">
        <v>0.11550000000000001</v>
      </c>
      <c r="M1728" s="61">
        <v>5000</v>
      </c>
      <c r="N1728" s="61">
        <v>1000000</v>
      </c>
    </row>
    <row r="1729" spans="1:14" ht="15" customHeight="1" x14ac:dyDescent="0.25">
      <c r="A1729" s="64" t="str">
        <f t="shared" si="26"/>
        <v>2.8-15-0-TOU-3 year APR - Reward Plus</v>
      </c>
      <c r="B1729" s="62" t="s">
        <v>13</v>
      </c>
      <c r="C1729" s="54">
        <v>15</v>
      </c>
      <c r="D1729" s="59" t="s">
        <v>24</v>
      </c>
      <c r="E1729" s="59" t="s">
        <v>87</v>
      </c>
      <c r="F1729" s="38" t="s">
        <v>88</v>
      </c>
      <c r="G1729" s="51">
        <v>2.8</v>
      </c>
      <c r="H1729" s="60" t="s">
        <v>71</v>
      </c>
      <c r="I1729" s="39">
        <v>0.96</v>
      </c>
      <c r="J1729" s="39">
        <v>0.1825</v>
      </c>
      <c r="K1729" s="39">
        <v>0.1469</v>
      </c>
      <c r="L1729" s="39">
        <v>0.11600000000000001</v>
      </c>
      <c r="M1729" s="61">
        <v>5000</v>
      </c>
      <c r="N1729" s="61">
        <v>1000000</v>
      </c>
    </row>
    <row r="1730" spans="1:14" ht="15" customHeight="1" x14ac:dyDescent="0.25">
      <c r="A1730" s="64" t="str">
        <f t="shared" si="26"/>
        <v>2.8-16-0-TOU-3 year APR - Reward Plus</v>
      </c>
      <c r="B1730" s="62" t="s">
        <v>13</v>
      </c>
      <c r="C1730" s="54">
        <v>16</v>
      </c>
      <c r="D1730" s="59" t="s">
        <v>25</v>
      </c>
      <c r="E1730" s="59" t="s">
        <v>87</v>
      </c>
      <c r="F1730" s="38" t="s">
        <v>88</v>
      </c>
      <c r="G1730" s="51">
        <v>2.8</v>
      </c>
      <c r="H1730" s="60" t="s">
        <v>71</v>
      </c>
      <c r="I1730" s="39">
        <v>0.72699999999999998</v>
      </c>
      <c r="J1730" s="39">
        <v>0.18129999999999999</v>
      </c>
      <c r="K1730" s="39">
        <v>0.14599999999999999</v>
      </c>
      <c r="L1730" s="39">
        <v>0.1152</v>
      </c>
      <c r="M1730" s="61">
        <v>5000</v>
      </c>
      <c r="N1730" s="61">
        <v>1000000</v>
      </c>
    </row>
    <row r="1731" spans="1:14" ht="15" customHeight="1" x14ac:dyDescent="0.25">
      <c r="A1731" s="64" t="str">
        <f t="shared" ref="A1731:A1765" si="27">IF(E1731="OP","",CONCATENATE(G1731,"-",C1731,"-",RIGHT(F1731,1),"-",E1731,"-",H1731))</f>
        <v>2.8-17-0-TOU-3 year APR - Reward Plus</v>
      </c>
      <c r="B1731" s="62" t="s">
        <v>13</v>
      </c>
      <c r="C1731" s="54">
        <v>17</v>
      </c>
      <c r="D1731" s="59" t="s">
        <v>26</v>
      </c>
      <c r="E1731" s="59" t="s">
        <v>87</v>
      </c>
      <c r="F1731" s="38" t="s">
        <v>88</v>
      </c>
      <c r="G1731" s="51">
        <v>2.8</v>
      </c>
      <c r="H1731" s="60" t="s">
        <v>71</v>
      </c>
      <c r="I1731" s="39">
        <v>1.484</v>
      </c>
      <c r="J1731" s="39">
        <v>0.19969999999999999</v>
      </c>
      <c r="K1731" s="39">
        <v>0.1608</v>
      </c>
      <c r="L1731" s="39">
        <v>0.12690000000000001</v>
      </c>
      <c r="M1731" s="61">
        <v>5000</v>
      </c>
      <c r="N1731" s="61">
        <v>1000000</v>
      </c>
    </row>
    <row r="1732" spans="1:14" ht="15" customHeight="1" x14ac:dyDescent="0.25">
      <c r="A1732" s="64" t="str">
        <f t="shared" si="27"/>
        <v>2.8-18-0-TOU-3 year APR - Reward Plus</v>
      </c>
      <c r="B1732" s="62" t="s">
        <v>13</v>
      </c>
      <c r="C1732" s="54">
        <v>18</v>
      </c>
      <c r="D1732" s="59" t="s">
        <v>27</v>
      </c>
      <c r="E1732" s="59" t="s">
        <v>87</v>
      </c>
      <c r="F1732" s="38" t="s">
        <v>88</v>
      </c>
      <c r="G1732" s="51">
        <v>2.8</v>
      </c>
      <c r="H1732" s="60" t="s">
        <v>71</v>
      </c>
      <c r="I1732" s="39">
        <v>0.89900000000000002</v>
      </c>
      <c r="J1732" s="39">
        <v>0.18049999999999999</v>
      </c>
      <c r="K1732" s="39">
        <v>0.14529999999999998</v>
      </c>
      <c r="L1732" s="39">
        <v>0.1147</v>
      </c>
      <c r="M1732" s="61">
        <v>5000</v>
      </c>
      <c r="N1732" s="61">
        <v>1000000</v>
      </c>
    </row>
    <row r="1733" spans="1:14" ht="15" customHeight="1" x14ac:dyDescent="0.25">
      <c r="A1733" s="64" t="str">
        <f t="shared" si="27"/>
        <v>2.8-19-0-TOU-3 year APR - Reward Plus</v>
      </c>
      <c r="B1733" s="62" t="s">
        <v>13</v>
      </c>
      <c r="C1733" s="54">
        <v>19</v>
      </c>
      <c r="D1733" s="59" t="s">
        <v>28</v>
      </c>
      <c r="E1733" s="59" t="s">
        <v>87</v>
      </c>
      <c r="F1733" s="38" t="s">
        <v>88</v>
      </c>
      <c r="G1733" s="51">
        <v>2.8</v>
      </c>
      <c r="H1733" s="60" t="s">
        <v>71</v>
      </c>
      <c r="I1733" s="39">
        <v>0.77800000000000002</v>
      </c>
      <c r="J1733" s="39">
        <v>0.17959999999999998</v>
      </c>
      <c r="K1733" s="39">
        <v>0.14459999999999998</v>
      </c>
      <c r="L1733" s="39">
        <v>0.1142</v>
      </c>
      <c r="M1733" s="61">
        <v>5000</v>
      </c>
      <c r="N1733" s="61">
        <v>1000000</v>
      </c>
    </row>
    <row r="1734" spans="1:14" ht="15" customHeight="1" x14ac:dyDescent="0.25">
      <c r="A1734" s="64" t="str">
        <f t="shared" si="27"/>
        <v>2.8-20-0-TOU-3 year APR - Reward Plus</v>
      </c>
      <c r="B1734" s="62" t="s">
        <v>13</v>
      </c>
      <c r="C1734" s="54">
        <v>20</v>
      </c>
      <c r="D1734" s="59" t="s">
        <v>29</v>
      </c>
      <c r="E1734" s="59" t="s">
        <v>87</v>
      </c>
      <c r="F1734" s="38" t="s">
        <v>88</v>
      </c>
      <c r="G1734" s="51">
        <v>2.8</v>
      </c>
      <c r="H1734" s="60" t="s">
        <v>71</v>
      </c>
      <c r="I1734" s="39">
        <v>0.82699999999999996</v>
      </c>
      <c r="J1734" s="39">
        <v>0.17929999999999999</v>
      </c>
      <c r="K1734" s="39">
        <v>0.1444</v>
      </c>
      <c r="L1734" s="39">
        <v>0.114</v>
      </c>
      <c r="M1734" s="61">
        <v>5000</v>
      </c>
      <c r="N1734" s="61">
        <v>1000000</v>
      </c>
    </row>
    <row r="1735" spans="1:14" ht="15" customHeight="1" x14ac:dyDescent="0.25">
      <c r="A1735" s="64" t="str">
        <f t="shared" si="27"/>
        <v>2.8-21-0-TOU-3 year APR - Reward Plus</v>
      </c>
      <c r="B1735" s="62" t="s">
        <v>13</v>
      </c>
      <c r="C1735" s="54">
        <v>21</v>
      </c>
      <c r="D1735" s="59" t="s">
        <v>30</v>
      </c>
      <c r="E1735" s="59" t="s">
        <v>87</v>
      </c>
      <c r="F1735" s="38" t="s">
        <v>88</v>
      </c>
      <c r="G1735" s="51">
        <v>2.8</v>
      </c>
      <c r="H1735" s="60" t="s">
        <v>71</v>
      </c>
      <c r="I1735" s="39">
        <v>0.92300000000000004</v>
      </c>
      <c r="J1735" s="39">
        <v>0.18919999999999998</v>
      </c>
      <c r="K1735" s="39">
        <v>0.15229999999999999</v>
      </c>
      <c r="L1735" s="39">
        <v>0.1203</v>
      </c>
      <c r="M1735" s="61">
        <v>5000</v>
      </c>
      <c r="N1735" s="61">
        <v>1000000</v>
      </c>
    </row>
    <row r="1736" spans="1:14" ht="15" customHeight="1" x14ac:dyDescent="0.25">
      <c r="A1736" s="64" t="str">
        <f t="shared" si="27"/>
        <v>2.8-22-0-TOU-3 year APR - Reward Plus</v>
      </c>
      <c r="B1736" s="62" t="s">
        <v>13</v>
      </c>
      <c r="C1736" s="54">
        <v>22</v>
      </c>
      <c r="D1736" s="59" t="s">
        <v>31</v>
      </c>
      <c r="E1736" s="59" t="s">
        <v>87</v>
      </c>
      <c r="F1736" s="38" t="s">
        <v>88</v>
      </c>
      <c r="G1736" s="51">
        <v>2.8</v>
      </c>
      <c r="H1736" s="60" t="s">
        <v>71</v>
      </c>
      <c r="I1736" s="39">
        <v>0.90400000000000003</v>
      </c>
      <c r="J1736" s="39">
        <v>0.1898</v>
      </c>
      <c r="K1736" s="39">
        <v>0.15279999999999999</v>
      </c>
      <c r="L1736" s="39">
        <v>0.1206</v>
      </c>
      <c r="M1736" s="61">
        <v>5000</v>
      </c>
      <c r="N1736" s="61">
        <v>1000000</v>
      </c>
    </row>
    <row r="1737" spans="1:14" ht="15" customHeight="1" x14ac:dyDescent="0.25">
      <c r="A1737" s="64" t="str">
        <f t="shared" si="27"/>
        <v>2.8-23-0-TOU-3 year APR - Reward Plus</v>
      </c>
      <c r="B1737" s="62" t="s">
        <v>13</v>
      </c>
      <c r="C1737" s="54">
        <v>23</v>
      </c>
      <c r="D1737" s="59" t="s">
        <v>32</v>
      </c>
      <c r="E1737" s="59" t="s">
        <v>87</v>
      </c>
      <c r="F1737" s="38" t="s">
        <v>88</v>
      </c>
      <c r="G1737" s="51">
        <v>2.8</v>
      </c>
      <c r="H1737" s="60" t="s">
        <v>71</v>
      </c>
      <c r="I1737" s="39">
        <v>0.90600000000000003</v>
      </c>
      <c r="J1737" s="39">
        <v>0.18239999999999998</v>
      </c>
      <c r="K1737" s="39">
        <v>0.14679999999999999</v>
      </c>
      <c r="L1737" s="39">
        <v>0.1159</v>
      </c>
      <c r="M1737" s="61">
        <v>5000</v>
      </c>
      <c r="N1737" s="61">
        <v>1000000</v>
      </c>
    </row>
    <row r="1738" spans="1:14" ht="15" customHeight="1" x14ac:dyDescent="0.25">
      <c r="A1738" s="64" t="str">
        <f t="shared" si="27"/>
        <v>2.9-10-0-TOU-3 year APR - Reward Plus</v>
      </c>
      <c r="B1738" s="62" t="s">
        <v>13</v>
      </c>
      <c r="C1738" s="54">
        <v>10</v>
      </c>
      <c r="D1738" s="59" t="s">
        <v>14</v>
      </c>
      <c r="E1738" s="59" t="s">
        <v>87</v>
      </c>
      <c r="F1738" s="38" t="s">
        <v>88</v>
      </c>
      <c r="G1738" s="51">
        <v>2.9</v>
      </c>
      <c r="H1738" s="60" t="s">
        <v>71</v>
      </c>
      <c r="I1738" s="39">
        <v>0.88100000000000001</v>
      </c>
      <c r="J1738" s="39">
        <v>0.17959999999999998</v>
      </c>
      <c r="K1738" s="39">
        <v>0.14459999999999998</v>
      </c>
      <c r="L1738" s="39">
        <v>0.1142</v>
      </c>
      <c r="M1738" s="61">
        <v>5000</v>
      </c>
      <c r="N1738" s="61">
        <v>1000000</v>
      </c>
    </row>
    <row r="1739" spans="1:14" ht="15" customHeight="1" x14ac:dyDescent="0.25">
      <c r="A1739" s="64" t="str">
        <f t="shared" si="27"/>
        <v>2.9-11-0-TOU-3 year APR - Reward Plus</v>
      </c>
      <c r="B1739" s="62" t="s">
        <v>13</v>
      </c>
      <c r="C1739" s="54">
        <v>11</v>
      </c>
      <c r="D1739" s="59" t="s">
        <v>20</v>
      </c>
      <c r="E1739" s="59" t="s">
        <v>87</v>
      </c>
      <c r="F1739" s="38" t="s">
        <v>88</v>
      </c>
      <c r="G1739" s="51">
        <v>2.9</v>
      </c>
      <c r="H1739" s="60" t="s">
        <v>71</v>
      </c>
      <c r="I1739" s="39">
        <v>0.86099999999999999</v>
      </c>
      <c r="J1739" s="39">
        <v>0.18189999999999998</v>
      </c>
      <c r="K1739" s="39">
        <v>0.1464</v>
      </c>
      <c r="L1739" s="39">
        <v>0.11560000000000001</v>
      </c>
      <c r="M1739" s="61">
        <v>5000</v>
      </c>
      <c r="N1739" s="61">
        <v>1000000</v>
      </c>
    </row>
    <row r="1740" spans="1:14" ht="15" customHeight="1" x14ac:dyDescent="0.25">
      <c r="A1740" s="64" t="str">
        <f t="shared" si="27"/>
        <v>2.9-12-0-TOU-3 year APR - Reward Plus</v>
      </c>
      <c r="B1740" s="62" t="s">
        <v>13</v>
      </c>
      <c r="C1740" s="54">
        <v>12</v>
      </c>
      <c r="D1740" s="59" t="s">
        <v>21</v>
      </c>
      <c r="E1740" s="59" t="s">
        <v>87</v>
      </c>
      <c r="F1740" s="38" t="s">
        <v>88</v>
      </c>
      <c r="G1740" s="51">
        <v>2.9</v>
      </c>
      <c r="H1740" s="60" t="s">
        <v>71</v>
      </c>
      <c r="I1740" s="39">
        <v>0.90300000000000002</v>
      </c>
      <c r="J1740" s="39">
        <v>0.1792</v>
      </c>
      <c r="K1740" s="39">
        <v>0.14429999999999998</v>
      </c>
      <c r="L1740" s="39">
        <v>0.1139</v>
      </c>
      <c r="M1740" s="61">
        <v>5000</v>
      </c>
      <c r="N1740" s="61">
        <v>1000000</v>
      </c>
    </row>
    <row r="1741" spans="1:14" ht="15" customHeight="1" x14ac:dyDescent="0.25">
      <c r="A1741" s="64" t="str">
        <f t="shared" si="27"/>
        <v>2.9-13-0-TOU-3 year APR - Reward Plus</v>
      </c>
      <c r="B1741" s="62" t="s">
        <v>13</v>
      </c>
      <c r="C1741" s="54">
        <v>13</v>
      </c>
      <c r="D1741" s="59" t="s">
        <v>22</v>
      </c>
      <c r="E1741" s="59" t="s">
        <v>87</v>
      </c>
      <c r="F1741" s="38" t="s">
        <v>88</v>
      </c>
      <c r="G1741" s="51">
        <v>2.9</v>
      </c>
      <c r="H1741" s="60" t="s">
        <v>71</v>
      </c>
      <c r="I1741" s="39">
        <v>0.88100000000000001</v>
      </c>
      <c r="J1741" s="39">
        <v>0.1913</v>
      </c>
      <c r="K1741" s="39">
        <v>0.154</v>
      </c>
      <c r="L1741" s="39">
        <v>0.1216</v>
      </c>
      <c r="M1741" s="61">
        <v>5000</v>
      </c>
      <c r="N1741" s="61">
        <v>1000000</v>
      </c>
    </row>
    <row r="1742" spans="1:14" ht="15" customHeight="1" x14ac:dyDescent="0.25">
      <c r="A1742" s="64" t="str">
        <f t="shared" si="27"/>
        <v>2.9-14-0-TOU-3 year APR - Reward Plus</v>
      </c>
      <c r="B1742" s="62" t="s">
        <v>13</v>
      </c>
      <c r="C1742" s="54">
        <v>14</v>
      </c>
      <c r="D1742" s="59" t="s">
        <v>23</v>
      </c>
      <c r="E1742" s="59" t="s">
        <v>87</v>
      </c>
      <c r="F1742" s="38" t="s">
        <v>88</v>
      </c>
      <c r="G1742" s="51">
        <v>2.9</v>
      </c>
      <c r="H1742" s="60" t="s">
        <v>71</v>
      </c>
      <c r="I1742" s="39">
        <v>0.89</v>
      </c>
      <c r="J1742" s="39">
        <v>0.18279999999999999</v>
      </c>
      <c r="K1742" s="39">
        <v>0.1472</v>
      </c>
      <c r="L1742" s="39">
        <v>0.1162</v>
      </c>
      <c r="M1742" s="61">
        <v>5000</v>
      </c>
      <c r="N1742" s="61">
        <v>1000000</v>
      </c>
    </row>
    <row r="1743" spans="1:14" ht="15" customHeight="1" x14ac:dyDescent="0.25">
      <c r="A1743" s="64" t="str">
        <f t="shared" si="27"/>
        <v>2.9-15-0-TOU-3 year APR - Reward Plus</v>
      </c>
      <c r="B1743" s="62" t="s">
        <v>13</v>
      </c>
      <c r="C1743" s="54">
        <v>15</v>
      </c>
      <c r="D1743" s="59" t="s">
        <v>24</v>
      </c>
      <c r="E1743" s="59" t="s">
        <v>87</v>
      </c>
      <c r="F1743" s="38" t="s">
        <v>88</v>
      </c>
      <c r="G1743" s="51">
        <v>2.9</v>
      </c>
      <c r="H1743" s="60" t="s">
        <v>71</v>
      </c>
      <c r="I1743" s="39">
        <v>0.96</v>
      </c>
      <c r="J1743" s="39">
        <v>0.1837</v>
      </c>
      <c r="K1743" s="39">
        <v>0.14789999999999998</v>
      </c>
      <c r="L1743" s="39">
        <v>0.1167</v>
      </c>
      <c r="M1743" s="61">
        <v>5000</v>
      </c>
      <c r="N1743" s="61">
        <v>1000000</v>
      </c>
    </row>
    <row r="1744" spans="1:14" ht="15" customHeight="1" x14ac:dyDescent="0.25">
      <c r="A1744" s="64" t="str">
        <f t="shared" si="27"/>
        <v>2.9-16-0-TOU-3 year APR - Reward Plus</v>
      </c>
      <c r="B1744" s="62" t="s">
        <v>13</v>
      </c>
      <c r="C1744" s="54">
        <v>16</v>
      </c>
      <c r="D1744" s="59" t="s">
        <v>25</v>
      </c>
      <c r="E1744" s="59" t="s">
        <v>87</v>
      </c>
      <c r="F1744" s="38" t="s">
        <v>88</v>
      </c>
      <c r="G1744" s="51">
        <v>2.9</v>
      </c>
      <c r="H1744" s="60" t="s">
        <v>71</v>
      </c>
      <c r="I1744" s="39">
        <v>0.72699999999999998</v>
      </c>
      <c r="J1744" s="39">
        <v>0.1825</v>
      </c>
      <c r="K1744" s="39">
        <v>0.1469</v>
      </c>
      <c r="L1744" s="39">
        <v>0.11600000000000001</v>
      </c>
      <c r="M1744" s="61">
        <v>5000</v>
      </c>
      <c r="N1744" s="61">
        <v>1000000</v>
      </c>
    </row>
    <row r="1745" spans="1:14" ht="15" customHeight="1" x14ac:dyDescent="0.25">
      <c r="A1745" s="64" t="str">
        <f t="shared" si="27"/>
        <v>2.9-17-0-TOU-3 year APR - Reward Plus</v>
      </c>
      <c r="B1745" s="62" t="s">
        <v>13</v>
      </c>
      <c r="C1745" s="54">
        <v>17</v>
      </c>
      <c r="D1745" s="59" t="s">
        <v>26</v>
      </c>
      <c r="E1745" s="59" t="s">
        <v>87</v>
      </c>
      <c r="F1745" s="38" t="s">
        <v>88</v>
      </c>
      <c r="G1745" s="51">
        <v>2.9</v>
      </c>
      <c r="H1745" s="60" t="s">
        <v>71</v>
      </c>
      <c r="I1745" s="39">
        <v>1.484</v>
      </c>
      <c r="J1745" s="39">
        <v>0.2009</v>
      </c>
      <c r="K1745" s="39">
        <v>0.16169999999999998</v>
      </c>
      <c r="L1745" s="39">
        <v>0.12769999999999998</v>
      </c>
      <c r="M1745" s="61">
        <v>5000</v>
      </c>
      <c r="N1745" s="61">
        <v>1000000</v>
      </c>
    </row>
    <row r="1746" spans="1:14" ht="15" customHeight="1" x14ac:dyDescent="0.25">
      <c r="A1746" s="64" t="str">
        <f t="shared" si="27"/>
        <v>2.9-18-0-TOU-3 year APR - Reward Plus</v>
      </c>
      <c r="B1746" s="62" t="s">
        <v>13</v>
      </c>
      <c r="C1746" s="54">
        <v>18</v>
      </c>
      <c r="D1746" s="59" t="s">
        <v>27</v>
      </c>
      <c r="E1746" s="59" t="s">
        <v>87</v>
      </c>
      <c r="F1746" s="38" t="s">
        <v>88</v>
      </c>
      <c r="G1746" s="51">
        <v>2.9</v>
      </c>
      <c r="H1746" s="60" t="s">
        <v>71</v>
      </c>
      <c r="I1746" s="39">
        <v>0.89900000000000002</v>
      </c>
      <c r="J1746" s="39">
        <v>0.1817</v>
      </c>
      <c r="K1746" s="39">
        <v>0.14629999999999999</v>
      </c>
      <c r="L1746" s="39">
        <v>0.11550000000000001</v>
      </c>
      <c r="M1746" s="61">
        <v>5000</v>
      </c>
      <c r="N1746" s="61">
        <v>1000000</v>
      </c>
    </row>
    <row r="1747" spans="1:14" ht="15" customHeight="1" x14ac:dyDescent="0.25">
      <c r="A1747" s="64" t="str">
        <f t="shared" si="27"/>
        <v>2.9-19-0-TOU-3 year APR - Reward Plus</v>
      </c>
      <c r="B1747" s="62" t="s">
        <v>13</v>
      </c>
      <c r="C1747" s="54">
        <v>19</v>
      </c>
      <c r="D1747" s="59" t="s">
        <v>28</v>
      </c>
      <c r="E1747" s="59" t="s">
        <v>87</v>
      </c>
      <c r="F1747" s="38" t="s">
        <v>88</v>
      </c>
      <c r="G1747" s="51">
        <v>2.9</v>
      </c>
      <c r="H1747" s="60" t="s">
        <v>71</v>
      </c>
      <c r="I1747" s="39">
        <v>0.77800000000000002</v>
      </c>
      <c r="J1747" s="39">
        <v>0.18079999999999999</v>
      </c>
      <c r="K1747" s="39">
        <v>0.14559999999999998</v>
      </c>
      <c r="L1747" s="39">
        <v>0.1149</v>
      </c>
      <c r="M1747" s="61">
        <v>5000</v>
      </c>
      <c r="N1747" s="61">
        <v>1000000</v>
      </c>
    </row>
    <row r="1748" spans="1:14" ht="15" customHeight="1" x14ac:dyDescent="0.25">
      <c r="A1748" s="64" t="str">
        <f t="shared" si="27"/>
        <v>2.9-20-0-TOU-3 year APR - Reward Plus</v>
      </c>
      <c r="B1748" s="62" t="s">
        <v>13</v>
      </c>
      <c r="C1748" s="54">
        <v>20</v>
      </c>
      <c r="D1748" s="59" t="s">
        <v>29</v>
      </c>
      <c r="E1748" s="59" t="s">
        <v>87</v>
      </c>
      <c r="F1748" s="38" t="s">
        <v>88</v>
      </c>
      <c r="G1748" s="51">
        <v>2.9</v>
      </c>
      <c r="H1748" s="60" t="s">
        <v>71</v>
      </c>
      <c r="I1748" s="39">
        <v>0.82699999999999996</v>
      </c>
      <c r="J1748" s="39">
        <v>0.18049999999999999</v>
      </c>
      <c r="K1748" s="39">
        <v>0.14529999999999998</v>
      </c>
      <c r="L1748" s="39">
        <v>0.1147</v>
      </c>
      <c r="M1748" s="61">
        <v>5000</v>
      </c>
      <c r="N1748" s="61">
        <v>1000000</v>
      </c>
    </row>
    <row r="1749" spans="1:14" ht="15" customHeight="1" x14ac:dyDescent="0.25">
      <c r="A1749" s="64" t="str">
        <f t="shared" si="27"/>
        <v>2.9-21-0-TOU-3 year APR - Reward Plus</v>
      </c>
      <c r="B1749" s="62" t="s">
        <v>13</v>
      </c>
      <c r="C1749" s="54">
        <v>21</v>
      </c>
      <c r="D1749" s="59" t="s">
        <v>30</v>
      </c>
      <c r="E1749" s="59" t="s">
        <v>87</v>
      </c>
      <c r="F1749" s="38" t="s">
        <v>88</v>
      </c>
      <c r="G1749" s="51">
        <v>2.9</v>
      </c>
      <c r="H1749" s="60" t="s">
        <v>71</v>
      </c>
      <c r="I1749" s="39">
        <v>0.92300000000000004</v>
      </c>
      <c r="J1749" s="39">
        <v>0.19039999999999999</v>
      </c>
      <c r="K1749" s="39">
        <v>0.15329999999999999</v>
      </c>
      <c r="L1749" s="39">
        <v>0.121</v>
      </c>
      <c r="M1749" s="61">
        <v>5000</v>
      </c>
      <c r="N1749" s="61">
        <v>1000000</v>
      </c>
    </row>
    <row r="1750" spans="1:14" ht="15" customHeight="1" x14ac:dyDescent="0.25">
      <c r="A1750" s="64" t="str">
        <f t="shared" si="27"/>
        <v>2.9-22-0-TOU-3 year APR - Reward Plus</v>
      </c>
      <c r="B1750" s="62" t="s">
        <v>13</v>
      </c>
      <c r="C1750" s="54">
        <v>22</v>
      </c>
      <c r="D1750" s="59" t="s">
        <v>31</v>
      </c>
      <c r="E1750" s="59" t="s">
        <v>87</v>
      </c>
      <c r="F1750" s="38" t="s">
        <v>88</v>
      </c>
      <c r="G1750" s="51">
        <v>2.9</v>
      </c>
      <c r="H1750" s="60" t="s">
        <v>71</v>
      </c>
      <c r="I1750" s="39">
        <v>0.90400000000000003</v>
      </c>
      <c r="J1750" s="39">
        <v>0.19099999999999998</v>
      </c>
      <c r="K1750" s="39">
        <v>0.15379999999999999</v>
      </c>
      <c r="L1750" s="39">
        <v>0.12140000000000001</v>
      </c>
      <c r="M1750" s="61">
        <v>5000</v>
      </c>
      <c r="N1750" s="61">
        <v>1000000</v>
      </c>
    </row>
    <row r="1751" spans="1:14" ht="15" customHeight="1" x14ac:dyDescent="0.25">
      <c r="A1751" s="64" t="str">
        <f t="shared" si="27"/>
        <v>2.9-23-0-TOU-3 year APR - Reward Plus</v>
      </c>
      <c r="B1751" s="62" t="s">
        <v>13</v>
      </c>
      <c r="C1751" s="54">
        <v>23</v>
      </c>
      <c r="D1751" s="59" t="s">
        <v>32</v>
      </c>
      <c r="E1751" s="59" t="s">
        <v>87</v>
      </c>
      <c r="F1751" s="38" t="s">
        <v>88</v>
      </c>
      <c r="G1751" s="51">
        <v>2.9</v>
      </c>
      <c r="H1751" s="60" t="s">
        <v>71</v>
      </c>
      <c r="I1751" s="39">
        <v>0.90600000000000003</v>
      </c>
      <c r="J1751" s="39">
        <v>0.1835</v>
      </c>
      <c r="K1751" s="39">
        <v>0.14779999999999999</v>
      </c>
      <c r="L1751" s="39">
        <v>0.1167</v>
      </c>
      <c r="M1751" s="61">
        <v>5000</v>
      </c>
      <c r="N1751" s="61">
        <v>1000000</v>
      </c>
    </row>
    <row r="1752" spans="1:14" ht="15" customHeight="1" x14ac:dyDescent="0.25">
      <c r="A1752" s="64" t="str">
        <f t="shared" si="27"/>
        <v>3-10-0-TOU-3 year APR - Reward Plus</v>
      </c>
      <c r="B1752" s="62" t="s">
        <v>13</v>
      </c>
      <c r="C1752" s="54">
        <v>10</v>
      </c>
      <c r="D1752" s="59" t="s">
        <v>14</v>
      </c>
      <c r="E1752" s="59" t="s">
        <v>87</v>
      </c>
      <c r="F1752" s="38" t="s">
        <v>88</v>
      </c>
      <c r="G1752" s="51">
        <v>3</v>
      </c>
      <c r="H1752" s="60" t="s">
        <v>71</v>
      </c>
      <c r="I1752" s="39">
        <v>0.88100000000000001</v>
      </c>
      <c r="J1752" s="39">
        <v>0.18079999999999999</v>
      </c>
      <c r="K1752" s="39">
        <v>0.14559999999999998</v>
      </c>
      <c r="L1752" s="39">
        <v>0.1149</v>
      </c>
      <c r="M1752" s="61">
        <v>5000</v>
      </c>
      <c r="N1752" s="61">
        <v>1000000</v>
      </c>
    </row>
    <row r="1753" spans="1:14" ht="15" customHeight="1" x14ac:dyDescent="0.25">
      <c r="A1753" s="64" t="str">
        <f t="shared" si="27"/>
        <v>3-11-0-TOU-3 year APR - Reward Plus</v>
      </c>
      <c r="B1753" s="62" t="s">
        <v>13</v>
      </c>
      <c r="C1753" s="54">
        <v>11</v>
      </c>
      <c r="D1753" s="59" t="s">
        <v>20</v>
      </c>
      <c r="E1753" s="59" t="s">
        <v>87</v>
      </c>
      <c r="F1753" s="38" t="s">
        <v>88</v>
      </c>
      <c r="G1753" s="51">
        <v>3</v>
      </c>
      <c r="H1753" s="60" t="s">
        <v>71</v>
      </c>
      <c r="I1753" s="39">
        <v>0.86099999999999999</v>
      </c>
      <c r="J1753" s="39">
        <v>0.18309999999999998</v>
      </c>
      <c r="K1753" s="39">
        <v>0.14739999999999998</v>
      </c>
      <c r="L1753" s="39">
        <v>0.1164</v>
      </c>
      <c r="M1753" s="61">
        <v>5000</v>
      </c>
      <c r="N1753" s="61">
        <v>1000000</v>
      </c>
    </row>
    <row r="1754" spans="1:14" ht="15" customHeight="1" x14ac:dyDescent="0.25">
      <c r="A1754" s="64" t="str">
        <f t="shared" si="27"/>
        <v>3-12-0-TOU-3 year APR - Reward Plus</v>
      </c>
      <c r="B1754" s="62" t="s">
        <v>13</v>
      </c>
      <c r="C1754" s="54">
        <v>12</v>
      </c>
      <c r="D1754" s="59" t="s">
        <v>21</v>
      </c>
      <c r="E1754" s="59" t="s">
        <v>87</v>
      </c>
      <c r="F1754" s="38" t="s">
        <v>88</v>
      </c>
      <c r="G1754" s="51">
        <v>3</v>
      </c>
      <c r="H1754" s="60" t="s">
        <v>71</v>
      </c>
      <c r="I1754" s="39">
        <v>0.90300000000000002</v>
      </c>
      <c r="J1754" s="39">
        <v>0.18039999999999998</v>
      </c>
      <c r="K1754" s="39">
        <v>0.1452</v>
      </c>
      <c r="L1754" s="39">
        <v>0.11459999999999999</v>
      </c>
      <c r="M1754" s="61">
        <v>5000</v>
      </c>
      <c r="N1754" s="61">
        <v>1000000</v>
      </c>
    </row>
    <row r="1755" spans="1:14" ht="15" customHeight="1" x14ac:dyDescent="0.25">
      <c r="A1755" s="64" t="str">
        <f t="shared" si="27"/>
        <v>3-13-0-TOU-3 year APR - Reward Plus</v>
      </c>
      <c r="B1755" s="62" t="s">
        <v>13</v>
      </c>
      <c r="C1755" s="54">
        <v>13</v>
      </c>
      <c r="D1755" s="59" t="s">
        <v>22</v>
      </c>
      <c r="E1755" s="59" t="s">
        <v>87</v>
      </c>
      <c r="F1755" s="38" t="s">
        <v>88</v>
      </c>
      <c r="G1755" s="51">
        <v>3</v>
      </c>
      <c r="H1755" s="60" t="s">
        <v>71</v>
      </c>
      <c r="I1755" s="39">
        <v>0.88100000000000001</v>
      </c>
      <c r="J1755" s="39">
        <v>0.19249999999999998</v>
      </c>
      <c r="K1755" s="39">
        <v>0.155</v>
      </c>
      <c r="L1755" s="39">
        <v>0.12240000000000001</v>
      </c>
      <c r="M1755" s="61">
        <v>5000</v>
      </c>
      <c r="N1755" s="61">
        <v>1000000</v>
      </c>
    </row>
    <row r="1756" spans="1:14" ht="15" customHeight="1" x14ac:dyDescent="0.25">
      <c r="A1756" s="64" t="str">
        <f t="shared" si="27"/>
        <v>3-14-0-TOU-3 year APR - Reward Plus</v>
      </c>
      <c r="B1756" s="62" t="s">
        <v>13</v>
      </c>
      <c r="C1756" s="54">
        <v>14</v>
      </c>
      <c r="D1756" s="59" t="s">
        <v>23</v>
      </c>
      <c r="E1756" s="59" t="s">
        <v>87</v>
      </c>
      <c r="F1756" s="38" t="s">
        <v>88</v>
      </c>
      <c r="G1756" s="51">
        <v>3</v>
      </c>
      <c r="H1756" s="60" t="s">
        <v>71</v>
      </c>
      <c r="I1756" s="39">
        <v>0.89</v>
      </c>
      <c r="J1756" s="39">
        <v>0.184</v>
      </c>
      <c r="K1756" s="39">
        <v>0.1482</v>
      </c>
      <c r="L1756" s="39">
        <v>0.11700000000000001</v>
      </c>
      <c r="M1756" s="61">
        <v>5000</v>
      </c>
      <c r="N1756" s="61">
        <v>1000000</v>
      </c>
    </row>
    <row r="1757" spans="1:14" ht="15" customHeight="1" x14ac:dyDescent="0.25">
      <c r="A1757" s="64" t="str">
        <f t="shared" si="27"/>
        <v>3-15-0-TOU-3 year APR - Reward Plus</v>
      </c>
      <c r="B1757" s="62" t="s">
        <v>13</v>
      </c>
      <c r="C1757" s="54">
        <v>15</v>
      </c>
      <c r="D1757" s="59" t="s">
        <v>24</v>
      </c>
      <c r="E1757" s="59" t="s">
        <v>87</v>
      </c>
      <c r="F1757" s="38" t="s">
        <v>88</v>
      </c>
      <c r="G1757" s="51">
        <v>3</v>
      </c>
      <c r="H1757" s="60" t="s">
        <v>71</v>
      </c>
      <c r="I1757" s="39">
        <v>0.96</v>
      </c>
      <c r="J1757" s="39">
        <v>0.18479999999999999</v>
      </c>
      <c r="K1757" s="39">
        <v>0.14879999999999999</v>
      </c>
      <c r="L1757" s="39">
        <v>0.11750000000000001</v>
      </c>
      <c r="M1757" s="61">
        <v>5000</v>
      </c>
      <c r="N1757" s="61">
        <v>1000000</v>
      </c>
    </row>
    <row r="1758" spans="1:14" ht="15" customHeight="1" x14ac:dyDescent="0.25">
      <c r="A1758" s="64" t="str">
        <f t="shared" si="27"/>
        <v>3-16-0-TOU-3 year APR - Reward Plus</v>
      </c>
      <c r="B1758" s="62" t="s">
        <v>13</v>
      </c>
      <c r="C1758" s="54">
        <v>16</v>
      </c>
      <c r="D1758" s="59" t="s">
        <v>25</v>
      </c>
      <c r="E1758" s="59" t="s">
        <v>87</v>
      </c>
      <c r="F1758" s="38" t="s">
        <v>88</v>
      </c>
      <c r="G1758" s="51">
        <v>3</v>
      </c>
      <c r="H1758" s="60" t="s">
        <v>71</v>
      </c>
      <c r="I1758" s="39">
        <v>0.72699999999999998</v>
      </c>
      <c r="J1758" s="39">
        <v>0.1837</v>
      </c>
      <c r="K1758" s="39">
        <v>0.14789999999999998</v>
      </c>
      <c r="L1758" s="39">
        <v>0.1167</v>
      </c>
      <c r="M1758" s="61">
        <v>5000</v>
      </c>
      <c r="N1758" s="61">
        <v>1000000</v>
      </c>
    </row>
    <row r="1759" spans="1:14" ht="15" customHeight="1" x14ac:dyDescent="0.25">
      <c r="A1759" s="64" t="str">
        <f t="shared" si="27"/>
        <v>3-17-0-TOU-3 year APR - Reward Plus</v>
      </c>
      <c r="B1759" s="62" t="s">
        <v>13</v>
      </c>
      <c r="C1759" s="54">
        <v>17</v>
      </c>
      <c r="D1759" s="59" t="s">
        <v>26</v>
      </c>
      <c r="E1759" s="59" t="s">
        <v>87</v>
      </c>
      <c r="F1759" s="38" t="s">
        <v>88</v>
      </c>
      <c r="G1759" s="51">
        <v>3</v>
      </c>
      <c r="H1759" s="60" t="s">
        <v>71</v>
      </c>
      <c r="I1759" s="39">
        <v>1.484</v>
      </c>
      <c r="J1759" s="39">
        <v>0.2021</v>
      </c>
      <c r="K1759" s="39">
        <v>0.16269999999999998</v>
      </c>
      <c r="L1759" s="39">
        <v>0.12839999999999999</v>
      </c>
      <c r="M1759" s="61">
        <v>5000</v>
      </c>
      <c r="N1759" s="61">
        <v>1000000</v>
      </c>
    </row>
    <row r="1760" spans="1:14" ht="15" customHeight="1" x14ac:dyDescent="0.25">
      <c r="A1760" s="64" t="str">
        <f t="shared" si="27"/>
        <v>3-18-0-TOU-3 year APR - Reward Plus</v>
      </c>
      <c r="B1760" s="62" t="s">
        <v>13</v>
      </c>
      <c r="C1760" s="54">
        <v>18</v>
      </c>
      <c r="D1760" s="59" t="s">
        <v>27</v>
      </c>
      <c r="E1760" s="59" t="s">
        <v>87</v>
      </c>
      <c r="F1760" s="38" t="s">
        <v>88</v>
      </c>
      <c r="G1760" s="51">
        <v>3</v>
      </c>
      <c r="H1760" s="60" t="s">
        <v>71</v>
      </c>
      <c r="I1760" s="39">
        <v>0.89900000000000002</v>
      </c>
      <c r="J1760" s="39">
        <v>0.18279999999999999</v>
      </c>
      <c r="K1760" s="39">
        <v>0.1472</v>
      </c>
      <c r="L1760" s="39">
        <v>0.1162</v>
      </c>
      <c r="M1760" s="61">
        <v>5000</v>
      </c>
      <c r="N1760" s="61">
        <v>1000000</v>
      </c>
    </row>
    <row r="1761" spans="1:14" ht="15" customHeight="1" x14ac:dyDescent="0.25">
      <c r="A1761" s="64" t="str">
        <f t="shared" si="27"/>
        <v>3-19-0-TOU-3 year APR - Reward Plus</v>
      </c>
      <c r="B1761" s="62" t="s">
        <v>13</v>
      </c>
      <c r="C1761" s="54">
        <v>19</v>
      </c>
      <c r="D1761" s="59" t="s">
        <v>28</v>
      </c>
      <c r="E1761" s="59" t="s">
        <v>87</v>
      </c>
      <c r="F1761" s="38" t="s">
        <v>88</v>
      </c>
      <c r="G1761" s="51">
        <v>3</v>
      </c>
      <c r="H1761" s="60" t="s">
        <v>71</v>
      </c>
      <c r="I1761" s="39">
        <v>0.77800000000000002</v>
      </c>
      <c r="J1761" s="39">
        <v>0.182</v>
      </c>
      <c r="K1761" s="39">
        <v>0.14649999999999999</v>
      </c>
      <c r="L1761" s="39">
        <v>0.1157</v>
      </c>
      <c r="M1761" s="61">
        <v>5000</v>
      </c>
      <c r="N1761" s="61">
        <v>1000000</v>
      </c>
    </row>
    <row r="1762" spans="1:14" ht="15" customHeight="1" x14ac:dyDescent="0.25">
      <c r="A1762" s="64" t="str">
        <f t="shared" si="27"/>
        <v>3-20-0-TOU-3 year APR - Reward Plus</v>
      </c>
      <c r="B1762" s="62" t="s">
        <v>13</v>
      </c>
      <c r="C1762" s="54">
        <v>20</v>
      </c>
      <c r="D1762" s="59" t="s">
        <v>29</v>
      </c>
      <c r="E1762" s="59" t="s">
        <v>87</v>
      </c>
      <c r="F1762" s="38" t="s">
        <v>88</v>
      </c>
      <c r="G1762" s="51">
        <v>3</v>
      </c>
      <c r="H1762" s="60" t="s">
        <v>71</v>
      </c>
      <c r="I1762" s="39">
        <v>0.82699999999999996</v>
      </c>
      <c r="J1762" s="39">
        <v>0.1817</v>
      </c>
      <c r="K1762" s="39">
        <v>0.14629999999999999</v>
      </c>
      <c r="L1762" s="39">
        <v>0.11550000000000001</v>
      </c>
      <c r="M1762" s="61">
        <v>5000</v>
      </c>
      <c r="N1762" s="61">
        <v>1000000</v>
      </c>
    </row>
    <row r="1763" spans="1:14" ht="15" customHeight="1" x14ac:dyDescent="0.25">
      <c r="A1763" s="64" t="str">
        <f t="shared" si="27"/>
        <v>3-21-0-TOU-3 year APR - Reward Plus</v>
      </c>
      <c r="B1763" s="62" t="s">
        <v>13</v>
      </c>
      <c r="C1763" s="54">
        <v>21</v>
      </c>
      <c r="D1763" s="59" t="s">
        <v>30</v>
      </c>
      <c r="E1763" s="59" t="s">
        <v>87</v>
      </c>
      <c r="F1763" s="38" t="s">
        <v>88</v>
      </c>
      <c r="G1763" s="51">
        <v>3</v>
      </c>
      <c r="H1763" s="60" t="s">
        <v>71</v>
      </c>
      <c r="I1763" s="39">
        <v>0.92300000000000004</v>
      </c>
      <c r="J1763" s="39">
        <v>0.19159999999999999</v>
      </c>
      <c r="K1763" s="39">
        <v>0.15419999999999998</v>
      </c>
      <c r="L1763" s="39">
        <v>0.12180000000000001</v>
      </c>
      <c r="M1763" s="61">
        <v>5000</v>
      </c>
      <c r="N1763" s="61">
        <v>1000000</v>
      </c>
    </row>
    <row r="1764" spans="1:14" ht="15" customHeight="1" x14ac:dyDescent="0.25">
      <c r="A1764" s="64" t="str">
        <f t="shared" si="27"/>
        <v>3-22-0-TOU-3 year APR - Reward Plus</v>
      </c>
      <c r="B1764" s="62" t="s">
        <v>13</v>
      </c>
      <c r="C1764" s="54">
        <v>22</v>
      </c>
      <c r="D1764" s="59" t="s">
        <v>31</v>
      </c>
      <c r="E1764" s="59" t="s">
        <v>87</v>
      </c>
      <c r="F1764" s="38" t="s">
        <v>88</v>
      </c>
      <c r="G1764" s="51">
        <v>3</v>
      </c>
      <c r="H1764" s="60" t="s">
        <v>71</v>
      </c>
      <c r="I1764" s="39">
        <v>0.90400000000000003</v>
      </c>
      <c r="J1764" s="39">
        <v>0.19219999999999998</v>
      </c>
      <c r="K1764" s="39">
        <v>0.15469999999999998</v>
      </c>
      <c r="L1764" s="39">
        <v>0.1221</v>
      </c>
      <c r="M1764" s="61">
        <v>5000</v>
      </c>
      <c r="N1764" s="61">
        <v>1000000</v>
      </c>
    </row>
    <row r="1765" spans="1:14" ht="15" customHeight="1" x14ac:dyDescent="0.25">
      <c r="A1765" s="64" t="str">
        <f t="shared" si="27"/>
        <v>3-23-0-TOU-3 year APR - Reward Plus</v>
      </c>
      <c r="B1765" s="62" t="s">
        <v>13</v>
      </c>
      <c r="C1765" s="54">
        <v>23</v>
      </c>
      <c r="D1765" s="59" t="s">
        <v>32</v>
      </c>
      <c r="E1765" s="59" t="s">
        <v>87</v>
      </c>
      <c r="F1765" s="38" t="s">
        <v>88</v>
      </c>
      <c r="G1765" s="51">
        <v>3</v>
      </c>
      <c r="H1765" s="60" t="s">
        <v>71</v>
      </c>
      <c r="I1765" s="39">
        <v>0.90600000000000003</v>
      </c>
      <c r="J1765" s="39">
        <v>0.18469999999999998</v>
      </c>
      <c r="K1765" s="39">
        <v>0.1487</v>
      </c>
      <c r="L1765" s="39">
        <v>0.1174</v>
      </c>
      <c r="M1765" s="61">
        <v>5000</v>
      </c>
      <c r="N1765" s="61">
        <v>1000000</v>
      </c>
    </row>
  </sheetData>
  <autoFilter ref="B1:N1765" xr:uid="{00000000-0009-0000-0000-00000A000000}"/>
  <conditionalFormatting sqref="I2:I29">
    <cfRule type="expression" dxfId="39" priority="40">
      <formula>""</formula>
    </cfRule>
  </conditionalFormatting>
  <conditionalFormatting sqref="I30:I85">
    <cfRule type="expression" dxfId="38" priority="39">
      <formula>""</formula>
    </cfRule>
  </conditionalFormatting>
  <conditionalFormatting sqref="I86:I141">
    <cfRule type="expression" dxfId="37" priority="38">
      <formula>""</formula>
    </cfRule>
  </conditionalFormatting>
  <conditionalFormatting sqref="I142:I197">
    <cfRule type="expression" dxfId="36" priority="37">
      <formula>""</formula>
    </cfRule>
  </conditionalFormatting>
  <conditionalFormatting sqref="I198:I253">
    <cfRule type="expression" dxfId="35" priority="36">
      <formula>""</formula>
    </cfRule>
  </conditionalFormatting>
  <conditionalFormatting sqref="I254:I309">
    <cfRule type="expression" dxfId="34" priority="35">
      <formula>""</formula>
    </cfRule>
  </conditionalFormatting>
  <conditionalFormatting sqref="I310:I365">
    <cfRule type="expression" dxfId="33" priority="34">
      <formula>""</formula>
    </cfRule>
  </conditionalFormatting>
  <conditionalFormatting sqref="I366:I421">
    <cfRule type="expression" dxfId="32" priority="33">
      <formula>""</formula>
    </cfRule>
  </conditionalFormatting>
  <conditionalFormatting sqref="I422:I463">
    <cfRule type="expression" dxfId="31" priority="32">
      <formula>""</formula>
    </cfRule>
  </conditionalFormatting>
  <conditionalFormatting sqref="I464:I505">
    <cfRule type="expression" dxfId="30" priority="31">
      <formula>""</formula>
    </cfRule>
  </conditionalFormatting>
  <conditionalFormatting sqref="I506:I547">
    <cfRule type="expression" dxfId="29" priority="30">
      <formula>""</formula>
    </cfRule>
  </conditionalFormatting>
  <conditionalFormatting sqref="I548:I589">
    <cfRule type="expression" dxfId="28" priority="29">
      <formula>""</formula>
    </cfRule>
  </conditionalFormatting>
  <conditionalFormatting sqref="I590:I631">
    <cfRule type="expression" dxfId="27" priority="28">
      <formula>""</formula>
    </cfRule>
  </conditionalFormatting>
  <conditionalFormatting sqref="I632:I673">
    <cfRule type="expression" dxfId="26" priority="27">
      <formula>""</formula>
    </cfRule>
  </conditionalFormatting>
  <conditionalFormatting sqref="I674:I715">
    <cfRule type="expression" dxfId="25" priority="26">
      <formula>""</formula>
    </cfRule>
  </conditionalFormatting>
  <conditionalFormatting sqref="I716:I757">
    <cfRule type="expression" dxfId="24" priority="25">
      <formula>""</formula>
    </cfRule>
  </conditionalFormatting>
  <conditionalFormatting sqref="I758:I799">
    <cfRule type="expression" dxfId="23" priority="24">
      <formula>""</formula>
    </cfRule>
  </conditionalFormatting>
  <conditionalFormatting sqref="I800:I841">
    <cfRule type="expression" dxfId="22" priority="23">
      <formula>""</formula>
    </cfRule>
  </conditionalFormatting>
  <conditionalFormatting sqref="I842:I883">
    <cfRule type="expression" dxfId="21" priority="22">
      <formula>""</formula>
    </cfRule>
  </conditionalFormatting>
  <conditionalFormatting sqref="I884:I925">
    <cfRule type="expression" dxfId="20" priority="21">
      <formula>""</formula>
    </cfRule>
  </conditionalFormatting>
  <conditionalFormatting sqref="I926:I967">
    <cfRule type="expression" dxfId="19" priority="20">
      <formula>""</formula>
    </cfRule>
  </conditionalFormatting>
  <conditionalFormatting sqref="I968:I1009">
    <cfRule type="expression" dxfId="18" priority="19">
      <formula>""</formula>
    </cfRule>
  </conditionalFormatting>
  <conditionalFormatting sqref="I1010:I1051">
    <cfRule type="expression" dxfId="17" priority="18">
      <formula>""</formula>
    </cfRule>
  </conditionalFormatting>
  <conditionalFormatting sqref="I1052:I1093">
    <cfRule type="expression" dxfId="16" priority="17">
      <formula>""</formula>
    </cfRule>
  </conditionalFormatting>
  <conditionalFormatting sqref="I1094:I1135">
    <cfRule type="expression" dxfId="15" priority="16">
      <formula>""</formula>
    </cfRule>
  </conditionalFormatting>
  <conditionalFormatting sqref="I1136:I1177">
    <cfRule type="expression" dxfId="14" priority="15">
      <formula>""</formula>
    </cfRule>
  </conditionalFormatting>
  <conditionalFormatting sqref="I1178:I1219">
    <cfRule type="expression" dxfId="13" priority="14">
      <formula>""</formula>
    </cfRule>
  </conditionalFormatting>
  <conditionalFormatting sqref="I1220:I1261">
    <cfRule type="expression" dxfId="12" priority="13">
      <formula>""</formula>
    </cfRule>
  </conditionalFormatting>
  <conditionalFormatting sqref="I1262:I1303">
    <cfRule type="expression" dxfId="11" priority="12">
      <formula>""</formula>
    </cfRule>
  </conditionalFormatting>
  <conditionalFormatting sqref="I1304:I1345">
    <cfRule type="expression" dxfId="10" priority="11">
      <formula>""</formula>
    </cfRule>
  </conditionalFormatting>
  <conditionalFormatting sqref="I1346:I1387">
    <cfRule type="expression" dxfId="9" priority="10">
      <formula>""</formula>
    </cfRule>
  </conditionalFormatting>
  <conditionalFormatting sqref="I1388:I1429">
    <cfRule type="expression" dxfId="8" priority="9">
      <formula>""</formula>
    </cfRule>
  </conditionalFormatting>
  <conditionalFormatting sqref="I1430:I1471">
    <cfRule type="expression" dxfId="7" priority="8">
      <formula>""</formula>
    </cfRule>
  </conditionalFormatting>
  <conditionalFormatting sqref="I1472:I1513">
    <cfRule type="expression" dxfId="6" priority="7">
      <formula>""</formula>
    </cfRule>
  </conditionalFormatting>
  <conditionalFormatting sqref="I1514:I1555">
    <cfRule type="expression" dxfId="5" priority="6">
      <formula>""</formula>
    </cfRule>
  </conditionalFormatting>
  <conditionalFormatting sqref="I1556:I1597">
    <cfRule type="expression" dxfId="4" priority="5">
      <formula>""</formula>
    </cfRule>
  </conditionalFormatting>
  <conditionalFormatting sqref="I1598:I1639">
    <cfRule type="expression" dxfId="3" priority="4">
      <formula>""</formula>
    </cfRule>
  </conditionalFormatting>
  <conditionalFormatting sqref="I1640:I1681">
    <cfRule type="expression" dxfId="2" priority="3">
      <formula>""</formula>
    </cfRule>
  </conditionalFormatting>
  <conditionalFormatting sqref="I1682:I1723">
    <cfRule type="expression" dxfId="1" priority="2">
      <formula>""</formula>
    </cfRule>
  </conditionalFormatting>
  <conditionalFormatting sqref="I1724:I1765">
    <cfRule type="expression" dxfId="0" priority="1">
      <formula>""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/>
  <dimension ref="A1:AW518"/>
  <sheetViews>
    <sheetView showGridLines="0" showRowColHeaders="0" topLeftCell="G1" zoomScale="85" zoomScaleNormal="85" workbookViewId="0">
      <selection activeCell="AU13" sqref="AU13"/>
    </sheetView>
  </sheetViews>
  <sheetFormatPr defaultColWidth="9.109375" defaultRowHeight="14.4" x14ac:dyDescent="0.3"/>
  <cols>
    <col min="1" max="1" width="1.33203125" style="133" customWidth="1"/>
    <col min="2" max="2" width="10.5546875" style="130" hidden="1" customWidth="1"/>
    <col min="3" max="3" width="10.5546875" style="130" customWidth="1"/>
    <col min="4" max="4" width="15.33203125" style="131" customWidth="1"/>
    <col min="5" max="5" width="12" style="132" customWidth="1"/>
    <col min="6" max="6" width="18.88671875" style="132" bestFit="1" customWidth="1"/>
    <col min="7" max="7" width="17.109375" style="133" customWidth="1"/>
    <col min="8" max="8" width="7.44140625" style="150" customWidth="1"/>
    <col min="9" max="9" width="17.109375" style="150" customWidth="1"/>
    <col min="10" max="10" width="10.6640625" style="133" customWidth="1"/>
    <col min="11" max="11" width="4.5546875" style="133" bestFit="1" customWidth="1"/>
    <col min="12" max="12" width="10.6640625" style="133" hidden="1" customWidth="1"/>
    <col min="13" max="13" width="8.109375" style="133" hidden="1" customWidth="1"/>
    <col min="14" max="14" width="7" style="133" hidden="1" customWidth="1"/>
    <col min="15" max="15" width="4.88671875" style="133" hidden="1" customWidth="1"/>
    <col min="16" max="16" width="4.109375" style="133" hidden="1" customWidth="1"/>
    <col min="17" max="17" width="7.109375" style="133" hidden="1" customWidth="1"/>
    <col min="18" max="18" width="9.33203125" style="133" hidden="1" customWidth="1"/>
    <col min="19" max="19" width="6.33203125" style="133" hidden="1" customWidth="1"/>
    <col min="20" max="20" width="12.44140625" style="133" hidden="1" customWidth="1"/>
    <col min="21" max="21" width="14.33203125" style="133" hidden="1" customWidth="1"/>
    <col min="22" max="23" width="18.88671875" style="133" hidden="1" customWidth="1"/>
    <col min="24" max="24" width="15.5546875" style="133" hidden="1" customWidth="1"/>
    <col min="25" max="25" width="12.33203125" style="133" hidden="1" customWidth="1"/>
    <col min="26" max="26" width="16.109375" style="133" hidden="1" customWidth="1"/>
    <col min="27" max="27" width="14.6640625" style="133" hidden="1" customWidth="1"/>
    <col min="28" max="28" width="9.33203125" style="133" hidden="1" customWidth="1"/>
    <col min="29" max="29" width="10.6640625" style="133" hidden="1" customWidth="1"/>
    <col min="30" max="30" width="14.6640625" style="133" hidden="1" customWidth="1"/>
    <col min="31" max="32" width="7.6640625" style="133" hidden="1" customWidth="1"/>
    <col min="33" max="33" width="7.109375" style="133" hidden="1" customWidth="1"/>
    <col min="34" max="34" width="7" style="133" hidden="1" customWidth="1"/>
    <col min="35" max="35" width="13.6640625" style="133" hidden="1" customWidth="1"/>
    <col min="36" max="36" width="7.44140625" style="133" hidden="1" customWidth="1"/>
    <col min="37" max="37" width="14.109375" style="133" hidden="1" customWidth="1"/>
    <col min="38" max="38" width="10.33203125" style="133" hidden="1" customWidth="1"/>
    <col min="39" max="39" width="47.6640625" style="133" hidden="1" customWidth="1"/>
    <col min="40" max="40" width="6.44140625" style="133" hidden="1" customWidth="1"/>
    <col min="41" max="41" width="2.44140625" style="133" customWidth="1"/>
    <col min="42" max="42" width="17.44140625" style="133" customWidth="1"/>
    <col min="43" max="46" width="18.44140625" style="133" customWidth="1"/>
    <col min="47" max="47" width="19" style="133" customWidth="1"/>
    <col min="48" max="48" width="21.5546875" style="133" customWidth="1"/>
    <col min="49" max="49" width="17.88671875" style="133" bestFit="1" customWidth="1"/>
    <col min="50" max="16384" width="9.109375" style="133"/>
  </cols>
  <sheetData>
    <row r="1" ht="9" customHeight="1" x14ac:dyDescent="0.3"/>
    <row r="2" ht="9" customHeight="1" x14ac:dyDescent="0.3"/>
    <row r="3" ht="9" customHeight="1" x14ac:dyDescent="0.3"/>
    <row r="4" ht="9" customHeight="1" x14ac:dyDescent="0.3"/>
    <row r="5" ht="9" customHeight="1" x14ac:dyDescent="0.3"/>
    <row r="6" ht="9" customHeight="1" x14ac:dyDescent="0.3"/>
    <row r="7" ht="9" customHeight="1" x14ac:dyDescent="0.3"/>
    <row r="8" ht="9" customHeight="1" x14ac:dyDescent="0.3"/>
    <row r="9" ht="9" customHeight="1" x14ac:dyDescent="0.3"/>
    <row r="10" ht="9" customHeight="1" x14ac:dyDescent="0.3"/>
    <row r="11" ht="9" customHeight="1" x14ac:dyDescent="0.3"/>
    <row r="12" ht="9" customHeight="1" x14ac:dyDescent="0.3"/>
    <row r="13" ht="9" customHeight="1" x14ac:dyDescent="0.3"/>
    <row r="14" ht="9" customHeight="1" x14ac:dyDescent="0.3"/>
    <row r="15" ht="9" customHeight="1" x14ac:dyDescent="0.3"/>
    <row r="16" ht="9" customHeight="1" x14ac:dyDescent="0.3"/>
    <row r="17" spans="1:49" ht="9" customHeight="1" x14ac:dyDescent="0.3"/>
    <row r="18" spans="1:49" s="135" customFormat="1" ht="45" customHeight="1" thickBot="1" x14ac:dyDescent="0.35">
      <c r="B18" s="134"/>
      <c r="C18" s="164" t="s">
        <v>708</v>
      </c>
      <c r="D18" s="165" t="s">
        <v>709</v>
      </c>
      <c r="E18" s="166" t="s">
        <v>98</v>
      </c>
      <c r="F18" s="166" t="s">
        <v>66</v>
      </c>
      <c r="G18" s="164" t="s">
        <v>10</v>
      </c>
      <c r="H18" s="167" t="s">
        <v>94</v>
      </c>
      <c r="I18" s="167" t="s">
        <v>1</v>
      </c>
      <c r="J18" s="164" t="s">
        <v>688</v>
      </c>
      <c r="K18" s="164" t="s">
        <v>706</v>
      </c>
      <c r="M18" s="135" t="s">
        <v>644</v>
      </c>
      <c r="N18" s="136" t="s">
        <v>9</v>
      </c>
      <c r="O18" s="136" t="s">
        <v>128</v>
      </c>
      <c r="P18" s="136" t="s">
        <v>129</v>
      </c>
      <c r="Q18" s="136" t="s">
        <v>0</v>
      </c>
      <c r="R18" s="136" t="s">
        <v>130</v>
      </c>
      <c r="S18" s="136" t="s">
        <v>131</v>
      </c>
      <c r="T18" s="135" t="s">
        <v>8</v>
      </c>
      <c r="U18" s="135" t="s">
        <v>645</v>
      </c>
      <c r="V18" s="135" t="s">
        <v>73</v>
      </c>
      <c r="W18" s="135" t="s">
        <v>74</v>
      </c>
      <c r="X18" s="135" t="s">
        <v>704</v>
      </c>
      <c r="Y18" s="135" t="s">
        <v>705</v>
      </c>
      <c r="Z18" s="135" t="s">
        <v>34</v>
      </c>
      <c r="AA18" s="135" t="s">
        <v>38</v>
      </c>
      <c r="AB18" s="135" t="s">
        <v>37</v>
      </c>
      <c r="AC18" s="135" t="s">
        <v>36</v>
      </c>
      <c r="AD18" s="135" t="s">
        <v>35</v>
      </c>
      <c r="AE18" s="135" t="s">
        <v>5</v>
      </c>
      <c r="AF18" s="135" t="s">
        <v>669</v>
      </c>
      <c r="AG18" s="135" t="s">
        <v>0</v>
      </c>
      <c r="AH18" s="135" t="s">
        <v>9</v>
      </c>
      <c r="AI18" s="135" t="s">
        <v>8</v>
      </c>
      <c r="AJ18" s="135" t="s">
        <v>72</v>
      </c>
      <c r="AK18" s="135" t="s">
        <v>47</v>
      </c>
      <c r="AL18" s="135" t="s">
        <v>700</v>
      </c>
      <c r="AM18" s="135" t="s">
        <v>46</v>
      </c>
      <c r="AN18" s="135" t="s">
        <v>131</v>
      </c>
      <c r="AP18" s="163" t="s">
        <v>112</v>
      </c>
      <c r="AQ18" s="163" t="s">
        <v>113</v>
      </c>
      <c r="AR18" s="163" t="s">
        <v>114</v>
      </c>
      <c r="AS18" s="163" t="s">
        <v>115</v>
      </c>
      <c r="AT18" s="163" t="s">
        <v>136</v>
      </c>
      <c r="AU18" s="163" t="s">
        <v>707</v>
      </c>
      <c r="AV18" s="163" t="s">
        <v>710</v>
      </c>
      <c r="AW18" s="163" t="s">
        <v>703</v>
      </c>
    </row>
    <row r="19" spans="1:49" ht="15.75" customHeight="1" thickBot="1" x14ac:dyDescent="0.35">
      <c r="A19" s="135"/>
      <c r="B19" s="138" t="str">
        <f t="shared" ref="B19:B82" si="0">SUBSTITUTE(C19," ","")</f>
        <v/>
      </c>
      <c r="C19" s="137"/>
      <c r="D19" s="139"/>
      <c r="E19" s="140"/>
      <c r="F19" s="140"/>
      <c r="G19" s="139"/>
      <c r="H19" s="151"/>
      <c r="I19" s="139"/>
      <c r="J19" s="138"/>
      <c r="K19" s="139"/>
      <c r="L19" s="141"/>
      <c r="M19" s="133" t="str">
        <f t="shared" ref="M19:M82" si="1">CONCATENATE(LEFT(B19,2),LEFT(D19,2),MID(B19,3,3))</f>
        <v/>
      </c>
      <c r="N19" s="133" t="str">
        <f t="shared" ref="N19:N82" si="2">IF(LEFT(B19,2)="01","03",IF(LEFT(B19,2)="02","04",LEFT(B19,2)))</f>
        <v/>
      </c>
      <c r="O19" s="133" t="str">
        <f t="shared" ref="O19:O82" si="3">MID(B19,3,3)</f>
        <v/>
      </c>
      <c r="P19" s="133" t="str">
        <f t="shared" ref="P19:P82" si="4">RIGHT(B19,3)</f>
        <v/>
      </c>
      <c r="Q19" s="133" t="str">
        <f t="shared" ref="Q19:Q82" si="5">LEFT(D19,2)</f>
        <v/>
      </c>
      <c r="R19" s="133" t="str">
        <f t="shared" ref="R19:R82" si="6">MID(D19,3,8)</f>
        <v/>
      </c>
      <c r="S19" s="133" t="str">
        <f t="shared" ref="S19:S82" si="7">RIGHT(D19,3)</f>
        <v/>
      </c>
      <c r="T19" s="133" t="str">
        <f>IFERROR(IF($U19="ERROR","ERROR",IF($N19="00",IF(J19="1-Rate","HH 1RATE",IF(J19="2-Rate","HH 2RATE","")),IFERROR(VLOOKUP(CONCATENATE(N19,Q19,O19,P19),Lookups!$A$2:$E$4557,5,0),VLOOKUP(CONCATENATE(N19,Q19,O19),Lookups!$A$2:$E$4557,5,0)))),"ERROR")</f>
        <v>ERROR</v>
      </c>
      <c r="U19" s="133" t="str">
        <f>IFERROR(IF(NOT($N19="00"),"",VLOOKUP(CONCATENATE(Q19,P19,LOOKUP(2,1/(Lookups!$I$2:$I$11&lt;=E19)/(Lookups!$J$2:$J$11&gt;=Tool!$C$14),Lookups!$K$2:$K$11)),'HH LLFs'!$A$2:$K$500,3,0)),"ERROR")</f>
        <v/>
      </c>
      <c r="V19" s="132">
        <f>Calcs!$I$2</f>
        <v>44377</v>
      </c>
      <c r="W19" s="132">
        <f>Calcs!$I$4</f>
        <v>44592</v>
      </c>
      <c r="X19" s="153" t="str">
        <f>IF(NOT(N19="00"),"",(VLOOKUP(CONCATENATE(Q19,P19,LOOKUP(2,1/(Lookups!$I$2:$I$11&lt;=Multisite!E19)/(Lookups!$J$2:$J$11&gt;=E19),Lookups!$K$2:$K$11)),'HH LLFs'!$A$2:$F$282,6,0)*365)/12)</f>
        <v/>
      </c>
      <c r="Y19" s="153">
        <f t="shared" ref="Y19:Y82" si="8">K19</f>
        <v>0</v>
      </c>
      <c r="Z19" s="153" t="str">
        <f>IFERROR(((IF(I19="3 `Rate Half Hourly","",AP19*365)/100)),"")</f>
        <v/>
      </c>
      <c r="AA19" s="153" t="str">
        <f t="shared" ref="AA19:AA82" si="9">IFERROR(((AQ19*I19)/100),"")</f>
        <v/>
      </c>
      <c r="AB19" s="153" t="str">
        <f>IFERROR((IF(T19="E7",((AR19*I19)*0.7),IF(T19="EW",((AR19*I19)*0.6),IF(T19="3-Rate",((AR19*I19)*0.6),IF(T19="HH 2RATE",((AR19*I19)*0.7),IF(T19="HH 1RATE",(AR19*I19),"")))))/100),"")</f>
        <v/>
      </c>
      <c r="AC19" s="153" t="str">
        <f t="shared" ref="AC19:AC82" si="10">IFERROR((IF(T19="E7",((AS19*I19)*0.3),IF(T19="3-Rate",((AS19*I19)*0.2),IF(T19="HH 2RATE",((AS19*I19)*0.3),"")))/100),"")</f>
        <v/>
      </c>
      <c r="AD19" s="153" t="str">
        <f t="shared" ref="AD19:AD82" si="11">IFERROR((IF(T19="EW",((AT19*I19)*0.4),IF(T19="3-Rate",((AT19*I19)*0.2),""))/100),"")</f>
        <v/>
      </c>
      <c r="AE19" s="153" t="str">
        <f t="shared" ref="AE19:AE82" si="12">IF(Z19="","",IF(T19="3 Rate Half Hourly","",SUM(Z19:AD19,AW19)))</f>
        <v/>
      </c>
      <c r="AF19" s="155" t="e">
        <f>LOOKUP(2,1/(Lookups!$I$2:$I$11&lt;=E19)/(Lookups!$J$2:$J$11&gt;=E19),Lookups!$L$2:$L$11)</f>
        <v>#N/A</v>
      </c>
      <c r="AG19" s="142" t="str">
        <f t="shared" ref="AG19:AG82" si="13">Q19</f>
        <v/>
      </c>
      <c r="AH19" s="142" t="str">
        <f t="shared" ref="AH19:AH82" si="14">IF(E19&gt;W19,"",RIGHT(N19,1))</f>
        <v/>
      </c>
      <c r="AI19" s="143" t="b">
        <f>IF(T19="Unrestricted","U",IF(T19="E7","E7",IF(T19="EW","EW",IF(T19="3-Rate","3RATE",IF(T19="3 Rate Half Hourly","TOU",IF(T19="HH 2RATE",CONCATENATE("HH 2RATE ",U19),IF(T19="HH 1RATE",CONCATENATE("HH 1RATE ",U19))))))))</f>
        <v>0</v>
      </c>
      <c r="AJ19" s="143" t="str">
        <f t="shared" ref="AJ19:AJ82" si="15">IF($E19&lt;=$V19,"Level 1",IF($E19&lt;=$W19,"Level 2",""))</f>
        <v>Level 1</v>
      </c>
      <c r="AK19" s="142">
        <f t="shared" ref="AK19:AK82" si="16">IF($G19="SmartFIX – 1 Year","SmartFIX – 1 Year",IF($G19="SmartFIX – 2 Year","SmartFIX – 2 Year",IF($G19="SmartFIX – 3 Year","SmartFIX – 3 Year",IF($G19="SmartPAY12","SmartPAY12",IF($G19="SmartPAY24","SmartPAY24",IF($G19="SmartPAY36","SmartPAY36",IF($G19="SmartFIX – 5 Year","SmartFIX – 5 Year",IF($G19="SmartTRACKER","SmartTRACKER",IF($G19="SmartTRACKER","SmartTRACKER",)))))))))</f>
        <v>0</v>
      </c>
      <c r="AL19" s="157" t="str">
        <f>IF(F19="Renewal"," Renewal",IF(F19="Smartpay_Renewal","_Renewal",""))</f>
        <v/>
      </c>
      <c r="AM19" s="144" t="str">
        <f>IF(NOT($AI19="TOU"),CONCATENATE($AG19,"-",$AH19,"-",$AI19,"-",$AK19,$AL19,IF(AJ19="Level 2",CONCATENATE(" (",AJ19,")"),"")),CONCATENATE($AG19,"-",$AH19,"-",$AI19,"-",$AK19,$AL19,IF(AJ19="Level 2",CONCATENATE(" (",AJ19,")"),"")))</f>
        <v>--FALSE-0</v>
      </c>
      <c r="AN19" s="158" t="str">
        <f>IFERROR(CHOOSE(IF(OR(F19="Acquisition",F19="Renewal"),1,0)+IF(OR(F19="Smartpay",F19="Smartpay_Renewal"),2,0),IF(OR(ISNUMBER(SEARCH("fix",G19)),ISNUMBER(SEARCH("Tracker",G19))),TRUE,FALSE),IF(ISNUMBER(SEARCH("pay",G19)),TRUE,FALSE)),"")</f>
        <v/>
      </c>
      <c r="AO19" s="145"/>
      <c r="AP19" s="159" t="str">
        <f>IF($AN19=FALSE,"",IFERROR(INDEX('Flat Rates'!$A$1:$M$3880,MATCH($AM19,'Flat Rates'!$A$1:$A$3880,0),MATCH("Standing Charge",'Flat Rates'!$A$1:$M$1,0))*100,""))</f>
        <v/>
      </c>
      <c r="AQ19" s="148" t="str">
        <f>IF($AN19=FALSE,"",IFERROR((IF(NOT(T19="Unrestricted"),"",INDEX('Flat Rates'!$A$1:$M$3880,MATCH($AM19,'Flat Rates'!$A$1:$A$3880,0),MATCH("Uni/Day Rate",'Flat Rates'!$A$1:$M$1,0)))*100)+H19,""))</f>
        <v/>
      </c>
      <c r="AR19" s="148" t="str">
        <f>IF($AN19=FALSE,"",IFERROR((IF(T19="Unrestricted","",INDEX('Flat Rates'!$A$1:$M$3880,MATCH($AM19,'Flat Rates'!$A$1:$A$3880,0),MATCH("Uni/Day Rate",'Flat Rates'!$A$1:$M$1,0)))*100)+H19,""))</f>
        <v/>
      </c>
      <c r="AS19" s="148" t="str">
        <f>IF($AN19=FALSE,"",IFERROR(IF(INDEX('Flat Rates'!$A$1:$M$3880,MATCH($AM19,'Flat Rates'!$A$1:$A$3880,0),MATCH("Night Unit Rate",'Flat Rates'!$A$1:$M$1,0))=0,"",((INDEX('Flat Rates'!$A$1:$M$3880,MATCH($AM19,'Flat Rates'!$A$1:$A$3880,0),MATCH("Night Unit Rate",'Flat Rates'!$A$1:$M$1,0)))*100)+H19),""))</f>
        <v/>
      </c>
      <c r="AT19" s="148" t="str">
        <f>IF($AN19=FALSE,"",IFERROR(IF(INDEX('Flat Rates'!$A$1:$M$3880,MATCH($AM19,'Flat Rates'!$A$1:$A$3880,0),MATCH("Evening and Weekend Rate",'Flat Rates'!$A$1:$M$1,0))=0,"",((INDEX('Flat Rates'!$A$1:$M$3880,MATCH($AM19,'Flat Rates'!$A$1:$A$3880,0),MATCH("Evening and Weekend Rate",'Flat Rates'!$A$1:$M$1,0)))*100)+H19),""))</f>
        <v/>
      </c>
      <c r="AU19" s="152" t="str">
        <f>IF($AN19=FALSE,"",IF(I19="","",AE19))</f>
        <v/>
      </c>
      <c r="AV19" s="152" t="str">
        <f>IF($AN19=FALSE,"",IF(AU19="","",IF(I19&lt;12000,((AE19*1.05)/12),(((I19*AF19)+AE19)*1.2)/12)))</f>
        <v/>
      </c>
      <c r="AW19" s="152" t="str">
        <f>IF($AN19=FALSE,"",IF(NOT(N19="00"),"",IFERROR(((X19/100)*Y19)*12,"")))</f>
        <v/>
      </c>
    </row>
    <row r="20" spans="1:49" ht="15.75" customHeight="1" thickBot="1" x14ac:dyDescent="0.35">
      <c r="B20" s="138" t="str">
        <f t="shared" si="0"/>
        <v/>
      </c>
      <c r="C20" s="137"/>
      <c r="D20" s="139"/>
      <c r="E20" s="140"/>
      <c r="F20" s="140"/>
      <c r="G20" s="139"/>
      <c r="H20" s="151"/>
      <c r="I20" s="139"/>
      <c r="J20" s="137"/>
      <c r="K20" s="139"/>
      <c r="L20" s="141"/>
      <c r="M20" s="133" t="str">
        <f t="shared" si="1"/>
        <v/>
      </c>
      <c r="N20" s="133" t="str">
        <f t="shared" si="2"/>
        <v/>
      </c>
      <c r="O20" s="133" t="str">
        <f t="shared" si="3"/>
        <v/>
      </c>
      <c r="P20" s="133" t="str">
        <f t="shared" si="4"/>
        <v/>
      </c>
      <c r="Q20" s="133" t="str">
        <f t="shared" si="5"/>
        <v/>
      </c>
      <c r="R20" s="133" t="str">
        <f t="shared" si="6"/>
        <v/>
      </c>
      <c r="S20" s="133" t="str">
        <f t="shared" si="7"/>
        <v/>
      </c>
      <c r="T20" s="133" t="str">
        <f>IFERROR(IF($U20="ERROR","ERROR",IF($N20="00",IF(J20="1-Rate","HH 1RATE",IF(J20="2-Rate","HH 2RATE","")),IFERROR(VLOOKUP(CONCATENATE(N20,Q20,O20,P20),Lookups!$A$2:$E$4557,5,0),VLOOKUP(CONCATENATE(N20,Q20,O20),Lookups!$A$2:$E$4557,5,0)))),"ERROR")</f>
        <v>ERROR</v>
      </c>
      <c r="U20" s="133" t="str">
        <f>IFERROR(IF(NOT($N20="00"),"",VLOOKUP(CONCATENATE(Q20,P20,LOOKUP(2,1/(Lookups!$I$2:$I$11&lt;=E20)/(Lookups!$J$2:$J$11&gt;=Tool!$C$14),Lookups!$K$2:$K$11)),'HH LLFs'!$A$2:$K$500,3,0)),"ERROR")</f>
        <v/>
      </c>
      <c r="V20" s="132">
        <f>Calcs!$I$2</f>
        <v>44377</v>
      </c>
      <c r="W20" s="132">
        <f>Calcs!$I$4</f>
        <v>44592</v>
      </c>
      <c r="X20" s="153" t="str">
        <f>IF(NOT(N20="00"),"",(VLOOKUP(CONCATENATE(Q20,P20,LOOKUP(2,1/(Lookups!$I$2:$I$11&lt;=Multisite!E20)/(Lookups!$J$2:$J$11&gt;=E20),Lookups!$K$2:$K$11)),'HH LLFs'!$A$2:$F$282,6,0)*365)/12)</f>
        <v/>
      </c>
      <c r="Y20" s="153">
        <f t="shared" si="8"/>
        <v>0</v>
      </c>
      <c r="Z20" s="153" t="str">
        <f t="shared" ref="Z20:Z83" si="17">IFERROR(((IF(I20="3 `Rate Half Hourly","",AP20*365)/100)),"")</f>
        <v/>
      </c>
      <c r="AA20" s="153" t="str">
        <f t="shared" si="9"/>
        <v/>
      </c>
      <c r="AB20" s="153" t="str">
        <f t="shared" ref="AB20:AB83" si="18">IFERROR((IF(T20="E7",((AR20*I20)*0.7),IF(T20="EW",((AR20*I20)*0.6),IF(T20="3-Rate",((AR20*I20)*0.6),IF(T20="HH 2RATE",((AR20*I20)*0.7),IF(T20="HH 1RATE",(AR20*I20),"")))))/100),"")</f>
        <v/>
      </c>
      <c r="AC20" s="153" t="str">
        <f t="shared" si="10"/>
        <v/>
      </c>
      <c r="AD20" s="153" t="str">
        <f t="shared" si="11"/>
        <v/>
      </c>
      <c r="AE20" s="153" t="str">
        <f t="shared" si="12"/>
        <v/>
      </c>
      <c r="AF20" s="155" t="e">
        <f>LOOKUP(2,1/(Lookups!$I$2:$I$11&lt;=E20)/(Lookups!$J$2:$J$11&gt;=E20),Lookups!$L$2:$L$11)</f>
        <v>#N/A</v>
      </c>
      <c r="AG20" s="142" t="str">
        <f t="shared" si="13"/>
        <v/>
      </c>
      <c r="AH20" s="142" t="str">
        <f t="shared" si="14"/>
        <v/>
      </c>
      <c r="AI20" s="143" t="b">
        <f t="shared" ref="AI20:AI83" si="19">IF(T20="Unrestricted","U",IF(T20="E7","E7",IF(T20="EW","EW",IF(T20="3-Rate","3RATE",IF(T20="3 Rate Half Hourly","TOU",IF(T20="HH 2RATE",CONCATENATE("HH 2RATE ",U20),IF(T20="HH 1RATE",CONCATENATE("HH 1RATE ",U20))))))))</f>
        <v>0</v>
      </c>
      <c r="AJ20" s="143" t="str">
        <f t="shared" si="15"/>
        <v>Level 1</v>
      </c>
      <c r="AK20" s="142">
        <f t="shared" si="16"/>
        <v>0</v>
      </c>
      <c r="AL20" s="157" t="str">
        <f>IF(F20="Renewal"," Renewal",IF(F20="Smartpay_Renewal","_Renewal",""))</f>
        <v/>
      </c>
      <c r="AM20" s="144" t="str">
        <f>IF(NOT($AI20="TOU"),CONCATENATE($AG20,"-",$AH20,"-",$AI20,"-",$AK20,$AL20,IF(AJ20="Level 2",CONCATENATE(" (",AJ20,")"),"")),CONCATENATE($AG20,"-",$AH20,"-",$AI20,"-",$AK20,$AL20,IF(AJ20="Level 2",CONCATENATE(" (",AJ20,")"),"")))</f>
        <v>--FALSE-0</v>
      </c>
      <c r="AN20" s="158" t="str">
        <f t="shared" ref="AN20:AN83" si="20">IFERROR(CHOOSE(IF(OR(F20="Acquisition",F20="Renewal"),1,0)+IF(OR(F20="Smartpay",F20="Smartpay_Renewal"),2,0),IF(OR(ISNUMBER(SEARCH("fix",G20)),ISNUMBER(SEARCH("Tracker",G20))),TRUE,FALSE),IF(ISNUMBER(SEARCH("pay",G20)),TRUE,FALSE)),"")</f>
        <v/>
      </c>
      <c r="AO20" s="145"/>
      <c r="AP20" s="159" t="str">
        <f>IF($AN20=FALSE,"",IFERROR(INDEX('Flat Rates'!$A$1:$M$3880,MATCH($AM20,'Flat Rates'!$A$1:$A$3880,0),MATCH("Standing Charge",'Flat Rates'!$A$1:$M$1,0))*100,""))</f>
        <v/>
      </c>
      <c r="AQ20" s="148" t="str">
        <f>IF($AN20=FALSE,"",IFERROR((IF(NOT(T20="Unrestricted"),"",INDEX('Flat Rates'!$A$1:$M$3880,MATCH($AM20,'Flat Rates'!$A$1:$A$3880,0),MATCH("Uni/Day Rate",'Flat Rates'!$A$1:$M$1,0)))*100)+H20,""))</f>
        <v/>
      </c>
      <c r="AR20" s="148" t="str">
        <f>IF($AN20=FALSE,"",IFERROR((IF(T20="Unrestricted","",INDEX('Flat Rates'!$A$1:$M$3880,MATCH($AM20,'Flat Rates'!$A$1:$A$3880,0),MATCH("Uni/Day Rate",'Flat Rates'!$A$1:$M$1,0)))*100)+H20,""))</f>
        <v/>
      </c>
      <c r="AS20" s="148" t="str">
        <f>IF($AN20=FALSE,"",IFERROR(IF(INDEX('Flat Rates'!$A$1:$M$3880,MATCH($AM20,'Flat Rates'!$A$1:$A$3880,0),MATCH("Night Unit Rate",'Flat Rates'!$A$1:$M$1,0))=0,"",((INDEX('Flat Rates'!$A$1:$M$3880,MATCH($AM20,'Flat Rates'!$A$1:$A$3880,0),MATCH("Night Unit Rate",'Flat Rates'!$A$1:$M$1,0)))*100)+H20),""))</f>
        <v/>
      </c>
      <c r="AT20" s="148" t="str">
        <f>IF($AN20=FALSE,"",IFERROR(IF(INDEX('Flat Rates'!$A$1:$M$3880,MATCH($AM20,'Flat Rates'!$A$1:$A$3880,0),MATCH("Evening and Weekend Rate",'Flat Rates'!$A$1:$M$1,0))=0,"",((INDEX('Flat Rates'!$A$1:$M$3880,MATCH($AM20,'Flat Rates'!$A$1:$A$3880,0),MATCH("Evening and Weekend Rate",'Flat Rates'!$A$1:$M$1,0)))*100)+H20),""))</f>
        <v/>
      </c>
      <c r="AU20" s="152" t="str">
        <f t="shared" ref="AU20:AU83" si="21">IF($AN20=FALSE,"",IF(I20="","",AE20))</f>
        <v/>
      </c>
      <c r="AV20" s="152" t="str">
        <f t="shared" ref="AV20:AV83" si="22">IF($AN20=FALSE,"",IF(AU20="","",IF(I20&lt;12000,((AE20*1.05)/12),(((I20*AF20)+AE20)*1.2)/12)))</f>
        <v/>
      </c>
      <c r="AW20" s="152" t="str">
        <f t="shared" ref="AW20:AW83" si="23">IF($AN20=FALSE,"",IF(NOT(N20="00"),"",IFERROR(((X20/100)*Y20)*12,"")))</f>
        <v/>
      </c>
    </row>
    <row r="21" spans="1:49" ht="15" thickBot="1" x14ac:dyDescent="0.35">
      <c r="B21" s="138" t="str">
        <f t="shared" si="0"/>
        <v/>
      </c>
      <c r="C21" s="137"/>
      <c r="D21" s="139"/>
      <c r="E21" s="140"/>
      <c r="F21" s="140"/>
      <c r="G21" s="139"/>
      <c r="H21" s="151"/>
      <c r="I21" s="139"/>
      <c r="J21" s="137"/>
      <c r="K21" s="139"/>
      <c r="L21" s="141"/>
      <c r="M21" s="133" t="str">
        <f t="shared" si="1"/>
        <v/>
      </c>
      <c r="N21" s="133" t="str">
        <f t="shared" si="2"/>
        <v/>
      </c>
      <c r="O21" s="133" t="str">
        <f t="shared" si="3"/>
        <v/>
      </c>
      <c r="P21" s="133" t="str">
        <f t="shared" si="4"/>
        <v/>
      </c>
      <c r="Q21" s="133" t="str">
        <f t="shared" si="5"/>
        <v/>
      </c>
      <c r="R21" s="133" t="str">
        <f t="shared" si="6"/>
        <v/>
      </c>
      <c r="S21" s="133" t="str">
        <f t="shared" si="7"/>
        <v/>
      </c>
      <c r="T21" s="133" t="str">
        <f>IFERROR(IF($U21="ERROR","ERROR",IF($N21="00",IF(J21="1-Rate","HH 1RATE",IF(J21="2-Rate","HH 2RATE","")),IFERROR(VLOOKUP(CONCATENATE(N21,Q21,O21,P21),Lookups!$A$2:$E$4557,5,0),VLOOKUP(CONCATENATE(N21,Q21,O21),Lookups!$A$2:$E$4557,5,0)))),"ERROR")</f>
        <v>ERROR</v>
      </c>
      <c r="U21" s="133" t="str">
        <f>IFERROR(IF(NOT($N21="00"),"",VLOOKUP(CONCATENATE(Q21,P21,LOOKUP(2,1/(Lookups!$I$2:$I$11&lt;=E21)/(Lookups!$J$2:$J$11&gt;=Tool!$C$14),Lookups!$K$2:$K$11)),'HH LLFs'!$A$2:$K$500,3,0)),"ERROR")</f>
        <v/>
      </c>
      <c r="V21" s="132">
        <f>Calcs!$I$2</f>
        <v>44377</v>
      </c>
      <c r="W21" s="132">
        <f>Calcs!$I$4</f>
        <v>44592</v>
      </c>
      <c r="X21" s="153" t="str">
        <f>IF(NOT(N21="00"),"",(VLOOKUP(CONCATENATE(Q21,P21,LOOKUP(2,1/(Lookups!$I$2:$I$11&lt;=Multisite!E21)/(Lookups!$J$2:$J$11&gt;=E21),Lookups!$K$2:$K$11)),'HH LLFs'!$A$2:$F$282,6,0)*365)/12)</f>
        <v/>
      </c>
      <c r="Y21" s="153">
        <f t="shared" si="8"/>
        <v>0</v>
      </c>
      <c r="Z21" s="153" t="str">
        <f t="shared" si="17"/>
        <v/>
      </c>
      <c r="AA21" s="153" t="str">
        <f t="shared" si="9"/>
        <v/>
      </c>
      <c r="AB21" s="153" t="str">
        <f t="shared" si="18"/>
        <v/>
      </c>
      <c r="AC21" s="153" t="str">
        <f t="shared" si="10"/>
        <v/>
      </c>
      <c r="AD21" s="153" t="str">
        <f t="shared" si="11"/>
        <v/>
      </c>
      <c r="AE21" s="153" t="str">
        <f t="shared" si="12"/>
        <v/>
      </c>
      <c r="AF21" s="155" t="e">
        <f>LOOKUP(2,1/(Lookups!$I$2:$I$11&lt;=E21)/(Lookups!$J$2:$J$11&gt;=E21),Lookups!$L$2:$L$11)</f>
        <v>#N/A</v>
      </c>
      <c r="AG21" s="142" t="str">
        <f t="shared" si="13"/>
        <v/>
      </c>
      <c r="AH21" s="142" t="str">
        <f t="shared" si="14"/>
        <v/>
      </c>
      <c r="AI21" s="143" t="b">
        <f t="shared" si="19"/>
        <v>0</v>
      </c>
      <c r="AJ21" s="143" t="str">
        <f t="shared" si="15"/>
        <v>Level 1</v>
      </c>
      <c r="AK21" s="142">
        <f t="shared" si="16"/>
        <v>0</v>
      </c>
      <c r="AL21" s="157" t="str">
        <f t="shared" ref="AL21:AL84" si="24">IF(F21="Renewal"," Renewal",IF(F21="Smartpay_Renewal","_Renewal",""))</f>
        <v/>
      </c>
      <c r="AM21" s="144" t="str">
        <f t="shared" ref="AM21:AM84" si="25">IF(NOT($AI21="TOU"),CONCATENATE($AG21,"-",$AH21,"-",$AI21,"-",$AK21,$AL21,IF(AJ21="Level 2",CONCATENATE(" (",AJ21,")"),"")),CONCATENATE($AG21,"-",$AH21,"-",$AI21,"-",$AK21,$AL21,IF(AJ21="Level 2",CONCATENATE(" (",AJ21,")"),"")))</f>
        <v>--FALSE-0</v>
      </c>
      <c r="AN21" s="158" t="str">
        <f t="shared" si="20"/>
        <v/>
      </c>
      <c r="AO21" s="145"/>
      <c r="AP21" s="159" t="str">
        <f>IF($AN21=FALSE,"",IFERROR(INDEX('Flat Rates'!$A$1:$M$3880,MATCH($AM21,'Flat Rates'!$A$1:$A$3880,0),MATCH("Standing Charge",'Flat Rates'!$A$1:$M$1,0))*100,""))</f>
        <v/>
      </c>
      <c r="AQ21" s="148" t="str">
        <f>IF($AN21=FALSE,"",IFERROR((IF(NOT(T21="Unrestricted"),"",INDEX('Flat Rates'!$A$1:$M$3880,MATCH($AM21,'Flat Rates'!$A$1:$A$3880,0),MATCH("Uni/Day Rate",'Flat Rates'!$A$1:$M$1,0)))*100)+H21,""))</f>
        <v/>
      </c>
      <c r="AR21" s="148" t="str">
        <f>IF($AN21=FALSE,"",IFERROR((IF(T21="Unrestricted","",INDEX('Flat Rates'!$A$1:$M$3880,MATCH($AM21,'Flat Rates'!$A$1:$A$3880,0),MATCH("Uni/Day Rate",'Flat Rates'!$A$1:$M$1,0)))*100)+H21,""))</f>
        <v/>
      </c>
      <c r="AS21" s="148" t="str">
        <f>IF($AN21=FALSE,"",IFERROR(IF(INDEX('Flat Rates'!$A$1:$M$3880,MATCH($AM21,'Flat Rates'!$A$1:$A$3880,0),MATCH("Night Unit Rate",'Flat Rates'!$A$1:$M$1,0))=0,"",((INDEX('Flat Rates'!$A$1:$M$3880,MATCH($AM21,'Flat Rates'!$A$1:$A$3880,0),MATCH("Night Unit Rate",'Flat Rates'!$A$1:$M$1,0)))*100)+H21),""))</f>
        <v/>
      </c>
      <c r="AT21" s="148" t="str">
        <f>IF($AN21=FALSE,"",IFERROR(IF(INDEX('Flat Rates'!$A$1:$M$3880,MATCH($AM21,'Flat Rates'!$A$1:$A$3880,0),MATCH("Evening and Weekend Rate",'Flat Rates'!$A$1:$M$1,0))=0,"",((INDEX('Flat Rates'!$A$1:$M$3880,MATCH($AM21,'Flat Rates'!$A$1:$A$3880,0),MATCH("Evening and Weekend Rate",'Flat Rates'!$A$1:$M$1,0)))*100)+H21),""))</f>
        <v/>
      </c>
      <c r="AU21" s="152" t="str">
        <f t="shared" si="21"/>
        <v/>
      </c>
      <c r="AV21" s="152" t="str">
        <f t="shared" si="22"/>
        <v/>
      </c>
      <c r="AW21" s="152" t="str">
        <f t="shared" si="23"/>
        <v/>
      </c>
    </row>
    <row r="22" spans="1:49" ht="15" thickBot="1" x14ac:dyDescent="0.35">
      <c r="B22" s="138" t="str">
        <f t="shared" si="0"/>
        <v/>
      </c>
      <c r="C22" s="137"/>
      <c r="D22" s="139"/>
      <c r="E22" s="140"/>
      <c r="F22" s="140"/>
      <c r="G22" s="139"/>
      <c r="H22" s="151"/>
      <c r="I22" s="139"/>
      <c r="J22" s="137"/>
      <c r="K22" s="139"/>
      <c r="L22" s="141"/>
      <c r="M22" s="133" t="str">
        <f t="shared" si="1"/>
        <v/>
      </c>
      <c r="N22" s="133" t="str">
        <f t="shared" si="2"/>
        <v/>
      </c>
      <c r="O22" s="133" t="str">
        <f t="shared" si="3"/>
        <v/>
      </c>
      <c r="P22" s="133" t="str">
        <f t="shared" si="4"/>
        <v/>
      </c>
      <c r="Q22" s="133" t="str">
        <f t="shared" si="5"/>
        <v/>
      </c>
      <c r="R22" s="133" t="str">
        <f t="shared" si="6"/>
        <v/>
      </c>
      <c r="S22" s="133" t="str">
        <f t="shared" si="7"/>
        <v/>
      </c>
      <c r="T22" s="133" t="str">
        <f>IFERROR(IF($U22="ERROR","ERROR",IF($N22="00",IF(J22="1-Rate","HH 1RATE",IF(J22="2-Rate","HH 2RATE","")),IFERROR(VLOOKUP(CONCATENATE(N22,Q22,O22,P22),Lookups!$A$2:$E$4557,5,0),VLOOKUP(CONCATENATE(N22,Q22,O22),Lookups!$A$2:$E$4557,5,0)))),"ERROR")</f>
        <v>ERROR</v>
      </c>
      <c r="U22" s="133" t="str">
        <f>IFERROR(IF(NOT($N22="00"),"",VLOOKUP(CONCATENATE(Q22,P22,LOOKUP(2,1/(Lookups!$I$2:$I$11&lt;=E22)/(Lookups!$J$2:$J$11&gt;=Tool!$C$14),Lookups!$K$2:$K$11)),'HH LLFs'!$A$2:$K$500,3,0)),"ERROR")</f>
        <v/>
      </c>
      <c r="V22" s="132">
        <f>Calcs!$I$2</f>
        <v>44377</v>
      </c>
      <c r="W22" s="132">
        <f>Calcs!$I$4</f>
        <v>44592</v>
      </c>
      <c r="X22" s="153" t="str">
        <f>IF(NOT(N22="00"),"",(VLOOKUP(CONCATENATE(Q22,P22,LOOKUP(2,1/(Lookups!$I$2:$I$11&lt;=Multisite!E22)/(Lookups!$J$2:$J$11&gt;=E22),Lookups!$K$2:$K$11)),'HH LLFs'!$A$2:$F$282,6,0)*365)/12)</f>
        <v/>
      </c>
      <c r="Y22" s="153">
        <f t="shared" si="8"/>
        <v>0</v>
      </c>
      <c r="Z22" s="153" t="str">
        <f t="shared" si="17"/>
        <v/>
      </c>
      <c r="AA22" s="153" t="str">
        <f t="shared" si="9"/>
        <v/>
      </c>
      <c r="AB22" s="153" t="str">
        <f t="shared" si="18"/>
        <v/>
      </c>
      <c r="AC22" s="153" t="str">
        <f t="shared" si="10"/>
        <v/>
      </c>
      <c r="AD22" s="153" t="str">
        <f t="shared" si="11"/>
        <v/>
      </c>
      <c r="AE22" s="153" t="str">
        <f t="shared" si="12"/>
        <v/>
      </c>
      <c r="AF22" s="155" t="e">
        <f>LOOKUP(2,1/(Lookups!$I$2:$I$11&lt;=E22)/(Lookups!$J$2:$J$11&gt;=E22),Lookups!$L$2:$L$11)</f>
        <v>#N/A</v>
      </c>
      <c r="AG22" s="142" t="str">
        <f t="shared" si="13"/>
        <v/>
      </c>
      <c r="AH22" s="142" t="str">
        <f t="shared" si="14"/>
        <v/>
      </c>
      <c r="AI22" s="143" t="b">
        <f t="shared" si="19"/>
        <v>0</v>
      </c>
      <c r="AJ22" s="143" t="str">
        <f t="shared" si="15"/>
        <v>Level 1</v>
      </c>
      <c r="AK22" s="142">
        <f t="shared" si="16"/>
        <v>0</v>
      </c>
      <c r="AL22" s="157" t="str">
        <f t="shared" si="24"/>
        <v/>
      </c>
      <c r="AM22" s="144" t="str">
        <f t="shared" si="25"/>
        <v>--FALSE-0</v>
      </c>
      <c r="AN22" s="158" t="str">
        <f t="shared" si="20"/>
        <v/>
      </c>
      <c r="AO22" s="145"/>
      <c r="AP22" s="159" t="str">
        <f>IF($AN22=FALSE,"",IFERROR(INDEX('Flat Rates'!$A$1:$M$3880,MATCH($AM22,'Flat Rates'!$A$1:$A$3880,0),MATCH("Standing Charge",'Flat Rates'!$A$1:$M$1,0))*100,""))</f>
        <v/>
      </c>
      <c r="AQ22" s="148" t="str">
        <f>IF($AN22=FALSE,"",IFERROR((IF(NOT(T22="Unrestricted"),"",INDEX('Flat Rates'!$A$1:$M$3880,MATCH($AM22,'Flat Rates'!$A$1:$A$3880,0),MATCH("Uni/Day Rate",'Flat Rates'!$A$1:$M$1,0)))*100)+H22,""))</f>
        <v/>
      </c>
      <c r="AR22" s="148" t="str">
        <f>IF($AN22=FALSE,"",IFERROR((IF(T22="Unrestricted","",INDEX('Flat Rates'!$A$1:$M$3880,MATCH($AM22,'Flat Rates'!$A$1:$A$3880,0),MATCH("Uni/Day Rate",'Flat Rates'!$A$1:$M$1,0)))*100)+H22,""))</f>
        <v/>
      </c>
      <c r="AS22" s="148" t="str">
        <f>IF($AN22=FALSE,"",IFERROR(IF(INDEX('Flat Rates'!$A$1:$M$3880,MATCH($AM22,'Flat Rates'!$A$1:$A$3880,0),MATCH("Night Unit Rate",'Flat Rates'!$A$1:$M$1,0))=0,"",((INDEX('Flat Rates'!$A$1:$M$3880,MATCH($AM22,'Flat Rates'!$A$1:$A$3880,0),MATCH("Night Unit Rate",'Flat Rates'!$A$1:$M$1,0)))*100)+H22),""))</f>
        <v/>
      </c>
      <c r="AT22" s="148" t="str">
        <f>IF($AN22=FALSE,"",IFERROR(IF(INDEX('Flat Rates'!$A$1:$M$3880,MATCH($AM22,'Flat Rates'!$A$1:$A$3880,0),MATCH("Evening and Weekend Rate",'Flat Rates'!$A$1:$M$1,0))=0,"",((INDEX('Flat Rates'!$A$1:$M$3880,MATCH($AM22,'Flat Rates'!$A$1:$A$3880,0),MATCH("Evening and Weekend Rate",'Flat Rates'!$A$1:$M$1,0)))*100)+H22),""))</f>
        <v/>
      </c>
      <c r="AU22" s="152" t="str">
        <f t="shared" si="21"/>
        <v/>
      </c>
      <c r="AV22" s="152" t="str">
        <f t="shared" si="22"/>
        <v/>
      </c>
      <c r="AW22" s="152" t="str">
        <f t="shared" si="23"/>
        <v/>
      </c>
    </row>
    <row r="23" spans="1:49" ht="15" thickBot="1" x14ac:dyDescent="0.35">
      <c r="B23" s="138" t="str">
        <f t="shared" si="0"/>
        <v/>
      </c>
      <c r="C23" s="137"/>
      <c r="D23" s="139"/>
      <c r="E23" s="140"/>
      <c r="F23" s="140"/>
      <c r="G23" s="139"/>
      <c r="H23" s="151"/>
      <c r="I23" s="139"/>
      <c r="J23" s="138"/>
      <c r="K23" s="139"/>
      <c r="L23" s="141"/>
      <c r="M23" s="133" t="str">
        <f t="shared" si="1"/>
        <v/>
      </c>
      <c r="N23" s="133" t="str">
        <f t="shared" si="2"/>
        <v/>
      </c>
      <c r="O23" s="133" t="str">
        <f t="shared" si="3"/>
        <v/>
      </c>
      <c r="P23" s="133" t="str">
        <f t="shared" si="4"/>
        <v/>
      </c>
      <c r="Q23" s="133" t="str">
        <f t="shared" si="5"/>
        <v/>
      </c>
      <c r="R23" s="133" t="str">
        <f t="shared" si="6"/>
        <v/>
      </c>
      <c r="S23" s="133" t="str">
        <f t="shared" si="7"/>
        <v/>
      </c>
      <c r="T23" s="133" t="str">
        <f>IFERROR(IF($U23="ERROR","ERROR",IF($N23="00",IF(J23="1-Rate","HH 1RATE",IF(J23="2-Rate","HH 2RATE","")),IFERROR(VLOOKUP(CONCATENATE(N23,Q23,O23,P23),Lookups!$A$2:$E$4557,5,0),VLOOKUP(CONCATENATE(N23,Q23,O23),Lookups!$A$2:$E$4557,5,0)))),"ERROR")</f>
        <v>ERROR</v>
      </c>
      <c r="U23" s="133" t="str">
        <f>IFERROR(IF(NOT($N23="00"),"",VLOOKUP(CONCATENATE(Q23,P23,LOOKUP(2,1/(Lookups!$I$2:$I$11&lt;=E23)/(Lookups!$J$2:$J$11&gt;=Tool!$C$14),Lookups!$K$2:$K$11)),'HH LLFs'!$A$2:$K$500,3,0)),"ERROR")</f>
        <v/>
      </c>
      <c r="V23" s="132">
        <f>Calcs!$I$2</f>
        <v>44377</v>
      </c>
      <c r="W23" s="132">
        <f>Calcs!$I$4</f>
        <v>44592</v>
      </c>
      <c r="X23" s="153" t="str">
        <f>IF(NOT(N23="00"),"",(VLOOKUP(CONCATENATE(Q23,P23,LOOKUP(2,1/(Lookups!$I$2:$I$11&lt;=Multisite!E23)/(Lookups!$J$2:$J$11&gt;=E23),Lookups!$K$2:$K$11)),'HH LLFs'!$A$2:$F$282,6,0)*365)/12)</f>
        <v/>
      </c>
      <c r="Y23" s="153">
        <f t="shared" si="8"/>
        <v>0</v>
      </c>
      <c r="Z23" s="153" t="str">
        <f t="shared" si="17"/>
        <v/>
      </c>
      <c r="AA23" s="153" t="str">
        <f t="shared" si="9"/>
        <v/>
      </c>
      <c r="AB23" s="153" t="str">
        <f t="shared" si="18"/>
        <v/>
      </c>
      <c r="AC23" s="153" t="str">
        <f t="shared" si="10"/>
        <v/>
      </c>
      <c r="AD23" s="153" t="str">
        <f t="shared" si="11"/>
        <v/>
      </c>
      <c r="AE23" s="153" t="str">
        <f t="shared" si="12"/>
        <v/>
      </c>
      <c r="AF23" s="155" t="e">
        <f>LOOKUP(2,1/(Lookups!$I$2:$I$11&lt;=E23)/(Lookups!$J$2:$J$11&gt;=E23),Lookups!$L$2:$L$11)</f>
        <v>#N/A</v>
      </c>
      <c r="AG23" s="142" t="str">
        <f t="shared" si="13"/>
        <v/>
      </c>
      <c r="AH23" s="142" t="str">
        <f t="shared" si="14"/>
        <v/>
      </c>
      <c r="AI23" s="143" t="b">
        <f t="shared" si="19"/>
        <v>0</v>
      </c>
      <c r="AJ23" s="143" t="str">
        <f t="shared" si="15"/>
        <v>Level 1</v>
      </c>
      <c r="AK23" s="142">
        <f t="shared" si="16"/>
        <v>0</v>
      </c>
      <c r="AL23" s="157" t="str">
        <f t="shared" si="24"/>
        <v/>
      </c>
      <c r="AM23" s="144" t="str">
        <f t="shared" si="25"/>
        <v>--FALSE-0</v>
      </c>
      <c r="AN23" s="158" t="str">
        <f t="shared" si="20"/>
        <v/>
      </c>
      <c r="AO23" s="145"/>
      <c r="AP23" s="159" t="str">
        <f>IF($AN23=FALSE,"",IFERROR(INDEX('Flat Rates'!$A$1:$M$3880,MATCH($AM23,'Flat Rates'!$A$1:$A$3880,0),MATCH("Standing Charge",'Flat Rates'!$A$1:$M$1,0))*100,""))</f>
        <v/>
      </c>
      <c r="AQ23" s="148" t="str">
        <f>IF($AN23=FALSE,"",IFERROR((IF(NOT(T23="Unrestricted"),"",INDEX('Flat Rates'!$A$1:$M$3880,MATCH($AM23,'Flat Rates'!$A$1:$A$3880,0),MATCH("Uni/Day Rate",'Flat Rates'!$A$1:$M$1,0)))*100)+H23,""))</f>
        <v/>
      </c>
      <c r="AR23" s="148" t="str">
        <f>IF($AN23=FALSE,"",IFERROR((IF(T23="Unrestricted","",INDEX('Flat Rates'!$A$1:$M$3880,MATCH($AM23,'Flat Rates'!$A$1:$A$3880,0),MATCH("Uni/Day Rate",'Flat Rates'!$A$1:$M$1,0)))*100)+H23,""))</f>
        <v/>
      </c>
      <c r="AS23" s="148" t="str">
        <f>IF($AN23=FALSE,"",IFERROR(IF(INDEX('Flat Rates'!$A$1:$M$3880,MATCH($AM23,'Flat Rates'!$A$1:$A$3880,0),MATCH("Night Unit Rate",'Flat Rates'!$A$1:$M$1,0))=0,"",((INDEX('Flat Rates'!$A$1:$M$3880,MATCH($AM23,'Flat Rates'!$A$1:$A$3880,0),MATCH("Night Unit Rate",'Flat Rates'!$A$1:$M$1,0)))*100)+H23),""))</f>
        <v/>
      </c>
      <c r="AT23" s="148" t="str">
        <f>IF($AN23=FALSE,"",IFERROR(IF(INDEX('Flat Rates'!$A$1:$M$3880,MATCH($AM23,'Flat Rates'!$A$1:$A$3880,0),MATCH("Evening and Weekend Rate",'Flat Rates'!$A$1:$M$1,0))=0,"",((INDEX('Flat Rates'!$A$1:$M$3880,MATCH($AM23,'Flat Rates'!$A$1:$A$3880,0),MATCH("Evening and Weekend Rate",'Flat Rates'!$A$1:$M$1,0)))*100)+H23),""))</f>
        <v/>
      </c>
      <c r="AU23" s="152" t="str">
        <f t="shared" si="21"/>
        <v/>
      </c>
      <c r="AV23" s="152" t="str">
        <f t="shared" si="22"/>
        <v/>
      </c>
      <c r="AW23" s="152" t="str">
        <f t="shared" si="23"/>
        <v/>
      </c>
    </row>
    <row r="24" spans="1:49" ht="15" thickBot="1" x14ac:dyDescent="0.35">
      <c r="B24" s="138" t="str">
        <f t="shared" si="0"/>
        <v/>
      </c>
      <c r="C24" s="137"/>
      <c r="D24" s="139"/>
      <c r="E24" s="140"/>
      <c r="F24" s="140"/>
      <c r="G24" s="139"/>
      <c r="H24" s="151"/>
      <c r="I24" s="139"/>
      <c r="J24" s="137"/>
      <c r="K24" s="139"/>
      <c r="L24" s="141"/>
      <c r="M24" s="133" t="str">
        <f t="shared" si="1"/>
        <v/>
      </c>
      <c r="N24" s="133" t="str">
        <f t="shared" si="2"/>
        <v/>
      </c>
      <c r="O24" s="133" t="str">
        <f t="shared" si="3"/>
        <v/>
      </c>
      <c r="P24" s="133" t="str">
        <f t="shared" si="4"/>
        <v/>
      </c>
      <c r="Q24" s="133" t="str">
        <f t="shared" si="5"/>
        <v/>
      </c>
      <c r="R24" s="133" t="str">
        <f t="shared" si="6"/>
        <v/>
      </c>
      <c r="S24" s="133" t="str">
        <f t="shared" si="7"/>
        <v/>
      </c>
      <c r="T24" s="133" t="str">
        <f>IFERROR(IF($U24="ERROR","ERROR",IF($N24="00",IF(J24="1-Rate","HH 1RATE",IF(J24="2-Rate","HH 2RATE","")),IFERROR(VLOOKUP(CONCATENATE(N24,Q24,O24,P24),Lookups!$A$2:$E$4557,5,0),VLOOKUP(CONCATENATE(N24,Q24,O24),Lookups!$A$2:$E$4557,5,0)))),"ERROR")</f>
        <v>ERROR</v>
      </c>
      <c r="U24" s="133" t="str">
        <f>IFERROR(IF(NOT($N24="00"),"",VLOOKUP(CONCATENATE(Q24,P24,LOOKUP(2,1/(Lookups!$I$2:$I$11&lt;=E24)/(Lookups!$J$2:$J$11&gt;=Tool!$C$14),Lookups!$K$2:$K$11)),'HH LLFs'!$A$2:$K$500,3,0)),"ERROR")</f>
        <v/>
      </c>
      <c r="V24" s="132">
        <f>Calcs!$I$2</f>
        <v>44377</v>
      </c>
      <c r="W24" s="132">
        <f>Calcs!$I$4</f>
        <v>44592</v>
      </c>
      <c r="X24" s="153" t="str">
        <f>IF(NOT(N24="00"),"",(VLOOKUP(CONCATENATE(Q24,P24,LOOKUP(2,1/(Lookups!$I$2:$I$11&lt;=Multisite!E24)/(Lookups!$J$2:$J$11&gt;=E24),Lookups!$K$2:$K$11)),'HH LLFs'!$A$2:$F$282,6,0)*365)/12)</f>
        <v/>
      </c>
      <c r="Y24" s="153">
        <f t="shared" si="8"/>
        <v>0</v>
      </c>
      <c r="Z24" s="153" t="str">
        <f t="shared" si="17"/>
        <v/>
      </c>
      <c r="AA24" s="153" t="str">
        <f t="shared" si="9"/>
        <v/>
      </c>
      <c r="AB24" s="153" t="str">
        <f t="shared" si="18"/>
        <v/>
      </c>
      <c r="AC24" s="153" t="str">
        <f t="shared" si="10"/>
        <v/>
      </c>
      <c r="AD24" s="153" t="str">
        <f t="shared" si="11"/>
        <v/>
      </c>
      <c r="AE24" s="153" t="str">
        <f t="shared" si="12"/>
        <v/>
      </c>
      <c r="AF24" s="155" t="e">
        <f>LOOKUP(2,1/(Lookups!$I$2:$I$11&lt;=E24)/(Lookups!$J$2:$J$11&gt;=E24),Lookups!$L$2:$L$11)</f>
        <v>#N/A</v>
      </c>
      <c r="AG24" s="142" t="str">
        <f t="shared" si="13"/>
        <v/>
      </c>
      <c r="AH24" s="142" t="str">
        <f t="shared" si="14"/>
        <v/>
      </c>
      <c r="AI24" s="143" t="b">
        <f t="shared" si="19"/>
        <v>0</v>
      </c>
      <c r="AJ24" s="143" t="str">
        <f t="shared" si="15"/>
        <v>Level 1</v>
      </c>
      <c r="AK24" s="142">
        <f t="shared" si="16"/>
        <v>0</v>
      </c>
      <c r="AL24" s="157" t="str">
        <f t="shared" si="24"/>
        <v/>
      </c>
      <c r="AM24" s="144" t="str">
        <f t="shared" si="25"/>
        <v>--FALSE-0</v>
      </c>
      <c r="AN24" s="158" t="str">
        <f t="shared" si="20"/>
        <v/>
      </c>
      <c r="AO24" s="145"/>
      <c r="AP24" s="159" t="str">
        <f>IF($AN24=FALSE,"",IFERROR(INDEX('Flat Rates'!$A$1:$M$3880,MATCH($AM24,'Flat Rates'!$A$1:$A$3880,0),MATCH("Standing Charge",'Flat Rates'!$A$1:$M$1,0))*100,""))</f>
        <v/>
      </c>
      <c r="AQ24" s="148" t="str">
        <f>IF($AN24=FALSE,"",IFERROR((IF(NOT(T24="Unrestricted"),"",INDEX('Flat Rates'!$A$1:$M$3880,MATCH($AM24,'Flat Rates'!$A$1:$A$3880,0),MATCH("Uni/Day Rate",'Flat Rates'!$A$1:$M$1,0)))*100)+H24,""))</f>
        <v/>
      </c>
      <c r="AR24" s="148" t="str">
        <f>IF($AN24=FALSE,"",IFERROR((IF(T24="Unrestricted","",INDEX('Flat Rates'!$A$1:$M$3880,MATCH($AM24,'Flat Rates'!$A$1:$A$3880,0),MATCH("Uni/Day Rate",'Flat Rates'!$A$1:$M$1,0)))*100)+H24,""))</f>
        <v/>
      </c>
      <c r="AS24" s="148" t="str">
        <f>IF($AN24=FALSE,"",IFERROR(IF(INDEX('Flat Rates'!$A$1:$M$3880,MATCH($AM24,'Flat Rates'!$A$1:$A$3880,0),MATCH("Night Unit Rate",'Flat Rates'!$A$1:$M$1,0))=0,"",((INDEX('Flat Rates'!$A$1:$M$3880,MATCH($AM24,'Flat Rates'!$A$1:$A$3880,0),MATCH("Night Unit Rate",'Flat Rates'!$A$1:$M$1,0)))*100)+H24),""))</f>
        <v/>
      </c>
      <c r="AT24" s="148" t="str">
        <f>IF($AN24=FALSE,"",IFERROR(IF(INDEX('Flat Rates'!$A$1:$M$3880,MATCH($AM24,'Flat Rates'!$A$1:$A$3880,0),MATCH("Evening and Weekend Rate",'Flat Rates'!$A$1:$M$1,0))=0,"",((INDEX('Flat Rates'!$A$1:$M$3880,MATCH($AM24,'Flat Rates'!$A$1:$A$3880,0),MATCH("Evening and Weekend Rate",'Flat Rates'!$A$1:$M$1,0)))*100)+H24),""))</f>
        <v/>
      </c>
      <c r="AU24" s="152" t="str">
        <f t="shared" si="21"/>
        <v/>
      </c>
      <c r="AV24" s="152" t="str">
        <f t="shared" si="22"/>
        <v/>
      </c>
      <c r="AW24" s="152" t="str">
        <f t="shared" si="23"/>
        <v/>
      </c>
    </row>
    <row r="25" spans="1:49" ht="15" thickBot="1" x14ac:dyDescent="0.35">
      <c r="B25" s="138" t="str">
        <f t="shared" si="0"/>
        <v/>
      </c>
      <c r="C25" s="137"/>
      <c r="D25" s="139"/>
      <c r="E25" s="140"/>
      <c r="F25" s="140"/>
      <c r="G25" s="139"/>
      <c r="H25" s="151"/>
      <c r="I25" s="139"/>
      <c r="J25" s="138"/>
      <c r="K25" s="139"/>
      <c r="L25" s="141"/>
      <c r="M25" s="133" t="str">
        <f t="shared" si="1"/>
        <v/>
      </c>
      <c r="N25" s="133" t="str">
        <f t="shared" si="2"/>
        <v/>
      </c>
      <c r="O25" s="133" t="str">
        <f t="shared" si="3"/>
        <v/>
      </c>
      <c r="P25" s="133" t="str">
        <f t="shared" si="4"/>
        <v/>
      </c>
      <c r="Q25" s="133" t="str">
        <f t="shared" si="5"/>
        <v/>
      </c>
      <c r="R25" s="133" t="str">
        <f t="shared" si="6"/>
        <v/>
      </c>
      <c r="S25" s="133" t="str">
        <f t="shared" si="7"/>
        <v/>
      </c>
      <c r="T25" s="133" t="str">
        <f>IFERROR(IF($U25="ERROR","ERROR",IF($N25="00",IF(J25="1-Rate","HH 1RATE",IF(J25="2-Rate","HH 2RATE","")),IFERROR(VLOOKUP(CONCATENATE(N25,Q25,O25,P25),Lookups!$A$2:$E$4557,5,0),VLOOKUP(CONCATENATE(N25,Q25,O25),Lookups!$A$2:$E$4557,5,0)))),"ERROR")</f>
        <v>ERROR</v>
      </c>
      <c r="U25" s="133" t="str">
        <f>IFERROR(IF(NOT($N25="00"),"",VLOOKUP(CONCATENATE(Q25,P25,LOOKUP(2,1/(Lookups!$I$2:$I$11&lt;=E25)/(Lookups!$J$2:$J$11&gt;=Tool!$C$14),Lookups!$K$2:$K$11)),'HH LLFs'!$A$2:$K$500,3,0)),"ERROR")</f>
        <v/>
      </c>
      <c r="V25" s="132">
        <f>Calcs!$I$2</f>
        <v>44377</v>
      </c>
      <c r="W25" s="132">
        <f>Calcs!$I$4</f>
        <v>44592</v>
      </c>
      <c r="X25" s="153" t="str">
        <f>IF(NOT(N25="00"),"",(VLOOKUP(CONCATENATE(Q25,P25,LOOKUP(2,1/(Lookups!$I$2:$I$11&lt;=Multisite!E25)/(Lookups!$J$2:$J$11&gt;=E25),Lookups!$K$2:$K$11)),'HH LLFs'!$A$2:$F$282,6,0)*365)/12)</f>
        <v/>
      </c>
      <c r="Y25" s="153">
        <f t="shared" si="8"/>
        <v>0</v>
      </c>
      <c r="Z25" s="153" t="str">
        <f t="shared" si="17"/>
        <v/>
      </c>
      <c r="AA25" s="153" t="str">
        <f t="shared" si="9"/>
        <v/>
      </c>
      <c r="AB25" s="153" t="str">
        <f t="shared" si="18"/>
        <v/>
      </c>
      <c r="AC25" s="153" t="str">
        <f t="shared" si="10"/>
        <v/>
      </c>
      <c r="AD25" s="153" t="str">
        <f t="shared" si="11"/>
        <v/>
      </c>
      <c r="AE25" s="153" t="str">
        <f t="shared" si="12"/>
        <v/>
      </c>
      <c r="AF25" s="155" t="e">
        <f>LOOKUP(2,1/(Lookups!$I$2:$I$11&lt;=E25)/(Lookups!$J$2:$J$11&gt;=E25),Lookups!$L$2:$L$11)</f>
        <v>#N/A</v>
      </c>
      <c r="AG25" s="142" t="str">
        <f t="shared" si="13"/>
        <v/>
      </c>
      <c r="AH25" s="142" t="str">
        <f t="shared" si="14"/>
        <v/>
      </c>
      <c r="AI25" s="143" t="b">
        <f t="shared" si="19"/>
        <v>0</v>
      </c>
      <c r="AJ25" s="143" t="str">
        <f t="shared" si="15"/>
        <v>Level 1</v>
      </c>
      <c r="AK25" s="142">
        <f t="shared" si="16"/>
        <v>0</v>
      </c>
      <c r="AL25" s="157" t="str">
        <f t="shared" si="24"/>
        <v/>
      </c>
      <c r="AM25" s="144" t="str">
        <f t="shared" si="25"/>
        <v>--FALSE-0</v>
      </c>
      <c r="AN25" s="158" t="str">
        <f t="shared" si="20"/>
        <v/>
      </c>
      <c r="AO25" s="145"/>
      <c r="AP25" s="159" t="str">
        <f>IF($AN25=FALSE,"",IFERROR(INDEX('Flat Rates'!$A$1:$M$3880,MATCH($AM25,'Flat Rates'!$A$1:$A$3880,0),MATCH("Standing Charge",'Flat Rates'!$A$1:$M$1,0))*100,""))</f>
        <v/>
      </c>
      <c r="AQ25" s="148" t="str">
        <f>IF($AN25=FALSE,"",IFERROR((IF(NOT(T25="Unrestricted"),"",INDEX('Flat Rates'!$A$1:$M$3880,MATCH($AM25,'Flat Rates'!$A$1:$A$3880,0),MATCH("Uni/Day Rate",'Flat Rates'!$A$1:$M$1,0)))*100)+H25,""))</f>
        <v/>
      </c>
      <c r="AR25" s="148" t="str">
        <f>IF($AN25=FALSE,"",IFERROR((IF(T25="Unrestricted","",INDEX('Flat Rates'!$A$1:$M$3880,MATCH($AM25,'Flat Rates'!$A$1:$A$3880,0),MATCH("Uni/Day Rate",'Flat Rates'!$A$1:$M$1,0)))*100)+H25,""))</f>
        <v/>
      </c>
      <c r="AS25" s="148" t="str">
        <f>IF($AN25=FALSE,"",IFERROR(IF(INDEX('Flat Rates'!$A$1:$M$3880,MATCH($AM25,'Flat Rates'!$A$1:$A$3880,0),MATCH("Night Unit Rate",'Flat Rates'!$A$1:$M$1,0))=0,"",((INDEX('Flat Rates'!$A$1:$M$3880,MATCH($AM25,'Flat Rates'!$A$1:$A$3880,0),MATCH("Night Unit Rate",'Flat Rates'!$A$1:$M$1,0)))*100)+H25),""))</f>
        <v/>
      </c>
      <c r="AT25" s="148" t="str">
        <f>IF($AN25=FALSE,"",IFERROR(IF(INDEX('Flat Rates'!$A$1:$M$3880,MATCH($AM25,'Flat Rates'!$A$1:$A$3880,0),MATCH("Evening and Weekend Rate",'Flat Rates'!$A$1:$M$1,0))=0,"",((INDEX('Flat Rates'!$A$1:$M$3880,MATCH($AM25,'Flat Rates'!$A$1:$A$3880,0),MATCH("Evening and Weekend Rate",'Flat Rates'!$A$1:$M$1,0)))*100)+H25),""))</f>
        <v/>
      </c>
      <c r="AU25" s="152" t="str">
        <f t="shared" si="21"/>
        <v/>
      </c>
      <c r="AV25" s="152" t="str">
        <f t="shared" si="22"/>
        <v/>
      </c>
      <c r="AW25" s="152" t="str">
        <f t="shared" si="23"/>
        <v/>
      </c>
    </row>
    <row r="26" spans="1:49" ht="15" thickBot="1" x14ac:dyDescent="0.35">
      <c r="B26" s="138" t="str">
        <f t="shared" si="0"/>
        <v/>
      </c>
      <c r="C26" s="137"/>
      <c r="D26" s="139"/>
      <c r="E26" s="140"/>
      <c r="F26" s="140"/>
      <c r="G26" s="139"/>
      <c r="H26" s="151"/>
      <c r="I26" s="139"/>
      <c r="J26" s="137"/>
      <c r="K26" s="139"/>
      <c r="L26" s="141"/>
      <c r="M26" s="133" t="str">
        <f t="shared" si="1"/>
        <v/>
      </c>
      <c r="N26" s="133" t="str">
        <f t="shared" si="2"/>
        <v/>
      </c>
      <c r="O26" s="133" t="str">
        <f t="shared" si="3"/>
        <v/>
      </c>
      <c r="P26" s="133" t="str">
        <f t="shared" si="4"/>
        <v/>
      </c>
      <c r="Q26" s="133" t="str">
        <f t="shared" si="5"/>
        <v/>
      </c>
      <c r="R26" s="133" t="str">
        <f t="shared" si="6"/>
        <v/>
      </c>
      <c r="S26" s="133" t="str">
        <f t="shared" si="7"/>
        <v/>
      </c>
      <c r="T26" s="133" t="str">
        <f>IFERROR(IF($U26="ERROR","ERROR",IF($N26="00",IF(J26="1-Rate","HH 1RATE",IF(J26="2-Rate","HH 2RATE","")),IFERROR(VLOOKUP(CONCATENATE(N26,Q26,O26,P26),Lookups!$A$2:$E$4557,5,0),VLOOKUP(CONCATENATE(N26,Q26,O26),Lookups!$A$2:$E$4557,5,0)))),"ERROR")</f>
        <v>ERROR</v>
      </c>
      <c r="U26" s="133" t="str">
        <f>IFERROR(IF(NOT($N26="00"),"",VLOOKUP(CONCATENATE(Q26,P26,LOOKUP(2,1/(Lookups!$I$2:$I$11&lt;=E26)/(Lookups!$J$2:$J$11&gt;=Tool!$C$14),Lookups!$K$2:$K$11)),'HH LLFs'!$A$2:$K$500,3,0)),"ERROR")</f>
        <v/>
      </c>
      <c r="V26" s="132">
        <f>Calcs!$I$2</f>
        <v>44377</v>
      </c>
      <c r="W26" s="132">
        <f>Calcs!$I$4</f>
        <v>44592</v>
      </c>
      <c r="X26" s="153" t="str">
        <f>IF(NOT(N26="00"),"",(VLOOKUP(CONCATENATE(Q26,P26,LOOKUP(2,1/(Lookups!$I$2:$I$11&lt;=Multisite!E26)/(Lookups!$J$2:$J$11&gt;=E26),Lookups!$K$2:$K$11)),'HH LLFs'!$A$2:$F$282,6,0)*365)/12)</f>
        <v/>
      </c>
      <c r="Y26" s="153">
        <f t="shared" si="8"/>
        <v>0</v>
      </c>
      <c r="Z26" s="153" t="str">
        <f t="shared" si="17"/>
        <v/>
      </c>
      <c r="AA26" s="153" t="str">
        <f t="shared" si="9"/>
        <v/>
      </c>
      <c r="AB26" s="153" t="str">
        <f t="shared" si="18"/>
        <v/>
      </c>
      <c r="AC26" s="153" t="str">
        <f t="shared" si="10"/>
        <v/>
      </c>
      <c r="AD26" s="153" t="str">
        <f t="shared" si="11"/>
        <v/>
      </c>
      <c r="AE26" s="153" t="str">
        <f t="shared" si="12"/>
        <v/>
      </c>
      <c r="AF26" s="155" t="e">
        <f>LOOKUP(2,1/(Lookups!$I$2:$I$11&lt;=E26)/(Lookups!$J$2:$J$11&gt;=E26),Lookups!$L$2:$L$11)</f>
        <v>#N/A</v>
      </c>
      <c r="AG26" s="142" t="str">
        <f t="shared" si="13"/>
        <v/>
      </c>
      <c r="AH26" s="142" t="str">
        <f t="shared" si="14"/>
        <v/>
      </c>
      <c r="AI26" s="143" t="b">
        <f t="shared" si="19"/>
        <v>0</v>
      </c>
      <c r="AJ26" s="143" t="str">
        <f t="shared" si="15"/>
        <v>Level 1</v>
      </c>
      <c r="AK26" s="142">
        <f t="shared" si="16"/>
        <v>0</v>
      </c>
      <c r="AL26" s="157" t="str">
        <f t="shared" si="24"/>
        <v/>
      </c>
      <c r="AM26" s="144" t="str">
        <f t="shared" si="25"/>
        <v>--FALSE-0</v>
      </c>
      <c r="AN26" s="158" t="str">
        <f t="shared" si="20"/>
        <v/>
      </c>
      <c r="AO26" s="145"/>
      <c r="AP26" s="159" t="str">
        <f>IF($AN26=FALSE,"",IFERROR(INDEX('Flat Rates'!$A$1:$M$3880,MATCH($AM26,'Flat Rates'!$A$1:$A$3880,0),MATCH("Standing Charge",'Flat Rates'!$A$1:$M$1,0))*100,""))</f>
        <v/>
      </c>
      <c r="AQ26" s="148" t="str">
        <f>IF($AN26=FALSE,"",IFERROR((IF(NOT(T26="Unrestricted"),"",INDEX('Flat Rates'!$A$1:$M$3880,MATCH($AM26,'Flat Rates'!$A$1:$A$3880,0),MATCH("Uni/Day Rate",'Flat Rates'!$A$1:$M$1,0)))*100)+H26,""))</f>
        <v/>
      </c>
      <c r="AR26" s="148" t="str">
        <f>IF($AN26=FALSE,"",IFERROR((IF(T26="Unrestricted","",INDEX('Flat Rates'!$A$1:$M$3880,MATCH($AM26,'Flat Rates'!$A$1:$A$3880,0),MATCH("Uni/Day Rate",'Flat Rates'!$A$1:$M$1,0)))*100)+H26,""))</f>
        <v/>
      </c>
      <c r="AS26" s="148" t="str">
        <f>IF($AN26=FALSE,"",IFERROR(IF(INDEX('Flat Rates'!$A$1:$M$3880,MATCH($AM26,'Flat Rates'!$A$1:$A$3880,0),MATCH("Night Unit Rate",'Flat Rates'!$A$1:$M$1,0))=0,"",((INDEX('Flat Rates'!$A$1:$M$3880,MATCH($AM26,'Flat Rates'!$A$1:$A$3880,0),MATCH("Night Unit Rate",'Flat Rates'!$A$1:$M$1,0)))*100)+H26),""))</f>
        <v/>
      </c>
      <c r="AT26" s="148" t="str">
        <f>IF($AN26=FALSE,"",IFERROR(IF(INDEX('Flat Rates'!$A$1:$M$3880,MATCH($AM26,'Flat Rates'!$A$1:$A$3880,0),MATCH("Evening and Weekend Rate",'Flat Rates'!$A$1:$M$1,0))=0,"",((INDEX('Flat Rates'!$A$1:$M$3880,MATCH($AM26,'Flat Rates'!$A$1:$A$3880,0),MATCH("Evening and Weekend Rate",'Flat Rates'!$A$1:$M$1,0)))*100)+H26),""))</f>
        <v/>
      </c>
      <c r="AU26" s="152" t="str">
        <f t="shared" si="21"/>
        <v/>
      </c>
      <c r="AV26" s="152" t="str">
        <f t="shared" si="22"/>
        <v/>
      </c>
      <c r="AW26" s="152" t="str">
        <f t="shared" si="23"/>
        <v/>
      </c>
    </row>
    <row r="27" spans="1:49" ht="15" thickBot="1" x14ac:dyDescent="0.35">
      <c r="B27" s="138" t="str">
        <f t="shared" si="0"/>
        <v/>
      </c>
      <c r="C27" s="137"/>
      <c r="D27" s="139"/>
      <c r="E27" s="140"/>
      <c r="F27" s="140"/>
      <c r="G27" s="139"/>
      <c r="H27" s="151"/>
      <c r="I27" s="139"/>
      <c r="J27" s="138"/>
      <c r="K27" s="139"/>
      <c r="L27" s="141"/>
      <c r="M27" s="133" t="str">
        <f t="shared" si="1"/>
        <v/>
      </c>
      <c r="N27" s="133" t="str">
        <f t="shared" si="2"/>
        <v/>
      </c>
      <c r="O27" s="133" t="str">
        <f t="shared" si="3"/>
        <v/>
      </c>
      <c r="P27" s="133" t="str">
        <f t="shared" si="4"/>
        <v/>
      </c>
      <c r="Q27" s="133" t="str">
        <f t="shared" si="5"/>
        <v/>
      </c>
      <c r="R27" s="133" t="str">
        <f t="shared" si="6"/>
        <v/>
      </c>
      <c r="S27" s="133" t="str">
        <f t="shared" si="7"/>
        <v/>
      </c>
      <c r="T27" s="133" t="str">
        <f>IFERROR(IF($U27="ERROR","ERROR",IF($N27="00",IF(J27="1-Rate","HH 1RATE",IF(J27="2-Rate","HH 2RATE","")),IFERROR(VLOOKUP(CONCATENATE(N27,Q27,O27,P27),Lookups!$A$2:$E$4557,5,0),VLOOKUP(CONCATENATE(N27,Q27,O27),Lookups!$A$2:$E$4557,5,0)))),"ERROR")</f>
        <v>ERROR</v>
      </c>
      <c r="U27" s="133" t="str">
        <f>IFERROR(IF(NOT($N27="00"),"",VLOOKUP(CONCATENATE(Q27,P27,LOOKUP(2,1/(Lookups!$I$2:$I$11&lt;=E27)/(Lookups!$J$2:$J$11&gt;=Tool!$C$14),Lookups!$K$2:$K$11)),'HH LLFs'!$A$2:$K$500,3,0)),"ERROR")</f>
        <v/>
      </c>
      <c r="V27" s="132">
        <f>Calcs!$I$2</f>
        <v>44377</v>
      </c>
      <c r="W27" s="132">
        <f>Calcs!$I$4</f>
        <v>44592</v>
      </c>
      <c r="X27" s="153" t="str">
        <f>IF(NOT(N27="00"),"",(VLOOKUP(CONCATENATE(Q27,P27,LOOKUP(2,1/(Lookups!$I$2:$I$11&lt;=Multisite!E27)/(Lookups!$J$2:$J$11&gt;=E27),Lookups!$K$2:$K$11)),'HH LLFs'!$A$2:$F$282,6,0)*365)/12)</f>
        <v/>
      </c>
      <c r="Y27" s="153">
        <f t="shared" si="8"/>
        <v>0</v>
      </c>
      <c r="Z27" s="153" t="str">
        <f t="shared" si="17"/>
        <v/>
      </c>
      <c r="AA27" s="153" t="str">
        <f t="shared" si="9"/>
        <v/>
      </c>
      <c r="AB27" s="153" t="str">
        <f t="shared" si="18"/>
        <v/>
      </c>
      <c r="AC27" s="153" t="str">
        <f t="shared" si="10"/>
        <v/>
      </c>
      <c r="AD27" s="153" t="str">
        <f t="shared" si="11"/>
        <v/>
      </c>
      <c r="AE27" s="153" t="str">
        <f t="shared" si="12"/>
        <v/>
      </c>
      <c r="AF27" s="155" t="e">
        <f>LOOKUP(2,1/(Lookups!$I$2:$I$11&lt;=E27)/(Lookups!$J$2:$J$11&gt;=E27),Lookups!$L$2:$L$11)</f>
        <v>#N/A</v>
      </c>
      <c r="AG27" s="142" t="str">
        <f t="shared" si="13"/>
        <v/>
      </c>
      <c r="AH27" s="142" t="str">
        <f t="shared" si="14"/>
        <v/>
      </c>
      <c r="AI27" s="143" t="b">
        <f t="shared" si="19"/>
        <v>0</v>
      </c>
      <c r="AJ27" s="143" t="str">
        <f t="shared" si="15"/>
        <v>Level 1</v>
      </c>
      <c r="AK27" s="142">
        <f t="shared" si="16"/>
        <v>0</v>
      </c>
      <c r="AL27" s="157" t="str">
        <f t="shared" si="24"/>
        <v/>
      </c>
      <c r="AM27" s="144" t="str">
        <f t="shared" si="25"/>
        <v>--FALSE-0</v>
      </c>
      <c r="AN27" s="158" t="str">
        <f t="shared" si="20"/>
        <v/>
      </c>
      <c r="AO27" s="145"/>
      <c r="AP27" s="159" t="str">
        <f>IF($AN27=FALSE,"",IFERROR(INDEX('Flat Rates'!$A$1:$M$3880,MATCH($AM27,'Flat Rates'!$A$1:$A$3880,0),MATCH("Standing Charge",'Flat Rates'!$A$1:$M$1,0))*100,""))</f>
        <v/>
      </c>
      <c r="AQ27" s="148" t="str">
        <f>IF($AN27=FALSE,"",IFERROR((IF(NOT(T27="Unrestricted"),"",INDEX('Flat Rates'!$A$1:$M$3880,MATCH($AM27,'Flat Rates'!$A$1:$A$3880,0),MATCH("Uni/Day Rate",'Flat Rates'!$A$1:$M$1,0)))*100)+H27,""))</f>
        <v/>
      </c>
      <c r="AR27" s="148" t="str">
        <f>IF($AN27=FALSE,"",IFERROR((IF(T27="Unrestricted","",INDEX('Flat Rates'!$A$1:$M$3880,MATCH($AM27,'Flat Rates'!$A$1:$A$3880,0),MATCH("Uni/Day Rate",'Flat Rates'!$A$1:$M$1,0)))*100)+H27,""))</f>
        <v/>
      </c>
      <c r="AS27" s="148" t="str">
        <f>IF($AN27=FALSE,"",IFERROR(IF(INDEX('Flat Rates'!$A$1:$M$3880,MATCH($AM27,'Flat Rates'!$A$1:$A$3880,0),MATCH("Night Unit Rate",'Flat Rates'!$A$1:$M$1,0))=0,"",((INDEX('Flat Rates'!$A$1:$M$3880,MATCH($AM27,'Flat Rates'!$A$1:$A$3880,0),MATCH("Night Unit Rate",'Flat Rates'!$A$1:$M$1,0)))*100)+H27),""))</f>
        <v/>
      </c>
      <c r="AT27" s="148" t="str">
        <f>IF($AN27=FALSE,"",IFERROR(IF(INDEX('Flat Rates'!$A$1:$M$3880,MATCH($AM27,'Flat Rates'!$A$1:$A$3880,0),MATCH("Evening and Weekend Rate",'Flat Rates'!$A$1:$M$1,0))=0,"",((INDEX('Flat Rates'!$A$1:$M$3880,MATCH($AM27,'Flat Rates'!$A$1:$A$3880,0),MATCH("Evening and Weekend Rate",'Flat Rates'!$A$1:$M$1,0)))*100)+H27),""))</f>
        <v/>
      </c>
      <c r="AU27" s="152" t="str">
        <f t="shared" si="21"/>
        <v/>
      </c>
      <c r="AV27" s="152" t="str">
        <f t="shared" si="22"/>
        <v/>
      </c>
      <c r="AW27" s="152" t="str">
        <f t="shared" si="23"/>
        <v/>
      </c>
    </row>
    <row r="28" spans="1:49" ht="15" thickBot="1" x14ac:dyDescent="0.35">
      <c r="B28" s="138" t="str">
        <f t="shared" si="0"/>
        <v/>
      </c>
      <c r="C28" s="137"/>
      <c r="D28" s="139"/>
      <c r="E28" s="140"/>
      <c r="F28" s="140"/>
      <c r="G28" s="139"/>
      <c r="H28" s="151"/>
      <c r="I28" s="139"/>
      <c r="J28" s="137"/>
      <c r="K28" s="139"/>
      <c r="L28" s="141"/>
      <c r="M28" s="133" t="str">
        <f t="shared" si="1"/>
        <v/>
      </c>
      <c r="N28" s="133" t="str">
        <f t="shared" si="2"/>
        <v/>
      </c>
      <c r="O28" s="133" t="str">
        <f t="shared" si="3"/>
        <v/>
      </c>
      <c r="P28" s="133" t="str">
        <f t="shared" si="4"/>
        <v/>
      </c>
      <c r="Q28" s="133" t="str">
        <f t="shared" si="5"/>
        <v/>
      </c>
      <c r="R28" s="133" t="str">
        <f t="shared" si="6"/>
        <v/>
      </c>
      <c r="S28" s="133" t="str">
        <f t="shared" si="7"/>
        <v/>
      </c>
      <c r="T28" s="133" t="str">
        <f>IFERROR(IF($U28="ERROR","ERROR",IF($N28="00",IF(J28="1-Rate","HH 1RATE",IF(J28="2-Rate","HH 2RATE","")),IFERROR(VLOOKUP(CONCATENATE(N28,Q28,O28,P28),Lookups!$A$2:$E$4557,5,0),VLOOKUP(CONCATENATE(N28,Q28,O28),Lookups!$A$2:$E$4557,5,0)))),"ERROR")</f>
        <v>ERROR</v>
      </c>
      <c r="U28" s="133" t="str">
        <f>IFERROR(IF(NOT($N28="00"),"",VLOOKUP(CONCATENATE(Q28,P28,LOOKUP(2,1/(Lookups!$I$2:$I$11&lt;=E28)/(Lookups!$J$2:$J$11&gt;=Tool!$C$14),Lookups!$K$2:$K$11)),'HH LLFs'!$A$2:$K$500,3,0)),"ERROR")</f>
        <v/>
      </c>
      <c r="V28" s="132">
        <f>Calcs!$I$2</f>
        <v>44377</v>
      </c>
      <c r="W28" s="132">
        <f>Calcs!$I$4</f>
        <v>44592</v>
      </c>
      <c r="X28" s="153" t="str">
        <f>IF(NOT(N28="00"),"",(VLOOKUP(CONCATENATE(Q28,P28,LOOKUP(2,1/(Lookups!$I$2:$I$11&lt;=Multisite!E28)/(Lookups!$J$2:$J$11&gt;=E28),Lookups!$K$2:$K$11)),'HH LLFs'!$A$2:$F$282,6,0)*365)/12)</f>
        <v/>
      </c>
      <c r="Y28" s="153">
        <f t="shared" si="8"/>
        <v>0</v>
      </c>
      <c r="Z28" s="153" t="str">
        <f t="shared" si="17"/>
        <v/>
      </c>
      <c r="AA28" s="153" t="str">
        <f t="shared" si="9"/>
        <v/>
      </c>
      <c r="AB28" s="153" t="str">
        <f t="shared" si="18"/>
        <v/>
      </c>
      <c r="AC28" s="153" t="str">
        <f t="shared" si="10"/>
        <v/>
      </c>
      <c r="AD28" s="153" t="str">
        <f t="shared" si="11"/>
        <v/>
      </c>
      <c r="AE28" s="153" t="str">
        <f t="shared" si="12"/>
        <v/>
      </c>
      <c r="AF28" s="155" t="e">
        <f>LOOKUP(2,1/(Lookups!$I$2:$I$11&lt;=E28)/(Lookups!$J$2:$J$11&gt;=E28),Lookups!$L$2:$L$11)</f>
        <v>#N/A</v>
      </c>
      <c r="AG28" s="142" t="str">
        <f t="shared" si="13"/>
        <v/>
      </c>
      <c r="AH28" s="142" t="str">
        <f t="shared" si="14"/>
        <v/>
      </c>
      <c r="AI28" s="143" t="b">
        <f t="shared" si="19"/>
        <v>0</v>
      </c>
      <c r="AJ28" s="143" t="str">
        <f t="shared" si="15"/>
        <v>Level 1</v>
      </c>
      <c r="AK28" s="142">
        <f t="shared" si="16"/>
        <v>0</v>
      </c>
      <c r="AL28" s="157" t="str">
        <f t="shared" si="24"/>
        <v/>
      </c>
      <c r="AM28" s="144" t="str">
        <f t="shared" si="25"/>
        <v>--FALSE-0</v>
      </c>
      <c r="AN28" s="158" t="str">
        <f t="shared" si="20"/>
        <v/>
      </c>
      <c r="AO28" s="145"/>
      <c r="AP28" s="159" t="str">
        <f>IF($AN28=FALSE,"",IFERROR(INDEX('Flat Rates'!$A$1:$M$3880,MATCH($AM28,'Flat Rates'!$A$1:$A$3880,0),MATCH("Standing Charge",'Flat Rates'!$A$1:$M$1,0))*100,""))</f>
        <v/>
      </c>
      <c r="AQ28" s="148" t="str">
        <f>IF($AN28=FALSE,"",IFERROR((IF(NOT(T28="Unrestricted"),"",INDEX('Flat Rates'!$A$1:$M$3880,MATCH($AM28,'Flat Rates'!$A$1:$A$3880,0),MATCH("Uni/Day Rate",'Flat Rates'!$A$1:$M$1,0)))*100)+H28,""))</f>
        <v/>
      </c>
      <c r="AR28" s="148" t="str">
        <f>IF($AN28=FALSE,"",IFERROR((IF(T28="Unrestricted","",INDEX('Flat Rates'!$A$1:$M$3880,MATCH($AM28,'Flat Rates'!$A$1:$A$3880,0),MATCH("Uni/Day Rate",'Flat Rates'!$A$1:$M$1,0)))*100)+H28,""))</f>
        <v/>
      </c>
      <c r="AS28" s="148" t="str">
        <f>IF($AN28=FALSE,"",IFERROR(IF(INDEX('Flat Rates'!$A$1:$M$3880,MATCH($AM28,'Flat Rates'!$A$1:$A$3880,0),MATCH("Night Unit Rate",'Flat Rates'!$A$1:$M$1,0))=0,"",((INDEX('Flat Rates'!$A$1:$M$3880,MATCH($AM28,'Flat Rates'!$A$1:$A$3880,0),MATCH("Night Unit Rate",'Flat Rates'!$A$1:$M$1,0)))*100)+H28),""))</f>
        <v/>
      </c>
      <c r="AT28" s="148" t="str">
        <f>IF($AN28=FALSE,"",IFERROR(IF(INDEX('Flat Rates'!$A$1:$M$3880,MATCH($AM28,'Flat Rates'!$A$1:$A$3880,0),MATCH("Evening and Weekend Rate",'Flat Rates'!$A$1:$M$1,0))=0,"",((INDEX('Flat Rates'!$A$1:$M$3880,MATCH($AM28,'Flat Rates'!$A$1:$A$3880,0),MATCH("Evening and Weekend Rate",'Flat Rates'!$A$1:$M$1,0)))*100)+H28),""))</f>
        <v/>
      </c>
      <c r="AU28" s="152" t="str">
        <f t="shared" si="21"/>
        <v/>
      </c>
      <c r="AV28" s="152" t="str">
        <f t="shared" si="22"/>
        <v/>
      </c>
      <c r="AW28" s="152" t="str">
        <f t="shared" si="23"/>
        <v/>
      </c>
    </row>
    <row r="29" spans="1:49" ht="15" thickBot="1" x14ac:dyDescent="0.35">
      <c r="B29" s="138" t="str">
        <f t="shared" si="0"/>
        <v/>
      </c>
      <c r="C29" s="137"/>
      <c r="D29" s="139"/>
      <c r="E29" s="140"/>
      <c r="F29" s="140"/>
      <c r="G29" s="139"/>
      <c r="H29" s="151"/>
      <c r="I29" s="139"/>
      <c r="J29" s="138"/>
      <c r="K29" s="139"/>
      <c r="L29" s="141"/>
      <c r="M29" s="133" t="str">
        <f t="shared" si="1"/>
        <v/>
      </c>
      <c r="N29" s="133" t="str">
        <f t="shared" si="2"/>
        <v/>
      </c>
      <c r="O29" s="133" t="str">
        <f t="shared" si="3"/>
        <v/>
      </c>
      <c r="P29" s="133" t="str">
        <f t="shared" si="4"/>
        <v/>
      </c>
      <c r="Q29" s="133" t="str">
        <f t="shared" si="5"/>
        <v/>
      </c>
      <c r="R29" s="133" t="str">
        <f t="shared" si="6"/>
        <v/>
      </c>
      <c r="S29" s="133" t="str">
        <f t="shared" si="7"/>
        <v/>
      </c>
      <c r="T29" s="133" t="str">
        <f>IFERROR(IF($U29="ERROR","ERROR",IF($N29="00",IF(J29="1-Rate","HH 1RATE",IF(J29="2-Rate","HH 2RATE","")),IFERROR(VLOOKUP(CONCATENATE(N29,Q29,O29,P29),Lookups!$A$2:$E$4557,5,0),VLOOKUP(CONCATENATE(N29,Q29,O29),Lookups!$A$2:$E$4557,5,0)))),"ERROR")</f>
        <v>ERROR</v>
      </c>
      <c r="U29" s="133" t="str">
        <f>IFERROR(IF(NOT($N29="00"),"",VLOOKUP(CONCATENATE(Q29,P29,LOOKUP(2,1/(Lookups!$I$2:$I$11&lt;=E29)/(Lookups!$J$2:$J$11&gt;=Tool!$C$14),Lookups!$K$2:$K$11)),'HH LLFs'!$A$2:$K$500,3,0)),"ERROR")</f>
        <v/>
      </c>
      <c r="V29" s="132">
        <f>Calcs!$I$2</f>
        <v>44377</v>
      </c>
      <c r="W29" s="132">
        <f>Calcs!$I$4</f>
        <v>44592</v>
      </c>
      <c r="X29" s="153" t="str">
        <f>IF(NOT(N29="00"),"",(VLOOKUP(CONCATENATE(Q29,P29,LOOKUP(2,1/(Lookups!$I$2:$I$11&lt;=Multisite!E29)/(Lookups!$J$2:$J$11&gt;=E29),Lookups!$K$2:$K$11)),'HH LLFs'!$A$2:$F$282,6,0)*365)/12)</f>
        <v/>
      </c>
      <c r="Y29" s="153">
        <f t="shared" si="8"/>
        <v>0</v>
      </c>
      <c r="Z29" s="153" t="str">
        <f t="shared" si="17"/>
        <v/>
      </c>
      <c r="AA29" s="153" t="str">
        <f t="shared" si="9"/>
        <v/>
      </c>
      <c r="AB29" s="153" t="str">
        <f t="shared" si="18"/>
        <v/>
      </c>
      <c r="AC29" s="153" t="str">
        <f t="shared" si="10"/>
        <v/>
      </c>
      <c r="AD29" s="153" t="str">
        <f t="shared" si="11"/>
        <v/>
      </c>
      <c r="AE29" s="153" t="str">
        <f t="shared" si="12"/>
        <v/>
      </c>
      <c r="AF29" s="155" t="e">
        <f>LOOKUP(2,1/(Lookups!$I$2:$I$11&lt;=E29)/(Lookups!$J$2:$J$11&gt;=E29),Lookups!$L$2:$L$11)</f>
        <v>#N/A</v>
      </c>
      <c r="AG29" s="142" t="str">
        <f t="shared" si="13"/>
        <v/>
      </c>
      <c r="AH29" s="142" t="str">
        <f t="shared" si="14"/>
        <v/>
      </c>
      <c r="AI29" s="143" t="b">
        <f t="shared" si="19"/>
        <v>0</v>
      </c>
      <c r="AJ29" s="143" t="str">
        <f t="shared" si="15"/>
        <v>Level 1</v>
      </c>
      <c r="AK29" s="142">
        <f t="shared" si="16"/>
        <v>0</v>
      </c>
      <c r="AL29" s="157" t="str">
        <f t="shared" si="24"/>
        <v/>
      </c>
      <c r="AM29" s="144" t="str">
        <f t="shared" si="25"/>
        <v>--FALSE-0</v>
      </c>
      <c r="AN29" s="158" t="str">
        <f t="shared" si="20"/>
        <v/>
      </c>
      <c r="AO29" s="145"/>
      <c r="AP29" s="159" t="str">
        <f>IF($AN29=FALSE,"",IFERROR(INDEX('Flat Rates'!$A$1:$M$3880,MATCH($AM29,'Flat Rates'!$A$1:$A$3880,0),MATCH("Standing Charge",'Flat Rates'!$A$1:$M$1,0))*100,""))</f>
        <v/>
      </c>
      <c r="AQ29" s="148" t="str">
        <f>IF($AN29=FALSE,"",IFERROR((IF(NOT(T29="Unrestricted"),"",INDEX('Flat Rates'!$A$1:$M$3880,MATCH($AM29,'Flat Rates'!$A$1:$A$3880,0),MATCH("Uni/Day Rate",'Flat Rates'!$A$1:$M$1,0)))*100)+H29,""))</f>
        <v/>
      </c>
      <c r="AR29" s="148" t="str">
        <f>IF($AN29=FALSE,"",IFERROR((IF(T29="Unrestricted","",INDEX('Flat Rates'!$A$1:$M$3880,MATCH($AM29,'Flat Rates'!$A$1:$A$3880,0),MATCH("Uni/Day Rate",'Flat Rates'!$A$1:$M$1,0)))*100)+H29,""))</f>
        <v/>
      </c>
      <c r="AS29" s="148" t="str">
        <f>IF($AN29=FALSE,"",IFERROR(IF(INDEX('Flat Rates'!$A$1:$M$3880,MATCH($AM29,'Flat Rates'!$A$1:$A$3880,0),MATCH("Night Unit Rate",'Flat Rates'!$A$1:$M$1,0))=0,"",((INDEX('Flat Rates'!$A$1:$M$3880,MATCH($AM29,'Flat Rates'!$A$1:$A$3880,0),MATCH("Night Unit Rate",'Flat Rates'!$A$1:$M$1,0)))*100)+H29),""))</f>
        <v/>
      </c>
      <c r="AT29" s="148" t="str">
        <f>IF($AN29=FALSE,"",IFERROR(IF(INDEX('Flat Rates'!$A$1:$M$3880,MATCH($AM29,'Flat Rates'!$A$1:$A$3880,0),MATCH("Evening and Weekend Rate",'Flat Rates'!$A$1:$M$1,0))=0,"",((INDEX('Flat Rates'!$A$1:$M$3880,MATCH($AM29,'Flat Rates'!$A$1:$A$3880,0),MATCH("Evening and Weekend Rate",'Flat Rates'!$A$1:$M$1,0)))*100)+H29),""))</f>
        <v/>
      </c>
      <c r="AU29" s="152" t="str">
        <f t="shared" si="21"/>
        <v/>
      </c>
      <c r="AV29" s="152" t="str">
        <f t="shared" si="22"/>
        <v/>
      </c>
      <c r="AW29" s="152" t="str">
        <f t="shared" si="23"/>
        <v/>
      </c>
    </row>
    <row r="30" spans="1:49" ht="15" thickBot="1" x14ac:dyDescent="0.35">
      <c r="B30" s="138" t="str">
        <f t="shared" si="0"/>
        <v/>
      </c>
      <c r="C30" s="137"/>
      <c r="D30" s="139"/>
      <c r="E30" s="140"/>
      <c r="F30" s="140"/>
      <c r="G30" s="139"/>
      <c r="H30" s="151"/>
      <c r="I30" s="139"/>
      <c r="J30" s="137"/>
      <c r="K30" s="139"/>
      <c r="L30" s="141"/>
      <c r="M30" s="133" t="str">
        <f t="shared" si="1"/>
        <v/>
      </c>
      <c r="N30" s="133" t="str">
        <f t="shared" si="2"/>
        <v/>
      </c>
      <c r="O30" s="133" t="str">
        <f t="shared" si="3"/>
        <v/>
      </c>
      <c r="P30" s="133" t="str">
        <f t="shared" si="4"/>
        <v/>
      </c>
      <c r="Q30" s="133" t="str">
        <f t="shared" si="5"/>
        <v/>
      </c>
      <c r="R30" s="133" t="str">
        <f t="shared" si="6"/>
        <v/>
      </c>
      <c r="S30" s="133" t="str">
        <f t="shared" si="7"/>
        <v/>
      </c>
      <c r="T30" s="133" t="str">
        <f>IFERROR(IF($U30="ERROR","ERROR",IF($N30="00",IF(J30="1-Rate","HH 1RATE",IF(J30="2-Rate","HH 2RATE","")),IFERROR(VLOOKUP(CONCATENATE(N30,Q30,O30,P30),Lookups!$A$2:$E$4557,5,0),VLOOKUP(CONCATENATE(N30,Q30,O30),Lookups!$A$2:$E$4557,5,0)))),"ERROR")</f>
        <v>ERROR</v>
      </c>
      <c r="U30" s="133" t="str">
        <f>IFERROR(IF(NOT($N30="00"),"",VLOOKUP(CONCATENATE(Q30,P30,LOOKUP(2,1/(Lookups!$I$2:$I$11&lt;=E30)/(Lookups!$J$2:$J$11&gt;=Tool!$C$14),Lookups!$K$2:$K$11)),'HH LLFs'!$A$2:$K$500,3,0)),"ERROR")</f>
        <v/>
      </c>
      <c r="V30" s="132">
        <f>Calcs!$I$2</f>
        <v>44377</v>
      </c>
      <c r="W30" s="132">
        <f>Calcs!$I$4</f>
        <v>44592</v>
      </c>
      <c r="X30" s="153" t="str">
        <f>IF(NOT(N30="00"),"",(VLOOKUP(CONCATENATE(Q30,P30,LOOKUP(2,1/(Lookups!$I$2:$I$11&lt;=Multisite!E30)/(Lookups!$J$2:$J$11&gt;=E30),Lookups!$K$2:$K$11)),'HH LLFs'!$A$2:$F$282,6,0)*365)/12)</f>
        <v/>
      </c>
      <c r="Y30" s="153">
        <f t="shared" si="8"/>
        <v>0</v>
      </c>
      <c r="Z30" s="153" t="str">
        <f t="shared" si="17"/>
        <v/>
      </c>
      <c r="AA30" s="153" t="str">
        <f t="shared" si="9"/>
        <v/>
      </c>
      <c r="AB30" s="153" t="str">
        <f t="shared" si="18"/>
        <v/>
      </c>
      <c r="AC30" s="153" t="str">
        <f t="shared" si="10"/>
        <v/>
      </c>
      <c r="AD30" s="153" t="str">
        <f t="shared" si="11"/>
        <v/>
      </c>
      <c r="AE30" s="153" t="str">
        <f t="shared" si="12"/>
        <v/>
      </c>
      <c r="AF30" s="155" t="e">
        <f>LOOKUP(2,1/(Lookups!$I$2:$I$11&lt;=E30)/(Lookups!$J$2:$J$11&gt;=E30),Lookups!$L$2:$L$11)</f>
        <v>#N/A</v>
      </c>
      <c r="AG30" s="142" t="str">
        <f t="shared" si="13"/>
        <v/>
      </c>
      <c r="AH30" s="142" t="str">
        <f t="shared" si="14"/>
        <v/>
      </c>
      <c r="AI30" s="143" t="b">
        <f t="shared" si="19"/>
        <v>0</v>
      </c>
      <c r="AJ30" s="143" t="str">
        <f t="shared" si="15"/>
        <v>Level 1</v>
      </c>
      <c r="AK30" s="142">
        <f t="shared" si="16"/>
        <v>0</v>
      </c>
      <c r="AL30" s="157" t="str">
        <f t="shared" si="24"/>
        <v/>
      </c>
      <c r="AM30" s="144" t="str">
        <f t="shared" si="25"/>
        <v>--FALSE-0</v>
      </c>
      <c r="AN30" s="158" t="str">
        <f t="shared" si="20"/>
        <v/>
      </c>
      <c r="AO30" s="145"/>
      <c r="AP30" s="159" t="str">
        <f>IF($AN30=FALSE,"",IFERROR(INDEX('Flat Rates'!$A$1:$M$3880,MATCH($AM30,'Flat Rates'!$A$1:$A$3880,0),MATCH("Standing Charge",'Flat Rates'!$A$1:$M$1,0))*100,""))</f>
        <v/>
      </c>
      <c r="AQ30" s="148" t="str">
        <f>IF($AN30=FALSE,"",IFERROR((IF(NOT(T30="Unrestricted"),"",INDEX('Flat Rates'!$A$1:$M$3880,MATCH($AM30,'Flat Rates'!$A$1:$A$3880,0),MATCH("Uni/Day Rate",'Flat Rates'!$A$1:$M$1,0)))*100)+H30,""))</f>
        <v/>
      </c>
      <c r="AR30" s="148" t="str">
        <f>IF($AN30=FALSE,"",IFERROR((IF(T30="Unrestricted","",INDEX('Flat Rates'!$A$1:$M$3880,MATCH($AM30,'Flat Rates'!$A$1:$A$3880,0),MATCH("Uni/Day Rate",'Flat Rates'!$A$1:$M$1,0)))*100)+H30,""))</f>
        <v/>
      </c>
      <c r="AS30" s="148" t="str">
        <f>IF($AN30=FALSE,"",IFERROR(IF(INDEX('Flat Rates'!$A$1:$M$3880,MATCH($AM30,'Flat Rates'!$A$1:$A$3880,0),MATCH("Night Unit Rate",'Flat Rates'!$A$1:$M$1,0))=0,"",((INDEX('Flat Rates'!$A$1:$M$3880,MATCH($AM30,'Flat Rates'!$A$1:$A$3880,0),MATCH("Night Unit Rate",'Flat Rates'!$A$1:$M$1,0)))*100)+H30),""))</f>
        <v/>
      </c>
      <c r="AT30" s="148" t="str">
        <f>IF($AN30=FALSE,"",IFERROR(IF(INDEX('Flat Rates'!$A$1:$M$3880,MATCH($AM30,'Flat Rates'!$A$1:$A$3880,0),MATCH("Evening and Weekend Rate",'Flat Rates'!$A$1:$M$1,0))=0,"",((INDEX('Flat Rates'!$A$1:$M$3880,MATCH($AM30,'Flat Rates'!$A$1:$A$3880,0),MATCH("Evening and Weekend Rate",'Flat Rates'!$A$1:$M$1,0)))*100)+H30),""))</f>
        <v/>
      </c>
      <c r="AU30" s="152" t="str">
        <f t="shared" si="21"/>
        <v/>
      </c>
      <c r="AV30" s="152" t="str">
        <f t="shared" si="22"/>
        <v/>
      </c>
      <c r="AW30" s="152" t="str">
        <f t="shared" si="23"/>
        <v/>
      </c>
    </row>
    <row r="31" spans="1:49" ht="15" thickBot="1" x14ac:dyDescent="0.35">
      <c r="B31" s="138" t="str">
        <f t="shared" si="0"/>
        <v/>
      </c>
      <c r="C31" s="137"/>
      <c r="D31" s="139"/>
      <c r="E31" s="140"/>
      <c r="F31" s="140"/>
      <c r="G31" s="139"/>
      <c r="H31" s="151"/>
      <c r="I31" s="139"/>
      <c r="J31" s="138"/>
      <c r="K31" s="139"/>
      <c r="L31" s="141"/>
      <c r="M31" s="133" t="str">
        <f t="shared" si="1"/>
        <v/>
      </c>
      <c r="N31" s="133" t="str">
        <f t="shared" si="2"/>
        <v/>
      </c>
      <c r="O31" s="133" t="str">
        <f t="shared" si="3"/>
        <v/>
      </c>
      <c r="P31" s="133" t="str">
        <f t="shared" si="4"/>
        <v/>
      </c>
      <c r="Q31" s="133" t="str">
        <f t="shared" si="5"/>
        <v/>
      </c>
      <c r="R31" s="133" t="str">
        <f t="shared" si="6"/>
        <v/>
      </c>
      <c r="S31" s="133" t="str">
        <f t="shared" si="7"/>
        <v/>
      </c>
      <c r="T31" s="133" t="str">
        <f>IFERROR(IF($U31="ERROR","ERROR",IF($N31="00",IF(J31="1-Rate","HH 1RATE",IF(J31="2-Rate","HH 2RATE","")),IFERROR(VLOOKUP(CONCATENATE(N31,Q31,O31,P31),Lookups!$A$2:$E$4557,5,0),VLOOKUP(CONCATENATE(N31,Q31,O31),Lookups!$A$2:$E$4557,5,0)))),"ERROR")</f>
        <v>ERROR</v>
      </c>
      <c r="U31" s="133" t="str">
        <f>IFERROR(IF(NOT($N31="00"),"",VLOOKUP(CONCATENATE(Q31,P31,LOOKUP(2,1/(Lookups!$I$2:$I$11&lt;=E31)/(Lookups!$J$2:$J$11&gt;=Tool!$C$14),Lookups!$K$2:$K$11)),'HH LLFs'!$A$2:$K$500,3,0)),"ERROR")</f>
        <v/>
      </c>
      <c r="V31" s="132">
        <f>Calcs!$I$2</f>
        <v>44377</v>
      </c>
      <c r="W31" s="132">
        <f>Calcs!$I$4</f>
        <v>44592</v>
      </c>
      <c r="X31" s="153" t="str">
        <f>IF(NOT(N31="00"),"",(VLOOKUP(CONCATENATE(Q31,P31,LOOKUP(2,1/(Lookups!$I$2:$I$11&lt;=Multisite!E31)/(Lookups!$J$2:$J$11&gt;=E31),Lookups!$K$2:$K$11)),'HH LLFs'!$A$2:$F$282,6,0)*365)/12)</f>
        <v/>
      </c>
      <c r="Y31" s="153">
        <f t="shared" si="8"/>
        <v>0</v>
      </c>
      <c r="Z31" s="153" t="str">
        <f t="shared" si="17"/>
        <v/>
      </c>
      <c r="AA31" s="153" t="str">
        <f t="shared" si="9"/>
        <v/>
      </c>
      <c r="AB31" s="153" t="str">
        <f t="shared" si="18"/>
        <v/>
      </c>
      <c r="AC31" s="153" t="str">
        <f t="shared" si="10"/>
        <v/>
      </c>
      <c r="AD31" s="153" t="str">
        <f t="shared" si="11"/>
        <v/>
      </c>
      <c r="AE31" s="153" t="str">
        <f t="shared" si="12"/>
        <v/>
      </c>
      <c r="AF31" s="155" t="e">
        <f>LOOKUP(2,1/(Lookups!$I$2:$I$11&lt;=E31)/(Lookups!$J$2:$J$11&gt;=E31),Lookups!$L$2:$L$11)</f>
        <v>#N/A</v>
      </c>
      <c r="AG31" s="142" t="str">
        <f t="shared" si="13"/>
        <v/>
      </c>
      <c r="AH31" s="142" t="str">
        <f t="shared" si="14"/>
        <v/>
      </c>
      <c r="AI31" s="143" t="b">
        <f t="shared" si="19"/>
        <v>0</v>
      </c>
      <c r="AJ31" s="143" t="str">
        <f t="shared" si="15"/>
        <v>Level 1</v>
      </c>
      <c r="AK31" s="142">
        <f t="shared" si="16"/>
        <v>0</v>
      </c>
      <c r="AL31" s="157" t="str">
        <f t="shared" si="24"/>
        <v/>
      </c>
      <c r="AM31" s="144" t="str">
        <f t="shared" si="25"/>
        <v>--FALSE-0</v>
      </c>
      <c r="AN31" s="158" t="str">
        <f t="shared" si="20"/>
        <v/>
      </c>
      <c r="AO31" s="145"/>
      <c r="AP31" s="159" t="str">
        <f>IF($AN31=FALSE,"",IFERROR(INDEX('Flat Rates'!$A$1:$M$3880,MATCH($AM31,'Flat Rates'!$A$1:$A$3880,0),MATCH("Standing Charge",'Flat Rates'!$A$1:$M$1,0))*100,""))</f>
        <v/>
      </c>
      <c r="AQ31" s="148" t="str">
        <f>IF($AN31=FALSE,"",IFERROR((IF(NOT(T31="Unrestricted"),"",INDEX('Flat Rates'!$A$1:$M$3880,MATCH($AM31,'Flat Rates'!$A$1:$A$3880,0),MATCH("Uni/Day Rate",'Flat Rates'!$A$1:$M$1,0)))*100)+H31,""))</f>
        <v/>
      </c>
      <c r="AR31" s="148" t="str">
        <f>IF($AN31=FALSE,"",IFERROR((IF(T31="Unrestricted","",INDEX('Flat Rates'!$A$1:$M$3880,MATCH($AM31,'Flat Rates'!$A$1:$A$3880,0),MATCH("Uni/Day Rate",'Flat Rates'!$A$1:$M$1,0)))*100)+H31,""))</f>
        <v/>
      </c>
      <c r="AS31" s="148" t="str">
        <f>IF($AN31=FALSE,"",IFERROR(IF(INDEX('Flat Rates'!$A$1:$M$3880,MATCH($AM31,'Flat Rates'!$A$1:$A$3880,0),MATCH("Night Unit Rate",'Flat Rates'!$A$1:$M$1,0))=0,"",((INDEX('Flat Rates'!$A$1:$M$3880,MATCH($AM31,'Flat Rates'!$A$1:$A$3880,0),MATCH("Night Unit Rate",'Flat Rates'!$A$1:$M$1,0)))*100)+H31),""))</f>
        <v/>
      </c>
      <c r="AT31" s="148" t="str">
        <f>IF($AN31=FALSE,"",IFERROR(IF(INDEX('Flat Rates'!$A$1:$M$3880,MATCH($AM31,'Flat Rates'!$A$1:$A$3880,0),MATCH("Evening and Weekend Rate",'Flat Rates'!$A$1:$M$1,0))=0,"",((INDEX('Flat Rates'!$A$1:$M$3880,MATCH($AM31,'Flat Rates'!$A$1:$A$3880,0),MATCH("Evening and Weekend Rate",'Flat Rates'!$A$1:$M$1,0)))*100)+H31),""))</f>
        <v/>
      </c>
      <c r="AU31" s="152" t="str">
        <f t="shared" si="21"/>
        <v/>
      </c>
      <c r="AV31" s="152" t="str">
        <f t="shared" si="22"/>
        <v/>
      </c>
      <c r="AW31" s="152" t="str">
        <f t="shared" si="23"/>
        <v/>
      </c>
    </row>
    <row r="32" spans="1:49" ht="15" thickBot="1" x14ac:dyDescent="0.35">
      <c r="B32" s="138" t="str">
        <f t="shared" si="0"/>
        <v/>
      </c>
      <c r="C32" s="137"/>
      <c r="D32" s="139"/>
      <c r="E32" s="140"/>
      <c r="F32" s="140"/>
      <c r="G32" s="139"/>
      <c r="H32" s="151"/>
      <c r="I32" s="139"/>
      <c r="J32" s="137"/>
      <c r="K32" s="139"/>
      <c r="L32" s="141"/>
      <c r="M32" s="133" t="str">
        <f t="shared" si="1"/>
        <v/>
      </c>
      <c r="N32" s="133" t="str">
        <f t="shared" si="2"/>
        <v/>
      </c>
      <c r="O32" s="133" t="str">
        <f t="shared" si="3"/>
        <v/>
      </c>
      <c r="P32" s="133" t="str">
        <f t="shared" si="4"/>
        <v/>
      </c>
      <c r="Q32" s="133" t="str">
        <f t="shared" si="5"/>
        <v/>
      </c>
      <c r="R32" s="133" t="str">
        <f t="shared" si="6"/>
        <v/>
      </c>
      <c r="S32" s="133" t="str">
        <f t="shared" si="7"/>
        <v/>
      </c>
      <c r="T32" s="133" t="str">
        <f>IFERROR(IF($U32="ERROR","ERROR",IF($N32="00",IF(J32="1-Rate","HH 1RATE",IF(J32="2-Rate","HH 2RATE","")),IFERROR(VLOOKUP(CONCATENATE(N32,Q32,O32,P32),Lookups!$A$2:$E$4557,5,0),VLOOKUP(CONCATENATE(N32,Q32,O32),Lookups!$A$2:$E$4557,5,0)))),"ERROR")</f>
        <v>ERROR</v>
      </c>
      <c r="U32" s="133" t="str">
        <f>IFERROR(IF(NOT($N32="00"),"",VLOOKUP(CONCATENATE(Q32,P32,LOOKUP(2,1/(Lookups!$I$2:$I$11&lt;=E32)/(Lookups!$J$2:$J$11&gt;=Tool!$C$14),Lookups!$K$2:$K$11)),'HH LLFs'!$A$2:$K$500,3,0)),"ERROR")</f>
        <v/>
      </c>
      <c r="V32" s="132">
        <f>Calcs!$I$2</f>
        <v>44377</v>
      </c>
      <c r="W32" s="132">
        <f>Calcs!$I$4</f>
        <v>44592</v>
      </c>
      <c r="X32" s="153" t="str">
        <f>IF(NOT(N32="00"),"",(VLOOKUP(CONCATENATE(Q32,P32,LOOKUP(2,1/(Lookups!$I$2:$I$11&lt;=Multisite!E32)/(Lookups!$J$2:$J$11&gt;=E32),Lookups!$K$2:$K$11)),'HH LLFs'!$A$2:$F$282,6,0)*365)/12)</f>
        <v/>
      </c>
      <c r="Y32" s="153">
        <f t="shared" si="8"/>
        <v>0</v>
      </c>
      <c r="Z32" s="153" t="str">
        <f t="shared" si="17"/>
        <v/>
      </c>
      <c r="AA32" s="153" t="str">
        <f t="shared" si="9"/>
        <v/>
      </c>
      <c r="AB32" s="153" t="str">
        <f t="shared" si="18"/>
        <v/>
      </c>
      <c r="AC32" s="153" t="str">
        <f t="shared" si="10"/>
        <v/>
      </c>
      <c r="AD32" s="153" t="str">
        <f t="shared" si="11"/>
        <v/>
      </c>
      <c r="AE32" s="153" t="str">
        <f t="shared" si="12"/>
        <v/>
      </c>
      <c r="AF32" s="155" t="e">
        <f>LOOKUP(2,1/(Lookups!$I$2:$I$11&lt;=E32)/(Lookups!$J$2:$J$11&gt;=E32),Lookups!$L$2:$L$11)</f>
        <v>#N/A</v>
      </c>
      <c r="AG32" s="142" t="str">
        <f t="shared" si="13"/>
        <v/>
      </c>
      <c r="AH32" s="142" t="str">
        <f t="shared" si="14"/>
        <v/>
      </c>
      <c r="AI32" s="143" t="b">
        <f t="shared" si="19"/>
        <v>0</v>
      </c>
      <c r="AJ32" s="143" t="str">
        <f t="shared" si="15"/>
        <v>Level 1</v>
      </c>
      <c r="AK32" s="142">
        <f t="shared" si="16"/>
        <v>0</v>
      </c>
      <c r="AL32" s="157" t="str">
        <f t="shared" si="24"/>
        <v/>
      </c>
      <c r="AM32" s="144" t="str">
        <f t="shared" si="25"/>
        <v>--FALSE-0</v>
      </c>
      <c r="AN32" s="158" t="str">
        <f t="shared" si="20"/>
        <v/>
      </c>
      <c r="AO32" s="145"/>
      <c r="AP32" s="159" t="str">
        <f>IF($AN32=FALSE,"",IFERROR(INDEX('Flat Rates'!$A$1:$M$3880,MATCH($AM32,'Flat Rates'!$A$1:$A$3880,0),MATCH("Standing Charge",'Flat Rates'!$A$1:$M$1,0))*100,""))</f>
        <v/>
      </c>
      <c r="AQ32" s="148" t="str">
        <f>IF($AN32=FALSE,"",IFERROR((IF(NOT(T32="Unrestricted"),"",INDEX('Flat Rates'!$A$1:$M$3880,MATCH($AM32,'Flat Rates'!$A$1:$A$3880,0),MATCH("Uni/Day Rate",'Flat Rates'!$A$1:$M$1,0)))*100)+H32,""))</f>
        <v/>
      </c>
      <c r="AR32" s="148" t="str">
        <f>IF($AN32=FALSE,"",IFERROR((IF(T32="Unrestricted","",INDEX('Flat Rates'!$A$1:$M$3880,MATCH($AM32,'Flat Rates'!$A$1:$A$3880,0),MATCH("Uni/Day Rate",'Flat Rates'!$A$1:$M$1,0)))*100)+H32,""))</f>
        <v/>
      </c>
      <c r="AS32" s="148" t="str">
        <f>IF($AN32=FALSE,"",IFERROR(IF(INDEX('Flat Rates'!$A$1:$M$3880,MATCH($AM32,'Flat Rates'!$A$1:$A$3880,0),MATCH("Night Unit Rate",'Flat Rates'!$A$1:$M$1,0))=0,"",((INDEX('Flat Rates'!$A$1:$M$3880,MATCH($AM32,'Flat Rates'!$A$1:$A$3880,0),MATCH("Night Unit Rate",'Flat Rates'!$A$1:$M$1,0)))*100)+H32),""))</f>
        <v/>
      </c>
      <c r="AT32" s="148" t="str">
        <f>IF($AN32=FALSE,"",IFERROR(IF(INDEX('Flat Rates'!$A$1:$M$3880,MATCH($AM32,'Flat Rates'!$A$1:$A$3880,0),MATCH("Evening and Weekend Rate",'Flat Rates'!$A$1:$M$1,0))=0,"",((INDEX('Flat Rates'!$A$1:$M$3880,MATCH($AM32,'Flat Rates'!$A$1:$A$3880,0),MATCH("Evening and Weekend Rate",'Flat Rates'!$A$1:$M$1,0)))*100)+H32),""))</f>
        <v/>
      </c>
      <c r="AU32" s="152" t="str">
        <f t="shared" si="21"/>
        <v/>
      </c>
      <c r="AV32" s="152" t="str">
        <f t="shared" si="22"/>
        <v/>
      </c>
      <c r="AW32" s="152" t="str">
        <f t="shared" si="23"/>
        <v/>
      </c>
    </row>
    <row r="33" spans="2:49" ht="15" thickBot="1" x14ac:dyDescent="0.35">
      <c r="B33" s="138" t="str">
        <f t="shared" si="0"/>
        <v/>
      </c>
      <c r="C33" s="137"/>
      <c r="D33" s="139"/>
      <c r="E33" s="140"/>
      <c r="F33" s="140"/>
      <c r="G33" s="139"/>
      <c r="H33" s="151"/>
      <c r="I33" s="139"/>
      <c r="J33" s="138"/>
      <c r="K33" s="139"/>
      <c r="L33" s="141"/>
      <c r="M33" s="133" t="str">
        <f t="shared" si="1"/>
        <v/>
      </c>
      <c r="N33" s="133" t="str">
        <f t="shared" si="2"/>
        <v/>
      </c>
      <c r="O33" s="133" t="str">
        <f t="shared" si="3"/>
        <v/>
      </c>
      <c r="P33" s="133" t="str">
        <f t="shared" si="4"/>
        <v/>
      </c>
      <c r="Q33" s="133" t="str">
        <f t="shared" si="5"/>
        <v/>
      </c>
      <c r="R33" s="133" t="str">
        <f t="shared" si="6"/>
        <v/>
      </c>
      <c r="S33" s="133" t="str">
        <f t="shared" si="7"/>
        <v/>
      </c>
      <c r="T33" s="133" t="str">
        <f>IFERROR(IF($U33="ERROR","ERROR",IF($N33="00",IF(J33="1-Rate","HH 1RATE",IF(J33="2-Rate","HH 2RATE","")),IFERROR(VLOOKUP(CONCATENATE(N33,Q33,O33,P33),Lookups!$A$2:$E$4557,5,0),VLOOKUP(CONCATENATE(N33,Q33,O33),Lookups!$A$2:$E$4557,5,0)))),"ERROR")</f>
        <v>ERROR</v>
      </c>
      <c r="U33" s="133" t="str">
        <f>IFERROR(IF(NOT($N33="00"),"",VLOOKUP(CONCATENATE(Q33,P33,LOOKUP(2,1/(Lookups!$I$2:$I$11&lt;=E33)/(Lookups!$J$2:$J$11&gt;=Tool!$C$14),Lookups!$K$2:$K$11)),'HH LLFs'!$A$2:$K$500,3,0)),"ERROR")</f>
        <v/>
      </c>
      <c r="V33" s="132">
        <f>Calcs!$I$2</f>
        <v>44377</v>
      </c>
      <c r="W33" s="132">
        <f>Calcs!$I$4</f>
        <v>44592</v>
      </c>
      <c r="X33" s="153" t="str">
        <f>IF(NOT(N33="00"),"",(VLOOKUP(CONCATENATE(Q33,P33,LOOKUP(2,1/(Lookups!$I$2:$I$11&lt;=Multisite!E33)/(Lookups!$J$2:$J$11&gt;=E33),Lookups!$K$2:$K$11)),'HH LLFs'!$A$2:$F$282,6,0)*365)/12)</f>
        <v/>
      </c>
      <c r="Y33" s="153">
        <f t="shared" si="8"/>
        <v>0</v>
      </c>
      <c r="Z33" s="153" t="str">
        <f t="shared" si="17"/>
        <v/>
      </c>
      <c r="AA33" s="153" t="str">
        <f t="shared" si="9"/>
        <v/>
      </c>
      <c r="AB33" s="153" t="str">
        <f t="shared" si="18"/>
        <v/>
      </c>
      <c r="AC33" s="153" t="str">
        <f t="shared" si="10"/>
        <v/>
      </c>
      <c r="AD33" s="153" t="str">
        <f t="shared" si="11"/>
        <v/>
      </c>
      <c r="AE33" s="153" t="str">
        <f t="shared" si="12"/>
        <v/>
      </c>
      <c r="AF33" s="155" t="e">
        <f>LOOKUP(2,1/(Lookups!$I$2:$I$11&lt;=E33)/(Lookups!$J$2:$J$11&gt;=E33),Lookups!$L$2:$L$11)</f>
        <v>#N/A</v>
      </c>
      <c r="AG33" s="142" t="str">
        <f t="shared" si="13"/>
        <v/>
      </c>
      <c r="AH33" s="142" t="str">
        <f t="shared" si="14"/>
        <v/>
      </c>
      <c r="AI33" s="143" t="b">
        <f t="shared" si="19"/>
        <v>0</v>
      </c>
      <c r="AJ33" s="143" t="str">
        <f t="shared" si="15"/>
        <v>Level 1</v>
      </c>
      <c r="AK33" s="142">
        <f t="shared" si="16"/>
        <v>0</v>
      </c>
      <c r="AL33" s="157" t="str">
        <f t="shared" si="24"/>
        <v/>
      </c>
      <c r="AM33" s="144" t="str">
        <f t="shared" si="25"/>
        <v>--FALSE-0</v>
      </c>
      <c r="AN33" s="158" t="str">
        <f t="shared" si="20"/>
        <v/>
      </c>
      <c r="AO33" s="145"/>
      <c r="AP33" s="159" t="str">
        <f>IF($AN33=FALSE,"",IFERROR(INDEX('Flat Rates'!$A$1:$M$3880,MATCH($AM33,'Flat Rates'!$A$1:$A$3880,0),MATCH("Standing Charge",'Flat Rates'!$A$1:$M$1,0))*100,""))</f>
        <v/>
      </c>
      <c r="AQ33" s="148" t="str">
        <f>IF($AN33=FALSE,"",IFERROR((IF(NOT(T33="Unrestricted"),"",INDEX('Flat Rates'!$A$1:$M$3880,MATCH($AM33,'Flat Rates'!$A$1:$A$3880,0),MATCH("Uni/Day Rate",'Flat Rates'!$A$1:$M$1,0)))*100)+H33,""))</f>
        <v/>
      </c>
      <c r="AR33" s="148" t="str">
        <f>IF($AN33=FALSE,"",IFERROR((IF(T33="Unrestricted","",INDEX('Flat Rates'!$A$1:$M$3880,MATCH($AM33,'Flat Rates'!$A$1:$A$3880,0),MATCH("Uni/Day Rate",'Flat Rates'!$A$1:$M$1,0)))*100)+H33,""))</f>
        <v/>
      </c>
      <c r="AS33" s="148" t="str">
        <f>IF($AN33=FALSE,"",IFERROR(IF(INDEX('Flat Rates'!$A$1:$M$3880,MATCH($AM33,'Flat Rates'!$A$1:$A$3880,0),MATCH("Night Unit Rate",'Flat Rates'!$A$1:$M$1,0))=0,"",((INDEX('Flat Rates'!$A$1:$M$3880,MATCH($AM33,'Flat Rates'!$A$1:$A$3880,0),MATCH("Night Unit Rate",'Flat Rates'!$A$1:$M$1,0)))*100)+H33),""))</f>
        <v/>
      </c>
      <c r="AT33" s="148" t="str">
        <f>IF($AN33=FALSE,"",IFERROR(IF(INDEX('Flat Rates'!$A$1:$M$3880,MATCH($AM33,'Flat Rates'!$A$1:$A$3880,0),MATCH("Evening and Weekend Rate",'Flat Rates'!$A$1:$M$1,0))=0,"",((INDEX('Flat Rates'!$A$1:$M$3880,MATCH($AM33,'Flat Rates'!$A$1:$A$3880,0),MATCH("Evening and Weekend Rate",'Flat Rates'!$A$1:$M$1,0)))*100)+H33),""))</f>
        <v/>
      </c>
      <c r="AU33" s="152" t="str">
        <f t="shared" si="21"/>
        <v/>
      </c>
      <c r="AV33" s="152" t="str">
        <f t="shared" si="22"/>
        <v/>
      </c>
      <c r="AW33" s="152" t="str">
        <f t="shared" si="23"/>
        <v/>
      </c>
    </row>
    <row r="34" spans="2:49" ht="15" thickBot="1" x14ac:dyDescent="0.35">
      <c r="B34" s="138" t="str">
        <f t="shared" si="0"/>
        <v/>
      </c>
      <c r="C34" s="137"/>
      <c r="D34" s="139"/>
      <c r="E34" s="140"/>
      <c r="F34" s="140"/>
      <c r="G34" s="139"/>
      <c r="H34" s="151"/>
      <c r="I34" s="139"/>
      <c r="J34" s="137"/>
      <c r="K34" s="139"/>
      <c r="L34" s="141"/>
      <c r="M34" s="133" t="str">
        <f t="shared" si="1"/>
        <v/>
      </c>
      <c r="N34" s="133" t="str">
        <f t="shared" si="2"/>
        <v/>
      </c>
      <c r="O34" s="133" t="str">
        <f t="shared" si="3"/>
        <v/>
      </c>
      <c r="P34" s="133" t="str">
        <f t="shared" si="4"/>
        <v/>
      </c>
      <c r="Q34" s="133" t="str">
        <f t="shared" si="5"/>
        <v/>
      </c>
      <c r="R34" s="133" t="str">
        <f t="shared" si="6"/>
        <v/>
      </c>
      <c r="S34" s="133" t="str">
        <f t="shared" si="7"/>
        <v/>
      </c>
      <c r="T34" s="133" t="str">
        <f>IFERROR(IF($U34="ERROR","ERROR",IF($N34="00",IF(J34="1-Rate","HH 1RATE",IF(J34="2-Rate","HH 2RATE","")),IFERROR(VLOOKUP(CONCATENATE(N34,Q34,O34,P34),Lookups!$A$2:$E$4557,5,0),VLOOKUP(CONCATENATE(N34,Q34,O34),Lookups!$A$2:$E$4557,5,0)))),"ERROR")</f>
        <v>ERROR</v>
      </c>
      <c r="U34" s="133" t="str">
        <f>IFERROR(IF(NOT($N34="00"),"",VLOOKUP(CONCATENATE(Q34,P34,LOOKUP(2,1/(Lookups!$I$2:$I$11&lt;=E34)/(Lookups!$J$2:$J$11&gt;=Tool!$C$14),Lookups!$K$2:$K$11)),'HH LLFs'!$A$2:$K$500,3,0)),"ERROR")</f>
        <v/>
      </c>
      <c r="V34" s="132">
        <f>Calcs!$I$2</f>
        <v>44377</v>
      </c>
      <c r="W34" s="132">
        <f>Calcs!$I$4</f>
        <v>44592</v>
      </c>
      <c r="X34" s="153" t="str">
        <f>IF(NOT(N34="00"),"",(VLOOKUP(CONCATENATE(Q34,P34,LOOKUP(2,1/(Lookups!$I$2:$I$11&lt;=Multisite!E34)/(Lookups!$J$2:$J$11&gt;=E34),Lookups!$K$2:$K$11)),'HH LLFs'!$A$2:$F$282,6,0)*365)/12)</f>
        <v/>
      </c>
      <c r="Y34" s="153">
        <f t="shared" si="8"/>
        <v>0</v>
      </c>
      <c r="Z34" s="153" t="str">
        <f t="shared" si="17"/>
        <v/>
      </c>
      <c r="AA34" s="153" t="str">
        <f t="shared" si="9"/>
        <v/>
      </c>
      <c r="AB34" s="153" t="str">
        <f t="shared" si="18"/>
        <v/>
      </c>
      <c r="AC34" s="153" t="str">
        <f t="shared" si="10"/>
        <v/>
      </c>
      <c r="AD34" s="153" t="str">
        <f t="shared" si="11"/>
        <v/>
      </c>
      <c r="AE34" s="153" t="str">
        <f t="shared" si="12"/>
        <v/>
      </c>
      <c r="AF34" s="155" t="e">
        <f>LOOKUP(2,1/(Lookups!$I$2:$I$11&lt;=E34)/(Lookups!$J$2:$J$11&gt;=E34),Lookups!$L$2:$L$11)</f>
        <v>#N/A</v>
      </c>
      <c r="AG34" s="142" t="str">
        <f t="shared" si="13"/>
        <v/>
      </c>
      <c r="AH34" s="142" t="str">
        <f t="shared" si="14"/>
        <v/>
      </c>
      <c r="AI34" s="143" t="b">
        <f t="shared" si="19"/>
        <v>0</v>
      </c>
      <c r="AJ34" s="143" t="str">
        <f t="shared" si="15"/>
        <v>Level 1</v>
      </c>
      <c r="AK34" s="142">
        <f t="shared" si="16"/>
        <v>0</v>
      </c>
      <c r="AL34" s="157" t="str">
        <f t="shared" si="24"/>
        <v/>
      </c>
      <c r="AM34" s="144" t="str">
        <f t="shared" si="25"/>
        <v>--FALSE-0</v>
      </c>
      <c r="AN34" s="158" t="str">
        <f t="shared" si="20"/>
        <v/>
      </c>
      <c r="AO34" s="145"/>
      <c r="AP34" s="159" t="str">
        <f>IF($AN34=FALSE,"",IFERROR(INDEX('Flat Rates'!$A$1:$M$3880,MATCH($AM34,'Flat Rates'!$A$1:$A$3880,0),MATCH("Standing Charge",'Flat Rates'!$A$1:$M$1,0))*100,""))</f>
        <v/>
      </c>
      <c r="AQ34" s="148" t="str">
        <f>IF($AN34=FALSE,"",IFERROR((IF(NOT(T34="Unrestricted"),"",INDEX('Flat Rates'!$A$1:$M$3880,MATCH($AM34,'Flat Rates'!$A$1:$A$3880,0),MATCH("Uni/Day Rate",'Flat Rates'!$A$1:$M$1,0)))*100)+H34,""))</f>
        <v/>
      </c>
      <c r="AR34" s="148" t="str">
        <f>IF($AN34=FALSE,"",IFERROR((IF(T34="Unrestricted","",INDEX('Flat Rates'!$A$1:$M$3880,MATCH($AM34,'Flat Rates'!$A$1:$A$3880,0),MATCH("Uni/Day Rate",'Flat Rates'!$A$1:$M$1,0)))*100)+H34,""))</f>
        <v/>
      </c>
      <c r="AS34" s="148" t="str">
        <f>IF($AN34=FALSE,"",IFERROR(IF(INDEX('Flat Rates'!$A$1:$M$3880,MATCH($AM34,'Flat Rates'!$A$1:$A$3880,0),MATCH("Night Unit Rate",'Flat Rates'!$A$1:$M$1,0))=0,"",((INDEX('Flat Rates'!$A$1:$M$3880,MATCH($AM34,'Flat Rates'!$A$1:$A$3880,0),MATCH("Night Unit Rate",'Flat Rates'!$A$1:$M$1,0)))*100)+H34),""))</f>
        <v/>
      </c>
      <c r="AT34" s="148" t="str">
        <f>IF($AN34=FALSE,"",IFERROR(IF(INDEX('Flat Rates'!$A$1:$M$3880,MATCH($AM34,'Flat Rates'!$A$1:$A$3880,0),MATCH("Evening and Weekend Rate",'Flat Rates'!$A$1:$M$1,0))=0,"",((INDEX('Flat Rates'!$A$1:$M$3880,MATCH($AM34,'Flat Rates'!$A$1:$A$3880,0),MATCH("Evening and Weekend Rate",'Flat Rates'!$A$1:$M$1,0)))*100)+H34),""))</f>
        <v/>
      </c>
      <c r="AU34" s="152" t="str">
        <f t="shared" si="21"/>
        <v/>
      </c>
      <c r="AV34" s="152" t="str">
        <f t="shared" si="22"/>
        <v/>
      </c>
      <c r="AW34" s="152" t="str">
        <f t="shared" si="23"/>
        <v/>
      </c>
    </row>
    <row r="35" spans="2:49" ht="15" thickBot="1" x14ac:dyDescent="0.35">
      <c r="B35" s="138" t="str">
        <f t="shared" si="0"/>
        <v/>
      </c>
      <c r="C35" s="137"/>
      <c r="D35" s="139"/>
      <c r="E35" s="140"/>
      <c r="F35" s="140"/>
      <c r="G35" s="139"/>
      <c r="H35" s="151"/>
      <c r="I35" s="139"/>
      <c r="J35" s="138"/>
      <c r="K35" s="139"/>
      <c r="L35" s="141"/>
      <c r="M35" s="133" t="str">
        <f t="shared" si="1"/>
        <v/>
      </c>
      <c r="N35" s="133" t="str">
        <f t="shared" si="2"/>
        <v/>
      </c>
      <c r="O35" s="133" t="str">
        <f t="shared" si="3"/>
        <v/>
      </c>
      <c r="P35" s="133" t="str">
        <f t="shared" si="4"/>
        <v/>
      </c>
      <c r="Q35" s="133" t="str">
        <f t="shared" si="5"/>
        <v/>
      </c>
      <c r="R35" s="133" t="str">
        <f t="shared" si="6"/>
        <v/>
      </c>
      <c r="S35" s="133" t="str">
        <f t="shared" si="7"/>
        <v/>
      </c>
      <c r="T35" s="133" t="str">
        <f>IFERROR(IF($U35="ERROR","ERROR",IF($N35="00",IF(J35="1-Rate","HH 1RATE",IF(J35="2-Rate","HH 2RATE","")),IFERROR(VLOOKUP(CONCATENATE(N35,Q35,O35,P35),Lookups!$A$2:$E$4557,5,0),VLOOKUP(CONCATENATE(N35,Q35,O35),Lookups!$A$2:$E$4557,5,0)))),"ERROR")</f>
        <v>ERROR</v>
      </c>
      <c r="U35" s="133" t="str">
        <f>IFERROR(IF(NOT($N35="00"),"",VLOOKUP(CONCATENATE(Q35,P35,LOOKUP(2,1/(Lookups!$I$2:$I$11&lt;=E35)/(Lookups!$J$2:$J$11&gt;=Tool!$C$14),Lookups!$K$2:$K$11)),'HH LLFs'!$A$2:$K$500,3,0)),"ERROR")</f>
        <v/>
      </c>
      <c r="V35" s="132">
        <f>Calcs!$I$2</f>
        <v>44377</v>
      </c>
      <c r="W35" s="132">
        <f>Calcs!$I$4</f>
        <v>44592</v>
      </c>
      <c r="X35" s="153" t="str">
        <f>IF(NOT(N35="00"),"",(VLOOKUP(CONCATENATE(Q35,P35,LOOKUP(2,1/(Lookups!$I$2:$I$11&lt;=Multisite!E35)/(Lookups!$J$2:$J$11&gt;=E35),Lookups!$K$2:$K$11)),'HH LLFs'!$A$2:$F$282,6,0)*365)/12)</f>
        <v/>
      </c>
      <c r="Y35" s="153">
        <f t="shared" si="8"/>
        <v>0</v>
      </c>
      <c r="Z35" s="153" t="str">
        <f t="shared" si="17"/>
        <v/>
      </c>
      <c r="AA35" s="153" t="str">
        <f t="shared" si="9"/>
        <v/>
      </c>
      <c r="AB35" s="153" t="str">
        <f t="shared" si="18"/>
        <v/>
      </c>
      <c r="AC35" s="153" t="str">
        <f t="shared" si="10"/>
        <v/>
      </c>
      <c r="AD35" s="153" t="str">
        <f t="shared" si="11"/>
        <v/>
      </c>
      <c r="AE35" s="153" t="str">
        <f t="shared" si="12"/>
        <v/>
      </c>
      <c r="AF35" s="155" t="e">
        <f>LOOKUP(2,1/(Lookups!$I$2:$I$11&lt;=E35)/(Lookups!$J$2:$J$11&gt;=E35),Lookups!$L$2:$L$11)</f>
        <v>#N/A</v>
      </c>
      <c r="AG35" s="142" t="str">
        <f t="shared" si="13"/>
        <v/>
      </c>
      <c r="AH35" s="142" t="str">
        <f t="shared" si="14"/>
        <v/>
      </c>
      <c r="AI35" s="143" t="b">
        <f t="shared" si="19"/>
        <v>0</v>
      </c>
      <c r="AJ35" s="143" t="str">
        <f t="shared" si="15"/>
        <v>Level 1</v>
      </c>
      <c r="AK35" s="142">
        <f t="shared" si="16"/>
        <v>0</v>
      </c>
      <c r="AL35" s="157" t="str">
        <f t="shared" si="24"/>
        <v/>
      </c>
      <c r="AM35" s="144" t="str">
        <f t="shared" si="25"/>
        <v>--FALSE-0</v>
      </c>
      <c r="AN35" s="158" t="str">
        <f t="shared" si="20"/>
        <v/>
      </c>
      <c r="AO35" s="145"/>
      <c r="AP35" s="159" t="str">
        <f>IF($AN35=FALSE,"",IFERROR(INDEX('Flat Rates'!$A$1:$M$3880,MATCH($AM35,'Flat Rates'!$A$1:$A$3880,0),MATCH("Standing Charge",'Flat Rates'!$A$1:$M$1,0))*100,""))</f>
        <v/>
      </c>
      <c r="AQ35" s="148" t="str">
        <f>IF($AN35=FALSE,"",IFERROR((IF(NOT(T35="Unrestricted"),"",INDEX('Flat Rates'!$A$1:$M$3880,MATCH($AM35,'Flat Rates'!$A$1:$A$3880,0),MATCH("Uni/Day Rate",'Flat Rates'!$A$1:$M$1,0)))*100)+H35,""))</f>
        <v/>
      </c>
      <c r="AR35" s="148" t="str">
        <f>IF($AN35=FALSE,"",IFERROR((IF(T35="Unrestricted","",INDEX('Flat Rates'!$A$1:$M$3880,MATCH($AM35,'Flat Rates'!$A$1:$A$3880,0),MATCH("Uni/Day Rate",'Flat Rates'!$A$1:$M$1,0)))*100)+H35,""))</f>
        <v/>
      </c>
      <c r="AS35" s="148" t="str">
        <f>IF($AN35=FALSE,"",IFERROR(IF(INDEX('Flat Rates'!$A$1:$M$3880,MATCH($AM35,'Flat Rates'!$A$1:$A$3880,0),MATCH("Night Unit Rate",'Flat Rates'!$A$1:$M$1,0))=0,"",((INDEX('Flat Rates'!$A$1:$M$3880,MATCH($AM35,'Flat Rates'!$A$1:$A$3880,0),MATCH("Night Unit Rate",'Flat Rates'!$A$1:$M$1,0)))*100)+H35),""))</f>
        <v/>
      </c>
      <c r="AT35" s="148" t="str">
        <f>IF($AN35=FALSE,"",IFERROR(IF(INDEX('Flat Rates'!$A$1:$M$3880,MATCH($AM35,'Flat Rates'!$A$1:$A$3880,0),MATCH("Evening and Weekend Rate",'Flat Rates'!$A$1:$M$1,0))=0,"",((INDEX('Flat Rates'!$A$1:$M$3880,MATCH($AM35,'Flat Rates'!$A$1:$A$3880,0),MATCH("Evening and Weekend Rate",'Flat Rates'!$A$1:$M$1,0)))*100)+H35),""))</f>
        <v/>
      </c>
      <c r="AU35" s="152" t="str">
        <f t="shared" si="21"/>
        <v/>
      </c>
      <c r="AV35" s="152" t="str">
        <f t="shared" si="22"/>
        <v/>
      </c>
      <c r="AW35" s="152" t="str">
        <f t="shared" si="23"/>
        <v/>
      </c>
    </row>
    <row r="36" spans="2:49" ht="15" thickBot="1" x14ac:dyDescent="0.35">
      <c r="B36" s="138" t="str">
        <f t="shared" si="0"/>
        <v/>
      </c>
      <c r="C36" s="137"/>
      <c r="D36" s="139"/>
      <c r="E36" s="140"/>
      <c r="F36" s="140"/>
      <c r="G36" s="139"/>
      <c r="H36" s="151"/>
      <c r="I36" s="139"/>
      <c r="J36" s="137"/>
      <c r="K36" s="139"/>
      <c r="L36" s="141"/>
      <c r="M36" s="133" t="str">
        <f t="shared" si="1"/>
        <v/>
      </c>
      <c r="N36" s="133" t="str">
        <f t="shared" si="2"/>
        <v/>
      </c>
      <c r="O36" s="133" t="str">
        <f t="shared" si="3"/>
        <v/>
      </c>
      <c r="P36" s="133" t="str">
        <f t="shared" si="4"/>
        <v/>
      </c>
      <c r="Q36" s="133" t="str">
        <f t="shared" si="5"/>
        <v/>
      </c>
      <c r="R36" s="133" t="str">
        <f t="shared" si="6"/>
        <v/>
      </c>
      <c r="S36" s="133" t="str">
        <f t="shared" si="7"/>
        <v/>
      </c>
      <c r="T36" s="133" t="str">
        <f>IFERROR(IF($U36="ERROR","ERROR",IF($N36="00",IF(J36="1-Rate","HH 1RATE",IF(J36="2-Rate","HH 2RATE","")),IFERROR(VLOOKUP(CONCATENATE(N36,Q36,O36,P36),Lookups!$A$2:$E$4557,5,0),VLOOKUP(CONCATENATE(N36,Q36,O36),Lookups!$A$2:$E$4557,5,0)))),"ERROR")</f>
        <v>ERROR</v>
      </c>
      <c r="U36" s="133" t="str">
        <f>IFERROR(IF(NOT($N36="00"),"",VLOOKUP(CONCATENATE(Q36,P36,LOOKUP(2,1/(Lookups!$I$2:$I$11&lt;=E36)/(Lookups!$J$2:$J$11&gt;=Tool!$C$14),Lookups!$K$2:$K$11)),'HH LLFs'!$A$2:$K$500,3,0)),"ERROR")</f>
        <v/>
      </c>
      <c r="V36" s="132">
        <f>Calcs!$I$2</f>
        <v>44377</v>
      </c>
      <c r="W36" s="132">
        <f>Calcs!$I$4</f>
        <v>44592</v>
      </c>
      <c r="X36" s="153" t="str">
        <f>IF(NOT(N36="00"),"",(VLOOKUP(CONCATENATE(Q36,P36,LOOKUP(2,1/(Lookups!$I$2:$I$11&lt;=Multisite!E36)/(Lookups!$J$2:$J$11&gt;=E36),Lookups!$K$2:$K$11)),'HH LLFs'!$A$2:$F$282,6,0)*365)/12)</f>
        <v/>
      </c>
      <c r="Y36" s="153">
        <f t="shared" si="8"/>
        <v>0</v>
      </c>
      <c r="Z36" s="153" t="str">
        <f t="shared" si="17"/>
        <v/>
      </c>
      <c r="AA36" s="153" t="str">
        <f t="shared" si="9"/>
        <v/>
      </c>
      <c r="AB36" s="153" t="str">
        <f t="shared" si="18"/>
        <v/>
      </c>
      <c r="AC36" s="153" t="str">
        <f t="shared" si="10"/>
        <v/>
      </c>
      <c r="AD36" s="153" t="str">
        <f t="shared" si="11"/>
        <v/>
      </c>
      <c r="AE36" s="153" t="str">
        <f t="shared" si="12"/>
        <v/>
      </c>
      <c r="AF36" s="155" t="e">
        <f>LOOKUP(2,1/(Lookups!$I$2:$I$11&lt;=E36)/(Lookups!$J$2:$J$11&gt;=E36),Lookups!$L$2:$L$11)</f>
        <v>#N/A</v>
      </c>
      <c r="AG36" s="142" t="str">
        <f t="shared" si="13"/>
        <v/>
      </c>
      <c r="AH36" s="142" t="str">
        <f t="shared" si="14"/>
        <v/>
      </c>
      <c r="AI36" s="143" t="b">
        <f t="shared" si="19"/>
        <v>0</v>
      </c>
      <c r="AJ36" s="143" t="str">
        <f t="shared" si="15"/>
        <v>Level 1</v>
      </c>
      <c r="AK36" s="142">
        <f t="shared" si="16"/>
        <v>0</v>
      </c>
      <c r="AL36" s="157" t="str">
        <f t="shared" si="24"/>
        <v/>
      </c>
      <c r="AM36" s="144" t="str">
        <f t="shared" si="25"/>
        <v>--FALSE-0</v>
      </c>
      <c r="AN36" s="158" t="str">
        <f t="shared" si="20"/>
        <v/>
      </c>
      <c r="AO36" s="145"/>
      <c r="AP36" s="159" t="str">
        <f>IF($AN36=FALSE,"",IFERROR(INDEX('Flat Rates'!$A$1:$M$3880,MATCH($AM36,'Flat Rates'!$A$1:$A$3880,0),MATCH("Standing Charge",'Flat Rates'!$A$1:$M$1,0))*100,""))</f>
        <v/>
      </c>
      <c r="AQ36" s="148" t="str">
        <f>IF($AN36=FALSE,"",IFERROR((IF(NOT(T36="Unrestricted"),"",INDEX('Flat Rates'!$A$1:$M$3880,MATCH($AM36,'Flat Rates'!$A$1:$A$3880,0),MATCH("Uni/Day Rate",'Flat Rates'!$A$1:$M$1,0)))*100)+H36,""))</f>
        <v/>
      </c>
      <c r="AR36" s="148" t="str">
        <f>IF($AN36=FALSE,"",IFERROR((IF(T36="Unrestricted","",INDEX('Flat Rates'!$A$1:$M$3880,MATCH($AM36,'Flat Rates'!$A$1:$A$3880,0),MATCH("Uni/Day Rate",'Flat Rates'!$A$1:$M$1,0)))*100)+H36,""))</f>
        <v/>
      </c>
      <c r="AS36" s="148" t="str">
        <f>IF($AN36=FALSE,"",IFERROR(IF(INDEX('Flat Rates'!$A$1:$M$3880,MATCH($AM36,'Flat Rates'!$A$1:$A$3880,0),MATCH("Night Unit Rate",'Flat Rates'!$A$1:$M$1,0))=0,"",((INDEX('Flat Rates'!$A$1:$M$3880,MATCH($AM36,'Flat Rates'!$A$1:$A$3880,0),MATCH("Night Unit Rate",'Flat Rates'!$A$1:$M$1,0)))*100)+H36),""))</f>
        <v/>
      </c>
      <c r="AT36" s="148" t="str">
        <f>IF($AN36=FALSE,"",IFERROR(IF(INDEX('Flat Rates'!$A$1:$M$3880,MATCH($AM36,'Flat Rates'!$A$1:$A$3880,0),MATCH("Evening and Weekend Rate",'Flat Rates'!$A$1:$M$1,0))=0,"",((INDEX('Flat Rates'!$A$1:$M$3880,MATCH($AM36,'Flat Rates'!$A$1:$A$3880,0),MATCH("Evening and Weekend Rate",'Flat Rates'!$A$1:$M$1,0)))*100)+H36),""))</f>
        <v/>
      </c>
      <c r="AU36" s="152" t="str">
        <f t="shared" si="21"/>
        <v/>
      </c>
      <c r="AV36" s="152" t="str">
        <f t="shared" si="22"/>
        <v/>
      </c>
      <c r="AW36" s="152" t="str">
        <f t="shared" si="23"/>
        <v/>
      </c>
    </row>
    <row r="37" spans="2:49" ht="15" thickBot="1" x14ac:dyDescent="0.35">
      <c r="B37" s="138" t="str">
        <f t="shared" si="0"/>
        <v/>
      </c>
      <c r="C37" s="137"/>
      <c r="D37" s="139"/>
      <c r="E37" s="140"/>
      <c r="F37" s="140"/>
      <c r="G37" s="139"/>
      <c r="H37" s="151"/>
      <c r="I37" s="139"/>
      <c r="J37" s="138"/>
      <c r="K37" s="139"/>
      <c r="L37" s="141"/>
      <c r="M37" s="133" t="str">
        <f t="shared" si="1"/>
        <v/>
      </c>
      <c r="N37" s="133" t="str">
        <f t="shared" si="2"/>
        <v/>
      </c>
      <c r="O37" s="133" t="str">
        <f t="shared" si="3"/>
        <v/>
      </c>
      <c r="P37" s="133" t="str">
        <f t="shared" si="4"/>
        <v/>
      </c>
      <c r="Q37" s="133" t="str">
        <f t="shared" si="5"/>
        <v/>
      </c>
      <c r="R37" s="133" t="str">
        <f t="shared" si="6"/>
        <v/>
      </c>
      <c r="S37" s="133" t="str">
        <f t="shared" si="7"/>
        <v/>
      </c>
      <c r="T37" s="133" t="str">
        <f>IFERROR(IF($U37="ERROR","ERROR",IF($N37="00",IF(J37="1-Rate","HH 1RATE",IF(J37="2-Rate","HH 2RATE","")),IFERROR(VLOOKUP(CONCATENATE(N37,Q37,O37,P37),Lookups!$A$2:$E$4557,5,0),VLOOKUP(CONCATENATE(N37,Q37,O37),Lookups!$A$2:$E$4557,5,0)))),"ERROR")</f>
        <v>ERROR</v>
      </c>
      <c r="U37" s="133" t="str">
        <f>IFERROR(IF(NOT($N37="00"),"",VLOOKUP(CONCATENATE(Q37,P37,LOOKUP(2,1/(Lookups!$I$2:$I$11&lt;=E37)/(Lookups!$J$2:$J$11&gt;=Tool!$C$14),Lookups!$K$2:$K$11)),'HH LLFs'!$A$2:$K$500,3,0)),"ERROR")</f>
        <v/>
      </c>
      <c r="V37" s="132">
        <f>Calcs!$I$2</f>
        <v>44377</v>
      </c>
      <c r="W37" s="132">
        <f>Calcs!$I$4</f>
        <v>44592</v>
      </c>
      <c r="X37" s="153" t="str">
        <f>IF(NOT(N37="00"),"",(VLOOKUP(CONCATENATE(Q37,P37,LOOKUP(2,1/(Lookups!$I$2:$I$11&lt;=Multisite!E37)/(Lookups!$J$2:$J$11&gt;=E37),Lookups!$K$2:$K$11)),'HH LLFs'!$A$2:$F$282,6,0)*365)/12)</f>
        <v/>
      </c>
      <c r="Y37" s="153">
        <f t="shared" si="8"/>
        <v>0</v>
      </c>
      <c r="Z37" s="153" t="str">
        <f t="shared" si="17"/>
        <v/>
      </c>
      <c r="AA37" s="153" t="str">
        <f t="shared" si="9"/>
        <v/>
      </c>
      <c r="AB37" s="153" t="str">
        <f t="shared" si="18"/>
        <v/>
      </c>
      <c r="AC37" s="153" t="str">
        <f t="shared" si="10"/>
        <v/>
      </c>
      <c r="AD37" s="153" t="str">
        <f t="shared" si="11"/>
        <v/>
      </c>
      <c r="AE37" s="153" t="str">
        <f t="shared" si="12"/>
        <v/>
      </c>
      <c r="AF37" s="155" t="e">
        <f>LOOKUP(2,1/(Lookups!$I$2:$I$11&lt;=E37)/(Lookups!$J$2:$J$11&gt;=E37),Lookups!$L$2:$L$11)</f>
        <v>#N/A</v>
      </c>
      <c r="AG37" s="142" t="str">
        <f t="shared" si="13"/>
        <v/>
      </c>
      <c r="AH37" s="142" t="str">
        <f t="shared" si="14"/>
        <v/>
      </c>
      <c r="AI37" s="143" t="b">
        <f t="shared" si="19"/>
        <v>0</v>
      </c>
      <c r="AJ37" s="143" t="str">
        <f t="shared" si="15"/>
        <v>Level 1</v>
      </c>
      <c r="AK37" s="142">
        <f t="shared" si="16"/>
        <v>0</v>
      </c>
      <c r="AL37" s="157" t="str">
        <f t="shared" si="24"/>
        <v/>
      </c>
      <c r="AM37" s="144" t="str">
        <f t="shared" si="25"/>
        <v>--FALSE-0</v>
      </c>
      <c r="AN37" s="158" t="str">
        <f t="shared" si="20"/>
        <v/>
      </c>
      <c r="AO37" s="145"/>
      <c r="AP37" s="159" t="str">
        <f>IF($AN37=FALSE,"",IFERROR(INDEX('Flat Rates'!$A$1:$M$3880,MATCH($AM37,'Flat Rates'!$A$1:$A$3880,0),MATCH("Standing Charge",'Flat Rates'!$A$1:$M$1,0))*100,""))</f>
        <v/>
      </c>
      <c r="AQ37" s="148" t="str">
        <f>IF($AN37=FALSE,"",IFERROR((IF(NOT(T37="Unrestricted"),"",INDEX('Flat Rates'!$A$1:$M$3880,MATCH($AM37,'Flat Rates'!$A$1:$A$3880,0),MATCH("Uni/Day Rate",'Flat Rates'!$A$1:$M$1,0)))*100)+H37,""))</f>
        <v/>
      </c>
      <c r="AR37" s="148" t="str">
        <f>IF($AN37=FALSE,"",IFERROR((IF(T37="Unrestricted","",INDEX('Flat Rates'!$A$1:$M$3880,MATCH($AM37,'Flat Rates'!$A$1:$A$3880,0),MATCH("Uni/Day Rate",'Flat Rates'!$A$1:$M$1,0)))*100)+H37,""))</f>
        <v/>
      </c>
      <c r="AS37" s="148" t="str">
        <f>IF($AN37=FALSE,"",IFERROR(IF(INDEX('Flat Rates'!$A$1:$M$3880,MATCH($AM37,'Flat Rates'!$A$1:$A$3880,0),MATCH("Night Unit Rate",'Flat Rates'!$A$1:$M$1,0))=0,"",((INDEX('Flat Rates'!$A$1:$M$3880,MATCH($AM37,'Flat Rates'!$A$1:$A$3880,0),MATCH("Night Unit Rate",'Flat Rates'!$A$1:$M$1,0)))*100)+H37),""))</f>
        <v/>
      </c>
      <c r="AT37" s="148" t="str">
        <f>IF($AN37=FALSE,"",IFERROR(IF(INDEX('Flat Rates'!$A$1:$M$3880,MATCH($AM37,'Flat Rates'!$A$1:$A$3880,0),MATCH("Evening and Weekend Rate",'Flat Rates'!$A$1:$M$1,0))=0,"",((INDEX('Flat Rates'!$A$1:$M$3880,MATCH($AM37,'Flat Rates'!$A$1:$A$3880,0),MATCH("Evening and Weekend Rate",'Flat Rates'!$A$1:$M$1,0)))*100)+H37),""))</f>
        <v/>
      </c>
      <c r="AU37" s="152" t="str">
        <f t="shared" si="21"/>
        <v/>
      </c>
      <c r="AV37" s="152" t="str">
        <f t="shared" si="22"/>
        <v/>
      </c>
      <c r="AW37" s="152" t="str">
        <f t="shared" si="23"/>
        <v/>
      </c>
    </row>
    <row r="38" spans="2:49" ht="15" thickBot="1" x14ac:dyDescent="0.35">
      <c r="B38" s="138" t="str">
        <f t="shared" si="0"/>
        <v/>
      </c>
      <c r="C38" s="137"/>
      <c r="D38" s="139"/>
      <c r="E38" s="140"/>
      <c r="F38" s="140"/>
      <c r="G38" s="139"/>
      <c r="H38" s="151"/>
      <c r="I38" s="139"/>
      <c r="J38" s="137"/>
      <c r="K38" s="139"/>
      <c r="L38" s="141"/>
      <c r="M38" s="133" t="str">
        <f t="shared" si="1"/>
        <v/>
      </c>
      <c r="N38" s="133" t="str">
        <f t="shared" si="2"/>
        <v/>
      </c>
      <c r="O38" s="133" t="str">
        <f t="shared" si="3"/>
        <v/>
      </c>
      <c r="P38" s="133" t="str">
        <f t="shared" si="4"/>
        <v/>
      </c>
      <c r="Q38" s="133" t="str">
        <f t="shared" si="5"/>
        <v/>
      </c>
      <c r="R38" s="133" t="str">
        <f t="shared" si="6"/>
        <v/>
      </c>
      <c r="S38" s="133" t="str">
        <f t="shared" si="7"/>
        <v/>
      </c>
      <c r="T38" s="133" t="str">
        <f>IFERROR(IF($U38="ERROR","ERROR",IF($N38="00",IF(J38="1-Rate","HH 1RATE",IF(J38="2-Rate","HH 2RATE","")),IFERROR(VLOOKUP(CONCATENATE(N38,Q38,O38,P38),Lookups!$A$2:$E$4557,5,0),VLOOKUP(CONCATENATE(N38,Q38,O38),Lookups!$A$2:$E$4557,5,0)))),"ERROR")</f>
        <v>ERROR</v>
      </c>
      <c r="U38" s="133" t="str">
        <f>IFERROR(IF(NOT($N38="00"),"",VLOOKUP(CONCATENATE(Q38,P38,LOOKUP(2,1/(Lookups!$I$2:$I$11&lt;=E38)/(Lookups!$J$2:$J$11&gt;=Tool!$C$14),Lookups!$K$2:$K$11)),'HH LLFs'!$A$2:$K$500,3,0)),"ERROR")</f>
        <v/>
      </c>
      <c r="V38" s="132">
        <f>Calcs!$I$2</f>
        <v>44377</v>
      </c>
      <c r="W38" s="132">
        <f>Calcs!$I$4</f>
        <v>44592</v>
      </c>
      <c r="X38" s="153" t="str">
        <f>IF(NOT(N38="00"),"",(VLOOKUP(CONCATENATE(Q38,P38,LOOKUP(2,1/(Lookups!$I$2:$I$11&lt;=Multisite!E38)/(Lookups!$J$2:$J$11&gt;=E38),Lookups!$K$2:$K$11)),'HH LLFs'!$A$2:$F$282,6,0)*365)/12)</f>
        <v/>
      </c>
      <c r="Y38" s="153">
        <f t="shared" si="8"/>
        <v>0</v>
      </c>
      <c r="Z38" s="153" t="str">
        <f t="shared" si="17"/>
        <v/>
      </c>
      <c r="AA38" s="153" t="str">
        <f t="shared" si="9"/>
        <v/>
      </c>
      <c r="AB38" s="153" t="str">
        <f t="shared" si="18"/>
        <v/>
      </c>
      <c r="AC38" s="153" t="str">
        <f t="shared" si="10"/>
        <v/>
      </c>
      <c r="AD38" s="153" t="str">
        <f t="shared" si="11"/>
        <v/>
      </c>
      <c r="AE38" s="153" t="str">
        <f t="shared" si="12"/>
        <v/>
      </c>
      <c r="AF38" s="155" t="e">
        <f>LOOKUP(2,1/(Lookups!$I$2:$I$11&lt;=E38)/(Lookups!$J$2:$J$11&gt;=E38),Lookups!$L$2:$L$11)</f>
        <v>#N/A</v>
      </c>
      <c r="AG38" s="142" t="str">
        <f t="shared" si="13"/>
        <v/>
      </c>
      <c r="AH38" s="142" t="str">
        <f t="shared" si="14"/>
        <v/>
      </c>
      <c r="AI38" s="143" t="b">
        <f t="shared" si="19"/>
        <v>0</v>
      </c>
      <c r="AJ38" s="143" t="str">
        <f t="shared" si="15"/>
        <v>Level 1</v>
      </c>
      <c r="AK38" s="142">
        <f t="shared" si="16"/>
        <v>0</v>
      </c>
      <c r="AL38" s="157" t="str">
        <f t="shared" si="24"/>
        <v/>
      </c>
      <c r="AM38" s="144" t="str">
        <f t="shared" si="25"/>
        <v>--FALSE-0</v>
      </c>
      <c r="AN38" s="158" t="str">
        <f t="shared" si="20"/>
        <v/>
      </c>
      <c r="AO38" s="145"/>
      <c r="AP38" s="159" t="str">
        <f>IF($AN38=FALSE,"",IFERROR(INDEX('Flat Rates'!$A$1:$M$3880,MATCH($AM38,'Flat Rates'!$A$1:$A$3880,0),MATCH("Standing Charge",'Flat Rates'!$A$1:$M$1,0))*100,""))</f>
        <v/>
      </c>
      <c r="AQ38" s="148" t="str">
        <f>IF($AN38=FALSE,"",IFERROR((IF(NOT(T38="Unrestricted"),"",INDEX('Flat Rates'!$A$1:$M$3880,MATCH($AM38,'Flat Rates'!$A$1:$A$3880,0),MATCH("Uni/Day Rate",'Flat Rates'!$A$1:$M$1,0)))*100)+H38,""))</f>
        <v/>
      </c>
      <c r="AR38" s="148" t="str">
        <f>IF($AN38=FALSE,"",IFERROR((IF(T38="Unrestricted","",INDEX('Flat Rates'!$A$1:$M$3880,MATCH($AM38,'Flat Rates'!$A$1:$A$3880,0),MATCH("Uni/Day Rate",'Flat Rates'!$A$1:$M$1,0)))*100)+H38,""))</f>
        <v/>
      </c>
      <c r="AS38" s="148" t="str">
        <f>IF($AN38=FALSE,"",IFERROR(IF(INDEX('Flat Rates'!$A$1:$M$3880,MATCH($AM38,'Flat Rates'!$A$1:$A$3880,0),MATCH("Night Unit Rate",'Flat Rates'!$A$1:$M$1,0))=0,"",((INDEX('Flat Rates'!$A$1:$M$3880,MATCH($AM38,'Flat Rates'!$A$1:$A$3880,0),MATCH("Night Unit Rate",'Flat Rates'!$A$1:$M$1,0)))*100)+H38),""))</f>
        <v/>
      </c>
      <c r="AT38" s="148" t="str">
        <f>IF($AN38=FALSE,"",IFERROR(IF(INDEX('Flat Rates'!$A$1:$M$3880,MATCH($AM38,'Flat Rates'!$A$1:$A$3880,0),MATCH("Evening and Weekend Rate",'Flat Rates'!$A$1:$M$1,0))=0,"",((INDEX('Flat Rates'!$A$1:$M$3880,MATCH($AM38,'Flat Rates'!$A$1:$A$3880,0),MATCH("Evening and Weekend Rate",'Flat Rates'!$A$1:$M$1,0)))*100)+H38),""))</f>
        <v/>
      </c>
      <c r="AU38" s="152" t="str">
        <f t="shared" si="21"/>
        <v/>
      </c>
      <c r="AV38" s="152" t="str">
        <f t="shared" si="22"/>
        <v/>
      </c>
      <c r="AW38" s="152" t="str">
        <f t="shared" si="23"/>
        <v/>
      </c>
    </row>
    <row r="39" spans="2:49" ht="15" thickBot="1" x14ac:dyDescent="0.35">
      <c r="B39" s="138" t="str">
        <f t="shared" si="0"/>
        <v/>
      </c>
      <c r="C39" s="137"/>
      <c r="D39" s="139"/>
      <c r="E39" s="140"/>
      <c r="F39" s="140"/>
      <c r="G39" s="139"/>
      <c r="H39" s="151"/>
      <c r="I39" s="139"/>
      <c r="J39" s="138"/>
      <c r="K39" s="139"/>
      <c r="L39" s="141"/>
      <c r="M39" s="133" t="str">
        <f t="shared" si="1"/>
        <v/>
      </c>
      <c r="N39" s="133" t="str">
        <f t="shared" si="2"/>
        <v/>
      </c>
      <c r="O39" s="133" t="str">
        <f t="shared" si="3"/>
        <v/>
      </c>
      <c r="P39" s="133" t="str">
        <f t="shared" si="4"/>
        <v/>
      </c>
      <c r="Q39" s="133" t="str">
        <f t="shared" si="5"/>
        <v/>
      </c>
      <c r="R39" s="133" t="str">
        <f t="shared" si="6"/>
        <v/>
      </c>
      <c r="S39" s="133" t="str">
        <f t="shared" si="7"/>
        <v/>
      </c>
      <c r="T39" s="133" t="str">
        <f>IFERROR(IF($U39="ERROR","ERROR",IF($N39="00",IF(J39="1-Rate","HH 1RATE",IF(J39="2-Rate","HH 2RATE","")),IFERROR(VLOOKUP(CONCATENATE(N39,Q39,O39,P39),Lookups!$A$2:$E$4557,5,0),VLOOKUP(CONCATENATE(N39,Q39,O39),Lookups!$A$2:$E$4557,5,0)))),"ERROR")</f>
        <v>ERROR</v>
      </c>
      <c r="U39" s="133" t="str">
        <f>IFERROR(IF(NOT($N39="00"),"",VLOOKUP(CONCATENATE(Q39,P39,LOOKUP(2,1/(Lookups!$I$2:$I$11&lt;=E39)/(Lookups!$J$2:$J$11&gt;=Tool!$C$14),Lookups!$K$2:$K$11)),'HH LLFs'!$A$2:$K$500,3,0)),"ERROR")</f>
        <v/>
      </c>
      <c r="V39" s="132">
        <f>Calcs!$I$2</f>
        <v>44377</v>
      </c>
      <c r="W39" s="132">
        <f>Calcs!$I$4</f>
        <v>44592</v>
      </c>
      <c r="X39" s="153" t="str">
        <f>IF(NOT(N39="00"),"",(VLOOKUP(CONCATENATE(Q39,P39,LOOKUP(2,1/(Lookups!$I$2:$I$11&lt;=Multisite!E39)/(Lookups!$J$2:$J$11&gt;=E39),Lookups!$K$2:$K$11)),'HH LLFs'!$A$2:$F$282,6,0)*365)/12)</f>
        <v/>
      </c>
      <c r="Y39" s="153">
        <f t="shared" si="8"/>
        <v>0</v>
      </c>
      <c r="Z39" s="153" t="str">
        <f t="shared" si="17"/>
        <v/>
      </c>
      <c r="AA39" s="153" t="str">
        <f t="shared" si="9"/>
        <v/>
      </c>
      <c r="AB39" s="153" t="str">
        <f t="shared" si="18"/>
        <v/>
      </c>
      <c r="AC39" s="153" t="str">
        <f t="shared" si="10"/>
        <v/>
      </c>
      <c r="AD39" s="153" t="str">
        <f t="shared" si="11"/>
        <v/>
      </c>
      <c r="AE39" s="153" t="str">
        <f t="shared" si="12"/>
        <v/>
      </c>
      <c r="AF39" s="155" t="e">
        <f>LOOKUP(2,1/(Lookups!$I$2:$I$11&lt;=E39)/(Lookups!$J$2:$J$11&gt;=E39),Lookups!$L$2:$L$11)</f>
        <v>#N/A</v>
      </c>
      <c r="AG39" s="142" t="str">
        <f t="shared" si="13"/>
        <v/>
      </c>
      <c r="AH39" s="142" t="str">
        <f t="shared" si="14"/>
        <v/>
      </c>
      <c r="AI39" s="143" t="b">
        <f t="shared" si="19"/>
        <v>0</v>
      </c>
      <c r="AJ39" s="143" t="str">
        <f t="shared" si="15"/>
        <v>Level 1</v>
      </c>
      <c r="AK39" s="142">
        <f t="shared" si="16"/>
        <v>0</v>
      </c>
      <c r="AL39" s="157" t="str">
        <f t="shared" si="24"/>
        <v/>
      </c>
      <c r="AM39" s="144" t="str">
        <f t="shared" si="25"/>
        <v>--FALSE-0</v>
      </c>
      <c r="AN39" s="158" t="str">
        <f t="shared" si="20"/>
        <v/>
      </c>
      <c r="AO39" s="145"/>
      <c r="AP39" s="159" t="str">
        <f>IF($AN39=FALSE,"",IFERROR(INDEX('Flat Rates'!$A$1:$M$3880,MATCH($AM39,'Flat Rates'!$A$1:$A$3880,0),MATCH("Standing Charge",'Flat Rates'!$A$1:$M$1,0))*100,""))</f>
        <v/>
      </c>
      <c r="AQ39" s="148" t="str">
        <f>IF($AN39=FALSE,"",IFERROR((IF(NOT(T39="Unrestricted"),"",INDEX('Flat Rates'!$A$1:$M$3880,MATCH($AM39,'Flat Rates'!$A$1:$A$3880,0),MATCH("Uni/Day Rate",'Flat Rates'!$A$1:$M$1,0)))*100)+H39,""))</f>
        <v/>
      </c>
      <c r="AR39" s="148" t="str">
        <f>IF($AN39=FALSE,"",IFERROR((IF(T39="Unrestricted","",INDEX('Flat Rates'!$A$1:$M$3880,MATCH($AM39,'Flat Rates'!$A$1:$A$3880,0),MATCH("Uni/Day Rate",'Flat Rates'!$A$1:$M$1,0)))*100)+H39,""))</f>
        <v/>
      </c>
      <c r="AS39" s="148" t="str">
        <f>IF($AN39=FALSE,"",IFERROR(IF(INDEX('Flat Rates'!$A$1:$M$3880,MATCH($AM39,'Flat Rates'!$A$1:$A$3880,0),MATCH("Night Unit Rate",'Flat Rates'!$A$1:$M$1,0))=0,"",((INDEX('Flat Rates'!$A$1:$M$3880,MATCH($AM39,'Flat Rates'!$A$1:$A$3880,0),MATCH("Night Unit Rate",'Flat Rates'!$A$1:$M$1,0)))*100)+H39),""))</f>
        <v/>
      </c>
      <c r="AT39" s="148" t="str">
        <f>IF($AN39=FALSE,"",IFERROR(IF(INDEX('Flat Rates'!$A$1:$M$3880,MATCH($AM39,'Flat Rates'!$A$1:$A$3880,0),MATCH("Evening and Weekend Rate",'Flat Rates'!$A$1:$M$1,0))=0,"",((INDEX('Flat Rates'!$A$1:$M$3880,MATCH($AM39,'Flat Rates'!$A$1:$A$3880,0),MATCH("Evening and Weekend Rate",'Flat Rates'!$A$1:$M$1,0)))*100)+H39),""))</f>
        <v/>
      </c>
      <c r="AU39" s="152" t="str">
        <f t="shared" si="21"/>
        <v/>
      </c>
      <c r="AV39" s="152" t="str">
        <f t="shared" si="22"/>
        <v/>
      </c>
      <c r="AW39" s="152" t="str">
        <f t="shared" si="23"/>
        <v/>
      </c>
    </row>
    <row r="40" spans="2:49" ht="15" thickBot="1" x14ac:dyDescent="0.35">
      <c r="B40" s="138" t="str">
        <f t="shared" si="0"/>
        <v/>
      </c>
      <c r="C40" s="137"/>
      <c r="D40" s="139"/>
      <c r="E40" s="140"/>
      <c r="F40" s="140"/>
      <c r="G40" s="139"/>
      <c r="H40" s="151"/>
      <c r="I40" s="139"/>
      <c r="J40" s="137"/>
      <c r="K40" s="139"/>
      <c r="L40" s="141"/>
      <c r="M40" s="133" t="str">
        <f t="shared" si="1"/>
        <v/>
      </c>
      <c r="N40" s="133" t="str">
        <f t="shared" si="2"/>
        <v/>
      </c>
      <c r="O40" s="133" t="str">
        <f t="shared" si="3"/>
        <v/>
      </c>
      <c r="P40" s="133" t="str">
        <f t="shared" si="4"/>
        <v/>
      </c>
      <c r="Q40" s="133" t="str">
        <f t="shared" si="5"/>
        <v/>
      </c>
      <c r="R40" s="133" t="str">
        <f t="shared" si="6"/>
        <v/>
      </c>
      <c r="S40" s="133" t="str">
        <f t="shared" si="7"/>
        <v/>
      </c>
      <c r="T40" s="133" t="str">
        <f>IFERROR(IF($U40="ERROR","ERROR",IF($N40="00",IF(J40="1-Rate","HH 1RATE",IF(J40="2-Rate","HH 2RATE","")),IFERROR(VLOOKUP(CONCATENATE(N40,Q40,O40,P40),Lookups!$A$2:$E$4557,5,0),VLOOKUP(CONCATENATE(N40,Q40,O40),Lookups!$A$2:$E$4557,5,0)))),"ERROR")</f>
        <v>ERROR</v>
      </c>
      <c r="U40" s="133" t="str">
        <f>IFERROR(IF(NOT($N40="00"),"",VLOOKUP(CONCATENATE(Q40,P40,LOOKUP(2,1/(Lookups!$I$2:$I$11&lt;=E40)/(Lookups!$J$2:$J$11&gt;=Tool!$C$14),Lookups!$K$2:$K$11)),'HH LLFs'!$A$2:$K$500,3,0)),"ERROR")</f>
        <v/>
      </c>
      <c r="V40" s="132">
        <f>Calcs!$I$2</f>
        <v>44377</v>
      </c>
      <c r="W40" s="132">
        <f>Calcs!$I$4</f>
        <v>44592</v>
      </c>
      <c r="X40" s="153" t="str">
        <f>IF(NOT(N40="00"),"",(VLOOKUP(CONCATENATE(Q40,P40,LOOKUP(2,1/(Lookups!$I$2:$I$11&lt;=Multisite!E40)/(Lookups!$J$2:$J$11&gt;=E40),Lookups!$K$2:$K$11)),'HH LLFs'!$A$2:$F$282,6,0)*365)/12)</f>
        <v/>
      </c>
      <c r="Y40" s="153">
        <f t="shared" si="8"/>
        <v>0</v>
      </c>
      <c r="Z40" s="153" t="str">
        <f t="shared" si="17"/>
        <v/>
      </c>
      <c r="AA40" s="153" t="str">
        <f t="shared" si="9"/>
        <v/>
      </c>
      <c r="AB40" s="153" t="str">
        <f t="shared" si="18"/>
        <v/>
      </c>
      <c r="AC40" s="153" t="str">
        <f t="shared" si="10"/>
        <v/>
      </c>
      <c r="AD40" s="153" t="str">
        <f t="shared" si="11"/>
        <v/>
      </c>
      <c r="AE40" s="153" t="str">
        <f t="shared" si="12"/>
        <v/>
      </c>
      <c r="AF40" s="155" t="e">
        <f>LOOKUP(2,1/(Lookups!$I$2:$I$11&lt;=E40)/(Lookups!$J$2:$J$11&gt;=E40),Lookups!$L$2:$L$11)</f>
        <v>#N/A</v>
      </c>
      <c r="AG40" s="142" t="str">
        <f t="shared" si="13"/>
        <v/>
      </c>
      <c r="AH40" s="142" t="str">
        <f t="shared" si="14"/>
        <v/>
      </c>
      <c r="AI40" s="143" t="b">
        <f t="shared" si="19"/>
        <v>0</v>
      </c>
      <c r="AJ40" s="143" t="str">
        <f t="shared" si="15"/>
        <v>Level 1</v>
      </c>
      <c r="AK40" s="142">
        <f t="shared" si="16"/>
        <v>0</v>
      </c>
      <c r="AL40" s="157" t="str">
        <f t="shared" si="24"/>
        <v/>
      </c>
      <c r="AM40" s="144" t="str">
        <f t="shared" si="25"/>
        <v>--FALSE-0</v>
      </c>
      <c r="AN40" s="158" t="str">
        <f t="shared" si="20"/>
        <v/>
      </c>
      <c r="AO40" s="145"/>
      <c r="AP40" s="159" t="str">
        <f>IF($AN40=FALSE,"",IFERROR(INDEX('Flat Rates'!$A$1:$M$3880,MATCH($AM40,'Flat Rates'!$A$1:$A$3880,0),MATCH("Standing Charge",'Flat Rates'!$A$1:$M$1,0))*100,""))</f>
        <v/>
      </c>
      <c r="AQ40" s="148" t="str">
        <f>IF($AN40=FALSE,"",IFERROR((IF(NOT(T40="Unrestricted"),"",INDEX('Flat Rates'!$A$1:$M$3880,MATCH($AM40,'Flat Rates'!$A$1:$A$3880,0),MATCH("Uni/Day Rate",'Flat Rates'!$A$1:$M$1,0)))*100)+H40,""))</f>
        <v/>
      </c>
      <c r="AR40" s="148" t="str">
        <f>IF($AN40=FALSE,"",IFERROR((IF(T40="Unrestricted","",INDEX('Flat Rates'!$A$1:$M$3880,MATCH($AM40,'Flat Rates'!$A$1:$A$3880,0),MATCH("Uni/Day Rate",'Flat Rates'!$A$1:$M$1,0)))*100)+H40,""))</f>
        <v/>
      </c>
      <c r="AS40" s="148" t="str">
        <f>IF($AN40=FALSE,"",IFERROR(IF(INDEX('Flat Rates'!$A$1:$M$3880,MATCH($AM40,'Flat Rates'!$A$1:$A$3880,0),MATCH("Night Unit Rate",'Flat Rates'!$A$1:$M$1,0))=0,"",((INDEX('Flat Rates'!$A$1:$M$3880,MATCH($AM40,'Flat Rates'!$A$1:$A$3880,0),MATCH("Night Unit Rate",'Flat Rates'!$A$1:$M$1,0)))*100)+H40),""))</f>
        <v/>
      </c>
      <c r="AT40" s="148" t="str">
        <f>IF($AN40=FALSE,"",IFERROR(IF(INDEX('Flat Rates'!$A$1:$M$3880,MATCH($AM40,'Flat Rates'!$A$1:$A$3880,0),MATCH("Evening and Weekend Rate",'Flat Rates'!$A$1:$M$1,0))=0,"",((INDEX('Flat Rates'!$A$1:$M$3880,MATCH($AM40,'Flat Rates'!$A$1:$A$3880,0),MATCH("Evening and Weekend Rate",'Flat Rates'!$A$1:$M$1,0)))*100)+H40),""))</f>
        <v/>
      </c>
      <c r="AU40" s="152" t="str">
        <f t="shared" si="21"/>
        <v/>
      </c>
      <c r="AV40" s="152" t="str">
        <f t="shared" si="22"/>
        <v/>
      </c>
      <c r="AW40" s="152" t="str">
        <f t="shared" si="23"/>
        <v/>
      </c>
    </row>
    <row r="41" spans="2:49" ht="15" thickBot="1" x14ac:dyDescent="0.35">
      <c r="B41" s="138" t="str">
        <f t="shared" si="0"/>
        <v/>
      </c>
      <c r="C41" s="137"/>
      <c r="D41" s="139"/>
      <c r="E41" s="140"/>
      <c r="F41" s="140"/>
      <c r="G41" s="139"/>
      <c r="H41" s="151"/>
      <c r="I41" s="139"/>
      <c r="J41" s="138"/>
      <c r="K41" s="139"/>
      <c r="L41" s="141"/>
      <c r="M41" s="133" t="str">
        <f t="shared" si="1"/>
        <v/>
      </c>
      <c r="N41" s="133" t="str">
        <f t="shared" si="2"/>
        <v/>
      </c>
      <c r="O41" s="133" t="str">
        <f t="shared" si="3"/>
        <v/>
      </c>
      <c r="P41" s="133" t="str">
        <f t="shared" si="4"/>
        <v/>
      </c>
      <c r="Q41" s="133" t="str">
        <f t="shared" si="5"/>
        <v/>
      </c>
      <c r="R41" s="133" t="str">
        <f t="shared" si="6"/>
        <v/>
      </c>
      <c r="S41" s="133" t="str">
        <f t="shared" si="7"/>
        <v/>
      </c>
      <c r="T41" s="133" t="str">
        <f>IFERROR(IF($U41="ERROR","ERROR",IF($N41="00",IF(J41="1-Rate","HH 1RATE",IF(J41="2-Rate","HH 2RATE","")),IFERROR(VLOOKUP(CONCATENATE(N41,Q41,O41,P41),Lookups!$A$2:$E$4557,5,0),VLOOKUP(CONCATENATE(N41,Q41,O41),Lookups!$A$2:$E$4557,5,0)))),"ERROR")</f>
        <v>ERROR</v>
      </c>
      <c r="U41" s="133" t="str">
        <f>IFERROR(IF(NOT($N41="00"),"",VLOOKUP(CONCATENATE(Q41,P41,LOOKUP(2,1/(Lookups!$I$2:$I$11&lt;=E41)/(Lookups!$J$2:$J$11&gt;=Tool!$C$14),Lookups!$K$2:$K$11)),'HH LLFs'!$A$2:$K$500,3,0)),"ERROR")</f>
        <v/>
      </c>
      <c r="V41" s="132">
        <f>Calcs!$I$2</f>
        <v>44377</v>
      </c>
      <c r="W41" s="132">
        <f>Calcs!$I$4</f>
        <v>44592</v>
      </c>
      <c r="X41" s="153" t="str">
        <f>IF(NOT(N41="00"),"",(VLOOKUP(CONCATENATE(Q41,P41,LOOKUP(2,1/(Lookups!$I$2:$I$11&lt;=Multisite!E41)/(Lookups!$J$2:$J$11&gt;=E41),Lookups!$K$2:$K$11)),'HH LLFs'!$A$2:$F$282,6,0)*365)/12)</f>
        <v/>
      </c>
      <c r="Y41" s="153">
        <f t="shared" si="8"/>
        <v>0</v>
      </c>
      <c r="Z41" s="153" t="str">
        <f t="shared" si="17"/>
        <v/>
      </c>
      <c r="AA41" s="153" t="str">
        <f t="shared" si="9"/>
        <v/>
      </c>
      <c r="AB41" s="153" t="str">
        <f t="shared" si="18"/>
        <v/>
      </c>
      <c r="AC41" s="153" t="str">
        <f t="shared" si="10"/>
        <v/>
      </c>
      <c r="AD41" s="153" t="str">
        <f t="shared" si="11"/>
        <v/>
      </c>
      <c r="AE41" s="153" t="str">
        <f t="shared" si="12"/>
        <v/>
      </c>
      <c r="AF41" s="155" t="e">
        <f>LOOKUP(2,1/(Lookups!$I$2:$I$11&lt;=E41)/(Lookups!$J$2:$J$11&gt;=E41),Lookups!$L$2:$L$11)</f>
        <v>#N/A</v>
      </c>
      <c r="AG41" s="142" t="str">
        <f t="shared" si="13"/>
        <v/>
      </c>
      <c r="AH41" s="142" t="str">
        <f t="shared" si="14"/>
        <v/>
      </c>
      <c r="AI41" s="143" t="b">
        <f t="shared" si="19"/>
        <v>0</v>
      </c>
      <c r="AJ41" s="143" t="str">
        <f t="shared" si="15"/>
        <v>Level 1</v>
      </c>
      <c r="AK41" s="142">
        <f t="shared" si="16"/>
        <v>0</v>
      </c>
      <c r="AL41" s="157" t="str">
        <f t="shared" si="24"/>
        <v/>
      </c>
      <c r="AM41" s="144" t="str">
        <f t="shared" si="25"/>
        <v>--FALSE-0</v>
      </c>
      <c r="AN41" s="158" t="str">
        <f t="shared" si="20"/>
        <v/>
      </c>
      <c r="AO41" s="145"/>
      <c r="AP41" s="159" t="str">
        <f>IF($AN41=FALSE,"",IFERROR(INDEX('Flat Rates'!$A$1:$M$3880,MATCH($AM41,'Flat Rates'!$A$1:$A$3880,0),MATCH("Standing Charge",'Flat Rates'!$A$1:$M$1,0))*100,""))</f>
        <v/>
      </c>
      <c r="AQ41" s="148" t="str">
        <f>IF($AN41=FALSE,"",IFERROR((IF(NOT(T41="Unrestricted"),"",INDEX('Flat Rates'!$A$1:$M$3880,MATCH($AM41,'Flat Rates'!$A$1:$A$3880,0),MATCH("Uni/Day Rate",'Flat Rates'!$A$1:$M$1,0)))*100)+H41,""))</f>
        <v/>
      </c>
      <c r="AR41" s="148" t="str">
        <f>IF($AN41=FALSE,"",IFERROR((IF(T41="Unrestricted","",INDEX('Flat Rates'!$A$1:$M$3880,MATCH($AM41,'Flat Rates'!$A$1:$A$3880,0),MATCH("Uni/Day Rate",'Flat Rates'!$A$1:$M$1,0)))*100)+H41,""))</f>
        <v/>
      </c>
      <c r="AS41" s="148" t="str">
        <f>IF($AN41=FALSE,"",IFERROR(IF(INDEX('Flat Rates'!$A$1:$M$3880,MATCH($AM41,'Flat Rates'!$A$1:$A$3880,0),MATCH("Night Unit Rate",'Flat Rates'!$A$1:$M$1,0))=0,"",((INDEX('Flat Rates'!$A$1:$M$3880,MATCH($AM41,'Flat Rates'!$A$1:$A$3880,0),MATCH("Night Unit Rate",'Flat Rates'!$A$1:$M$1,0)))*100)+H41),""))</f>
        <v/>
      </c>
      <c r="AT41" s="148" t="str">
        <f>IF($AN41=FALSE,"",IFERROR(IF(INDEX('Flat Rates'!$A$1:$M$3880,MATCH($AM41,'Flat Rates'!$A$1:$A$3880,0),MATCH("Evening and Weekend Rate",'Flat Rates'!$A$1:$M$1,0))=0,"",((INDEX('Flat Rates'!$A$1:$M$3880,MATCH($AM41,'Flat Rates'!$A$1:$A$3880,0),MATCH("Evening and Weekend Rate",'Flat Rates'!$A$1:$M$1,0)))*100)+H41),""))</f>
        <v/>
      </c>
      <c r="AU41" s="152" t="str">
        <f t="shared" si="21"/>
        <v/>
      </c>
      <c r="AV41" s="152" t="str">
        <f t="shared" si="22"/>
        <v/>
      </c>
      <c r="AW41" s="152" t="str">
        <f t="shared" si="23"/>
        <v/>
      </c>
    </row>
    <row r="42" spans="2:49" ht="15" thickBot="1" x14ac:dyDescent="0.35">
      <c r="B42" s="138" t="str">
        <f t="shared" si="0"/>
        <v/>
      </c>
      <c r="C42" s="137"/>
      <c r="D42" s="139"/>
      <c r="E42" s="140"/>
      <c r="F42" s="140"/>
      <c r="G42" s="139"/>
      <c r="H42" s="151"/>
      <c r="I42" s="139"/>
      <c r="J42" s="137"/>
      <c r="K42" s="139"/>
      <c r="L42" s="141"/>
      <c r="M42" s="133" t="str">
        <f t="shared" si="1"/>
        <v/>
      </c>
      <c r="N42" s="133" t="str">
        <f t="shared" si="2"/>
        <v/>
      </c>
      <c r="O42" s="133" t="str">
        <f t="shared" si="3"/>
        <v/>
      </c>
      <c r="P42" s="133" t="str">
        <f t="shared" si="4"/>
        <v/>
      </c>
      <c r="Q42" s="133" t="str">
        <f t="shared" si="5"/>
        <v/>
      </c>
      <c r="R42" s="133" t="str">
        <f t="shared" si="6"/>
        <v/>
      </c>
      <c r="S42" s="133" t="str">
        <f t="shared" si="7"/>
        <v/>
      </c>
      <c r="T42" s="133" t="str">
        <f>IFERROR(IF($U42="ERROR","ERROR",IF($N42="00",IF(J42="1-Rate","HH 1RATE",IF(J42="2-Rate","HH 2RATE","")),IFERROR(VLOOKUP(CONCATENATE(N42,Q42,O42,P42),Lookups!$A$2:$E$4557,5,0),VLOOKUP(CONCATENATE(N42,Q42,O42),Lookups!$A$2:$E$4557,5,0)))),"ERROR")</f>
        <v>ERROR</v>
      </c>
      <c r="U42" s="133" t="str">
        <f>IFERROR(IF(NOT($N42="00"),"",VLOOKUP(CONCATENATE(Q42,P42,LOOKUP(2,1/(Lookups!$I$2:$I$11&lt;=E42)/(Lookups!$J$2:$J$11&gt;=Tool!$C$14),Lookups!$K$2:$K$11)),'HH LLFs'!$A$2:$K$500,3,0)),"ERROR")</f>
        <v/>
      </c>
      <c r="V42" s="132">
        <f>Calcs!$I$2</f>
        <v>44377</v>
      </c>
      <c r="W42" s="132">
        <f>Calcs!$I$4</f>
        <v>44592</v>
      </c>
      <c r="X42" s="153" t="str">
        <f>IF(NOT(N42="00"),"",(VLOOKUP(CONCATENATE(Q42,P42,LOOKUP(2,1/(Lookups!$I$2:$I$11&lt;=Multisite!E42)/(Lookups!$J$2:$J$11&gt;=E42),Lookups!$K$2:$K$11)),'HH LLFs'!$A$2:$F$282,6,0)*365)/12)</f>
        <v/>
      </c>
      <c r="Y42" s="153">
        <f t="shared" si="8"/>
        <v>0</v>
      </c>
      <c r="Z42" s="153" t="str">
        <f t="shared" si="17"/>
        <v/>
      </c>
      <c r="AA42" s="153" t="str">
        <f t="shared" si="9"/>
        <v/>
      </c>
      <c r="AB42" s="153" t="str">
        <f t="shared" si="18"/>
        <v/>
      </c>
      <c r="AC42" s="153" t="str">
        <f t="shared" si="10"/>
        <v/>
      </c>
      <c r="AD42" s="153" t="str">
        <f t="shared" si="11"/>
        <v/>
      </c>
      <c r="AE42" s="153" t="str">
        <f t="shared" si="12"/>
        <v/>
      </c>
      <c r="AF42" s="155" t="e">
        <f>LOOKUP(2,1/(Lookups!$I$2:$I$11&lt;=E42)/(Lookups!$J$2:$J$11&gt;=E42),Lookups!$L$2:$L$11)</f>
        <v>#N/A</v>
      </c>
      <c r="AG42" s="142" t="str">
        <f t="shared" si="13"/>
        <v/>
      </c>
      <c r="AH42" s="142" t="str">
        <f t="shared" si="14"/>
        <v/>
      </c>
      <c r="AI42" s="143" t="b">
        <f t="shared" si="19"/>
        <v>0</v>
      </c>
      <c r="AJ42" s="143" t="str">
        <f t="shared" si="15"/>
        <v>Level 1</v>
      </c>
      <c r="AK42" s="142">
        <f t="shared" si="16"/>
        <v>0</v>
      </c>
      <c r="AL42" s="157" t="str">
        <f t="shared" si="24"/>
        <v/>
      </c>
      <c r="AM42" s="144" t="str">
        <f t="shared" si="25"/>
        <v>--FALSE-0</v>
      </c>
      <c r="AN42" s="158" t="str">
        <f t="shared" si="20"/>
        <v/>
      </c>
      <c r="AO42" s="145"/>
      <c r="AP42" s="159" t="str">
        <f>IF($AN42=FALSE,"",IFERROR(INDEX('Flat Rates'!$A$1:$M$3880,MATCH($AM42,'Flat Rates'!$A$1:$A$3880,0),MATCH("Standing Charge",'Flat Rates'!$A$1:$M$1,0))*100,""))</f>
        <v/>
      </c>
      <c r="AQ42" s="148" t="str">
        <f>IF($AN42=FALSE,"",IFERROR((IF(NOT(T42="Unrestricted"),"",INDEX('Flat Rates'!$A$1:$M$3880,MATCH($AM42,'Flat Rates'!$A$1:$A$3880,0),MATCH("Uni/Day Rate",'Flat Rates'!$A$1:$M$1,0)))*100)+H42,""))</f>
        <v/>
      </c>
      <c r="AR42" s="148" t="str">
        <f>IF($AN42=FALSE,"",IFERROR((IF(T42="Unrestricted","",INDEX('Flat Rates'!$A$1:$M$3880,MATCH($AM42,'Flat Rates'!$A$1:$A$3880,0),MATCH("Uni/Day Rate",'Flat Rates'!$A$1:$M$1,0)))*100)+H42,""))</f>
        <v/>
      </c>
      <c r="AS42" s="148" t="str">
        <f>IF($AN42=FALSE,"",IFERROR(IF(INDEX('Flat Rates'!$A$1:$M$3880,MATCH($AM42,'Flat Rates'!$A$1:$A$3880,0),MATCH("Night Unit Rate",'Flat Rates'!$A$1:$M$1,0))=0,"",((INDEX('Flat Rates'!$A$1:$M$3880,MATCH($AM42,'Flat Rates'!$A$1:$A$3880,0),MATCH("Night Unit Rate",'Flat Rates'!$A$1:$M$1,0)))*100)+H42),""))</f>
        <v/>
      </c>
      <c r="AT42" s="148" t="str">
        <f>IF($AN42=FALSE,"",IFERROR(IF(INDEX('Flat Rates'!$A$1:$M$3880,MATCH($AM42,'Flat Rates'!$A$1:$A$3880,0),MATCH("Evening and Weekend Rate",'Flat Rates'!$A$1:$M$1,0))=0,"",((INDEX('Flat Rates'!$A$1:$M$3880,MATCH($AM42,'Flat Rates'!$A$1:$A$3880,0),MATCH("Evening and Weekend Rate",'Flat Rates'!$A$1:$M$1,0)))*100)+H42),""))</f>
        <v/>
      </c>
      <c r="AU42" s="152" t="str">
        <f t="shared" si="21"/>
        <v/>
      </c>
      <c r="AV42" s="152" t="str">
        <f t="shared" si="22"/>
        <v/>
      </c>
      <c r="AW42" s="152" t="str">
        <f t="shared" si="23"/>
        <v/>
      </c>
    </row>
    <row r="43" spans="2:49" ht="15" thickBot="1" x14ac:dyDescent="0.35">
      <c r="B43" s="138" t="str">
        <f t="shared" si="0"/>
        <v/>
      </c>
      <c r="C43" s="137"/>
      <c r="D43" s="139"/>
      <c r="E43" s="140"/>
      <c r="F43" s="140"/>
      <c r="G43" s="139"/>
      <c r="H43" s="151"/>
      <c r="I43" s="139"/>
      <c r="J43" s="138"/>
      <c r="K43" s="139"/>
      <c r="L43" s="141"/>
      <c r="M43" s="133" t="str">
        <f t="shared" si="1"/>
        <v/>
      </c>
      <c r="N43" s="133" t="str">
        <f t="shared" si="2"/>
        <v/>
      </c>
      <c r="O43" s="133" t="str">
        <f t="shared" si="3"/>
        <v/>
      </c>
      <c r="P43" s="133" t="str">
        <f t="shared" si="4"/>
        <v/>
      </c>
      <c r="Q43" s="133" t="str">
        <f t="shared" si="5"/>
        <v/>
      </c>
      <c r="R43" s="133" t="str">
        <f t="shared" si="6"/>
        <v/>
      </c>
      <c r="S43" s="133" t="str">
        <f t="shared" si="7"/>
        <v/>
      </c>
      <c r="T43" s="133" t="str">
        <f>IFERROR(IF($U43="ERROR","ERROR",IF($N43="00",IF(J43="1-Rate","HH 1RATE",IF(J43="2-Rate","HH 2RATE","")),IFERROR(VLOOKUP(CONCATENATE(N43,Q43,O43,P43),Lookups!$A$2:$E$4557,5,0),VLOOKUP(CONCATENATE(N43,Q43,O43),Lookups!$A$2:$E$4557,5,0)))),"ERROR")</f>
        <v>ERROR</v>
      </c>
      <c r="U43" s="133" t="str">
        <f>IFERROR(IF(NOT($N43="00"),"",VLOOKUP(CONCATENATE(Q43,P43,LOOKUP(2,1/(Lookups!$I$2:$I$11&lt;=E43)/(Lookups!$J$2:$J$11&gt;=Tool!$C$14),Lookups!$K$2:$K$11)),'HH LLFs'!$A$2:$K$500,3,0)),"ERROR")</f>
        <v/>
      </c>
      <c r="V43" s="132">
        <f>Calcs!$I$2</f>
        <v>44377</v>
      </c>
      <c r="W43" s="132">
        <f>Calcs!$I$4</f>
        <v>44592</v>
      </c>
      <c r="X43" s="153" t="str">
        <f>IF(NOT(N43="00"),"",(VLOOKUP(CONCATENATE(Q43,P43,LOOKUP(2,1/(Lookups!$I$2:$I$11&lt;=Multisite!E43)/(Lookups!$J$2:$J$11&gt;=E43),Lookups!$K$2:$K$11)),'HH LLFs'!$A$2:$F$282,6,0)*365)/12)</f>
        <v/>
      </c>
      <c r="Y43" s="153">
        <f t="shared" si="8"/>
        <v>0</v>
      </c>
      <c r="Z43" s="153" t="str">
        <f t="shared" si="17"/>
        <v/>
      </c>
      <c r="AA43" s="153" t="str">
        <f t="shared" si="9"/>
        <v/>
      </c>
      <c r="AB43" s="153" t="str">
        <f t="shared" si="18"/>
        <v/>
      </c>
      <c r="AC43" s="153" t="str">
        <f t="shared" si="10"/>
        <v/>
      </c>
      <c r="AD43" s="153" t="str">
        <f t="shared" si="11"/>
        <v/>
      </c>
      <c r="AE43" s="153" t="str">
        <f t="shared" si="12"/>
        <v/>
      </c>
      <c r="AF43" s="155" t="e">
        <f>LOOKUP(2,1/(Lookups!$I$2:$I$11&lt;=E43)/(Lookups!$J$2:$J$11&gt;=E43),Lookups!$L$2:$L$11)</f>
        <v>#N/A</v>
      </c>
      <c r="AG43" s="142" t="str">
        <f t="shared" si="13"/>
        <v/>
      </c>
      <c r="AH43" s="142" t="str">
        <f t="shared" si="14"/>
        <v/>
      </c>
      <c r="AI43" s="143" t="b">
        <f t="shared" si="19"/>
        <v>0</v>
      </c>
      <c r="AJ43" s="143" t="str">
        <f t="shared" si="15"/>
        <v>Level 1</v>
      </c>
      <c r="AK43" s="142">
        <f t="shared" si="16"/>
        <v>0</v>
      </c>
      <c r="AL43" s="157" t="str">
        <f t="shared" si="24"/>
        <v/>
      </c>
      <c r="AM43" s="144" t="str">
        <f t="shared" si="25"/>
        <v>--FALSE-0</v>
      </c>
      <c r="AN43" s="158" t="str">
        <f t="shared" si="20"/>
        <v/>
      </c>
      <c r="AO43" s="145"/>
      <c r="AP43" s="159" t="str">
        <f>IF($AN43=FALSE,"",IFERROR(INDEX('Flat Rates'!$A$1:$M$3880,MATCH($AM43,'Flat Rates'!$A$1:$A$3880,0),MATCH("Standing Charge",'Flat Rates'!$A$1:$M$1,0))*100,""))</f>
        <v/>
      </c>
      <c r="AQ43" s="148" t="str">
        <f>IF($AN43=FALSE,"",IFERROR((IF(NOT(T43="Unrestricted"),"",INDEX('Flat Rates'!$A$1:$M$3880,MATCH($AM43,'Flat Rates'!$A$1:$A$3880,0),MATCH("Uni/Day Rate",'Flat Rates'!$A$1:$M$1,0)))*100)+H43,""))</f>
        <v/>
      </c>
      <c r="AR43" s="148" t="str">
        <f>IF($AN43=FALSE,"",IFERROR((IF(T43="Unrestricted","",INDEX('Flat Rates'!$A$1:$M$3880,MATCH($AM43,'Flat Rates'!$A$1:$A$3880,0),MATCH("Uni/Day Rate",'Flat Rates'!$A$1:$M$1,0)))*100)+H43,""))</f>
        <v/>
      </c>
      <c r="AS43" s="148" t="str">
        <f>IF($AN43=FALSE,"",IFERROR(IF(INDEX('Flat Rates'!$A$1:$M$3880,MATCH($AM43,'Flat Rates'!$A$1:$A$3880,0),MATCH("Night Unit Rate",'Flat Rates'!$A$1:$M$1,0))=0,"",((INDEX('Flat Rates'!$A$1:$M$3880,MATCH($AM43,'Flat Rates'!$A$1:$A$3880,0),MATCH("Night Unit Rate",'Flat Rates'!$A$1:$M$1,0)))*100)+H43),""))</f>
        <v/>
      </c>
      <c r="AT43" s="148" t="str">
        <f>IF($AN43=FALSE,"",IFERROR(IF(INDEX('Flat Rates'!$A$1:$M$3880,MATCH($AM43,'Flat Rates'!$A$1:$A$3880,0),MATCH("Evening and Weekend Rate",'Flat Rates'!$A$1:$M$1,0))=0,"",((INDEX('Flat Rates'!$A$1:$M$3880,MATCH($AM43,'Flat Rates'!$A$1:$A$3880,0),MATCH("Evening and Weekend Rate",'Flat Rates'!$A$1:$M$1,0)))*100)+H43),""))</f>
        <v/>
      </c>
      <c r="AU43" s="152" t="str">
        <f t="shared" si="21"/>
        <v/>
      </c>
      <c r="AV43" s="152" t="str">
        <f t="shared" si="22"/>
        <v/>
      </c>
      <c r="AW43" s="152" t="str">
        <f t="shared" si="23"/>
        <v/>
      </c>
    </row>
    <row r="44" spans="2:49" ht="15" thickBot="1" x14ac:dyDescent="0.35">
      <c r="B44" s="138" t="str">
        <f t="shared" si="0"/>
        <v/>
      </c>
      <c r="C44" s="137"/>
      <c r="D44" s="139"/>
      <c r="E44" s="140"/>
      <c r="F44" s="140"/>
      <c r="G44" s="139"/>
      <c r="H44" s="151"/>
      <c r="I44" s="139"/>
      <c r="J44" s="137"/>
      <c r="K44" s="139"/>
      <c r="L44" s="141"/>
      <c r="M44" s="133" t="str">
        <f t="shared" si="1"/>
        <v/>
      </c>
      <c r="N44" s="133" t="str">
        <f t="shared" si="2"/>
        <v/>
      </c>
      <c r="O44" s="133" t="str">
        <f t="shared" si="3"/>
        <v/>
      </c>
      <c r="P44" s="133" t="str">
        <f t="shared" si="4"/>
        <v/>
      </c>
      <c r="Q44" s="133" t="str">
        <f t="shared" si="5"/>
        <v/>
      </c>
      <c r="R44" s="133" t="str">
        <f t="shared" si="6"/>
        <v/>
      </c>
      <c r="S44" s="133" t="str">
        <f t="shared" si="7"/>
        <v/>
      </c>
      <c r="T44" s="133" t="str">
        <f>IFERROR(IF($U44="ERROR","ERROR",IF($N44="00",IF(J44="1-Rate","HH 1RATE",IF(J44="2-Rate","HH 2RATE","")),IFERROR(VLOOKUP(CONCATENATE(N44,Q44,O44,P44),Lookups!$A$2:$E$4557,5,0),VLOOKUP(CONCATENATE(N44,Q44,O44),Lookups!$A$2:$E$4557,5,0)))),"ERROR")</f>
        <v>ERROR</v>
      </c>
      <c r="U44" s="133" t="str">
        <f>IFERROR(IF(NOT($N44="00"),"",VLOOKUP(CONCATENATE(Q44,P44,LOOKUP(2,1/(Lookups!$I$2:$I$11&lt;=E44)/(Lookups!$J$2:$J$11&gt;=Tool!$C$14),Lookups!$K$2:$K$11)),'HH LLFs'!$A$2:$K$500,3,0)),"ERROR")</f>
        <v/>
      </c>
      <c r="V44" s="132">
        <f>Calcs!$I$2</f>
        <v>44377</v>
      </c>
      <c r="W44" s="132">
        <f>Calcs!$I$4</f>
        <v>44592</v>
      </c>
      <c r="X44" s="153" t="str">
        <f>IF(NOT(N44="00"),"",(VLOOKUP(CONCATENATE(Q44,P44,LOOKUP(2,1/(Lookups!$I$2:$I$11&lt;=Multisite!E44)/(Lookups!$J$2:$J$11&gt;=E44),Lookups!$K$2:$K$11)),'HH LLFs'!$A$2:$F$282,6,0)*365)/12)</f>
        <v/>
      </c>
      <c r="Y44" s="153">
        <f t="shared" si="8"/>
        <v>0</v>
      </c>
      <c r="Z44" s="153" t="str">
        <f t="shared" si="17"/>
        <v/>
      </c>
      <c r="AA44" s="153" t="str">
        <f t="shared" si="9"/>
        <v/>
      </c>
      <c r="AB44" s="153" t="str">
        <f t="shared" si="18"/>
        <v/>
      </c>
      <c r="AC44" s="153" t="str">
        <f t="shared" si="10"/>
        <v/>
      </c>
      <c r="AD44" s="153" t="str">
        <f t="shared" si="11"/>
        <v/>
      </c>
      <c r="AE44" s="153" t="str">
        <f t="shared" si="12"/>
        <v/>
      </c>
      <c r="AF44" s="155" t="e">
        <f>LOOKUP(2,1/(Lookups!$I$2:$I$11&lt;=E44)/(Lookups!$J$2:$J$11&gt;=E44),Lookups!$L$2:$L$11)</f>
        <v>#N/A</v>
      </c>
      <c r="AG44" s="142" t="str">
        <f t="shared" si="13"/>
        <v/>
      </c>
      <c r="AH44" s="142" t="str">
        <f t="shared" si="14"/>
        <v/>
      </c>
      <c r="AI44" s="143" t="b">
        <f t="shared" si="19"/>
        <v>0</v>
      </c>
      <c r="AJ44" s="143" t="str">
        <f t="shared" si="15"/>
        <v>Level 1</v>
      </c>
      <c r="AK44" s="142">
        <f t="shared" si="16"/>
        <v>0</v>
      </c>
      <c r="AL44" s="157" t="str">
        <f t="shared" si="24"/>
        <v/>
      </c>
      <c r="AM44" s="144" t="str">
        <f t="shared" si="25"/>
        <v>--FALSE-0</v>
      </c>
      <c r="AN44" s="158" t="str">
        <f t="shared" si="20"/>
        <v/>
      </c>
      <c r="AO44" s="145"/>
      <c r="AP44" s="159" t="str">
        <f>IF($AN44=FALSE,"",IFERROR(INDEX('Flat Rates'!$A$1:$M$3880,MATCH($AM44,'Flat Rates'!$A$1:$A$3880,0),MATCH("Standing Charge",'Flat Rates'!$A$1:$M$1,0))*100,""))</f>
        <v/>
      </c>
      <c r="AQ44" s="148" t="str">
        <f>IF($AN44=FALSE,"",IFERROR((IF(NOT(T44="Unrestricted"),"",INDEX('Flat Rates'!$A$1:$M$3880,MATCH($AM44,'Flat Rates'!$A$1:$A$3880,0),MATCH("Uni/Day Rate",'Flat Rates'!$A$1:$M$1,0)))*100)+H44,""))</f>
        <v/>
      </c>
      <c r="AR44" s="148" t="str">
        <f>IF($AN44=FALSE,"",IFERROR((IF(T44="Unrestricted","",INDEX('Flat Rates'!$A$1:$M$3880,MATCH($AM44,'Flat Rates'!$A$1:$A$3880,0),MATCH("Uni/Day Rate",'Flat Rates'!$A$1:$M$1,0)))*100)+H44,""))</f>
        <v/>
      </c>
      <c r="AS44" s="148" t="str">
        <f>IF($AN44=FALSE,"",IFERROR(IF(INDEX('Flat Rates'!$A$1:$M$3880,MATCH($AM44,'Flat Rates'!$A$1:$A$3880,0),MATCH("Night Unit Rate",'Flat Rates'!$A$1:$M$1,0))=0,"",((INDEX('Flat Rates'!$A$1:$M$3880,MATCH($AM44,'Flat Rates'!$A$1:$A$3880,0),MATCH("Night Unit Rate",'Flat Rates'!$A$1:$M$1,0)))*100)+H44),""))</f>
        <v/>
      </c>
      <c r="AT44" s="148" t="str">
        <f>IF($AN44=FALSE,"",IFERROR(IF(INDEX('Flat Rates'!$A$1:$M$3880,MATCH($AM44,'Flat Rates'!$A$1:$A$3880,0),MATCH("Evening and Weekend Rate",'Flat Rates'!$A$1:$M$1,0))=0,"",((INDEX('Flat Rates'!$A$1:$M$3880,MATCH($AM44,'Flat Rates'!$A$1:$A$3880,0),MATCH("Evening and Weekend Rate",'Flat Rates'!$A$1:$M$1,0)))*100)+H44),""))</f>
        <v/>
      </c>
      <c r="AU44" s="152" t="str">
        <f t="shared" si="21"/>
        <v/>
      </c>
      <c r="AV44" s="152" t="str">
        <f t="shared" si="22"/>
        <v/>
      </c>
      <c r="AW44" s="152" t="str">
        <f t="shared" si="23"/>
        <v/>
      </c>
    </row>
    <row r="45" spans="2:49" ht="15" thickBot="1" x14ac:dyDescent="0.35">
      <c r="B45" s="138" t="str">
        <f t="shared" si="0"/>
        <v/>
      </c>
      <c r="C45" s="137"/>
      <c r="D45" s="139"/>
      <c r="E45" s="140"/>
      <c r="F45" s="140"/>
      <c r="G45" s="139"/>
      <c r="H45" s="151"/>
      <c r="I45" s="139"/>
      <c r="J45" s="138"/>
      <c r="K45" s="139"/>
      <c r="L45" s="141"/>
      <c r="M45" s="133" t="str">
        <f t="shared" si="1"/>
        <v/>
      </c>
      <c r="N45" s="133" t="str">
        <f t="shared" si="2"/>
        <v/>
      </c>
      <c r="O45" s="133" t="str">
        <f t="shared" si="3"/>
        <v/>
      </c>
      <c r="P45" s="133" t="str">
        <f t="shared" si="4"/>
        <v/>
      </c>
      <c r="Q45" s="133" t="str">
        <f t="shared" si="5"/>
        <v/>
      </c>
      <c r="R45" s="133" t="str">
        <f t="shared" si="6"/>
        <v/>
      </c>
      <c r="S45" s="133" t="str">
        <f t="shared" si="7"/>
        <v/>
      </c>
      <c r="T45" s="133" t="str">
        <f>IFERROR(IF($U45="ERROR","ERROR",IF($N45="00",IF(J45="1-Rate","HH 1RATE",IF(J45="2-Rate","HH 2RATE","")),IFERROR(VLOOKUP(CONCATENATE(N45,Q45,O45,P45),Lookups!$A$2:$E$4557,5,0),VLOOKUP(CONCATENATE(N45,Q45,O45),Lookups!$A$2:$E$4557,5,0)))),"ERROR")</f>
        <v>ERROR</v>
      </c>
      <c r="U45" s="133" t="str">
        <f>IFERROR(IF(NOT($N45="00"),"",VLOOKUP(CONCATENATE(Q45,P45,LOOKUP(2,1/(Lookups!$I$2:$I$11&lt;=E45)/(Lookups!$J$2:$J$11&gt;=Tool!$C$14),Lookups!$K$2:$K$11)),'HH LLFs'!$A$2:$K$500,3,0)),"ERROR")</f>
        <v/>
      </c>
      <c r="V45" s="132">
        <f>Calcs!$I$2</f>
        <v>44377</v>
      </c>
      <c r="W45" s="132">
        <f>Calcs!$I$4</f>
        <v>44592</v>
      </c>
      <c r="X45" s="153" t="str">
        <f>IF(NOT(N45="00"),"",(VLOOKUP(CONCATENATE(Q45,P45,LOOKUP(2,1/(Lookups!$I$2:$I$11&lt;=Multisite!E45)/(Lookups!$J$2:$J$11&gt;=E45),Lookups!$K$2:$K$11)),'HH LLFs'!$A$2:$F$282,6,0)*365)/12)</f>
        <v/>
      </c>
      <c r="Y45" s="153">
        <f t="shared" si="8"/>
        <v>0</v>
      </c>
      <c r="Z45" s="153" t="str">
        <f t="shared" si="17"/>
        <v/>
      </c>
      <c r="AA45" s="153" t="str">
        <f t="shared" si="9"/>
        <v/>
      </c>
      <c r="AB45" s="153" t="str">
        <f t="shared" si="18"/>
        <v/>
      </c>
      <c r="AC45" s="153" t="str">
        <f t="shared" si="10"/>
        <v/>
      </c>
      <c r="AD45" s="153" t="str">
        <f t="shared" si="11"/>
        <v/>
      </c>
      <c r="AE45" s="153" t="str">
        <f t="shared" si="12"/>
        <v/>
      </c>
      <c r="AF45" s="155" t="e">
        <f>LOOKUP(2,1/(Lookups!$I$2:$I$11&lt;=E45)/(Lookups!$J$2:$J$11&gt;=E45),Lookups!$L$2:$L$11)</f>
        <v>#N/A</v>
      </c>
      <c r="AG45" s="142" t="str">
        <f t="shared" si="13"/>
        <v/>
      </c>
      <c r="AH45" s="142" t="str">
        <f t="shared" si="14"/>
        <v/>
      </c>
      <c r="AI45" s="143" t="b">
        <f t="shared" si="19"/>
        <v>0</v>
      </c>
      <c r="AJ45" s="143" t="str">
        <f t="shared" si="15"/>
        <v>Level 1</v>
      </c>
      <c r="AK45" s="142">
        <f t="shared" si="16"/>
        <v>0</v>
      </c>
      <c r="AL45" s="157" t="str">
        <f t="shared" si="24"/>
        <v/>
      </c>
      <c r="AM45" s="144" t="str">
        <f t="shared" si="25"/>
        <v>--FALSE-0</v>
      </c>
      <c r="AN45" s="158" t="str">
        <f t="shared" si="20"/>
        <v/>
      </c>
      <c r="AO45" s="145"/>
      <c r="AP45" s="159" t="str">
        <f>IF($AN45=FALSE,"",IFERROR(INDEX('Flat Rates'!$A$1:$M$3880,MATCH($AM45,'Flat Rates'!$A$1:$A$3880,0),MATCH("Standing Charge",'Flat Rates'!$A$1:$M$1,0))*100,""))</f>
        <v/>
      </c>
      <c r="AQ45" s="148" t="str">
        <f>IF($AN45=FALSE,"",IFERROR((IF(NOT(T45="Unrestricted"),"",INDEX('Flat Rates'!$A$1:$M$3880,MATCH($AM45,'Flat Rates'!$A$1:$A$3880,0),MATCH("Uni/Day Rate",'Flat Rates'!$A$1:$M$1,0)))*100)+H45,""))</f>
        <v/>
      </c>
      <c r="AR45" s="148" t="str">
        <f>IF($AN45=FALSE,"",IFERROR((IF(T45="Unrestricted","",INDEX('Flat Rates'!$A$1:$M$3880,MATCH($AM45,'Flat Rates'!$A$1:$A$3880,0),MATCH("Uni/Day Rate",'Flat Rates'!$A$1:$M$1,0)))*100)+H45,""))</f>
        <v/>
      </c>
      <c r="AS45" s="148" t="str">
        <f>IF($AN45=FALSE,"",IFERROR(IF(INDEX('Flat Rates'!$A$1:$M$3880,MATCH($AM45,'Flat Rates'!$A$1:$A$3880,0),MATCH("Night Unit Rate",'Flat Rates'!$A$1:$M$1,0))=0,"",((INDEX('Flat Rates'!$A$1:$M$3880,MATCH($AM45,'Flat Rates'!$A$1:$A$3880,0),MATCH("Night Unit Rate",'Flat Rates'!$A$1:$M$1,0)))*100)+H45),""))</f>
        <v/>
      </c>
      <c r="AT45" s="148" t="str">
        <f>IF($AN45=FALSE,"",IFERROR(IF(INDEX('Flat Rates'!$A$1:$M$3880,MATCH($AM45,'Flat Rates'!$A$1:$A$3880,0),MATCH("Evening and Weekend Rate",'Flat Rates'!$A$1:$M$1,0))=0,"",((INDEX('Flat Rates'!$A$1:$M$3880,MATCH($AM45,'Flat Rates'!$A$1:$A$3880,0),MATCH("Evening and Weekend Rate",'Flat Rates'!$A$1:$M$1,0)))*100)+H45),""))</f>
        <v/>
      </c>
      <c r="AU45" s="152" t="str">
        <f t="shared" si="21"/>
        <v/>
      </c>
      <c r="AV45" s="152" t="str">
        <f t="shared" si="22"/>
        <v/>
      </c>
      <c r="AW45" s="152" t="str">
        <f t="shared" si="23"/>
        <v/>
      </c>
    </row>
    <row r="46" spans="2:49" ht="15" thickBot="1" x14ac:dyDescent="0.35">
      <c r="B46" s="138" t="str">
        <f t="shared" si="0"/>
        <v/>
      </c>
      <c r="C46" s="137"/>
      <c r="D46" s="139"/>
      <c r="E46" s="140"/>
      <c r="F46" s="140"/>
      <c r="G46" s="139"/>
      <c r="H46" s="151"/>
      <c r="I46" s="139"/>
      <c r="J46" s="137"/>
      <c r="K46" s="139"/>
      <c r="L46" s="141"/>
      <c r="M46" s="133" t="str">
        <f t="shared" si="1"/>
        <v/>
      </c>
      <c r="N46" s="133" t="str">
        <f t="shared" si="2"/>
        <v/>
      </c>
      <c r="O46" s="133" t="str">
        <f t="shared" si="3"/>
        <v/>
      </c>
      <c r="P46" s="133" t="str">
        <f t="shared" si="4"/>
        <v/>
      </c>
      <c r="Q46" s="133" t="str">
        <f t="shared" si="5"/>
        <v/>
      </c>
      <c r="R46" s="133" t="str">
        <f t="shared" si="6"/>
        <v/>
      </c>
      <c r="S46" s="133" t="str">
        <f t="shared" si="7"/>
        <v/>
      </c>
      <c r="T46" s="133" t="str">
        <f>IFERROR(IF($U46="ERROR","ERROR",IF($N46="00",IF(J46="1-Rate","HH 1RATE",IF(J46="2-Rate","HH 2RATE","")),IFERROR(VLOOKUP(CONCATENATE(N46,Q46,O46,P46),Lookups!$A$2:$E$4557,5,0),VLOOKUP(CONCATENATE(N46,Q46,O46),Lookups!$A$2:$E$4557,5,0)))),"ERROR")</f>
        <v>ERROR</v>
      </c>
      <c r="U46" s="133" t="str">
        <f>IFERROR(IF(NOT($N46="00"),"",VLOOKUP(CONCATENATE(Q46,P46,LOOKUP(2,1/(Lookups!$I$2:$I$11&lt;=E46)/(Lookups!$J$2:$J$11&gt;=Tool!$C$14),Lookups!$K$2:$K$11)),'HH LLFs'!$A$2:$K$500,3,0)),"ERROR")</f>
        <v/>
      </c>
      <c r="V46" s="132">
        <f>Calcs!$I$2</f>
        <v>44377</v>
      </c>
      <c r="W46" s="132">
        <f>Calcs!$I$4</f>
        <v>44592</v>
      </c>
      <c r="X46" s="153" t="str">
        <f>IF(NOT(N46="00"),"",(VLOOKUP(CONCATENATE(Q46,P46,LOOKUP(2,1/(Lookups!$I$2:$I$11&lt;=Multisite!E46)/(Lookups!$J$2:$J$11&gt;=E46),Lookups!$K$2:$K$11)),'HH LLFs'!$A$2:$F$282,6,0)*365)/12)</f>
        <v/>
      </c>
      <c r="Y46" s="153">
        <f t="shared" si="8"/>
        <v>0</v>
      </c>
      <c r="Z46" s="153" t="str">
        <f t="shared" si="17"/>
        <v/>
      </c>
      <c r="AA46" s="153" t="str">
        <f t="shared" si="9"/>
        <v/>
      </c>
      <c r="AB46" s="153" t="str">
        <f t="shared" si="18"/>
        <v/>
      </c>
      <c r="AC46" s="153" t="str">
        <f t="shared" si="10"/>
        <v/>
      </c>
      <c r="AD46" s="153" t="str">
        <f t="shared" si="11"/>
        <v/>
      </c>
      <c r="AE46" s="153" t="str">
        <f t="shared" si="12"/>
        <v/>
      </c>
      <c r="AF46" s="155" t="e">
        <f>LOOKUP(2,1/(Lookups!$I$2:$I$11&lt;=E46)/(Lookups!$J$2:$J$11&gt;=E46),Lookups!$L$2:$L$11)</f>
        <v>#N/A</v>
      </c>
      <c r="AG46" s="142" t="str">
        <f t="shared" si="13"/>
        <v/>
      </c>
      <c r="AH46" s="142" t="str">
        <f t="shared" si="14"/>
        <v/>
      </c>
      <c r="AI46" s="143" t="b">
        <f t="shared" si="19"/>
        <v>0</v>
      </c>
      <c r="AJ46" s="143" t="str">
        <f t="shared" si="15"/>
        <v>Level 1</v>
      </c>
      <c r="AK46" s="142">
        <f t="shared" si="16"/>
        <v>0</v>
      </c>
      <c r="AL46" s="157" t="str">
        <f t="shared" si="24"/>
        <v/>
      </c>
      <c r="AM46" s="144" t="str">
        <f t="shared" si="25"/>
        <v>--FALSE-0</v>
      </c>
      <c r="AN46" s="158" t="str">
        <f t="shared" si="20"/>
        <v/>
      </c>
      <c r="AO46" s="145"/>
      <c r="AP46" s="159" t="str">
        <f>IF($AN46=FALSE,"",IFERROR(INDEX('Flat Rates'!$A$1:$M$3880,MATCH($AM46,'Flat Rates'!$A$1:$A$3880,0),MATCH("Standing Charge",'Flat Rates'!$A$1:$M$1,0))*100,""))</f>
        <v/>
      </c>
      <c r="AQ46" s="148" t="str">
        <f>IF($AN46=FALSE,"",IFERROR((IF(NOT(T46="Unrestricted"),"",INDEX('Flat Rates'!$A$1:$M$3880,MATCH($AM46,'Flat Rates'!$A$1:$A$3880,0),MATCH("Uni/Day Rate",'Flat Rates'!$A$1:$M$1,0)))*100)+H46,""))</f>
        <v/>
      </c>
      <c r="AR46" s="148" t="str">
        <f>IF($AN46=FALSE,"",IFERROR((IF(T46="Unrestricted","",INDEX('Flat Rates'!$A$1:$M$3880,MATCH($AM46,'Flat Rates'!$A$1:$A$3880,0),MATCH("Uni/Day Rate",'Flat Rates'!$A$1:$M$1,0)))*100)+H46,""))</f>
        <v/>
      </c>
      <c r="AS46" s="148" t="str">
        <f>IF($AN46=FALSE,"",IFERROR(IF(INDEX('Flat Rates'!$A$1:$M$3880,MATCH($AM46,'Flat Rates'!$A$1:$A$3880,0),MATCH("Night Unit Rate",'Flat Rates'!$A$1:$M$1,0))=0,"",((INDEX('Flat Rates'!$A$1:$M$3880,MATCH($AM46,'Flat Rates'!$A$1:$A$3880,0),MATCH("Night Unit Rate",'Flat Rates'!$A$1:$M$1,0)))*100)+H46),""))</f>
        <v/>
      </c>
      <c r="AT46" s="148" t="str">
        <f>IF($AN46=FALSE,"",IFERROR(IF(INDEX('Flat Rates'!$A$1:$M$3880,MATCH($AM46,'Flat Rates'!$A$1:$A$3880,0),MATCH("Evening and Weekend Rate",'Flat Rates'!$A$1:$M$1,0))=0,"",((INDEX('Flat Rates'!$A$1:$M$3880,MATCH($AM46,'Flat Rates'!$A$1:$A$3880,0),MATCH("Evening and Weekend Rate",'Flat Rates'!$A$1:$M$1,0)))*100)+H46),""))</f>
        <v/>
      </c>
      <c r="AU46" s="152" t="str">
        <f t="shared" si="21"/>
        <v/>
      </c>
      <c r="AV46" s="152" t="str">
        <f t="shared" si="22"/>
        <v/>
      </c>
      <c r="AW46" s="152" t="str">
        <f t="shared" si="23"/>
        <v/>
      </c>
    </row>
    <row r="47" spans="2:49" ht="15" thickBot="1" x14ac:dyDescent="0.35">
      <c r="B47" s="138" t="str">
        <f t="shared" si="0"/>
        <v/>
      </c>
      <c r="C47" s="137"/>
      <c r="D47" s="139"/>
      <c r="E47" s="140"/>
      <c r="F47" s="140"/>
      <c r="G47" s="139"/>
      <c r="H47" s="151"/>
      <c r="I47" s="139"/>
      <c r="J47" s="138"/>
      <c r="K47" s="139"/>
      <c r="L47" s="141"/>
      <c r="M47" s="133" t="str">
        <f t="shared" si="1"/>
        <v/>
      </c>
      <c r="N47" s="133" t="str">
        <f t="shared" si="2"/>
        <v/>
      </c>
      <c r="O47" s="133" t="str">
        <f t="shared" si="3"/>
        <v/>
      </c>
      <c r="P47" s="133" t="str">
        <f t="shared" si="4"/>
        <v/>
      </c>
      <c r="Q47" s="133" t="str">
        <f t="shared" si="5"/>
        <v/>
      </c>
      <c r="R47" s="133" t="str">
        <f t="shared" si="6"/>
        <v/>
      </c>
      <c r="S47" s="133" t="str">
        <f t="shared" si="7"/>
        <v/>
      </c>
      <c r="T47" s="133" t="str">
        <f>IFERROR(IF($U47="ERROR","ERROR",IF($N47="00",IF(J47="1-Rate","HH 1RATE",IF(J47="2-Rate","HH 2RATE","")),IFERROR(VLOOKUP(CONCATENATE(N47,Q47,O47,P47),Lookups!$A$2:$E$4557,5,0),VLOOKUP(CONCATENATE(N47,Q47,O47),Lookups!$A$2:$E$4557,5,0)))),"ERROR")</f>
        <v>ERROR</v>
      </c>
      <c r="U47" s="133" t="str">
        <f>IFERROR(IF(NOT($N47="00"),"",VLOOKUP(CONCATENATE(Q47,P47,LOOKUP(2,1/(Lookups!$I$2:$I$11&lt;=E47)/(Lookups!$J$2:$J$11&gt;=Tool!$C$14),Lookups!$K$2:$K$11)),'HH LLFs'!$A$2:$K$500,3,0)),"ERROR")</f>
        <v/>
      </c>
      <c r="V47" s="132">
        <f>Calcs!$I$2</f>
        <v>44377</v>
      </c>
      <c r="W47" s="132">
        <f>Calcs!$I$4</f>
        <v>44592</v>
      </c>
      <c r="X47" s="153" t="str">
        <f>IF(NOT(N47="00"),"",(VLOOKUP(CONCATENATE(Q47,P47,LOOKUP(2,1/(Lookups!$I$2:$I$11&lt;=Multisite!E47)/(Lookups!$J$2:$J$11&gt;=E47),Lookups!$K$2:$K$11)),'HH LLFs'!$A$2:$F$282,6,0)*365)/12)</f>
        <v/>
      </c>
      <c r="Y47" s="153">
        <f t="shared" si="8"/>
        <v>0</v>
      </c>
      <c r="Z47" s="153" t="str">
        <f t="shared" si="17"/>
        <v/>
      </c>
      <c r="AA47" s="153" t="str">
        <f t="shared" si="9"/>
        <v/>
      </c>
      <c r="AB47" s="153" t="str">
        <f t="shared" si="18"/>
        <v/>
      </c>
      <c r="AC47" s="153" t="str">
        <f t="shared" si="10"/>
        <v/>
      </c>
      <c r="AD47" s="153" t="str">
        <f t="shared" si="11"/>
        <v/>
      </c>
      <c r="AE47" s="153" t="str">
        <f t="shared" si="12"/>
        <v/>
      </c>
      <c r="AF47" s="155" t="e">
        <f>LOOKUP(2,1/(Lookups!$I$2:$I$11&lt;=E47)/(Lookups!$J$2:$J$11&gt;=E47),Lookups!$L$2:$L$11)</f>
        <v>#N/A</v>
      </c>
      <c r="AG47" s="142" t="str">
        <f t="shared" si="13"/>
        <v/>
      </c>
      <c r="AH47" s="142" t="str">
        <f t="shared" si="14"/>
        <v/>
      </c>
      <c r="AI47" s="143" t="b">
        <f t="shared" si="19"/>
        <v>0</v>
      </c>
      <c r="AJ47" s="143" t="str">
        <f t="shared" si="15"/>
        <v>Level 1</v>
      </c>
      <c r="AK47" s="142">
        <f t="shared" si="16"/>
        <v>0</v>
      </c>
      <c r="AL47" s="157" t="str">
        <f t="shared" si="24"/>
        <v/>
      </c>
      <c r="AM47" s="144" t="str">
        <f t="shared" si="25"/>
        <v>--FALSE-0</v>
      </c>
      <c r="AN47" s="158" t="str">
        <f t="shared" si="20"/>
        <v/>
      </c>
      <c r="AO47" s="145"/>
      <c r="AP47" s="159" t="str">
        <f>IF($AN47=FALSE,"",IFERROR(INDEX('Flat Rates'!$A$1:$M$3880,MATCH($AM47,'Flat Rates'!$A$1:$A$3880,0),MATCH("Standing Charge",'Flat Rates'!$A$1:$M$1,0))*100,""))</f>
        <v/>
      </c>
      <c r="AQ47" s="148" t="str">
        <f>IF($AN47=FALSE,"",IFERROR((IF(NOT(T47="Unrestricted"),"",INDEX('Flat Rates'!$A$1:$M$3880,MATCH($AM47,'Flat Rates'!$A$1:$A$3880,0),MATCH("Uni/Day Rate",'Flat Rates'!$A$1:$M$1,0)))*100)+H47,""))</f>
        <v/>
      </c>
      <c r="AR47" s="148" t="str">
        <f>IF($AN47=FALSE,"",IFERROR((IF(T47="Unrestricted","",INDEX('Flat Rates'!$A$1:$M$3880,MATCH($AM47,'Flat Rates'!$A$1:$A$3880,0),MATCH("Uni/Day Rate",'Flat Rates'!$A$1:$M$1,0)))*100)+H47,""))</f>
        <v/>
      </c>
      <c r="AS47" s="148" t="str">
        <f>IF($AN47=FALSE,"",IFERROR(IF(INDEX('Flat Rates'!$A$1:$M$3880,MATCH($AM47,'Flat Rates'!$A$1:$A$3880,0),MATCH("Night Unit Rate",'Flat Rates'!$A$1:$M$1,0))=0,"",((INDEX('Flat Rates'!$A$1:$M$3880,MATCH($AM47,'Flat Rates'!$A$1:$A$3880,0),MATCH("Night Unit Rate",'Flat Rates'!$A$1:$M$1,0)))*100)+H47),""))</f>
        <v/>
      </c>
      <c r="AT47" s="148" t="str">
        <f>IF($AN47=FALSE,"",IFERROR(IF(INDEX('Flat Rates'!$A$1:$M$3880,MATCH($AM47,'Flat Rates'!$A$1:$A$3880,0),MATCH("Evening and Weekend Rate",'Flat Rates'!$A$1:$M$1,0))=0,"",((INDEX('Flat Rates'!$A$1:$M$3880,MATCH($AM47,'Flat Rates'!$A$1:$A$3880,0),MATCH("Evening and Weekend Rate",'Flat Rates'!$A$1:$M$1,0)))*100)+H47),""))</f>
        <v/>
      </c>
      <c r="AU47" s="152" t="str">
        <f t="shared" si="21"/>
        <v/>
      </c>
      <c r="AV47" s="152" t="str">
        <f t="shared" si="22"/>
        <v/>
      </c>
      <c r="AW47" s="152" t="str">
        <f t="shared" si="23"/>
        <v/>
      </c>
    </row>
    <row r="48" spans="2:49" ht="15" thickBot="1" x14ac:dyDescent="0.35">
      <c r="B48" s="138" t="str">
        <f t="shared" si="0"/>
        <v/>
      </c>
      <c r="C48" s="137"/>
      <c r="D48" s="139"/>
      <c r="E48" s="140"/>
      <c r="F48" s="140"/>
      <c r="G48" s="139"/>
      <c r="H48" s="151"/>
      <c r="I48" s="139"/>
      <c r="J48" s="137"/>
      <c r="K48" s="139"/>
      <c r="L48" s="141"/>
      <c r="M48" s="133" t="str">
        <f t="shared" si="1"/>
        <v/>
      </c>
      <c r="N48" s="133" t="str">
        <f t="shared" si="2"/>
        <v/>
      </c>
      <c r="O48" s="133" t="str">
        <f t="shared" si="3"/>
        <v/>
      </c>
      <c r="P48" s="133" t="str">
        <f t="shared" si="4"/>
        <v/>
      </c>
      <c r="Q48" s="133" t="str">
        <f t="shared" si="5"/>
        <v/>
      </c>
      <c r="R48" s="133" t="str">
        <f t="shared" si="6"/>
        <v/>
      </c>
      <c r="S48" s="133" t="str">
        <f t="shared" si="7"/>
        <v/>
      </c>
      <c r="T48" s="133" t="str">
        <f>IFERROR(IF($U48="ERROR","ERROR",IF($N48="00",IF(J48="1-Rate","HH 1RATE",IF(J48="2-Rate","HH 2RATE","")),IFERROR(VLOOKUP(CONCATENATE(N48,Q48,O48,P48),Lookups!$A$2:$E$4557,5,0),VLOOKUP(CONCATENATE(N48,Q48,O48),Lookups!$A$2:$E$4557,5,0)))),"ERROR")</f>
        <v>ERROR</v>
      </c>
      <c r="U48" s="133" t="str">
        <f>IFERROR(IF(NOT($N48="00"),"",VLOOKUP(CONCATENATE(Q48,P48,LOOKUP(2,1/(Lookups!$I$2:$I$11&lt;=E48)/(Lookups!$J$2:$J$11&gt;=Tool!$C$14),Lookups!$K$2:$K$11)),'HH LLFs'!$A$2:$K$500,3,0)),"ERROR")</f>
        <v/>
      </c>
      <c r="V48" s="132">
        <f>Calcs!$I$2</f>
        <v>44377</v>
      </c>
      <c r="W48" s="132">
        <f>Calcs!$I$4</f>
        <v>44592</v>
      </c>
      <c r="X48" s="153" t="str">
        <f>IF(NOT(N48="00"),"",(VLOOKUP(CONCATENATE(Q48,P48,LOOKUP(2,1/(Lookups!$I$2:$I$11&lt;=Multisite!E48)/(Lookups!$J$2:$J$11&gt;=E48),Lookups!$K$2:$K$11)),'HH LLFs'!$A$2:$F$282,6,0)*365)/12)</f>
        <v/>
      </c>
      <c r="Y48" s="153">
        <f t="shared" si="8"/>
        <v>0</v>
      </c>
      <c r="Z48" s="153" t="str">
        <f t="shared" si="17"/>
        <v/>
      </c>
      <c r="AA48" s="153" t="str">
        <f t="shared" si="9"/>
        <v/>
      </c>
      <c r="AB48" s="153" t="str">
        <f t="shared" si="18"/>
        <v/>
      </c>
      <c r="AC48" s="153" t="str">
        <f t="shared" si="10"/>
        <v/>
      </c>
      <c r="AD48" s="153" t="str">
        <f t="shared" si="11"/>
        <v/>
      </c>
      <c r="AE48" s="153" t="str">
        <f t="shared" si="12"/>
        <v/>
      </c>
      <c r="AF48" s="155" t="e">
        <f>LOOKUP(2,1/(Lookups!$I$2:$I$11&lt;=E48)/(Lookups!$J$2:$J$11&gt;=E48),Lookups!$L$2:$L$11)</f>
        <v>#N/A</v>
      </c>
      <c r="AG48" s="142" t="str">
        <f t="shared" si="13"/>
        <v/>
      </c>
      <c r="AH48" s="142" t="str">
        <f t="shared" si="14"/>
        <v/>
      </c>
      <c r="AI48" s="143" t="b">
        <f t="shared" si="19"/>
        <v>0</v>
      </c>
      <c r="AJ48" s="143" t="str">
        <f t="shared" si="15"/>
        <v>Level 1</v>
      </c>
      <c r="AK48" s="142">
        <f t="shared" si="16"/>
        <v>0</v>
      </c>
      <c r="AL48" s="157" t="str">
        <f t="shared" si="24"/>
        <v/>
      </c>
      <c r="AM48" s="144" t="str">
        <f t="shared" si="25"/>
        <v>--FALSE-0</v>
      </c>
      <c r="AN48" s="158" t="str">
        <f t="shared" si="20"/>
        <v/>
      </c>
      <c r="AO48" s="145"/>
      <c r="AP48" s="159" t="str">
        <f>IF($AN48=FALSE,"",IFERROR(INDEX('Flat Rates'!$A$1:$M$3880,MATCH($AM48,'Flat Rates'!$A$1:$A$3880,0),MATCH("Standing Charge",'Flat Rates'!$A$1:$M$1,0))*100,""))</f>
        <v/>
      </c>
      <c r="AQ48" s="148" t="str">
        <f>IF($AN48=FALSE,"",IFERROR((IF(NOT(T48="Unrestricted"),"",INDEX('Flat Rates'!$A$1:$M$3880,MATCH($AM48,'Flat Rates'!$A$1:$A$3880,0),MATCH("Uni/Day Rate",'Flat Rates'!$A$1:$M$1,0)))*100)+H48,""))</f>
        <v/>
      </c>
      <c r="AR48" s="148" t="str">
        <f>IF($AN48=FALSE,"",IFERROR((IF(T48="Unrestricted","",INDEX('Flat Rates'!$A$1:$M$3880,MATCH($AM48,'Flat Rates'!$A$1:$A$3880,0),MATCH("Uni/Day Rate",'Flat Rates'!$A$1:$M$1,0)))*100)+H48,""))</f>
        <v/>
      </c>
      <c r="AS48" s="148" t="str">
        <f>IF($AN48=FALSE,"",IFERROR(IF(INDEX('Flat Rates'!$A$1:$M$3880,MATCH($AM48,'Flat Rates'!$A$1:$A$3880,0),MATCH("Night Unit Rate",'Flat Rates'!$A$1:$M$1,0))=0,"",((INDEX('Flat Rates'!$A$1:$M$3880,MATCH($AM48,'Flat Rates'!$A$1:$A$3880,0),MATCH("Night Unit Rate",'Flat Rates'!$A$1:$M$1,0)))*100)+H48),""))</f>
        <v/>
      </c>
      <c r="AT48" s="148" t="str">
        <f>IF($AN48=FALSE,"",IFERROR(IF(INDEX('Flat Rates'!$A$1:$M$3880,MATCH($AM48,'Flat Rates'!$A$1:$A$3880,0),MATCH("Evening and Weekend Rate",'Flat Rates'!$A$1:$M$1,0))=0,"",((INDEX('Flat Rates'!$A$1:$M$3880,MATCH($AM48,'Flat Rates'!$A$1:$A$3880,0),MATCH("Evening and Weekend Rate",'Flat Rates'!$A$1:$M$1,0)))*100)+H48),""))</f>
        <v/>
      </c>
      <c r="AU48" s="152" t="str">
        <f t="shared" si="21"/>
        <v/>
      </c>
      <c r="AV48" s="152" t="str">
        <f t="shared" si="22"/>
        <v/>
      </c>
      <c r="AW48" s="152" t="str">
        <f t="shared" si="23"/>
        <v/>
      </c>
    </row>
    <row r="49" spans="2:49" ht="15" thickBot="1" x14ac:dyDescent="0.35">
      <c r="B49" s="138" t="str">
        <f t="shared" si="0"/>
        <v/>
      </c>
      <c r="C49" s="137"/>
      <c r="D49" s="139"/>
      <c r="E49" s="140"/>
      <c r="F49" s="140"/>
      <c r="G49" s="139"/>
      <c r="H49" s="151"/>
      <c r="I49" s="139"/>
      <c r="J49" s="138"/>
      <c r="K49" s="139"/>
      <c r="L49" s="141"/>
      <c r="M49" s="133" t="str">
        <f t="shared" si="1"/>
        <v/>
      </c>
      <c r="N49" s="133" t="str">
        <f t="shared" si="2"/>
        <v/>
      </c>
      <c r="O49" s="133" t="str">
        <f t="shared" si="3"/>
        <v/>
      </c>
      <c r="P49" s="133" t="str">
        <f t="shared" si="4"/>
        <v/>
      </c>
      <c r="Q49" s="133" t="str">
        <f t="shared" si="5"/>
        <v/>
      </c>
      <c r="R49" s="133" t="str">
        <f t="shared" si="6"/>
        <v/>
      </c>
      <c r="S49" s="133" t="str">
        <f t="shared" si="7"/>
        <v/>
      </c>
      <c r="T49" s="133" t="str">
        <f>IFERROR(IF($U49="ERROR","ERROR",IF($N49="00",IF(J49="1-Rate","HH 1RATE",IF(J49="2-Rate","HH 2RATE","")),IFERROR(VLOOKUP(CONCATENATE(N49,Q49,O49,P49),Lookups!$A$2:$E$4557,5,0),VLOOKUP(CONCATENATE(N49,Q49,O49),Lookups!$A$2:$E$4557,5,0)))),"ERROR")</f>
        <v>ERROR</v>
      </c>
      <c r="U49" s="133" t="str">
        <f>IFERROR(IF(NOT($N49="00"),"",VLOOKUP(CONCATENATE(Q49,P49,LOOKUP(2,1/(Lookups!$I$2:$I$11&lt;=E49)/(Lookups!$J$2:$J$11&gt;=Tool!$C$14),Lookups!$K$2:$K$11)),'HH LLFs'!$A$2:$K$500,3,0)),"ERROR")</f>
        <v/>
      </c>
      <c r="V49" s="132">
        <f>Calcs!$I$2</f>
        <v>44377</v>
      </c>
      <c r="W49" s="132">
        <f>Calcs!$I$4</f>
        <v>44592</v>
      </c>
      <c r="X49" s="153" t="str">
        <f>IF(NOT(N49="00"),"",(VLOOKUP(CONCATENATE(Q49,P49,LOOKUP(2,1/(Lookups!$I$2:$I$11&lt;=Multisite!E49)/(Lookups!$J$2:$J$11&gt;=E49),Lookups!$K$2:$K$11)),'HH LLFs'!$A$2:$F$282,6,0)*365)/12)</f>
        <v/>
      </c>
      <c r="Y49" s="153">
        <f t="shared" si="8"/>
        <v>0</v>
      </c>
      <c r="Z49" s="153" t="str">
        <f t="shared" si="17"/>
        <v/>
      </c>
      <c r="AA49" s="153" t="str">
        <f t="shared" si="9"/>
        <v/>
      </c>
      <c r="AB49" s="153" t="str">
        <f t="shared" si="18"/>
        <v/>
      </c>
      <c r="AC49" s="153" t="str">
        <f t="shared" si="10"/>
        <v/>
      </c>
      <c r="AD49" s="153" t="str">
        <f t="shared" si="11"/>
        <v/>
      </c>
      <c r="AE49" s="153" t="str">
        <f t="shared" si="12"/>
        <v/>
      </c>
      <c r="AF49" s="155" t="e">
        <f>LOOKUP(2,1/(Lookups!$I$2:$I$11&lt;=E49)/(Lookups!$J$2:$J$11&gt;=E49),Lookups!$L$2:$L$11)</f>
        <v>#N/A</v>
      </c>
      <c r="AG49" s="142" t="str">
        <f t="shared" si="13"/>
        <v/>
      </c>
      <c r="AH49" s="142" t="str">
        <f t="shared" si="14"/>
        <v/>
      </c>
      <c r="AI49" s="143" t="b">
        <f t="shared" si="19"/>
        <v>0</v>
      </c>
      <c r="AJ49" s="143" t="str">
        <f t="shared" si="15"/>
        <v>Level 1</v>
      </c>
      <c r="AK49" s="142">
        <f t="shared" si="16"/>
        <v>0</v>
      </c>
      <c r="AL49" s="157" t="str">
        <f t="shared" si="24"/>
        <v/>
      </c>
      <c r="AM49" s="144" t="str">
        <f t="shared" si="25"/>
        <v>--FALSE-0</v>
      </c>
      <c r="AN49" s="158" t="str">
        <f t="shared" si="20"/>
        <v/>
      </c>
      <c r="AO49" s="145"/>
      <c r="AP49" s="159" t="str">
        <f>IF($AN49=FALSE,"",IFERROR(INDEX('Flat Rates'!$A$1:$M$3880,MATCH($AM49,'Flat Rates'!$A$1:$A$3880,0),MATCH("Standing Charge",'Flat Rates'!$A$1:$M$1,0))*100,""))</f>
        <v/>
      </c>
      <c r="AQ49" s="148" t="str">
        <f>IF($AN49=FALSE,"",IFERROR((IF(NOT(T49="Unrestricted"),"",INDEX('Flat Rates'!$A$1:$M$3880,MATCH($AM49,'Flat Rates'!$A$1:$A$3880,0),MATCH("Uni/Day Rate",'Flat Rates'!$A$1:$M$1,0)))*100)+H49,""))</f>
        <v/>
      </c>
      <c r="AR49" s="148" t="str">
        <f>IF($AN49=FALSE,"",IFERROR((IF(T49="Unrestricted","",INDEX('Flat Rates'!$A$1:$M$3880,MATCH($AM49,'Flat Rates'!$A$1:$A$3880,0),MATCH("Uni/Day Rate",'Flat Rates'!$A$1:$M$1,0)))*100)+H49,""))</f>
        <v/>
      </c>
      <c r="AS49" s="148" t="str">
        <f>IF($AN49=FALSE,"",IFERROR(IF(INDEX('Flat Rates'!$A$1:$M$3880,MATCH($AM49,'Flat Rates'!$A$1:$A$3880,0),MATCH("Night Unit Rate",'Flat Rates'!$A$1:$M$1,0))=0,"",((INDEX('Flat Rates'!$A$1:$M$3880,MATCH($AM49,'Flat Rates'!$A$1:$A$3880,0),MATCH("Night Unit Rate",'Flat Rates'!$A$1:$M$1,0)))*100)+H49),""))</f>
        <v/>
      </c>
      <c r="AT49" s="148" t="str">
        <f>IF($AN49=FALSE,"",IFERROR(IF(INDEX('Flat Rates'!$A$1:$M$3880,MATCH($AM49,'Flat Rates'!$A$1:$A$3880,0),MATCH("Evening and Weekend Rate",'Flat Rates'!$A$1:$M$1,0))=0,"",((INDEX('Flat Rates'!$A$1:$M$3880,MATCH($AM49,'Flat Rates'!$A$1:$A$3880,0),MATCH("Evening and Weekend Rate",'Flat Rates'!$A$1:$M$1,0)))*100)+H49),""))</f>
        <v/>
      </c>
      <c r="AU49" s="152" t="str">
        <f t="shared" si="21"/>
        <v/>
      </c>
      <c r="AV49" s="152" t="str">
        <f t="shared" si="22"/>
        <v/>
      </c>
      <c r="AW49" s="152" t="str">
        <f t="shared" si="23"/>
        <v/>
      </c>
    </row>
    <row r="50" spans="2:49" ht="15" thickBot="1" x14ac:dyDescent="0.35">
      <c r="B50" s="138" t="str">
        <f t="shared" si="0"/>
        <v/>
      </c>
      <c r="C50" s="137"/>
      <c r="D50" s="139"/>
      <c r="E50" s="140"/>
      <c r="F50" s="140"/>
      <c r="G50" s="139"/>
      <c r="H50" s="151"/>
      <c r="I50" s="139"/>
      <c r="J50" s="137"/>
      <c r="K50" s="139"/>
      <c r="L50" s="141"/>
      <c r="M50" s="133" t="str">
        <f t="shared" si="1"/>
        <v/>
      </c>
      <c r="N50" s="133" t="str">
        <f t="shared" si="2"/>
        <v/>
      </c>
      <c r="O50" s="133" t="str">
        <f t="shared" si="3"/>
        <v/>
      </c>
      <c r="P50" s="133" t="str">
        <f t="shared" si="4"/>
        <v/>
      </c>
      <c r="Q50" s="133" t="str">
        <f t="shared" si="5"/>
        <v/>
      </c>
      <c r="R50" s="133" t="str">
        <f t="shared" si="6"/>
        <v/>
      </c>
      <c r="S50" s="133" t="str">
        <f t="shared" si="7"/>
        <v/>
      </c>
      <c r="T50" s="133" t="str">
        <f>IFERROR(IF($U50="ERROR","ERROR",IF($N50="00",IF(J50="1-Rate","HH 1RATE",IF(J50="2-Rate","HH 2RATE","")),IFERROR(VLOOKUP(CONCATENATE(N50,Q50,O50,P50),Lookups!$A$2:$E$4557,5,0),VLOOKUP(CONCATENATE(N50,Q50,O50),Lookups!$A$2:$E$4557,5,0)))),"ERROR")</f>
        <v>ERROR</v>
      </c>
      <c r="U50" s="133" t="str">
        <f>IFERROR(IF(NOT($N50="00"),"",VLOOKUP(CONCATENATE(Q50,P50,LOOKUP(2,1/(Lookups!$I$2:$I$11&lt;=E50)/(Lookups!$J$2:$J$11&gt;=Tool!$C$14),Lookups!$K$2:$K$11)),'HH LLFs'!$A$2:$K$500,3,0)),"ERROR")</f>
        <v/>
      </c>
      <c r="V50" s="132">
        <f>Calcs!$I$2</f>
        <v>44377</v>
      </c>
      <c r="W50" s="132">
        <f>Calcs!$I$4</f>
        <v>44592</v>
      </c>
      <c r="X50" s="153" t="str">
        <f>IF(NOT(N50="00"),"",(VLOOKUP(CONCATENATE(Q50,P50,LOOKUP(2,1/(Lookups!$I$2:$I$11&lt;=Multisite!E50)/(Lookups!$J$2:$J$11&gt;=E50),Lookups!$K$2:$K$11)),'HH LLFs'!$A$2:$F$282,6,0)*365)/12)</f>
        <v/>
      </c>
      <c r="Y50" s="153">
        <f t="shared" si="8"/>
        <v>0</v>
      </c>
      <c r="Z50" s="153" t="str">
        <f t="shared" si="17"/>
        <v/>
      </c>
      <c r="AA50" s="153" t="str">
        <f t="shared" si="9"/>
        <v/>
      </c>
      <c r="AB50" s="153" t="str">
        <f t="shared" si="18"/>
        <v/>
      </c>
      <c r="AC50" s="153" t="str">
        <f t="shared" si="10"/>
        <v/>
      </c>
      <c r="AD50" s="153" t="str">
        <f t="shared" si="11"/>
        <v/>
      </c>
      <c r="AE50" s="153" t="str">
        <f t="shared" si="12"/>
        <v/>
      </c>
      <c r="AF50" s="155" t="e">
        <f>LOOKUP(2,1/(Lookups!$I$2:$I$11&lt;=E50)/(Lookups!$J$2:$J$11&gt;=E50),Lookups!$L$2:$L$11)</f>
        <v>#N/A</v>
      </c>
      <c r="AG50" s="142" t="str">
        <f t="shared" si="13"/>
        <v/>
      </c>
      <c r="AH50" s="142" t="str">
        <f t="shared" si="14"/>
        <v/>
      </c>
      <c r="AI50" s="143" t="b">
        <f t="shared" si="19"/>
        <v>0</v>
      </c>
      <c r="AJ50" s="143" t="str">
        <f t="shared" si="15"/>
        <v>Level 1</v>
      </c>
      <c r="AK50" s="142">
        <f t="shared" si="16"/>
        <v>0</v>
      </c>
      <c r="AL50" s="157" t="str">
        <f t="shared" si="24"/>
        <v/>
      </c>
      <c r="AM50" s="144" t="str">
        <f t="shared" si="25"/>
        <v>--FALSE-0</v>
      </c>
      <c r="AN50" s="158" t="str">
        <f t="shared" si="20"/>
        <v/>
      </c>
      <c r="AO50" s="145"/>
      <c r="AP50" s="159" t="str">
        <f>IF($AN50=FALSE,"",IFERROR(INDEX('Flat Rates'!$A$1:$M$3880,MATCH($AM50,'Flat Rates'!$A$1:$A$3880,0),MATCH("Standing Charge",'Flat Rates'!$A$1:$M$1,0))*100,""))</f>
        <v/>
      </c>
      <c r="AQ50" s="148" t="str">
        <f>IF($AN50=FALSE,"",IFERROR((IF(NOT(T50="Unrestricted"),"",INDEX('Flat Rates'!$A$1:$M$3880,MATCH($AM50,'Flat Rates'!$A$1:$A$3880,0),MATCH("Uni/Day Rate",'Flat Rates'!$A$1:$M$1,0)))*100)+H50,""))</f>
        <v/>
      </c>
      <c r="AR50" s="148" t="str">
        <f>IF($AN50=FALSE,"",IFERROR((IF(T50="Unrestricted","",INDEX('Flat Rates'!$A$1:$M$3880,MATCH($AM50,'Flat Rates'!$A$1:$A$3880,0),MATCH("Uni/Day Rate",'Flat Rates'!$A$1:$M$1,0)))*100)+H50,""))</f>
        <v/>
      </c>
      <c r="AS50" s="148" t="str">
        <f>IF($AN50=FALSE,"",IFERROR(IF(INDEX('Flat Rates'!$A$1:$M$3880,MATCH($AM50,'Flat Rates'!$A$1:$A$3880,0),MATCH("Night Unit Rate",'Flat Rates'!$A$1:$M$1,0))=0,"",((INDEX('Flat Rates'!$A$1:$M$3880,MATCH($AM50,'Flat Rates'!$A$1:$A$3880,0),MATCH("Night Unit Rate",'Flat Rates'!$A$1:$M$1,0)))*100)+H50),""))</f>
        <v/>
      </c>
      <c r="AT50" s="148" t="str">
        <f>IF($AN50=FALSE,"",IFERROR(IF(INDEX('Flat Rates'!$A$1:$M$3880,MATCH($AM50,'Flat Rates'!$A$1:$A$3880,0),MATCH("Evening and Weekend Rate",'Flat Rates'!$A$1:$M$1,0))=0,"",((INDEX('Flat Rates'!$A$1:$M$3880,MATCH($AM50,'Flat Rates'!$A$1:$A$3880,0),MATCH("Evening and Weekend Rate",'Flat Rates'!$A$1:$M$1,0)))*100)+H50),""))</f>
        <v/>
      </c>
      <c r="AU50" s="152" t="str">
        <f t="shared" si="21"/>
        <v/>
      </c>
      <c r="AV50" s="152" t="str">
        <f t="shared" si="22"/>
        <v/>
      </c>
      <c r="AW50" s="152" t="str">
        <f t="shared" si="23"/>
        <v/>
      </c>
    </row>
    <row r="51" spans="2:49" ht="15" thickBot="1" x14ac:dyDescent="0.35">
      <c r="B51" s="138" t="str">
        <f t="shared" si="0"/>
        <v/>
      </c>
      <c r="C51" s="137"/>
      <c r="D51" s="139"/>
      <c r="E51" s="140"/>
      <c r="F51" s="140"/>
      <c r="G51" s="139"/>
      <c r="H51" s="151"/>
      <c r="I51" s="139"/>
      <c r="J51" s="138"/>
      <c r="K51" s="139"/>
      <c r="L51" s="141"/>
      <c r="M51" s="133" t="str">
        <f t="shared" si="1"/>
        <v/>
      </c>
      <c r="N51" s="133" t="str">
        <f t="shared" si="2"/>
        <v/>
      </c>
      <c r="O51" s="133" t="str">
        <f t="shared" si="3"/>
        <v/>
      </c>
      <c r="P51" s="133" t="str">
        <f t="shared" si="4"/>
        <v/>
      </c>
      <c r="Q51" s="133" t="str">
        <f t="shared" si="5"/>
        <v/>
      </c>
      <c r="R51" s="133" t="str">
        <f t="shared" si="6"/>
        <v/>
      </c>
      <c r="S51" s="133" t="str">
        <f t="shared" si="7"/>
        <v/>
      </c>
      <c r="T51" s="133" t="str">
        <f>IFERROR(IF($U51="ERROR","ERROR",IF($N51="00",IF(J51="1-Rate","HH 1RATE",IF(J51="2-Rate","HH 2RATE","")),IFERROR(VLOOKUP(CONCATENATE(N51,Q51,O51,P51),Lookups!$A$2:$E$4557,5,0),VLOOKUP(CONCATENATE(N51,Q51,O51),Lookups!$A$2:$E$4557,5,0)))),"ERROR")</f>
        <v>ERROR</v>
      </c>
      <c r="U51" s="133" t="str">
        <f>IFERROR(IF(NOT($N51="00"),"",VLOOKUP(CONCATENATE(Q51,P51,LOOKUP(2,1/(Lookups!$I$2:$I$11&lt;=E51)/(Lookups!$J$2:$J$11&gt;=Tool!$C$14),Lookups!$K$2:$K$11)),'HH LLFs'!$A$2:$K$500,3,0)),"ERROR")</f>
        <v/>
      </c>
      <c r="V51" s="132">
        <f>Calcs!$I$2</f>
        <v>44377</v>
      </c>
      <c r="W51" s="132">
        <f>Calcs!$I$4</f>
        <v>44592</v>
      </c>
      <c r="X51" s="153" t="str">
        <f>IF(NOT(N51="00"),"",(VLOOKUP(CONCATENATE(Q51,P51,LOOKUP(2,1/(Lookups!$I$2:$I$11&lt;=Multisite!E51)/(Lookups!$J$2:$J$11&gt;=E51),Lookups!$K$2:$K$11)),'HH LLFs'!$A$2:$F$282,6,0)*365)/12)</f>
        <v/>
      </c>
      <c r="Y51" s="153">
        <f t="shared" si="8"/>
        <v>0</v>
      </c>
      <c r="Z51" s="153" t="str">
        <f t="shared" si="17"/>
        <v/>
      </c>
      <c r="AA51" s="153" t="str">
        <f t="shared" si="9"/>
        <v/>
      </c>
      <c r="AB51" s="153" t="str">
        <f t="shared" si="18"/>
        <v/>
      </c>
      <c r="AC51" s="153" t="str">
        <f t="shared" si="10"/>
        <v/>
      </c>
      <c r="AD51" s="153" t="str">
        <f t="shared" si="11"/>
        <v/>
      </c>
      <c r="AE51" s="153" t="str">
        <f t="shared" si="12"/>
        <v/>
      </c>
      <c r="AF51" s="155" t="e">
        <f>LOOKUP(2,1/(Lookups!$I$2:$I$11&lt;=E51)/(Lookups!$J$2:$J$11&gt;=E51),Lookups!$L$2:$L$11)</f>
        <v>#N/A</v>
      </c>
      <c r="AG51" s="142" t="str">
        <f t="shared" si="13"/>
        <v/>
      </c>
      <c r="AH51" s="142" t="str">
        <f t="shared" si="14"/>
        <v/>
      </c>
      <c r="AI51" s="143" t="b">
        <f t="shared" si="19"/>
        <v>0</v>
      </c>
      <c r="AJ51" s="143" t="str">
        <f t="shared" si="15"/>
        <v>Level 1</v>
      </c>
      <c r="AK51" s="142">
        <f t="shared" si="16"/>
        <v>0</v>
      </c>
      <c r="AL51" s="157" t="str">
        <f t="shared" si="24"/>
        <v/>
      </c>
      <c r="AM51" s="144" t="str">
        <f t="shared" si="25"/>
        <v>--FALSE-0</v>
      </c>
      <c r="AN51" s="158" t="str">
        <f t="shared" si="20"/>
        <v/>
      </c>
      <c r="AO51" s="145"/>
      <c r="AP51" s="159" t="str">
        <f>IF($AN51=FALSE,"",IFERROR(INDEX('Flat Rates'!$A$1:$M$3880,MATCH($AM51,'Flat Rates'!$A$1:$A$3880,0),MATCH("Standing Charge",'Flat Rates'!$A$1:$M$1,0))*100,""))</f>
        <v/>
      </c>
      <c r="AQ51" s="148" t="str">
        <f>IF($AN51=FALSE,"",IFERROR((IF(NOT(T51="Unrestricted"),"",INDEX('Flat Rates'!$A$1:$M$3880,MATCH($AM51,'Flat Rates'!$A$1:$A$3880,0),MATCH("Uni/Day Rate",'Flat Rates'!$A$1:$M$1,0)))*100)+H51,""))</f>
        <v/>
      </c>
      <c r="AR51" s="148" t="str">
        <f>IF($AN51=FALSE,"",IFERROR((IF(T51="Unrestricted","",INDEX('Flat Rates'!$A$1:$M$3880,MATCH($AM51,'Flat Rates'!$A$1:$A$3880,0),MATCH("Uni/Day Rate",'Flat Rates'!$A$1:$M$1,0)))*100)+H51,""))</f>
        <v/>
      </c>
      <c r="AS51" s="148" t="str">
        <f>IF($AN51=FALSE,"",IFERROR(IF(INDEX('Flat Rates'!$A$1:$M$3880,MATCH($AM51,'Flat Rates'!$A$1:$A$3880,0),MATCH("Night Unit Rate",'Flat Rates'!$A$1:$M$1,0))=0,"",((INDEX('Flat Rates'!$A$1:$M$3880,MATCH($AM51,'Flat Rates'!$A$1:$A$3880,0),MATCH("Night Unit Rate",'Flat Rates'!$A$1:$M$1,0)))*100)+H51),""))</f>
        <v/>
      </c>
      <c r="AT51" s="148" t="str">
        <f>IF($AN51=FALSE,"",IFERROR(IF(INDEX('Flat Rates'!$A$1:$M$3880,MATCH($AM51,'Flat Rates'!$A$1:$A$3880,0),MATCH("Evening and Weekend Rate",'Flat Rates'!$A$1:$M$1,0))=0,"",((INDEX('Flat Rates'!$A$1:$M$3880,MATCH($AM51,'Flat Rates'!$A$1:$A$3880,0),MATCH("Evening and Weekend Rate",'Flat Rates'!$A$1:$M$1,0)))*100)+H51),""))</f>
        <v/>
      </c>
      <c r="AU51" s="152" t="str">
        <f t="shared" si="21"/>
        <v/>
      </c>
      <c r="AV51" s="152" t="str">
        <f t="shared" si="22"/>
        <v/>
      </c>
      <c r="AW51" s="152" t="str">
        <f t="shared" si="23"/>
        <v/>
      </c>
    </row>
    <row r="52" spans="2:49" ht="15" thickBot="1" x14ac:dyDescent="0.35">
      <c r="B52" s="138" t="str">
        <f t="shared" si="0"/>
        <v/>
      </c>
      <c r="C52" s="137"/>
      <c r="D52" s="139"/>
      <c r="E52" s="140"/>
      <c r="F52" s="140"/>
      <c r="G52" s="139"/>
      <c r="H52" s="151"/>
      <c r="I52" s="139"/>
      <c r="J52" s="137"/>
      <c r="K52" s="139"/>
      <c r="L52" s="141"/>
      <c r="M52" s="133" t="str">
        <f t="shared" si="1"/>
        <v/>
      </c>
      <c r="N52" s="133" t="str">
        <f t="shared" si="2"/>
        <v/>
      </c>
      <c r="O52" s="133" t="str">
        <f t="shared" si="3"/>
        <v/>
      </c>
      <c r="P52" s="133" t="str">
        <f t="shared" si="4"/>
        <v/>
      </c>
      <c r="Q52" s="133" t="str">
        <f t="shared" si="5"/>
        <v/>
      </c>
      <c r="R52" s="133" t="str">
        <f t="shared" si="6"/>
        <v/>
      </c>
      <c r="S52" s="133" t="str">
        <f t="shared" si="7"/>
        <v/>
      </c>
      <c r="T52" s="133" t="str">
        <f>IFERROR(IF($U52="ERROR","ERROR",IF($N52="00",IF(J52="1-Rate","HH 1RATE",IF(J52="2-Rate","HH 2RATE","")),IFERROR(VLOOKUP(CONCATENATE(N52,Q52,O52,P52),Lookups!$A$2:$E$4557,5,0),VLOOKUP(CONCATENATE(N52,Q52,O52),Lookups!$A$2:$E$4557,5,0)))),"ERROR")</f>
        <v>ERROR</v>
      </c>
      <c r="U52" s="133" t="str">
        <f>IFERROR(IF(NOT($N52="00"),"",VLOOKUP(CONCATENATE(Q52,P52,LOOKUP(2,1/(Lookups!$I$2:$I$11&lt;=E52)/(Lookups!$J$2:$J$11&gt;=Tool!$C$14),Lookups!$K$2:$K$11)),'HH LLFs'!$A$2:$K$500,3,0)),"ERROR")</f>
        <v/>
      </c>
      <c r="V52" s="132">
        <f>Calcs!$I$2</f>
        <v>44377</v>
      </c>
      <c r="W52" s="132">
        <f>Calcs!$I$4</f>
        <v>44592</v>
      </c>
      <c r="X52" s="153" t="str">
        <f>IF(NOT(N52="00"),"",(VLOOKUP(CONCATENATE(Q52,P52,LOOKUP(2,1/(Lookups!$I$2:$I$11&lt;=Multisite!E52)/(Lookups!$J$2:$J$11&gt;=E52),Lookups!$K$2:$K$11)),'HH LLFs'!$A$2:$F$282,6,0)*365)/12)</f>
        <v/>
      </c>
      <c r="Y52" s="153">
        <f t="shared" si="8"/>
        <v>0</v>
      </c>
      <c r="Z52" s="153" t="str">
        <f t="shared" si="17"/>
        <v/>
      </c>
      <c r="AA52" s="153" t="str">
        <f t="shared" si="9"/>
        <v/>
      </c>
      <c r="AB52" s="153" t="str">
        <f t="shared" si="18"/>
        <v/>
      </c>
      <c r="AC52" s="153" t="str">
        <f t="shared" si="10"/>
        <v/>
      </c>
      <c r="AD52" s="153" t="str">
        <f t="shared" si="11"/>
        <v/>
      </c>
      <c r="AE52" s="153" t="str">
        <f t="shared" si="12"/>
        <v/>
      </c>
      <c r="AF52" s="155" t="e">
        <f>LOOKUP(2,1/(Lookups!$I$2:$I$11&lt;=E52)/(Lookups!$J$2:$J$11&gt;=E52),Lookups!$L$2:$L$11)</f>
        <v>#N/A</v>
      </c>
      <c r="AG52" s="142" t="str">
        <f t="shared" si="13"/>
        <v/>
      </c>
      <c r="AH52" s="142" t="str">
        <f t="shared" si="14"/>
        <v/>
      </c>
      <c r="AI52" s="143" t="b">
        <f t="shared" si="19"/>
        <v>0</v>
      </c>
      <c r="AJ52" s="143" t="str">
        <f t="shared" si="15"/>
        <v>Level 1</v>
      </c>
      <c r="AK52" s="142">
        <f t="shared" si="16"/>
        <v>0</v>
      </c>
      <c r="AL52" s="157" t="str">
        <f t="shared" si="24"/>
        <v/>
      </c>
      <c r="AM52" s="144" t="str">
        <f t="shared" si="25"/>
        <v>--FALSE-0</v>
      </c>
      <c r="AN52" s="158" t="str">
        <f t="shared" si="20"/>
        <v/>
      </c>
      <c r="AO52" s="145"/>
      <c r="AP52" s="159" t="str">
        <f>IF($AN52=FALSE,"",IFERROR(INDEX('Flat Rates'!$A$1:$M$3880,MATCH($AM52,'Flat Rates'!$A$1:$A$3880,0),MATCH("Standing Charge",'Flat Rates'!$A$1:$M$1,0))*100,""))</f>
        <v/>
      </c>
      <c r="AQ52" s="148" t="str">
        <f>IF($AN52=FALSE,"",IFERROR((IF(NOT(T52="Unrestricted"),"",INDEX('Flat Rates'!$A$1:$M$3880,MATCH($AM52,'Flat Rates'!$A$1:$A$3880,0),MATCH("Uni/Day Rate",'Flat Rates'!$A$1:$M$1,0)))*100)+H52,""))</f>
        <v/>
      </c>
      <c r="AR52" s="148" t="str">
        <f>IF($AN52=FALSE,"",IFERROR((IF(T52="Unrestricted","",INDEX('Flat Rates'!$A$1:$M$3880,MATCH($AM52,'Flat Rates'!$A$1:$A$3880,0),MATCH("Uni/Day Rate",'Flat Rates'!$A$1:$M$1,0)))*100)+H52,""))</f>
        <v/>
      </c>
      <c r="AS52" s="148" t="str">
        <f>IF($AN52=FALSE,"",IFERROR(IF(INDEX('Flat Rates'!$A$1:$M$3880,MATCH($AM52,'Flat Rates'!$A$1:$A$3880,0),MATCH("Night Unit Rate",'Flat Rates'!$A$1:$M$1,0))=0,"",((INDEX('Flat Rates'!$A$1:$M$3880,MATCH($AM52,'Flat Rates'!$A$1:$A$3880,0),MATCH("Night Unit Rate",'Flat Rates'!$A$1:$M$1,0)))*100)+H52),""))</f>
        <v/>
      </c>
      <c r="AT52" s="148" t="str">
        <f>IF($AN52=FALSE,"",IFERROR(IF(INDEX('Flat Rates'!$A$1:$M$3880,MATCH($AM52,'Flat Rates'!$A$1:$A$3880,0),MATCH("Evening and Weekend Rate",'Flat Rates'!$A$1:$M$1,0))=0,"",((INDEX('Flat Rates'!$A$1:$M$3880,MATCH($AM52,'Flat Rates'!$A$1:$A$3880,0),MATCH("Evening and Weekend Rate",'Flat Rates'!$A$1:$M$1,0)))*100)+H52),""))</f>
        <v/>
      </c>
      <c r="AU52" s="152" t="str">
        <f t="shared" si="21"/>
        <v/>
      </c>
      <c r="AV52" s="152" t="str">
        <f t="shared" si="22"/>
        <v/>
      </c>
      <c r="AW52" s="152" t="str">
        <f t="shared" si="23"/>
        <v/>
      </c>
    </row>
    <row r="53" spans="2:49" ht="15" thickBot="1" x14ac:dyDescent="0.35">
      <c r="B53" s="138" t="str">
        <f t="shared" si="0"/>
        <v/>
      </c>
      <c r="C53" s="137"/>
      <c r="D53" s="139"/>
      <c r="E53" s="140"/>
      <c r="F53" s="140"/>
      <c r="G53" s="139"/>
      <c r="H53" s="151"/>
      <c r="I53" s="139"/>
      <c r="J53" s="138"/>
      <c r="K53" s="139"/>
      <c r="L53" s="141"/>
      <c r="M53" s="133" t="str">
        <f t="shared" si="1"/>
        <v/>
      </c>
      <c r="N53" s="133" t="str">
        <f t="shared" si="2"/>
        <v/>
      </c>
      <c r="O53" s="133" t="str">
        <f t="shared" si="3"/>
        <v/>
      </c>
      <c r="P53" s="133" t="str">
        <f t="shared" si="4"/>
        <v/>
      </c>
      <c r="Q53" s="133" t="str">
        <f t="shared" si="5"/>
        <v/>
      </c>
      <c r="R53" s="133" t="str">
        <f t="shared" si="6"/>
        <v/>
      </c>
      <c r="S53" s="133" t="str">
        <f t="shared" si="7"/>
        <v/>
      </c>
      <c r="T53" s="133" t="str">
        <f>IFERROR(IF($U53="ERROR","ERROR",IF($N53="00",IF(J53="1-Rate","HH 1RATE",IF(J53="2-Rate","HH 2RATE","")),IFERROR(VLOOKUP(CONCATENATE(N53,Q53,O53,P53),Lookups!$A$2:$E$4557,5,0),VLOOKUP(CONCATENATE(N53,Q53,O53),Lookups!$A$2:$E$4557,5,0)))),"ERROR")</f>
        <v>ERROR</v>
      </c>
      <c r="U53" s="133" t="str">
        <f>IFERROR(IF(NOT($N53="00"),"",VLOOKUP(CONCATENATE(Q53,P53,LOOKUP(2,1/(Lookups!$I$2:$I$11&lt;=E53)/(Lookups!$J$2:$J$11&gt;=Tool!$C$14),Lookups!$K$2:$K$11)),'HH LLFs'!$A$2:$K$500,3,0)),"ERROR")</f>
        <v/>
      </c>
      <c r="V53" s="132">
        <f>Calcs!$I$2</f>
        <v>44377</v>
      </c>
      <c r="W53" s="132">
        <f>Calcs!$I$4</f>
        <v>44592</v>
      </c>
      <c r="X53" s="153" t="str">
        <f>IF(NOT(N53="00"),"",(VLOOKUP(CONCATENATE(Q53,P53,LOOKUP(2,1/(Lookups!$I$2:$I$11&lt;=Multisite!E53)/(Lookups!$J$2:$J$11&gt;=E53),Lookups!$K$2:$K$11)),'HH LLFs'!$A$2:$F$282,6,0)*365)/12)</f>
        <v/>
      </c>
      <c r="Y53" s="153">
        <f t="shared" si="8"/>
        <v>0</v>
      </c>
      <c r="Z53" s="153" t="str">
        <f t="shared" si="17"/>
        <v/>
      </c>
      <c r="AA53" s="153" t="str">
        <f t="shared" si="9"/>
        <v/>
      </c>
      <c r="AB53" s="153" t="str">
        <f t="shared" si="18"/>
        <v/>
      </c>
      <c r="AC53" s="153" t="str">
        <f t="shared" si="10"/>
        <v/>
      </c>
      <c r="AD53" s="153" t="str">
        <f t="shared" si="11"/>
        <v/>
      </c>
      <c r="AE53" s="153" t="str">
        <f t="shared" si="12"/>
        <v/>
      </c>
      <c r="AF53" s="155" t="e">
        <f>LOOKUP(2,1/(Lookups!$I$2:$I$11&lt;=E53)/(Lookups!$J$2:$J$11&gt;=E53),Lookups!$L$2:$L$11)</f>
        <v>#N/A</v>
      </c>
      <c r="AG53" s="142" t="str">
        <f t="shared" si="13"/>
        <v/>
      </c>
      <c r="AH53" s="142" t="str">
        <f t="shared" si="14"/>
        <v/>
      </c>
      <c r="AI53" s="143" t="b">
        <f t="shared" si="19"/>
        <v>0</v>
      </c>
      <c r="AJ53" s="143" t="str">
        <f t="shared" si="15"/>
        <v>Level 1</v>
      </c>
      <c r="AK53" s="142">
        <f t="shared" si="16"/>
        <v>0</v>
      </c>
      <c r="AL53" s="157" t="str">
        <f t="shared" si="24"/>
        <v/>
      </c>
      <c r="AM53" s="144" t="str">
        <f t="shared" si="25"/>
        <v>--FALSE-0</v>
      </c>
      <c r="AN53" s="158" t="str">
        <f t="shared" si="20"/>
        <v/>
      </c>
      <c r="AO53" s="145"/>
      <c r="AP53" s="159" t="str">
        <f>IF($AN53=FALSE,"",IFERROR(INDEX('Flat Rates'!$A$1:$M$3880,MATCH($AM53,'Flat Rates'!$A$1:$A$3880,0),MATCH("Standing Charge",'Flat Rates'!$A$1:$M$1,0))*100,""))</f>
        <v/>
      </c>
      <c r="AQ53" s="148" t="str">
        <f>IF($AN53=FALSE,"",IFERROR((IF(NOT(T53="Unrestricted"),"",INDEX('Flat Rates'!$A$1:$M$3880,MATCH($AM53,'Flat Rates'!$A$1:$A$3880,0),MATCH("Uni/Day Rate",'Flat Rates'!$A$1:$M$1,0)))*100)+H53,""))</f>
        <v/>
      </c>
      <c r="AR53" s="148" t="str">
        <f>IF($AN53=FALSE,"",IFERROR((IF(T53="Unrestricted","",INDEX('Flat Rates'!$A$1:$M$3880,MATCH($AM53,'Flat Rates'!$A$1:$A$3880,0),MATCH("Uni/Day Rate",'Flat Rates'!$A$1:$M$1,0)))*100)+H53,""))</f>
        <v/>
      </c>
      <c r="AS53" s="148" t="str">
        <f>IF($AN53=FALSE,"",IFERROR(IF(INDEX('Flat Rates'!$A$1:$M$3880,MATCH($AM53,'Flat Rates'!$A$1:$A$3880,0),MATCH("Night Unit Rate",'Flat Rates'!$A$1:$M$1,0))=0,"",((INDEX('Flat Rates'!$A$1:$M$3880,MATCH($AM53,'Flat Rates'!$A$1:$A$3880,0),MATCH("Night Unit Rate",'Flat Rates'!$A$1:$M$1,0)))*100)+H53),""))</f>
        <v/>
      </c>
      <c r="AT53" s="148" t="str">
        <f>IF($AN53=FALSE,"",IFERROR(IF(INDEX('Flat Rates'!$A$1:$M$3880,MATCH($AM53,'Flat Rates'!$A$1:$A$3880,0),MATCH("Evening and Weekend Rate",'Flat Rates'!$A$1:$M$1,0))=0,"",((INDEX('Flat Rates'!$A$1:$M$3880,MATCH($AM53,'Flat Rates'!$A$1:$A$3880,0),MATCH("Evening and Weekend Rate",'Flat Rates'!$A$1:$M$1,0)))*100)+H53),""))</f>
        <v/>
      </c>
      <c r="AU53" s="152" t="str">
        <f t="shared" si="21"/>
        <v/>
      </c>
      <c r="AV53" s="152" t="str">
        <f t="shared" si="22"/>
        <v/>
      </c>
      <c r="AW53" s="152" t="str">
        <f t="shared" si="23"/>
        <v/>
      </c>
    </row>
    <row r="54" spans="2:49" ht="15" thickBot="1" x14ac:dyDescent="0.35">
      <c r="B54" s="138" t="str">
        <f t="shared" si="0"/>
        <v/>
      </c>
      <c r="C54" s="137"/>
      <c r="D54" s="139"/>
      <c r="E54" s="140"/>
      <c r="F54" s="140"/>
      <c r="G54" s="139"/>
      <c r="H54" s="151"/>
      <c r="I54" s="139"/>
      <c r="J54" s="137"/>
      <c r="K54" s="139"/>
      <c r="L54" s="141"/>
      <c r="M54" s="133" t="str">
        <f t="shared" si="1"/>
        <v/>
      </c>
      <c r="N54" s="133" t="str">
        <f t="shared" si="2"/>
        <v/>
      </c>
      <c r="O54" s="133" t="str">
        <f t="shared" si="3"/>
        <v/>
      </c>
      <c r="P54" s="133" t="str">
        <f t="shared" si="4"/>
        <v/>
      </c>
      <c r="Q54" s="133" t="str">
        <f t="shared" si="5"/>
        <v/>
      </c>
      <c r="R54" s="133" t="str">
        <f t="shared" si="6"/>
        <v/>
      </c>
      <c r="S54" s="133" t="str">
        <f t="shared" si="7"/>
        <v/>
      </c>
      <c r="T54" s="133" t="str">
        <f>IFERROR(IF($U54="ERROR","ERROR",IF($N54="00",IF(J54="1-Rate","HH 1RATE",IF(J54="2-Rate","HH 2RATE","")),IFERROR(VLOOKUP(CONCATENATE(N54,Q54,O54,P54),Lookups!$A$2:$E$4557,5,0),VLOOKUP(CONCATENATE(N54,Q54,O54),Lookups!$A$2:$E$4557,5,0)))),"ERROR")</f>
        <v>ERROR</v>
      </c>
      <c r="U54" s="133" t="str">
        <f>IFERROR(IF(NOT($N54="00"),"",VLOOKUP(CONCATENATE(Q54,P54,LOOKUP(2,1/(Lookups!$I$2:$I$11&lt;=E54)/(Lookups!$J$2:$J$11&gt;=Tool!$C$14),Lookups!$K$2:$K$11)),'HH LLFs'!$A$2:$K$500,3,0)),"ERROR")</f>
        <v/>
      </c>
      <c r="V54" s="132">
        <f>Calcs!$I$2</f>
        <v>44377</v>
      </c>
      <c r="W54" s="132">
        <f>Calcs!$I$4</f>
        <v>44592</v>
      </c>
      <c r="X54" s="153" t="str">
        <f>IF(NOT(N54="00"),"",(VLOOKUP(CONCATENATE(Q54,P54,LOOKUP(2,1/(Lookups!$I$2:$I$11&lt;=Multisite!E54)/(Lookups!$J$2:$J$11&gt;=E54),Lookups!$K$2:$K$11)),'HH LLFs'!$A$2:$F$282,6,0)*365)/12)</f>
        <v/>
      </c>
      <c r="Y54" s="153">
        <f t="shared" si="8"/>
        <v>0</v>
      </c>
      <c r="Z54" s="153" t="str">
        <f t="shared" si="17"/>
        <v/>
      </c>
      <c r="AA54" s="153" t="str">
        <f t="shared" si="9"/>
        <v/>
      </c>
      <c r="AB54" s="153" t="str">
        <f t="shared" si="18"/>
        <v/>
      </c>
      <c r="AC54" s="153" t="str">
        <f t="shared" si="10"/>
        <v/>
      </c>
      <c r="AD54" s="153" t="str">
        <f t="shared" si="11"/>
        <v/>
      </c>
      <c r="AE54" s="153" t="str">
        <f t="shared" si="12"/>
        <v/>
      </c>
      <c r="AF54" s="155" t="e">
        <f>LOOKUP(2,1/(Lookups!$I$2:$I$11&lt;=E54)/(Lookups!$J$2:$J$11&gt;=E54),Lookups!$L$2:$L$11)</f>
        <v>#N/A</v>
      </c>
      <c r="AG54" s="142" t="str">
        <f t="shared" si="13"/>
        <v/>
      </c>
      <c r="AH54" s="142" t="str">
        <f t="shared" si="14"/>
        <v/>
      </c>
      <c r="AI54" s="143" t="b">
        <f t="shared" si="19"/>
        <v>0</v>
      </c>
      <c r="AJ54" s="143" t="str">
        <f t="shared" si="15"/>
        <v>Level 1</v>
      </c>
      <c r="AK54" s="142">
        <f t="shared" si="16"/>
        <v>0</v>
      </c>
      <c r="AL54" s="157" t="str">
        <f t="shared" si="24"/>
        <v/>
      </c>
      <c r="AM54" s="144" t="str">
        <f t="shared" si="25"/>
        <v>--FALSE-0</v>
      </c>
      <c r="AN54" s="158" t="str">
        <f t="shared" si="20"/>
        <v/>
      </c>
      <c r="AO54" s="145"/>
      <c r="AP54" s="159" t="str">
        <f>IF($AN54=FALSE,"",IFERROR(INDEX('Flat Rates'!$A$1:$M$3880,MATCH($AM54,'Flat Rates'!$A$1:$A$3880,0),MATCH("Standing Charge",'Flat Rates'!$A$1:$M$1,0))*100,""))</f>
        <v/>
      </c>
      <c r="AQ54" s="148" t="str">
        <f>IF($AN54=FALSE,"",IFERROR((IF(NOT(T54="Unrestricted"),"",INDEX('Flat Rates'!$A$1:$M$3880,MATCH($AM54,'Flat Rates'!$A$1:$A$3880,0),MATCH("Uni/Day Rate",'Flat Rates'!$A$1:$M$1,0)))*100)+H54,""))</f>
        <v/>
      </c>
      <c r="AR54" s="148" t="str">
        <f>IF($AN54=FALSE,"",IFERROR((IF(T54="Unrestricted","",INDEX('Flat Rates'!$A$1:$M$3880,MATCH($AM54,'Flat Rates'!$A$1:$A$3880,0),MATCH("Uni/Day Rate",'Flat Rates'!$A$1:$M$1,0)))*100)+H54,""))</f>
        <v/>
      </c>
      <c r="AS54" s="148" t="str">
        <f>IF($AN54=FALSE,"",IFERROR(IF(INDEX('Flat Rates'!$A$1:$M$3880,MATCH($AM54,'Flat Rates'!$A$1:$A$3880,0),MATCH("Night Unit Rate",'Flat Rates'!$A$1:$M$1,0))=0,"",((INDEX('Flat Rates'!$A$1:$M$3880,MATCH($AM54,'Flat Rates'!$A$1:$A$3880,0),MATCH("Night Unit Rate",'Flat Rates'!$A$1:$M$1,0)))*100)+H54),""))</f>
        <v/>
      </c>
      <c r="AT54" s="148" t="str">
        <f>IF($AN54=FALSE,"",IFERROR(IF(INDEX('Flat Rates'!$A$1:$M$3880,MATCH($AM54,'Flat Rates'!$A$1:$A$3880,0),MATCH("Evening and Weekend Rate",'Flat Rates'!$A$1:$M$1,0))=0,"",((INDEX('Flat Rates'!$A$1:$M$3880,MATCH($AM54,'Flat Rates'!$A$1:$A$3880,0),MATCH("Evening and Weekend Rate",'Flat Rates'!$A$1:$M$1,0)))*100)+H54),""))</f>
        <v/>
      </c>
      <c r="AU54" s="152" t="str">
        <f t="shared" si="21"/>
        <v/>
      </c>
      <c r="AV54" s="152" t="str">
        <f t="shared" si="22"/>
        <v/>
      </c>
      <c r="AW54" s="152" t="str">
        <f t="shared" si="23"/>
        <v/>
      </c>
    </row>
    <row r="55" spans="2:49" ht="15" thickBot="1" x14ac:dyDescent="0.35">
      <c r="B55" s="138" t="str">
        <f t="shared" si="0"/>
        <v/>
      </c>
      <c r="C55" s="137"/>
      <c r="D55" s="139"/>
      <c r="E55" s="140"/>
      <c r="F55" s="140"/>
      <c r="G55" s="139"/>
      <c r="H55" s="151"/>
      <c r="I55" s="139"/>
      <c r="J55" s="138"/>
      <c r="K55" s="139"/>
      <c r="L55" s="141"/>
      <c r="M55" s="133" t="str">
        <f t="shared" si="1"/>
        <v/>
      </c>
      <c r="N55" s="133" t="str">
        <f t="shared" si="2"/>
        <v/>
      </c>
      <c r="O55" s="133" t="str">
        <f t="shared" si="3"/>
        <v/>
      </c>
      <c r="P55" s="133" t="str">
        <f t="shared" si="4"/>
        <v/>
      </c>
      <c r="Q55" s="133" t="str">
        <f t="shared" si="5"/>
        <v/>
      </c>
      <c r="R55" s="133" t="str">
        <f t="shared" si="6"/>
        <v/>
      </c>
      <c r="S55" s="133" t="str">
        <f t="shared" si="7"/>
        <v/>
      </c>
      <c r="T55" s="133" t="str">
        <f>IFERROR(IF($U55="ERROR","ERROR",IF($N55="00",IF(J55="1-Rate","HH 1RATE",IF(J55="2-Rate","HH 2RATE","")),IFERROR(VLOOKUP(CONCATENATE(N55,Q55,O55,P55),Lookups!$A$2:$E$4557,5,0),VLOOKUP(CONCATENATE(N55,Q55,O55),Lookups!$A$2:$E$4557,5,0)))),"ERROR")</f>
        <v>ERROR</v>
      </c>
      <c r="U55" s="133" t="str">
        <f>IFERROR(IF(NOT($N55="00"),"",VLOOKUP(CONCATENATE(Q55,P55,LOOKUP(2,1/(Lookups!$I$2:$I$11&lt;=E55)/(Lookups!$J$2:$J$11&gt;=Tool!$C$14),Lookups!$K$2:$K$11)),'HH LLFs'!$A$2:$K$500,3,0)),"ERROR")</f>
        <v/>
      </c>
      <c r="V55" s="132">
        <f>Calcs!$I$2</f>
        <v>44377</v>
      </c>
      <c r="W55" s="132">
        <f>Calcs!$I$4</f>
        <v>44592</v>
      </c>
      <c r="X55" s="153" t="str">
        <f>IF(NOT(N55="00"),"",(VLOOKUP(CONCATENATE(Q55,P55,LOOKUP(2,1/(Lookups!$I$2:$I$11&lt;=Multisite!E55)/(Lookups!$J$2:$J$11&gt;=E55),Lookups!$K$2:$K$11)),'HH LLFs'!$A$2:$F$282,6,0)*365)/12)</f>
        <v/>
      </c>
      <c r="Y55" s="153">
        <f t="shared" si="8"/>
        <v>0</v>
      </c>
      <c r="Z55" s="153" t="str">
        <f t="shared" si="17"/>
        <v/>
      </c>
      <c r="AA55" s="153" t="str">
        <f t="shared" si="9"/>
        <v/>
      </c>
      <c r="AB55" s="153" t="str">
        <f t="shared" si="18"/>
        <v/>
      </c>
      <c r="AC55" s="153" t="str">
        <f t="shared" si="10"/>
        <v/>
      </c>
      <c r="AD55" s="153" t="str">
        <f t="shared" si="11"/>
        <v/>
      </c>
      <c r="AE55" s="153" t="str">
        <f t="shared" si="12"/>
        <v/>
      </c>
      <c r="AF55" s="155" t="e">
        <f>LOOKUP(2,1/(Lookups!$I$2:$I$11&lt;=E55)/(Lookups!$J$2:$J$11&gt;=E55),Lookups!$L$2:$L$11)</f>
        <v>#N/A</v>
      </c>
      <c r="AG55" s="142" t="str">
        <f t="shared" si="13"/>
        <v/>
      </c>
      <c r="AH55" s="142" t="str">
        <f t="shared" si="14"/>
        <v/>
      </c>
      <c r="AI55" s="143" t="b">
        <f t="shared" si="19"/>
        <v>0</v>
      </c>
      <c r="AJ55" s="143" t="str">
        <f t="shared" si="15"/>
        <v>Level 1</v>
      </c>
      <c r="AK55" s="142">
        <f t="shared" si="16"/>
        <v>0</v>
      </c>
      <c r="AL55" s="157" t="str">
        <f t="shared" si="24"/>
        <v/>
      </c>
      <c r="AM55" s="144" t="str">
        <f t="shared" si="25"/>
        <v>--FALSE-0</v>
      </c>
      <c r="AN55" s="158" t="str">
        <f t="shared" si="20"/>
        <v/>
      </c>
      <c r="AO55" s="145"/>
      <c r="AP55" s="159" t="str">
        <f>IF($AN55=FALSE,"",IFERROR(INDEX('Flat Rates'!$A$1:$M$3880,MATCH($AM55,'Flat Rates'!$A$1:$A$3880,0),MATCH("Standing Charge",'Flat Rates'!$A$1:$M$1,0))*100,""))</f>
        <v/>
      </c>
      <c r="AQ55" s="148" t="str">
        <f>IF($AN55=FALSE,"",IFERROR((IF(NOT(T55="Unrestricted"),"",INDEX('Flat Rates'!$A$1:$M$3880,MATCH($AM55,'Flat Rates'!$A$1:$A$3880,0),MATCH("Uni/Day Rate",'Flat Rates'!$A$1:$M$1,0)))*100)+H55,""))</f>
        <v/>
      </c>
      <c r="AR55" s="148" t="str">
        <f>IF($AN55=FALSE,"",IFERROR((IF(T55="Unrestricted","",INDEX('Flat Rates'!$A$1:$M$3880,MATCH($AM55,'Flat Rates'!$A$1:$A$3880,0),MATCH("Uni/Day Rate",'Flat Rates'!$A$1:$M$1,0)))*100)+H55,""))</f>
        <v/>
      </c>
      <c r="AS55" s="148" t="str">
        <f>IF($AN55=FALSE,"",IFERROR(IF(INDEX('Flat Rates'!$A$1:$M$3880,MATCH($AM55,'Flat Rates'!$A$1:$A$3880,0),MATCH("Night Unit Rate",'Flat Rates'!$A$1:$M$1,0))=0,"",((INDEX('Flat Rates'!$A$1:$M$3880,MATCH($AM55,'Flat Rates'!$A$1:$A$3880,0),MATCH("Night Unit Rate",'Flat Rates'!$A$1:$M$1,0)))*100)+H55),""))</f>
        <v/>
      </c>
      <c r="AT55" s="148" t="str">
        <f>IF($AN55=FALSE,"",IFERROR(IF(INDEX('Flat Rates'!$A$1:$M$3880,MATCH($AM55,'Flat Rates'!$A$1:$A$3880,0),MATCH("Evening and Weekend Rate",'Flat Rates'!$A$1:$M$1,0))=0,"",((INDEX('Flat Rates'!$A$1:$M$3880,MATCH($AM55,'Flat Rates'!$A$1:$A$3880,0),MATCH("Evening and Weekend Rate",'Flat Rates'!$A$1:$M$1,0)))*100)+H55),""))</f>
        <v/>
      </c>
      <c r="AU55" s="152" t="str">
        <f t="shared" si="21"/>
        <v/>
      </c>
      <c r="AV55" s="152" t="str">
        <f t="shared" si="22"/>
        <v/>
      </c>
      <c r="AW55" s="152" t="str">
        <f t="shared" si="23"/>
        <v/>
      </c>
    </row>
    <row r="56" spans="2:49" ht="15" thickBot="1" x14ac:dyDescent="0.35">
      <c r="B56" s="138" t="str">
        <f t="shared" si="0"/>
        <v/>
      </c>
      <c r="C56" s="137"/>
      <c r="D56" s="139"/>
      <c r="E56" s="140"/>
      <c r="F56" s="140"/>
      <c r="G56" s="139"/>
      <c r="H56" s="151"/>
      <c r="I56" s="139"/>
      <c r="J56" s="137"/>
      <c r="K56" s="139"/>
      <c r="L56" s="141"/>
      <c r="M56" s="133" t="str">
        <f t="shared" si="1"/>
        <v/>
      </c>
      <c r="N56" s="133" t="str">
        <f t="shared" si="2"/>
        <v/>
      </c>
      <c r="O56" s="133" t="str">
        <f t="shared" si="3"/>
        <v/>
      </c>
      <c r="P56" s="133" t="str">
        <f t="shared" si="4"/>
        <v/>
      </c>
      <c r="Q56" s="133" t="str">
        <f t="shared" si="5"/>
        <v/>
      </c>
      <c r="R56" s="133" t="str">
        <f t="shared" si="6"/>
        <v/>
      </c>
      <c r="S56" s="133" t="str">
        <f t="shared" si="7"/>
        <v/>
      </c>
      <c r="T56" s="133" t="str">
        <f>IFERROR(IF($U56="ERROR","ERROR",IF($N56="00",IF(J56="1-Rate","HH 1RATE",IF(J56="2-Rate","HH 2RATE","")),IFERROR(VLOOKUP(CONCATENATE(N56,Q56,O56,P56),Lookups!$A$2:$E$4557,5,0),VLOOKUP(CONCATENATE(N56,Q56,O56),Lookups!$A$2:$E$4557,5,0)))),"ERROR")</f>
        <v>ERROR</v>
      </c>
      <c r="U56" s="133" t="str">
        <f>IFERROR(IF(NOT($N56="00"),"",VLOOKUP(CONCATENATE(Q56,P56,LOOKUP(2,1/(Lookups!$I$2:$I$11&lt;=E56)/(Lookups!$J$2:$J$11&gt;=Tool!$C$14),Lookups!$K$2:$K$11)),'HH LLFs'!$A$2:$K$500,3,0)),"ERROR")</f>
        <v/>
      </c>
      <c r="V56" s="132">
        <f>Calcs!$I$2</f>
        <v>44377</v>
      </c>
      <c r="W56" s="132">
        <f>Calcs!$I$4</f>
        <v>44592</v>
      </c>
      <c r="X56" s="153" t="str">
        <f>IF(NOT(N56="00"),"",(VLOOKUP(CONCATENATE(Q56,P56,LOOKUP(2,1/(Lookups!$I$2:$I$11&lt;=Multisite!E56)/(Lookups!$J$2:$J$11&gt;=E56),Lookups!$K$2:$K$11)),'HH LLFs'!$A$2:$F$282,6,0)*365)/12)</f>
        <v/>
      </c>
      <c r="Y56" s="153">
        <f t="shared" si="8"/>
        <v>0</v>
      </c>
      <c r="Z56" s="153" t="str">
        <f t="shared" si="17"/>
        <v/>
      </c>
      <c r="AA56" s="153" t="str">
        <f t="shared" si="9"/>
        <v/>
      </c>
      <c r="AB56" s="153" t="str">
        <f t="shared" si="18"/>
        <v/>
      </c>
      <c r="AC56" s="153" t="str">
        <f t="shared" si="10"/>
        <v/>
      </c>
      <c r="AD56" s="153" t="str">
        <f t="shared" si="11"/>
        <v/>
      </c>
      <c r="AE56" s="153" t="str">
        <f t="shared" si="12"/>
        <v/>
      </c>
      <c r="AF56" s="155" t="e">
        <f>LOOKUP(2,1/(Lookups!$I$2:$I$11&lt;=E56)/(Lookups!$J$2:$J$11&gt;=E56),Lookups!$L$2:$L$11)</f>
        <v>#N/A</v>
      </c>
      <c r="AG56" s="142" t="str">
        <f t="shared" si="13"/>
        <v/>
      </c>
      <c r="AH56" s="142" t="str">
        <f t="shared" si="14"/>
        <v/>
      </c>
      <c r="AI56" s="143" t="b">
        <f t="shared" si="19"/>
        <v>0</v>
      </c>
      <c r="AJ56" s="143" t="str">
        <f t="shared" si="15"/>
        <v>Level 1</v>
      </c>
      <c r="AK56" s="142">
        <f t="shared" si="16"/>
        <v>0</v>
      </c>
      <c r="AL56" s="157" t="str">
        <f t="shared" si="24"/>
        <v/>
      </c>
      <c r="AM56" s="144" t="str">
        <f t="shared" si="25"/>
        <v>--FALSE-0</v>
      </c>
      <c r="AN56" s="158" t="str">
        <f t="shared" si="20"/>
        <v/>
      </c>
      <c r="AO56" s="145"/>
      <c r="AP56" s="159" t="str">
        <f>IF($AN56=FALSE,"",IFERROR(INDEX('Flat Rates'!$A$1:$M$3880,MATCH($AM56,'Flat Rates'!$A$1:$A$3880,0),MATCH("Standing Charge",'Flat Rates'!$A$1:$M$1,0))*100,""))</f>
        <v/>
      </c>
      <c r="AQ56" s="148" t="str">
        <f>IF($AN56=FALSE,"",IFERROR((IF(NOT(T56="Unrestricted"),"",INDEX('Flat Rates'!$A$1:$M$3880,MATCH($AM56,'Flat Rates'!$A$1:$A$3880,0),MATCH("Uni/Day Rate",'Flat Rates'!$A$1:$M$1,0)))*100)+H56,""))</f>
        <v/>
      </c>
      <c r="AR56" s="148" t="str">
        <f>IF($AN56=FALSE,"",IFERROR((IF(T56="Unrestricted","",INDEX('Flat Rates'!$A$1:$M$3880,MATCH($AM56,'Flat Rates'!$A$1:$A$3880,0),MATCH("Uni/Day Rate",'Flat Rates'!$A$1:$M$1,0)))*100)+H56,""))</f>
        <v/>
      </c>
      <c r="AS56" s="148" t="str">
        <f>IF($AN56=FALSE,"",IFERROR(IF(INDEX('Flat Rates'!$A$1:$M$3880,MATCH($AM56,'Flat Rates'!$A$1:$A$3880,0),MATCH("Night Unit Rate",'Flat Rates'!$A$1:$M$1,0))=0,"",((INDEX('Flat Rates'!$A$1:$M$3880,MATCH($AM56,'Flat Rates'!$A$1:$A$3880,0),MATCH("Night Unit Rate",'Flat Rates'!$A$1:$M$1,0)))*100)+H56),""))</f>
        <v/>
      </c>
      <c r="AT56" s="148" t="str">
        <f>IF($AN56=FALSE,"",IFERROR(IF(INDEX('Flat Rates'!$A$1:$M$3880,MATCH($AM56,'Flat Rates'!$A$1:$A$3880,0),MATCH("Evening and Weekend Rate",'Flat Rates'!$A$1:$M$1,0))=0,"",((INDEX('Flat Rates'!$A$1:$M$3880,MATCH($AM56,'Flat Rates'!$A$1:$A$3880,0),MATCH("Evening and Weekend Rate",'Flat Rates'!$A$1:$M$1,0)))*100)+H56),""))</f>
        <v/>
      </c>
      <c r="AU56" s="152" t="str">
        <f t="shared" si="21"/>
        <v/>
      </c>
      <c r="AV56" s="152" t="str">
        <f t="shared" si="22"/>
        <v/>
      </c>
      <c r="AW56" s="152" t="str">
        <f t="shared" si="23"/>
        <v/>
      </c>
    </row>
    <row r="57" spans="2:49" ht="15" thickBot="1" x14ac:dyDescent="0.35">
      <c r="B57" s="138" t="str">
        <f t="shared" si="0"/>
        <v/>
      </c>
      <c r="C57" s="137"/>
      <c r="D57" s="139"/>
      <c r="E57" s="140"/>
      <c r="F57" s="140"/>
      <c r="G57" s="139"/>
      <c r="H57" s="151"/>
      <c r="I57" s="139"/>
      <c r="J57" s="138"/>
      <c r="K57" s="139"/>
      <c r="L57" s="141"/>
      <c r="M57" s="133" t="str">
        <f t="shared" si="1"/>
        <v/>
      </c>
      <c r="N57" s="133" t="str">
        <f t="shared" si="2"/>
        <v/>
      </c>
      <c r="O57" s="133" t="str">
        <f t="shared" si="3"/>
        <v/>
      </c>
      <c r="P57" s="133" t="str">
        <f t="shared" si="4"/>
        <v/>
      </c>
      <c r="Q57" s="133" t="str">
        <f t="shared" si="5"/>
        <v/>
      </c>
      <c r="R57" s="133" t="str">
        <f t="shared" si="6"/>
        <v/>
      </c>
      <c r="S57" s="133" t="str">
        <f t="shared" si="7"/>
        <v/>
      </c>
      <c r="T57" s="133" t="str">
        <f>IFERROR(IF($U57="ERROR","ERROR",IF($N57="00",IF(J57="1-Rate","HH 1RATE",IF(J57="2-Rate","HH 2RATE","")),IFERROR(VLOOKUP(CONCATENATE(N57,Q57,O57,P57),Lookups!$A$2:$E$4557,5,0),VLOOKUP(CONCATENATE(N57,Q57,O57),Lookups!$A$2:$E$4557,5,0)))),"ERROR")</f>
        <v>ERROR</v>
      </c>
      <c r="U57" s="133" t="str">
        <f>IFERROR(IF(NOT($N57="00"),"",VLOOKUP(CONCATENATE(Q57,P57,LOOKUP(2,1/(Lookups!$I$2:$I$11&lt;=E57)/(Lookups!$J$2:$J$11&gt;=Tool!$C$14),Lookups!$K$2:$K$11)),'HH LLFs'!$A$2:$K$500,3,0)),"ERROR")</f>
        <v/>
      </c>
      <c r="V57" s="132">
        <f>Calcs!$I$2</f>
        <v>44377</v>
      </c>
      <c r="W57" s="132">
        <f>Calcs!$I$4</f>
        <v>44592</v>
      </c>
      <c r="X57" s="153" t="str">
        <f>IF(NOT(N57="00"),"",(VLOOKUP(CONCATENATE(Q57,P57,LOOKUP(2,1/(Lookups!$I$2:$I$11&lt;=Multisite!E57)/(Lookups!$J$2:$J$11&gt;=E57),Lookups!$K$2:$K$11)),'HH LLFs'!$A$2:$F$282,6,0)*365)/12)</f>
        <v/>
      </c>
      <c r="Y57" s="153">
        <f t="shared" si="8"/>
        <v>0</v>
      </c>
      <c r="Z57" s="153" t="str">
        <f t="shared" si="17"/>
        <v/>
      </c>
      <c r="AA57" s="153" t="str">
        <f t="shared" si="9"/>
        <v/>
      </c>
      <c r="AB57" s="153" t="str">
        <f t="shared" si="18"/>
        <v/>
      </c>
      <c r="AC57" s="153" t="str">
        <f t="shared" si="10"/>
        <v/>
      </c>
      <c r="AD57" s="153" t="str">
        <f t="shared" si="11"/>
        <v/>
      </c>
      <c r="AE57" s="153" t="str">
        <f t="shared" si="12"/>
        <v/>
      </c>
      <c r="AF57" s="155" t="e">
        <f>LOOKUP(2,1/(Lookups!$I$2:$I$11&lt;=E57)/(Lookups!$J$2:$J$11&gt;=E57),Lookups!$L$2:$L$11)</f>
        <v>#N/A</v>
      </c>
      <c r="AG57" s="142" t="str">
        <f t="shared" si="13"/>
        <v/>
      </c>
      <c r="AH57" s="142" t="str">
        <f t="shared" si="14"/>
        <v/>
      </c>
      <c r="AI57" s="143" t="b">
        <f t="shared" si="19"/>
        <v>0</v>
      </c>
      <c r="AJ57" s="143" t="str">
        <f t="shared" si="15"/>
        <v>Level 1</v>
      </c>
      <c r="AK57" s="142">
        <f t="shared" si="16"/>
        <v>0</v>
      </c>
      <c r="AL57" s="157" t="str">
        <f t="shared" si="24"/>
        <v/>
      </c>
      <c r="AM57" s="144" t="str">
        <f t="shared" si="25"/>
        <v>--FALSE-0</v>
      </c>
      <c r="AN57" s="158" t="str">
        <f t="shared" si="20"/>
        <v/>
      </c>
      <c r="AO57" s="145"/>
      <c r="AP57" s="159" t="str">
        <f>IF($AN57=FALSE,"",IFERROR(INDEX('Flat Rates'!$A$1:$M$3880,MATCH($AM57,'Flat Rates'!$A$1:$A$3880,0),MATCH("Standing Charge",'Flat Rates'!$A$1:$M$1,0))*100,""))</f>
        <v/>
      </c>
      <c r="AQ57" s="148" t="str">
        <f>IF($AN57=FALSE,"",IFERROR((IF(NOT(T57="Unrestricted"),"",INDEX('Flat Rates'!$A$1:$M$3880,MATCH($AM57,'Flat Rates'!$A$1:$A$3880,0),MATCH("Uni/Day Rate",'Flat Rates'!$A$1:$M$1,0)))*100)+H57,""))</f>
        <v/>
      </c>
      <c r="AR57" s="148" t="str">
        <f>IF($AN57=FALSE,"",IFERROR((IF(T57="Unrestricted","",INDEX('Flat Rates'!$A$1:$M$3880,MATCH($AM57,'Flat Rates'!$A$1:$A$3880,0),MATCH("Uni/Day Rate",'Flat Rates'!$A$1:$M$1,0)))*100)+H57,""))</f>
        <v/>
      </c>
      <c r="AS57" s="148" t="str">
        <f>IF($AN57=FALSE,"",IFERROR(IF(INDEX('Flat Rates'!$A$1:$M$3880,MATCH($AM57,'Flat Rates'!$A$1:$A$3880,0),MATCH("Night Unit Rate",'Flat Rates'!$A$1:$M$1,0))=0,"",((INDEX('Flat Rates'!$A$1:$M$3880,MATCH($AM57,'Flat Rates'!$A$1:$A$3880,0),MATCH("Night Unit Rate",'Flat Rates'!$A$1:$M$1,0)))*100)+H57),""))</f>
        <v/>
      </c>
      <c r="AT57" s="148" t="str">
        <f>IF($AN57=FALSE,"",IFERROR(IF(INDEX('Flat Rates'!$A$1:$M$3880,MATCH($AM57,'Flat Rates'!$A$1:$A$3880,0),MATCH("Evening and Weekend Rate",'Flat Rates'!$A$1:$M$1,0))=0,"",((INDEX('Flat Rates'!$A$1:$M$3880,MATCH($AM57,'Flat Rates'!$A$1:$A$3880,0),MATCH("Evening and Weekend Rate",'Flat Rates'!$A$1:$M$1,0)))*100)+H57),""))</f>
        <v/>
      </c>
      <c r="AU57" s="152" t="str">
        <f t="shared" si="21"/>
        <v/>
      </c>
      <c r="AV57" s="152" t="str">
        <f t="shared" si="22"/>
        <v/>
      </c>
      <c r="AW57" s="152" t="str">
        <f t="shared" si="23"/>
        <v/>
      </c>
    </row>
    <row r="58" spans="2:49" ht="15" thickBot="1" x14ac:dyDescent="0.35">
      <c r="B58" s="138" t="str">
        <f t="shared" si="0"/>
        <v/>
      </c>
      <c r="C58" s="137"/>
      <c r="D58" s="139"/>
      <c r="E58" s="140"/>
      <c r="F58" s="140"/>
      <c r="G58" s="139"/>
      <c r="H58" s="151"/>
      <c r="I58" s="139"/>
      <c r="J58" s="137"/>
      <c r="K58" s="139"/>
      <c r="L58" s="141"/>
      <c r="M58" s="133" t="str">
        <f t="shared" si="1"/>
        <v/>
      </c>
      <c r="N58" s="133" t="str">
        <f t="shared" si="2"/>
        <v/>
      </c>
      <c r="O58" s="133" t="str">
        <f t="shared" si="3"/>
        <v/>
      </c>
      <c r="P58" s="133" t="str">
        <f t="shared" si="4"/>
        <v/>
      </c>
      <c r="Q58" s="133" t="str">
        <f t="shared" si="5"/>
        <v/>
      </c>
      <c r="R58" s="133" t="str">
        <f t="shared" si="6"/>
        <v/>
      </c>
      <c r="S58" s="133" t="str">
        <f t="shared" si="7"/>
        <v/>
      </c>
      <c r="T58" s="133" t="str">
        <f>IFERROR(IF($U58="ERROR","ERROR",IF($N58="00",IF(J58="1-Rate","HH 1RATE",IF(J58="2-Rate","HH 2RATE","")),IFERROR(VLOOKUP(CONCATENATE(N58,Q58,O58,P58),Lookups!$A$2:$E$4557,5,0),VLOOKUP(CONCATENATE(N58,Q58,O58),Lookups!$A$2:$E$4557,5,0)))),"ERROR")</f>
        <v>ERROR</v>
      </c>
      <c r="U58" s="133" t="str">
        <f>IFERROR(IF(NOT($N58="00"),"",VLOOKUP(CONCATENATE(Q58,P58,LOOKUP(2,1/(Lookups!$I$2:$I$11&lt;=E58)/(Lookups!$J$2:$J$11&gt;=Tool!$C$14),Lookups!$K$2:$K$11)),'HH LLFs'!$A$2:$K$500,3,0)),"ERROR")</f>
        <v/>
      </c>
      <c r="V58" s="132">
        <f>Calcs!$I$2</f>
        <v>44377</v>
      </c>
      <c r="W58" s="132">
        <f>Calcs!$I$4</f>
        <v>44592</v>
      </c>
      <c r="X58" s="153" t="str">
        <f>IF(NOT(N58="00"),"",(VLOOKUP(CONCATENATE(Q58,P58,LOOKUP(2,1/(Lookups!$I$2:$I$11&lt;=Multisite!E58)/(Lookups!$J$2:$J$11&gt;=E58),Lookups!$K$2:$K$11)),'HH LLFs'!$A$2:$F$282,6,0)*365)/12)</f>
        <v/>
      </c>
      <c r="Y58" s="153">
        <f t="shared" si="8"/>
        <v>0</v>
      </c>
      <c r="Z58" s="153" t="str">
        <f t="shared" si="17"/>
        <v/>
      </c>
      <c r="AA58" s="153" t="str">
        <f t="shared" si="9"/>
        <v/>
      </c>
      <c r="AB58" s="153" t="str">
        <f t="shared" si="18"/>
        <v/>
      </c>
      <c r="AC58" s="153" t="str">
        <f t="shared" si="10"/>
        <v/>
      </c>
      <c r="AD58" s="153" t="str">
        <f t="shared" si="11"/>
        <v/>
      </c>
      <c r="AE58" s="153" t="str">
        <f t="shared" si="12"/>
        <v/>
      </c>
      <c r="AF58" s="155" t="e">
        <f>LOOKUP(2,1/(Lookups!$I$2:$I$11&lt;=E58)/(Lookups!$J$2:$J$11&gt;=E58),Lookups!$L$2:$L$11)</f>
        <v>#N/A</v>
      </c>
      <c r="AG58" s="142" t="str">
        <f t="shared" si="13"/>
        <v/>
      </c>
      <c r="AH58" s="142" t="str">
        <f t="shared" si="14"/>
        <v/>
      </c>
      <c r="AI58" s="143" t="b">
        <f t="shared" si="19"/>
        <v>0</v>
      </c>
      <c r="AJ58" s="143" t="str">
        <f t="shared" si="15"/>
        <v>Level 1</v>
      </c>
      <c r="AK58" s="142">
        <f t="shared" si="16"/>
        <v>0</v>
      </c>
      <c r="AL58" s="157" t="str">
        <f t="shared" si="24"/>
        <v/>
      </c>
      <c r="AM58" s="144" t="str">
        <f t="shared" si="25"/>
        <v>--FALSE-0</v>
      </c>
      <c r="AN58" s="158" t="str">
        <f t="shared" si="20"/>
        <v/>
      </c>
      <c r="AO58" s="145"/>
      <c r="AP58" s="159" t="str">
        <f>IF($AN58=FALSE,"",IFERROR(INDEX('Flat Rates'!$A$1:$M$3880,MATCH($AM58,'Flat Rates'!$A$1:$A$3880,0),MATCH("Standing Charge",'Flat Rates'!$A$1:$M$1,0))*100,""))</f>
        <v/>
      </c>
      <c r="AQ58" s="148" t="str">
        <f>IF($AN58=FALSE,"",IFERROR((IF(NOT(T58="Unrestricted"),"",INDEX('Flat Rates'!$A$1:$M$3880,MATCH($AM58,'Flat Rates'!$A$1:$A$3880,0),MATCH("Uni/Day Rate",'Flat Rates'!$A$1:$M$1,0)))*100)+H58,""))</f>
        <v/>
      </c>
      <c r="AR58" s="148" t="str">
        <f>IF($AN58=FALSE,"",IFERROR((IF(T58="Unrestricted","",INDEX('Flat Rates'!$A$1:$M$3880,MATCH($AM58,'Flat Rates'!$A$1:$A$3880,0),MATCH("Uni/Day Rate",'Flat Rates'!$A$1:$M$1,0)))*100)+H58,""))</f>
        <v/>
      </c>
      <c r="AS58" s="148" t="str">
        <f>IF($AN58=FALSE,"",IFERROR(IF(INDEX('Flat Rates'!$A$1:$M$3880,MATCH($AM58,'Flat Rates'!$A$1:$A$3880,0),MATCH("Night Unit Rate",'Flat Rates'!$A$1:$M$1,0))=0,"",((INDEX('Flat Rates'!$A$1:$M$3880,MATCH($AM58,'Flat Rates'!$A$1:$A$3880,0),MATCH("Night Unit Rate",'Flat Rates'!$A$1:$M$1,0)))*100)+H58),""))</f>
        <v/>
      </c>
      <c r="AT58" s="148" t="str">
        <f>IF($AN58=FALSE,"",IFERROR(IF(INDEX('Flat Rates'!$A$1:$M$3880,MATCH($AM58,'Flat Rates'!$A$1:$A$3880,0),MATCH("Evening and Weekend Rate",'Flat Rates'!$A$1:$M$1,0))=0,"",((INDEX('Flat Rates'!$A$1:$M$3880,MATCH($AM58,'Flat Rates'!$A$1:$A$3880,0),MATCH("Evening and Weekend Rate",'Flat Rates'!$A$1:$M$1,0)))*100)+H58),""))</f>
        <v/>
      </c>
      <c r="AU58" s="152" t="str">
        <f t="shared" si="21"/>
        <v/>
      </c>
      <c r="AV58" s="152" t="str">
        <f t="shared" si="22"/>
        <v/>
      </c>
      <c r="AW58" s="152" t="str">
        <f t="shared" si="23"/>
        <v/>
      </c>
    </row>
    <row r="59" spans="2:49" ht="15" thickBot="1" x14ac:dyDescent="0.35">
      <c r="B59" s="138" t="str">
        <f t="shared" si="0"/>
        <v/>
      </c>
      <c r="C59" s="137"/>
      <c r="D59" s="139"/>
      <c r="E59" s="140"/>
      <c r="F59" s="140"/>
      <c r="G59" s="139"/>
      <c r="H59" s="151"/>
      <c r="I59" s="139"/>
      <c r="J59" s="138"/>
      <c r="K59" s="139"/>
      <c r="L59" s="141"/>
      <c r="M59" s="133" t="str">
        <f t="shared" si="1"/>
        <v/>
      </c>
      <c r="N59" s="133" t="str">
        <f t="shared" si="2"/>
        <v/>
      </c>
      <c r="O59" s="133" t="str">
        <f t="shared" si="3"/>
        <v/>
      </c>
      <c r="P59" s="133" t="str">
        <f t="shared" si="4"/>
        <v/>
      </c>
      <c r="Q59" s="133" t="str">
        <f t="shared" si="5"/>
        <v/>
      </c>
      <c r="R59" s="133" t="str">
        <f t="shared" si="6"/>
        <v/>
      </c>
      <c r="S59" s="133" t="str">
        <f t="shared" si="7"/>
        <v/>
      </c>
      <c r="T59" s="133" t="str">
        <f>IFERROR(IF($U59="ERROR","ERROR",IF($N59="00",IF(J59="1-Rate","HH 1RATE",IF(J59="2-Rate","HH 2RATE","")),IFERROR(VLOOKUP(CONCATENATE(N59,Q59,O59,P59),Lookups!$A$2:$E$4557,5,0),VLOOKUP(CONCATENATE(N59,Q59,O59),Lookups!$A$2:$E$4557,5,0)))),"ERROR")</f>
        <v>ERROR</v>
      </c>
      <c r="U59" s="133" t="str">
        <f>IFERROR(IF(NOT($N59="00"),"",VLOOKUP(CONCATENATE(Q59,P59,LOOKUP(2,1/(Lookups!$I$2:$I$11&lt;=E59)/(Lookups!$J$2:$J$11&gt;=Tool!$C$14),Lookups!$K$2:$K$11)),'HH LLFs'!$A$2:$K$500,3,0)),"ERROR")</f>
        <v/>
      </c>
      <c r="V59" s="132">
        <f>Calcs!$I$2</f>
        <v>44377</v>
      </c>
      <c r="W59" s="132">
        <f>Calcs!$I$4</f>
        <v>44592</v>
      </c>
      <c r="X59" s="153" t="str">
        <f>IF(NOT(N59="00"),"",(VLOOKUP(CONCATENATE(Q59,P59,LOOKUP(2,1/(Lookups!$I$2:$I$11&lt;=Multisite!E59)/(Lookups!$J$2:$J$11&gt;=E59),Lookups!$K$2:$K$11)),'HH LLFs'!$A$2:$F$282,6,0)*365)/12)</f>
        <v/>
      </c>
      <c r="Y59" s="153">
        <f t="shared" si="8"/>
        <v>0</v>
      </c>
      <c r="Z59" s="153" t="str">
        <f t="shared" si="17"/>
        <v/>
      </c>
      <c r="AA59" s="153" t="str">
        <f t="shared" si="9"/>
        <v/>
      </c>
      <c r="AB59" s="153" t="str">
        <f t="shared" si="18"/>
        <v/>
      </c>
      <c r="AC59" s="153" t="str">
        <f t="shared" si="10"/>
        <v/>
      </c>
      <c r="AD59" s="153" t="str">
        <f t="shared" si="11"/>
        <v/>
      </c>
      <c r="AE59" s="153" t="str">
        <f t="shared" si="12"/>
        <v/>
      </c>
      <c r="AF59" s="155" t="e">
        <f>LOOKUP(2,1/(Lookups!$I$2:$I$11&lt;=E59)/(Lookups!$J$2:$J$11&gt;=E59),Lookups!$L$2:$L$11)</f>
        <v>#N/A</v>
      </c>
      <c r="AG59" s="142" t="str">
        <f t="shared" si="13"/>
        <v/>
      </c>
      <c r="AH59" s="142" t="str">
        <f t="shared" si="14"/>
        <v/>
      </c>
      <c r="AI59" s="143" t="b">
        <f t="shared" si="19"/>
        <v>0</v>
      </c>
      <c r="AJ59" s="143" t="str">
        <f t="shared" si="15"/>
        <v>Level 1</v>
      </c>
      <c r="AK59" s="142">
        <f t="shared" si="16"/>
        <v>0</v>
      </c>
      <c r="AL59" s="157" t="str">
        <f t="shared" si="24"/>
        <v/>
      </c>
      <c r="AM59" s="144" t="str">
        <f t="shared" si="25"/>
        <v>--FALSE-0</v>
      </c>
      <c r="AN59" s="158" t="str">
        <f t="shared" si="20"/>
        <v/>
      </c>
      <c r="AO59" s="145"/>
      <c r="AP59" s="159" t="str">
        <f>IF($AN59=FALSE,"",IFERROR(INDEX('Flat Rates'!$A$1:$M$3880,MATCH($AM59,'Flat Rates'!$A$1:$A$3880,0),MATCH("Standing Charge",'Flat Rates'!$A$1:$M$1,0))*100,""))</f>
        <v/>
      </c>
      <c r="AQ59" s="148" t="str">
        <f>IF($AN59=FALSE,"",IFERROR((IF(NOT(T59="Unrestricted"),"",INDEX('Flat Rates'!$A$1:$M$3880,MATCH($AM59,'Flat Rates'!$A$1:$A$3880,0),MATCH("Uni/Day Rate",'Flat Rates'!$A$1:$M$1,0)))*100)+H59,""))</f>
        <v/>
      </c>
      <c r="AR59" s="148" t="str">
        <f>IF($AN59=FALSE,"",IFERROR((IF(T59="Unrestricted","",INDEX('Flat Rates'!$A$1:$M$3880,MATCH($AM59,'Flat Rates'!$A$1:$A$3880,0),MATCH("Uni/Day Rate",'Flat Rates'!$A$1:$M$1,0)))*100)+H59,""))</f>
        <v/>
      </c>
      <c r="AS59" s="148" t="str">
        <f>IF($AN59=FALSE,"",IFERROR(IF(INDEX('Flat Rates'!$A$1:$M$3880,MATCH($AM59,'Flat Rates'!$A$1:$A$3880,0),MATCH("Night Unit Rate",'Flat Rates'!$A$1:$M$1,0))=0,"",((INDEX('Flat Rates'!$A$1:$M$3880,MATCH($AM59,'Flat Rates'!$A$1:$A$3880,0),MATCH("Night Unit Rate",'Flat Rates'!$A$1:$M$1,0)))*100)+H59),""))</f>
        <v/>
      </c>
      <c r="AT59" s="148" t="str">
        <f>IF($AN59=FALSE,"",IFERROR(IF(INDEX('Flat Rates'!$A$1:$M$3880,MATCH($AM59,'Flat Rates'!$A$1:$A$3880,0),MATCH("Evening and Weekend Rate",'Flat Rates'!$A$1:$M$1,0))=0,"",((INDEX('Flat Rates'!$A$1:$M$3880,MATCH($AM59,'Flat Rates'!$A$1:$A$3880,0),MATCH("Evening and Weekend Rate",'Flat Rates'!$A$1:$M$1,0)))*100)+H59),""))</f>
        <v/>
      </c>
      <c r="AU59" s="152" t="str">
        <f t="shared" si="21"/>
        <v/>
      </c>
      <c r="AV59" s="152" t="str">
        <f t="shared" si="22"/>
        <v/>
      </c>
      <c r="AW59" s="152" t="str">
        <f t="shared" si="23"/>
        <v/>
      </c>
    </row>
    <row r="60" spans="2:49" ht="15" thickBot="1" x14ac:dyDescent="0.35">
      <c r="B60" s="138" t="str">
        <f t="shared" si="0"/>
        <v/>
      </c>
      <c r="C60" s="137"/>
      <c r="D60" s="139"/>
      <c r="E60" s="140"/>
      <c r="F60" s="140"/>
      <c r="G60" s="139"/>
      <c r="H60" s="151"/>
      <c r="I60" s="139"/>
      <c r="J60" s="137"/>
      <c r="K60" s="139"/>
      <c r="L60" s="141"/>
      <c r="M60" s="133" t="str">
        <f t="shared" si="1"/>
        <v/>
      </c>
      <c r="N60" s="133" t="str">
        <f t="shared" si="2"/>
        <v/>
      </c>
      <c r="O60" s="133" t="str">
        <f t="shared" si="3"/>
        <v/>
      </c>
      <c r="P60" s="133" t="str">
        <f t="shared" si="4"/>
        <v/>
      </c>
      <c r="Q60" s="133" t="str">
        <f t="shared" si="5"/>
        <v/>
      </c>
      <c r="R60" s="133" t="str">
        <f t="shared" si="6"/>
        <v/>
      </c>
      <c r="S60" s="133" t="str">
        <f t="shared" si="7"/>
        <v/>
      </c>
      <c r="T60" s="133" t="str">
        <f>IFERROR(IF($U60="ERROR","ERROR",IF($N60="00",IF(J60="1-Rate","HH 1RATE",IF(J60="2-Rate","HH 2RATE","")),IFERROR(VLOOKUP(CONCATENATE(N60,Q60,O60,P60),Lookups!$A$2:$E$4557,5,0),VLOOKUP(CONCATENATE(N60,Q60,O60),Lookups!$A$2:$E$4557,5,0)))),"ERROR")</f>
        <v>ERROR</v>
      </c>
      <c r="U60" s="133" t="str">
        <f>IFERROR(IF(NOT($N60="00"),"",VLOOKUP(CONCATENATE(Q60,P60,LOOKUP(2,1/(Lookups!$I$2:$I$11&lt;=E60)/(Lookups!$J$2:$J$11&gt;=Tool!$C$14),Lookups!$K$2:$K$11)),'HH LLFs'!$A$2:$K$500,3,0)),"ERROR")</f>
        <v/>
      </c>
      <c r="V60" s="132">
        <f>Calcs!$I$2</f>
        <v>44377</v>
      </c>
      <c r="W60" s="132">
        <f>Calcs!$I$4</f>
        <v>44592</v>
      </c>
      <c r="X60" s="153" t="str">
        <f>IF(NOT(N60="00"),"",(VLOOKUP(CONCATENATE(Q60,P60,LOOKUP(2,1/(Lookups!$I$2:$I$11&lt;=Multisite!E60)/(Lookups!$J$2:$J$11&gt;=E60),Lookups!$K$2:$K$11)),'HH LLFs'!$A$2:$F$282,6,0)*365)/12)</f>
        <v/>
      </c>
      <c r="Y60" s="153">
        <f t="shared" si="8"/>
        <v>0</v>
      </c>
      <c r="Z60" s="153" t="str">
        <f t="shared" si="17"/>
        <v/>
      </c>
      <c r="AA60" s="153" t="str">
        <f t="shared" si="9"/>
        <v/>
      </c>
      <c r="AB60" s="153" t="str">
        <f t="shared" si="18"/>
        <v/>
      </c>
      <c r="AC60" s="153" t="str">
        <f t="shared" si="10"/>
        <v/>
      </c>
      <c r="AD60" s="153" t="str">
        <f t="shared" si="11"/>
        <v/>
      </c>
      <c r="AE60" s="153" t="str">
        <f t="shared" si="12"/>
        <v/>
      </c>
      <c r="AF60" s="155" t="e">
        <f>LOOKUP(2,1/(Lookups!$I$2:$I$11&lt;=E60)/(Lookups!$J$2:$J$11&gt;=E60),Lookups!$L$2:$L$11)</f>
        <v>#N/A</v>
      </c>
      <c r="AG60" s="142" t="str">
        <f t="shared" si="13"/>
        <v/>
      </c>
      <c r="AH60" s="142" t="str">
        <f t="shared" si="14"/>
        <v/>
      </c>
      <c r="AI60" s="143" t="b">
        <f t="shared" si="19"/>
        <v>0</v>
      </c>
      <c r="AJ60" s="143" t="str">
        <f t="shared" si="15"/>
        <v>Level 1</v>
      </c>
      <c r="AK60" s="142">
        <f t="shared" si="16"/>
        <v>0</v>
      </c>
      <c r="AL60" s="157" t="str">
        <f t="shared" si="24"/>
        <v/>
      </c>
      <c r="AM60" s="144" t="str">
        <f t="shared" si="25"/>
        <v>--FALSE-0</v>
      </c>
      <c r="AN60" s="158" t="str">
        <f t="shared" si="20"/>
        <v/>
      </c>
      <c r="AO60" s="145"/>
      <c r="AP60" s="159" t="str">
        <f>IF($AN60=FALSE,"",IFERROR(INDEX('Flat Rates'!$A$1:$M$3880,MATCH($AM60,'Flat Rates'!$A$1:$A$3880,0),MATCH("Standing Charge",'Flat Rates'!$A$1:$M$1,0))*100,""))</f>
        <v/>
      </c>
      <c r="AQ60" s="148" t="str">
        <f>IF($AN60=FALSE,"",IFERROR((IF(NOT(T60="Unrestricted"),"",INDEX('Flat Rates'!$A$1:$M$3880,MATCH($AM60,'Flat Rates'!$A$1:$A$3880,0),MATCH("Uni/Day Rate",'Flat Rates'!$A$1:$M$1,0)))*100)+H60,""))</f>
        <v/>
      </c>
      <c r="AR60" s="148" t="str">
        <f>IF($AN60=FALSE,"",IFERROR((IF(T60="Unrestricted","",INDEX('Flat Rates'!$A$1:$M$3880,MATCH($AM60,'Flat Rates'!$A$1:$A$3880,0),MATCH("Uni/Day Rate",'Flat Rates'!$A$1:$M$1,0)))*100)+H60,""))</f>
        <v/>
      </c>
      <c r="AS60" s="148" t="str">
        <f>IF($AN60=FALSE,"",IFERROR(IF(INDEX('Flat Rates'!$A$1:$M$3880,MATCH($AM60,'Flat Rates'!$A$1:$A$3880,0),MATCH("Night Unit Rate",'Flat Rates'!$A$1:$M$1,0))=0,"",((INDEX('Flat Rates'!$A$1:$M$3880,MATCH($AM60,'Flat Rates'!$A$1:$A$3880,0),MATCH("Night Unit Rate",'Flat Rates'!$A$1:$M$1,0)))*100)+H60),""))</f>
        <v/>
      </c>
      <c r="AT60" s="148" t="str">
        <f>IF($AN60=FALSE,"",IFERROR(IF(INDEX('Flat Rates'!$A$1:$M$3880,MATCH($AM60,'Flat Rates'!$A$1:$A$3880,0),MATCH("Evening and Weekend Rate",'Flat Rates'!$A$1:$M$1,0))=0,"",((INDEX('Flat Rates'!$A$1:$M$3880,MATCH($AM60,'Flat Rates'!$A$1:$A$3880,0),MATCH("Evening and Weekend Rate",'Flat Rates'!$A$1:$M$1,0)))*100)+H60),""))</f>
        <v/>
      </c>
      <c r="AU60" s="152" t="str">
        <f t="shared" si="21"/>
        <v/>
      </c>
      <c r="AV60" s="152" t="str">
        <f t="shared" si="22"/>
        <v/>
      </c>
      <c r="AW60" s="152" t="str">
        <f t="shared" si="23"/>
        <v/>
      </c>
    </row>
    <row r="61" spans="2:49" ht="15" thickBot="1" x14ac:dyDescent="0.35">
      <c r="B61" s="138" t="str">
        <f t="shared" si="0"/>
        <v/>
      </c>
      <c r="C61" s="137"/>
      <c r="D61" s="139"/>
      <c r="E61" s="140"/>
      <c r="F61" s="140"/>
      <c r="G61" s="139"/>
      <c r="H61" s="151"/>
      <c r="I61" s="139"/>
      <c r="J61" s="138"/>
      <c r="K61" s="139"/>
      <c r="L61" s="141"/>
      <c r="M61" s="133" t="str">
        <f t="shared" si="1"/>
        <v/>
      </c>
      <c r="N61" s="133" t="str">
        <f t="shared" si="2"/>
        <v/>
      </c>
      <c r="O61" s="133" t="str">
        <f t="shared" si="3"/>
        <v/>
      </c>
      <c r="P61" s="133" t="str">
        <f t="shared" si="4"/>
        <v/>
      </c>
      <c r="Q61" s="133" t="str">
        <f t="shared" si="5"/>
        <v/>
      </c>
      <c r="R61" s="133" t="str">
        <f t="shared" si="6"/>
        <v/>
      </c>
      <c r="S61" s="133" t="str">
        <f t="shared" si="7"/>
        <v/>
      </c>
      <c r="T61" s="133" t="str">
        <f>IFERROR(IF($U61="ERROR","ERROR",IF($N61="00",IF(J61="1-Rate","HH 1RATE",IF(J61="2-Rate","HH 2RATE","")),IFERROR(VLOOKUP(CONCATENATE(N61,Q61,O61,P61),Lookups!$A$2:$E$4557,5,0),VLOOKUP(CONCATENATE(N61,Q61,O61),Lookups!$A$2:$E$4557,5,0)))),"ERROR")</f>
        <v>ERROR</v>
      </c>
      <c r="U61" s="133" t="str">
        <f>IFERROR(IF(NOT($N61="00"),"",VLOOKUP(CONCATENATE(Q61,P61,LOOKUP(2,1/(Lookups!$I$2:$I$11&lt;=E61)/(Lookups!$J$2:$J$11&gt;=Tool!$C$14),Lookups!$K$2:$K$11)),'HH LLFs'!$A$2:$K$500,3,0)),"ERROR")</f>
        <v/>
      </c>
      <c r="V61" s="132">
        <f>Calcs!$I$2</f>
        <v>44377</v>
      </c>
      <c r="W61" s="132">
        <f>Calcs!$I$4</f>
        <v>44592</v>
      </c>
      <c r="X61" s="153" t="str">
        <f>IF(NOT(N61="00"),"",(VLOOKUP(CONCATENATE(Q61,P61,LOOKUP(2,1/(Lookups!$I$2:$I$11&lt;=Multisite!E61)/(Lookups!$J$2:$J$11&gt;=E61),Lookups!$K$2:$K$11)),'HH LLFs'!$A$2:$F$282,6,0)*365)/12)</f>
        <v/>
      </c>
      <c r="Y61" s="153">
        <f t="shared" si="8"/>
        <v>0</v>
      </c>
      <c r="Z61" s="153" t="str">
        <f t="shared" si="17"/>
        <v/>
      </c>
      <c r="AA61" s="153" t="str">
        <f t="shared" si="9"/>
        <v/>
      </c>
      <c r="AB61" s="153" t="str">
        <f t="shared" si="18"/>
        <v/>
      </c>
      <c r="AC61" s="153" t="str">
        <f t="shared" si="10"/>
        <v/>
      </c>
      <c r="AD61" s="153" t="str">
        <f t="shared" si="11"/>
        <v/>
      </c>
      <c r="AE61" s="153" t="str">
        <f t="shared" si="12"/>
        <v/>
      </c>
      <c r="AF61" s="155" t="e">
        <f>LOOKUP(2,1/(Lookups!$I$2:$I$11&lt;=E61)/(Lookups!$J$2:$J$11&gt;=E61),Lookups!$L$2:$L$11)</f>
        <v>#N/A</v>
      </c>
      <c r="AG61" s="142" t="str">
        <f t="shared" si="13"/>
        <v/>
      </c>
      <c r="AH61" s="142" t="str">
        <f t="shared" si="14"/>
        <v/>
      </c>
      <c r="AI61" s="143" t="b">
        <f t="shared" si="19"/>
        <v>0</v>
      </c>
      <c r="AJ61" s="143" t="str">
        <f t="shared" si="15"/>
        <v>Level 1</v>
      </c>
      <c r="AK61" s="142">
        <f t="shared" si="16"/>
        <v>0</v>
      </c>
      <c r="AL61" s="157" t="str">
        <f t="shared" si="24"/>
        <v/>
      </c>
      <c r="AM61" s="144" t="str">
        <f t="shared" si="25"/>
        <v>--FALSE-0</v>
      </c>
      <c r="AN61" s="158" t="str">
        <f t="shared" si="20"/>
        <v/>
      </c>
      <c r="AO61" s="145"/>
      <c r="AP61" s="159" t="str">
        <f>IF($AN61=FALSE,"",IFERROR(INDEX('Flat Rates'!$A$1:$M$3880,MATCH($AM61,'Flat Rates'!$A$1:$A$3880,0),MATCH("Standing Charge",'Flat Rates'!$A$1:$M$1,0))*100,""))</f>
        <v/>
      </c>
      <c r="AQ61" s="148" t="str">
        <f>IF($AN61=FALSE,"",IFERROR((IF(NOT(T61="Unrestricted"),"",INDEX('Flat Rates'!$A$1:$M$3880,MATCH($AM61,'Flat Rates'!$A$1:$A$3880,0),MATCH("Uni/Day Rate",'Flat Rates'!$A$1:$M$1,0)))*100)+H61,""))</f>
        <v/>
      </c>
      <c r="AR61" s="148" t="str">
        <f>IF($AN61=FALSE,"",IFERROR((IF(T61="Unrestricted","",INDEX('Flat Rates'!$A$1:$M$3880,MATCH($AM61,'Flat Rates'!$A$1:$A$3880,0),MATCH("Uni/Day Rate",'Flat Rates'!$A$1:$M$1,0)))*100)+H61,""))</f>
        <v/>
      </c>
      <c r="AS61" s="148" t="str">
        <f>IF($AN61=FALSE,"",IFERROR(IF(INDEX('Flat Rates'!$A$1:$M$3880,MATCH($AM61,'Flat Rates'!$A$1:$A$3880,0),MATCH("Night Unit Rate",'Flat Rates'!$A$1:$M$1,0))=0,"",((INDEX('Flat Rates'!$A$1:$M$3880,MATCH($AM61,'Flat Rates'!$A$1:$A$3880,0),MATCH("Night Unit Rate",'Flat Rates'!$A$1:$M$1,0)))*100)+H61),""))</f>
        <v/>
      </c>
      <c r="AT61" s="148" t="str">
        <f>IF($AN61=FALSE,"",IFERROR(IF(INDEX('Flat Rates'!$A$1:$M$3880,MATCH($AM61,'Flat Rates'!$A$1:$A$3880,0),MATCH("Evening and Weekend Rate",'Flat Rates'!$A$1:$M$1,0))=0,"",((INDEX('Flat Rates'!$A$1:$M$3880,MATCH($AM61,'Flat Rates'!$A$1:$A$3880,0),MATCH("Evening and Weekend Rate",'Flat Rates'!$A$1:$M$1,0)))*100)+H61),""))</f>
        <v/>
      </c>
      <c r="AU61" s="152" t="str">
        <f t="shared" si="21"/>
        <v/>
      </c>
      <c r="AV61" s="152" t="str">
        <f t="shared" si="22"/>
        <v/>
      </c>
      <c r="AW61" s="152" t="str">
        <f t="shared" si="23"/>
        <v/>
      </c>
    </row>
    <row r="62" spans="2:49" ht="15" thickBot="1" x14ac:dyDescent="0.35">
      <c r="B62" s="138" t="str">
        <f t="shared" si="0"/>
        <v/>
      </c>
      <c r="C62" s="137"/>
      <c r="D62" s="139"/>
      <c r="E62" s="140"/>
      <c r="F62" s="140"/>
      <c r="G62" s="139"/>
      <c r="H62" s="151"/>
      <c r="I62" s="139"/>
      <c r="J62" s="137"/>
      <c r="K62" s="139"/>
      <c r="L62" s="141"/>
      <c r="M62" s="133" t="str">
        <f t="shared" si="1"/>
        <v/>
      </c>
      <c r="N62" s="133" t="str">
        <f t="shared" si="2"/>
        <v/>
      </c>
      <c r="O62" s="133" t="str">
        <f t="shared" si="3"/>
        <v/>
      </c>
      <c r="P62" s="133" t="str">
        <f t="shared" si="4"/>
        <v/>
      </c>
      <c r="Q62" s="133" t="str">
        <f t="shared" si="5"/>
        <v/>
      </c>
      <c r="R62" s="133" t="str">
        <f t="shared" si="6"/>
        <v/>
      </c>
      <c r="S62" s="133" t="str">
        <f t="shared" si="7"/>
        <v/>
      </c>
      <c r="T62" s="133" t="str">
        <f>IFERROR(IF($U62="ERROR","ERROR",IF($N62="00",IF(J62="1-Rate","HH 1RATE",IF(J62="2-Rate","HH 2RATE","")),IFERROR(VLOOKUP(CONCATENATE(N62,Q62,O62,P62),Lookups!$A$2:$E$4557,5,0),VLOOKUP(CONCATENATE(N62,Q62,O62),Lookups!$A$2:$E$4557,5,0)))),"ERROR")</f>
        <v>ERROR</v>
      </c>
      <c r="U62" s="133" t="str">
        <f>IFERROR(IF(NOT($N62="00"),"",VLOOKUP(CONCATENATE(Q62,P62,LOOKUP(2,1/(Lookups!$I$2:$I$11&lt;=E62)/(Lookups!$J$2:$J$11&gt;=Tool!$C$14),Lookups!$K$2:$K$11)),'HH LLFs'!$A$2:$K$500,3,0)),"ERROR")</f>
        <v/>
      </c>
      <c r="V62" s="132">
        <f>Calcs!$I$2</f>
        <v>44377</v>
      </c>
      <c r="W62" s="132">
        <f>Calcs!$I$4</f>
        <v>44592</v>
      </c>
      <c r="X62" s="153" t="str">
        <f>IF(NOT(N62="00"),"",(VLOOKUP(CONCATENATE(Q62,P62,LOOKUP(2,1/(Lookups!$I$2:$I$11&lt;=Multisite!E62)/(Lookups!$J$2:$J$11&gt;=E62),Lookups!$K$2:$K$11)),'HH LLFs'!$A$2:$F$282,6,0)*365)/12)</f>
        <v/>
      </c>
      <c r="Y62" s="153">
        <f t="shared" si="8"/>
        <v>0</v>
      </c>
      <c r="Z62" s="153" t="str">
        <f t="shared" si="17"/>
        <v/>
      </c>
      <c r="AA62" s="153" t="str">
        <f t="shared" si="9"/>
        <v/>
      </c>
      <c r="AB62" s="153" t="str">
        <f t="shared" si="18"/>
        <v/>
      </c>
      <c r="AC62" s="153" t="str">
        <f t="shared" si="10"/>
        <v/>
      </c>
      <c r="AD62" s="153" t="str">
        <f t="shared" si="11"/>
        <v/>
      </c>
      <c r="AE62" s="153" t="str">
        <f t="shared" si="12"/>
        <v/>
      </c>
      <c r="AF62" s="155" t="e">
        <f>LOOKUP(2,1/(Lookups!$I$2:$I$11&lt;=E62)/(Lookups!$J$2:$J$11&gt;=E62),Lookups!$L$2:$L$11)</f>
        <v>#N/A</v>
      </c>
      <c r="AG62" s="142" t="str">
        <f t="shared" si="13"/>
        <v/>
      </c>
      <c r="AH62" s="142" t="str">
        <f t="shared" si="14"/>
        <v/>
      </c>
      <c r="AI62" s="143" t="b">
        <f t="shared" si="19"/>
        <v>0</v>
      </c>
      <c r="AJ62" s="143" t="str">
        <f t="shared" si="15"/>
        <v>Level 1</v>
      </c>
      <c r="AK62" s="142">
        <f t="shared" si="16"/>
        <v>0</v>
      </c>
      <c r="AL62" s="157" t="str">
        <f t="shared" si="24"/>
        <v/>
      </c>
      <c r="AM62" s="144" t="str">
        <f t="shared" si="25"/>
        <v>--FALSE-0</v>
      </c>
      <c r="AN62" s="158" t="str">
        <f t="shared" si="20"/>
        <v/>
      </c>
      <c r="AO62" s="145"/>
      <c r="AP62" s="159" t="str">
        <f>IF($AN62=FALSE,"",IFERROR(INDEX('Flat Rates'!$A$1:$M$3880,MATCH($AM62,'Flat Rates'!$A$1:$A$3880,0),MATCH("Standing Charge",'Flat Rates'!$A$1:$M$1,0))*100,""))</f>
        <v/>
      </c>
      <c r="AQ62" s="148" t="str">
        <f>IF($AN62=FALSE,"",IFERROR((IF(NOT(T62="Unrestricted"),"",INDEX('Flat Rates'!$A$1:$M$3880,MATCH($AM62,'Flat Rates'!$A$1:$A$3880,0),MATCH("Uni/Day Rate",'Flat Rates'!$A$1:$M$1,0)))*100)+H62,""))</f>
        <v/>
      </c>
      <c r="AR62" s="148" t="str">
        <f>IF($AN62=FALSE,"",IFERROR((IF(T62="Unrestricted","",INDEX('Flat Rates'!$A$1:$M$3880,MATCH($AM62,'Flat Rates'!$A$1:$A$3880,0),MATCH("Uni/Day Rate",'Flat Rates'!$A$1:$M$1,0)))*100)+H62,""))</f>
        <v/>
      </c>
      <c r="AS62" s="148" t="str">
        <f>IF($AN62=FALSE,"",IFERROR(IF(INDEX('Flat Rates'!$A$1:$M$3880,MATCH($AM62,'Flat Rates'!$A$1:$A$3880,0),MATCH("Night Unit Rate",'Flat Rates'!$A$1:$M$1,0))=0,"",((INDEX('Flat Rates'!$A$1:$M$3880,MATCH($AM62,'Flat Rates'!$A$1:$A$3880,0),MATCH("Night Unit Rate",'Flat Rates'!$A$1:$M$1,0)))*100)+H62),""))</f>
        <v/>
      </c>
      <c r="AT62" s="148" t="str">
        <f>IF($AN62=FALSE,"",IFERROR(IF(INDEX('Flat Rates'!$A$1:$M$3880,MATCH($AM62,'Flat Rates'!$A$1:$A$3880,0),MATCH("Evening and Weekend Rate",'Flat Rates'!$A$1:$M$1,0))=0,"",((INDEX('Flat Rates'!$A$1:$M$3880,MATCH($AM62,'Flat Rates'!$A$1:$A$3880,0),MATCH("Evening and Weekend Rate",'Flat Rates'!$A$1:$M$1,0)))*100)+H62),""))</f>
        <v/>
      </c>
      <c r="AU62" s="152" t="str">
        <f t="shared" si="21"/>
        <v/>
      </c>
      <c r="AV62" s="152" t="str">
        <f t="shared" si="22"/>
        <v/>
      </c>
      <c r="AW62" s="152" t="str">
        <f t="shared" si="23"/>
        <v/>
      </c>
    </row>
    <row r="63" spans="2:49" ht="15" thickBot="1" x14ac:dyDescent="0.35">
      <c r="B63" s="138" t="str">
        <f t="shared" si="0"/>
        <v/>
      </c>
      <c r="C63" s="137"/>
      <c r="D63" s="139"/>
      <c r="E63" s="140"/>
      <c r="F63" s="140"/>
      <c r="G63" s="139"/>
      <c r="H63" s="151"/>
      <c r="I63" s="139"/>
      <c r="J63" s="138"/>
      <c r="K63" s="139"/>
      <c r="L63" s="141"/>
      <c r="M63" s="133" t="str">
        <f t="shared" si="1"/>
        <v/>
      </c>
      <c r="N63" s="133" t="str">
        <f t="shared" si="2"/>
        <v/>
      </c>
      <c r="O63" s="133" t="str">
        <f t="shared" si="3"/>
        <v/>
      </c>
      <c r="P63" s="133" t="str">
        <f t="shared" si="4"/>
        <v/>
      </c>
      <c r="Q63" s="133" t="str">
        <f t="shared" si="5"/>
        <v/>
      </c>
      <c r="R63" s="133" t="str">
        <f t="shared" si="6"/>
        <v/>
      </c>
      <c r="S63" s="133" t="str">
        <f t="shared" si="7"/>
        <v/>
      </c>
      <c r="T63" s="133" t="str">
        <f>IFERROR(IF($U63="ERROR","ERROR",IF($N63="00",IF(J63="1-Rate","HH 1RATE",IF(J63="2-Rate","HH 2RATE","")),IFERROR(VLOOKUP(CONCATENATE(N63,Q63,O63,P63),Lookups!$A$2:$E$4557,5,0),VLOOKUP(CONCATENATE(N63,Q63,O63),Lookups!$A$2:$E$4557,5,0)))),"ERROR")</f>
        <v>ERROR</v>
      </c>
      <c r="U63" s="133" t="str">
        <f>IFERROR(IF(NOT($N63="00"),"",VLOOKUP(CONCATENATE(Q63,P63,LOOKUP(2,1/(Lookups!$I$2:$I$11&lt;=E63)/(Lookups!$J$2:$J$11&gt;=Tool!$C$14),Lookups!$K$2:$K$11)),'HH LLFs'!$A$2:$K$500,3,0)),"ERROR")</f>
        <v/>
      </c>
      <c r="V63" s="132">
        <f>Calcs!$I$2</f>
        <v>44377</v>
      </c>
      <c r="W63" s="132">
        <f>Calcs!$I$4</f>
        <v>44592</v>
      </c>
      <c r="X63" s="153" t="str">
        <f>IF(NOT(N63="00"),"",(VLOOKUP(CONCATENATE(Q63,P63,LOOKUP(2,1/(Lookups!$I$2:$I$11&lt;=Multisite!E63)/(Lookups!$J$2:$J$11&gt;=E63),Lookups!$K$2:$K$11)),'HH LLFs'!$A$2:$F$282,6,0)*365)/12)</f>
        <v/>
      </c>
      <c r="Y63" s="153">
        <f t="shared" si="8"/>
        <v>0</v>
      </c>
      <c r="Z63" s="153" t="str">
        <f t="shared" si="17"/>
        <v/>
      </c>
      <c r="AA63" s="153" t="str">
        <f t="shared" si="9"/>
        <v/>
      </c>
      <c r="AB63" s="153" t="str">
        <f t="shared" si="18"/>
        <v/>
      </c>
      <c r="AC63" s="153" t="str">
        <f t="shared" si="10"/>
        <v/>
      </c>
      <c r="AD63" s="153" t="str">
        <f t="shared" si="11"/>
        <v/>
      </c>
      <c r="AE63" s="153" t="str">
        <f t="shared" si="12"/>
        <v/>
      </c>
      <c r="AF63" s="155" t="e">
        <f>LOOKUP(2,1/(Lookups!$I$2:$I$11&lt;=E63)/(Lookups!$J$2:$J$11&gt;=E63),Lookups!$L$2:$L$11)</f>
        <v>#N/A</v>
      </c>
      <c r="AG63" s="142" t="str">
        <f t="shared" si="13"/>
        <v/>
      </c>
      <c r="AH63" s="142" t="str">
        <f t="shared" si="14"/>
        <v/>
      </c>
      <c r="AI63" s="143" t="b">
        <f t="shared" si="19"/>
        <v>0</v>
      </c>
      <c r="AJ63" s="143" t="str">
        <f t="shared" si="15"/>
        <v>Level 1</v>
      </c>
      <c r="AK63" s="142">
        <f t="shared" si="16"/>
        <v>0</v>
      </c>
      <c r="AL63" s="157" t="str">
        <f t="shared" si="24"/>
        <v/>
      </c>
      <c r="AM63" s="144" t="str">
        <f t="shared" si="25"/>
        <v>--FALSE-0</v>
      </c>
      <c r="AN63" s="158" t="str">
        <f t="shared" si="20"/>
        <v/>
      </c>
      <c r="AO63" s="145"/>
      <c r="AP63" s="159" t="str">
        <f>IF($AN63=FALSE,"",IFERROR(INDEX('Flat Rates'!$A$1:$M$3880,MATCH($AM63,'Flat Rates'!$A$1:$A$3880,0),MATCH("Standing Charge",'Flat Rates'!$A$1:$M$1,0))*100,""))</f>
        <v/>
      </c>
      <c r="AQ63" s="148" t="str">
        <f>IF($AN63=FALSE,"",IFERROR((IF(NOT(T63="Unrestricted"),"",INDEX('Flat Rates'!$A$1:$M$3880,MATCH($AM63,'Flat Rates'!$A$1:$A$3880,0),MATCH("Uni/Day Rate",'Flat Rates'!$A$1:$M$1,0)))*100)+H63,""))</f>
        <v/>
      </c>
      <c r="AR63" s="148" t="str">
        <f>IF($AN63=FALSE,"",IFERROR((IF(T63="Unrestricted","",INDEX('Flat Rates'!$A$1:$M$3880,MATCH($AM63,'Flat Rates'!$A$1:$A$3880,0),MATCH("Uni/Day Rate",'Flat Rates'!$A$1:$M$1,0)))*100)+H63,""))</f>
        <v/>
      </c>
      <c r="AS63" s="148" t="str">
        <f>IF($AN63=FALSE,"",IFERROR(IF(INDEX('Flat Rates'!$A$1:$M$3880,MATCH($AM63,'Flat Rates'!$A$1:$A$3880,0),MATCH("Night Unit Rate",'Flat Rates'!$A$1:$M$1,0))=0,"",((INDEX('Flat Rates'!$A$1:$M$3880,MATCH($AM63,'Flat Rates'!$A$1:$A$3880,0),MATCH("Night Unit Rate",'Flat Rates'!$A$1:$M$1,0)))*100)+H63),""))</f>
        <v/>
      </c>
      <c r="AT63" s="148" t="str">
        <f>IF($AN63=FALSE,"",IFERROR(IF(INDEX('Flat Rates'!$A$1:$M$3880,MATCH($AM63,'Flat Rates'!$A$1:$A$3880,0),MATCH("Evening and Weekend Rate",'Flat Rates'!$A$1:$M$1,0))=0,"",((INDEX('Flat Rates'!$A$1:$M$3880,MATCH($AM63,'Flat Rates'!$A$1:$A$3880,0),MATCH("Evening and Weekend Rate",'Flat Rates'!$A$1:$M$1,0)))*100)+H63),""))</f>
        <v/>
      </c>
      <c r="AU63" s="152" t="str">
        <f t="shared" si="21"/>
        <v/>
      </c>
      <c r="AV63" s="152" t="str">
        <f t="shared" si="22"/>
        <v/>
      </c>
      <c r="AW63" s="152" t="str">
        <f t="shared" si="23"/>
        <v/>
      </c>
    </row>
    <row r="64" spans="2:49" ht="15" thickBot="1" x14ac:dyDescent="0.35">
      <c r="B64" s="138" t="str">
        <f t="shared" si="0"/>
        <v/>
      </c>
      <c r="C64" s="137"/>
      <c r="D64" s="139"/>
      <c r="E64" s="140"/>
      <c r="F64" s="140"/>
      <c r="G64" s="139"/>
      <c r="H64" s="151"/>
      <c r="I64" s="139"/>
      <c r="J64" s="137"/>
      <c r="K64" s="139"/>
      <c r="L64" s="141"/>
      <c r="M64" s="133" t="str">
        <f t="shared" si="1"/>
        <v/>
      </c>
      <c r="N64" s="133" t="str">
        <f t="shared" si="2"/>
        <v/>
      </c>
      <c r="O64" s="133" t="str">
        <f t="shared" si="3"/>
        <v/>
      </c>
      <c r="P64" s="133" t="str">
        <f t="shared" si="4"/>
        <v/>
      </c>
      <c r="Q64" s="133" t="str">
        <f t="shared" si="5"/>
        <v/>
      </c>
      <c r="R64" s="133" t="str">
        <f t="shared" si="6"/>
        <v/>
      </c>
      <c r="S64" s="133" t="str">
        <f t="shared" si="7"/>
        <v/>
      </c>
      <c r="T64" s="133" t="str">
        <f>IFERROR(IF($U64="ERROR","ERROR",IF($N64="00",IF(J64="1-Rate","HH 1RATE",IF(J64="2-Rate","HH 2RATE","")),IFERROR(VLOOKUP(CONCATENATE(N64,Q64,O64,P64),Lookups!$A$2:$E$4557,5,0),VLOOKUP(CONCATENATE(N64,Q64,O64),Lookups!$A$2:$E$4557,5,0)))),"ERROR")</f>
        <v>ERROR</v>
      </c>
      <c r="U64" s="133" t="str">
        <f>IFERROR(IF(NOT($N64="00"),"",VLOOKUP(CONCATENATE(Q64,P64,LOOKUP(2,1/(Lookups!$I$2:$I$11&lt;=E64)/(Lookups!$J$2:$J$11&gt;=Tool!$C$14),Lookups!$K$2:$K$11)),'HH LLFs'!$A$2:$K$500,3,0)),"ERROR")</f>
        <v/>
      </c>
      <c r="V64" s="132">
        <f>Calcs!$I$2</f>
        <v>44377</v>
      </c>
      <c r="W64" s="132">
        <f>Calcs!$I$4</f>
        <v>44592</v>
      </c>
      <c r="X64" s="153" t="str">
        <f>IF(NOT(N64="00"),"",(VLOOKUP(CONCATENATE(Q64,P64,LOOKUP(2,1/(Lookups!$I$2:$I$11&lt;=Multisite!E64)/(Lookups!$J$2:$J$11&gt;=E64),Lookups!$K$2:$K$11)),'HH LLFs'!$A$2:$F$282,6,0)*365)/12)</f>
        <v/>
      </c>
      <c r="Y64" s="153">
        <f t="shared" si="8"/>
        <v>0</v>
      </c>
      <c r="Z64" s="153" t="str">
        <f t="shared" si="17"/>
        <v/>
      </c>
      <c r="AA64" s="153" t="str">
        <f t="shared" si="9"/>
        <v/>
      </c>
      <c r="AB64" s="153" t="str">
        <f t="shared" si="18"/>
        <v/>
      </c>
      <c r="AC64" s="153" t="str">
        <f t="shared" si="10"/>
        <v/>
      </c>
      <c r="AD64" s="153" t="str">
        <f t="shared" si="11"/>
        <v/>
      </c>
      <c r="AE64" s="153" t="str">
        <f t="shared" si="12"/>
        <v/>
      </c>
      <c r="AF64" s="155" t="e">
        <f>LOOKUP(2,1/(Lookups!$I$2:$I$11&lt;=E64)/(Lookups!$J$2:$J$11&gt;=E64),Lookups!$L$2:$L$11)</f>
        <v>#N/A</v>
      </c>
      <c r="AG64" s="142" t="str">
        <f t="shared" si="13"/>
        <v/>
      </c>
      <c r="AH64" s="142" t="str">
        <f t="shared" si="14"/>
        <v/>
      </c>
      <c r="AI64" s="143" t="b">
        <f t="shared" si="19"/>
        <v>0</v>
      </c>
      <c r="AJ64" s="143" t="str">
        <f t="shared" si="15"/>
        <v>Level 1</v>
      </c>
      <c r="AK64" s="142">
        <f t="shared" si="16"/>
        <v>0</v>
      </c>
      <c r="AL64" s="157" t="str">
        <f t="shared" si="24"/>
        <v/>
      </c>
      <c r="AM64" s="144" t="str">
        <f t="shared" si="25"/>
        <v>--FALSE-0</v>
      </c>
      <c r="AN64" s="158" t="str">
        <f t="shared" si="20"/>
        <v/>
      </c>
      <c r="AO64" s="145"/>
      <c r="AP64" s="159" t="str">
        <f>IF($AN64=FALSE,"",IFERROR(INDEX('Flat Rates'!$A$1:$M$3880,MATCH($AM64,'Flat Rates'!$A$1:$A$3880,0),MATCH("Standing Charge",'Flat Rates'!$A$1:$M$1,0))*100,""))</f>
        <v/>
      </c>
      <c r="AQ64" s="148" t="str">
        <f>IF($AN64=FALSE,"",IFERROR((IF(NOT(T64="Unrestricted"),"",INDEX('Flat Rates'!$A$1:$M$3880,MATCH($AM64,'Flat Rates'!$A$1:$A$3880,0),MATCH("Uni/Day Rate",'Flat Rates'!$A$1:$M$1,0)))*100)+H64,""))</f>
        <v/>
      </c>
      <c r="AR64" s="148" t="str">
        <f>IF($AN64=FALSE,"",IFERROR((IF(T64="Unrestricted","",INDEX('Flat Rates'!$A$1:$M$3880,MATCH($AM64,'Flat Rates'!$A$1:$A$3880,0),MATCH("Uni/Day Rate",'Flat Rates'!$A$1:$M$1,0)))*100)+H64,""))</f>
        <v/>
      </c>
      <c r="AS64" s="148" t="str">
        <f>IF($AN64=FALSE,"",IFERROR(IF(INDEX('Flat Rates'!$A$1:$M$3880,MATCH($AM64,'Flat Rates'!$A$1:$A$3880,0),MATCH("Night Unit Rate",'Flat Rates'!$A$1:$M$1,0))=0,"",((INDEX('Flat Rates'!$A$1:$M$3880,MATCH($AM64,'Flat Rates'!$A$1:$A$3880,0),MATCH("Night Unit Rate",'Flat Rates'!$A$1:$M$1,0)))*100)+H64),""))</f>
        <v/>
      </c>
      <c r="AT64" s="148" t="str">
        <f>IF($AN64=FALSE,"",IFERROR(IF(INDEX('Flat Rates'!$A$1:$M$3880,MATCH($AM64,'Flat Rates'!$A$1:$A$3880,0),MATCH("Evening and Weekend Rate",'Flat Rates'!$A$1:$M$1,0))=0,"",((INDEX('Flat Rates'!$A$1:$M$3880,MATCH($AM64,'Flat Rates'!$A$1:$A$3880,0),MATCH("Evening and Weekend Rate",'Flat Rates'!$A$1:$M$1,0)))*100)+H64),""))</f>
        <v/>
      </c>
      <c r="AU64" s="152" t="str">
        <f t="shared" si="21"/>
        <v/>
      </c>
      <c r="AV64" s="152" t="str">
        <f t="shared" si="22"/>
        <v/>
      </c>
      <c r="AW64" s="152" t="str">
        <f t="shared" si="23"/>
        <v/>
      </c>
    </row>
    <row r="65" spans="2:49" ht="15" thickBot="1" x14ac:dyDescent="0.35">
      <c r="B65" s="138" t="str">
        <f t="shared" si="0"/>
        <v/>
      </c>
      <c r="C65" s="137"/>
      <c r="D65" s="139"/>
      <c r="E65" s="140"/>
      <c r="F65" s="140"/>
      <c r="G65" s="139"/>
      <c r="H65" s="151"/>
      <c r="I65" s="139"/>
      <c r="J65" s="138"/>
      <c r="K65" s="139"/>
      <c r="L65" s="141"/>
      <c r="M65" s="133" t="str">
        <f t="shared" si="1"/>
        <v/>
      </c>
      <c r="N65" s="133" t="str">
        <f t="shared" si="2"/>
        <v/>
      </c>
      <c r="O65" s="133" t="str">
        <f t="shared" si="3"/>
        <v/>
      </c>
      <c r="P65" s="133" t="str">
        <f t="shared" si="4"/>
        <v/>
      </c>
      <c r="Q65" s="133" t="str">
        <f t="shared" si="5"/>
        <v/>
      </c>
      <c r="R65" s="133" t="str">
        <f t="shared" si="6"/>
        <v/>
      </c>
      <c r="S65" s="133" t="str">
        <f t="shared" si="7"/>
        <v/>
      </c>
      <c r="T65" s="133" t="str">
        <f>IFERROR(IF($U65="ERROR","ERROR",IF($N65="00",IF(J65="1-Rate","HH 1RATE",IF(J65="2-Rate","HH 2RATE","")),IFERROR(VLOOKUP(CONCATENATE(N65,Q65,O65,P65),Lookups!$A$2:$E$4557,5,0),VLOOKUP(CONCATENATE(N65,Q65,O65),Lookups!$A$2:$E$4557,5,0)))),"ERROR")</f>
        <v>ERROR</v>
      </c>
      <c r="U65" s="133" t="str">
        <f>IFERROR(IF(NOT($N65="00"),"",VLOOKUP(CONCATENATE(Q65,P65,LOOKUP(2,1/(Lookups!$I$2:$I$11&lt;=E65)/(Lookups!$J$2:$J$11&gt;=Tool!$C$14),Lookups!$K$2:$K$11)),'HH LLFs'!$A$2:$K$500,3,0)),"ERROR")</f>
        <v/>
      </c>
      <c r="V65" s="132">
        <f>Calcs!$I$2</f>
        <v>44377</v>
      </c>
      <c r="W65" s="132">
        <f>Calcs!$I$4</f>
        <v>44592</v>
      </c>
      <c r="X65" s="153" t="str">
        <f>IF(NOT(N65="00"),"",(VLOOKUP(CONCATENATE(Q65,P65,LOOKUP(2,1/(Lookups!$I$2:$I$11&lt;=Multisite!E65)/(Lookups!$J$2:$J$11&gt;=E65),Lookups!$K$2:$K$11)),'HH LLFs'!$A$2:$F$282,6,0)*365)/12)</f>
        <v/>
      </c>
      <c r="Y65" s="153">
        <f t="shared" si="8"/>
        <v>0</v>
      </c>
      <c r="Z65" s="153" t="str">
        <f t="shared" si="17"/>
        <v/>
      </c>
      <c r="AA65" s="153" t="str">
        <f t="shared" si="9"/>
        <v/>
      </c>
      <c r="AB65" s="153" t="str">
        <f t="shared" si="18"/>
        <v/>
      </c>
      <c r="AC65" s="153" t="str">
        <f t="shared" si="10"/>
        <v/>
      </c>
      <c r="AD65" s="153" t="str">
        <f t="shared" si="11"/>
        <v/>
      </c>
      <c r="AE65" s="153" t="str">
        <f t="shared" si="12"/>
        <v/>
      </c>
      <c r="AF65" s="155" t="e">
        <f>LOOKUP(2,1/(Lookups!$I$2:$I$11&lt;=E65)/(Lookups!$J$2:$J$11&gt;=E65),Lookups!$L$2:$L$11)</f>
        <v>#N/A</v>
      </c>
      <c r="AG65" s="142" t="str">
        <f t="shared" si="13"/>
        <v/>
      </c>
      <c r="AH65" s="142" t="str">
        <f t="shared" si="14"/>
        <v/>
      </c>
      <c r="AI65" s="143" t="b">
        <f t="shared" si="19"/>
        <v>0</v>
      </c>
      <c r="AJ65" s="143" t="str">
        <f t="shared" si="15"/>
        <v>Level 1</v>
      </c>
      <c r="AK65" s="142">
        <f t="shared" si="16"/>
        <v>0</v>
      </c>
      <c r="AL65" s="157" t="str">
        <f t="shared" si="24"/>
        <v/>
      </c>
      <c r="AM65" s="144" t="str">
        <f t="shared" si="25"/>
        <v>--FALSE-0</v>
      </c>
      <c r="AN65" s="158" t="str">
        <f t="shared" si="20"/>
        <v/>
      </c>
      <c r="AO65" s="145"/>
      <c r="AP65" s="159" t="str">
        <f>IF($AN65=FALSE,"",IFERROR(INDEX('Flat Rates'!$A$1:$M$3880,MATCH($AM65,'Flat Rates'!$A$1:$A$3880,0),MATCH("Standing Charge",'Flat Rates'!$A$1:$M$1,0))*100,""))</f>
        <v/>
      </c>
      <c r="AQ65" s="148" t="str">
        <f>IF($AN65=FALSE,"",IFERROR((IF(NOT(T65="Unrestricted"),"",INDEX('Flat Rates'!$A$1:$M$3880,MATCH($AM65,'Flat Rates'!$A$1:$A$3880,0),MATCH("Uni/Day Rate",'Flat Rates'!$A$1:$M$1,0)))*100)+H65,""))</f>
        <v/>
      </c>
      <c r="AR65" s="148" t="str">
        <f>IF($AN65=FALSE,"",IFERROR((IF(T65="Unrestricted","",INDEX('Flat Rates'!$A$1:$M$3880,MATCH($AM65,'Flat Rates'!$A$1:$A$3880,0),MATCH("Uni/Day Rate",'Flat Rates'!$A$1:$M$1,0)))*100)+H65,""))</f>
        <v/>
      </c>
      <c r="AS65" s="148" t="str">
        <f>IF($AN65=FALSE,"",IFERROR(IF(INDEX('Flat Rates'!$A$1:$M$3880,MATCH($AM65,'Flat Rates'!$A$1:$A$3880,0),MATCH("Night Unit Rate",'Flat Rates'!$A$1:$M$1,0))=0,"",((INDEX('Flat Rates'!$A$1:$M$3880,MATCH($AM65,'Flat Rates'!$A$1:$A$3880,0),MATCH("Night Unit Rate",'Flat Rates'!$A$1:$M$1,0)))*100)+H65),""))</f>
        <v/>
      </c>
      <c r="AT65" s="148" t="str">
        <f>IF($AN65=FALSE,"",IFERROR(IF(INDEX('Flat Rates'!$A$1:$M$3880,MATCH($AM65,'Flat Rates'!$A$1:$A$3880,0),MATCH("Evening and Weekend Rate",'Flat Rates'!$A$1:$M$1,0))=0,"",((INDEX('Flat Rates'!$A$1:$M$3880,MATCH($AM65,'Flat Rates'!$A$1:$A$3880,0),MATCH("Evening and Weekend Rate",'Flat Rates'!$A$1:$M$1,0)))*100)+H65),""))</f>
        <v/>
      </c>
      <c r="AU65" s="152" t="str">
        <f t="shared" si="21"/>
        <v/>
      </c>
      <c r="AV65" s="152" t="str">
        <f t="shared" si="22"/>
        <v/>
      </c>
      <c r="AW65" s="152" t="str">
        <f t="shared" si="23"/>
        <v/>
      </c>
    </row>
    <row r="66" spans="2:49" ht="15" thickBot="1" x14ac:dyDescent="0.35">
      <c r="B66" s="138" t="str">
        <f t="shared" si="0"/>
        <v/>
      </c>
      <c r="C66" s="137"/>
      <c r="D66" s="139"/>
      <c r="E66" s="140"/>
      <c r="F66" s="140"/>
      <c r="G66" s="139"/>
      <c r="H66" s="151"/>
      <c r="I66" s="139"/>
      <c r="J66" s="137"/>
      <c r="K66" s="139"/>
      <c r="L66" s="141"/>
      <c r="M66" s="133" t="str">
        <f t="shared" si="1"/>
        <v/>
      </c>
      <c r="N66" s="133" t="str">
        <f t="shared" si="2"/>
        <v/>
      </c>
      <c r="O66" s="133" t="str">
        <f t="shared" si="3"/>
        <v/>
      </c>
      <c r="P66" s="133" t="str">
        <f t="shared" si="4"/>
        <v/>
      </c>
      <c r="Q66" s="133" t="str">
        <f t="shared" si="5"/>
        <v/>
      </c>
      <c r="R66" s="133" t="str">
        <f t="shared" si="6"/>
        <v/>
      </c>
      <c r="S66" s="133" t="str">
        <f t="shared" si="7"/>
        <v/>
      </c>
      <c r="T66" s="133" t="str">
        <f>IFERROR(IF($U66="ERROR","ERROR",IF($N66="00",IF(J66="1-Rate","HH 1RATE",IF(J66="2-Rate","HH 2RATE","")),IFERROR(VLOOKUP(CONCATENATE(N66,Q66,O66,P66),Lookups!$A$2:$E$4557,5,0),VLOOKUP(CONCATENATE(N66,Q66,O66),Lookups!$A$2:$E$4557,5,0)))),"ERROR")</f>
        <v>ERROR</v>
      </c>
      <c r="U66" s="133" t="str">
        <f>IFERROR(IF(NOT($N66="00"),"",VLOOKUP(CONCATENATE(Q66,P66,LOOKUP(2,1/(Lookups!$I$2:$I$11&lt;=E66)/(Lookups!$J$2:$J$11&gt;=Tool!$C$14),Lookups!$K$2:$K$11)),'HH LLFs'!$A$2:$K$500,3,0)),"ERROR")</f>
        <v/>
      </c>
      <c r="V66" s="132">
        <f>Calcs!$I$2</f>
        <v>44377</v>
      </c>
      <c r="W66" s="132">
        <f>Calcs!$I$4</f>
        <v>44592</v>
      </c>
      <c r="X66" s="153" t="str">
        <f>IF(NOT(N66="00"),"",(VLOOKUP(CONCATENATE(Q66,P66,LOOKUP(2,1/(Lookups!$I$2:$I$11&lt;=Multisite!E66)/(Lookups!$J$2:$J$11&gt;=E66),Lookups!$K$2:$K$11)),'HH LLFs'!$A$2:$F$282,6,0)*365)/12)</f>
        <v/>
      </c>
      <c r="Y66" s="153">
        <f t="shared" si="8"/>
        <v>0</v>
      </c>
      <c r="Z66" s="153" t="str">
        <f t="shared" si="17"/>
        <v/>
      </c>
      <c r="AA66" s="153" t="str">
        <f t="shared" si="9"/>
        <v/>
      </c>
      <c r="AB66" s="153" t="str">
        <f t="shared" si="18"/>
        <v/>
      </c>
      <c r="AC66" s="153" t="str">
        <f t="shared" si="10"/>
        <v/>
      </c>
      <c r="AD66" s="153" t="str">
        <f t="shared" si="11"/>
        <v/>
      </c>
      <c r="AE66" s="153" t="str">
        <f t="shared" si="12"/>
        <v/>
      </c>
      <c r="AF66" s="155" t="e">
        <f>LOOKUP(2,1/(Lookups!$I$2:$I$11&lt;=E66)/(Lookups!$J$2:$J$11&gt;=E66),Lookups!$L$2:$L$11)</f>
        <v>#N/A</v>
      </c>
      <c r="AG66" s="142" t="str">
        <f t="shared" si="13"/>
        <v/>
      </c>
      <c r="AH66" s="142" t="str">
        <f t="shared" si="14"/>
        <v/>
      </c>
      <c r="AI66" s="143" t="b">
        <f t="shared" si="19"/>
        <v>0</v>
      </c>
      <c r="AJ66" s="143" t="str">
        <f t="shared" si="15"/>
        <v>Level 1</v>
      </c>
      <c r="AK66" s="142">
        <f t="shared" si="16"/>
        <v>0</v>
      </c>
      <c r="AL66" s="157" t="str">
        <f t="shared" si="24"/>
        <v/>
      </c>
      <c r="AM66" s="144" t="str">
        <f t="shared" si="25"/>
        <v>--FALSE-0</v>
      </c>
      <c r="AN66" s="158" t="str">
        <f t="shared" si="20"/>
        <v/>
      </c>
      <c r="AO66" s="145"/>
      <c r="AP66" s="159" t="str">
        <f>IF($AN66=FALSE,"",IFERROR(INDEX('Flat Rates'!$A$1:$M$3880,MATCH($AM66,'Flat Rates'!$A$1:$A$3880,0),MATCH("Standing Charge",'Flat Rates'!$A$1:$M$1,0))*100,""))</f>
        <v/>
      </c>
      <c r="AQ66" s="148" t="str">
        <f>IF($AN66=FALSE,"",IFERROR((IF(NOT(T66="Unrestricted"),"",INDEX('Flat Rates'!$A$1:$M$3880,MATCH($AM66,'Flat Rates'!$A$1:$A$3880,0),MATCH("Uni/Day Rate",'Flat Rates'!$A$1:$M$1,0)))*100)+H66,""))</f>
        <v/>
      </c>
      <c r="AR66" s="148" t="str">
        <f>IF($AN66=FALSE,"",IFERROR((IF(T66="Unrestricted","",INDEX('Flat Rates'!$A$1:$M$3880,MATCH($AM66,'Flat Rates'!$A$1:$A$3880,0),MATCH("Uni/Day Rate",'Flat Rates'!$A$1:$M$1,0)))*100)+H66,""))</f>
        <v/>
      </c>
      <c r="AS66" s="148" t="str">
        <f>IF($AN66=FALSE,"",IFERROR(IF(INDEX('Flat Rates'!$A$1:$M$3880,MATCH($AM66,'Flat Rates'!$A$1:$A$3880,0),MATCH("Night Unit Rate",'Flat Rates'!$A$1:$M$1,0))=0,"",((INDEX('Flat Rates'!$A$1:$M$3880,MATCH($AM66,'Flat Rates'!$A$1:$A$3880,0),MATCH("Night Unit Rate",'Flat Rates'!$A$1:$M$1,0)))*100)+H66),""))</f>
        <v/>
      </c>
      <c r="AT66" s="148" t="str">
        <f>IF($AN66=FALSE,"",IFERROR(IF(INDEX('Flat Rates'!$A$1:$M$3880,MATCH($AM66,'Flat Rates'!$A$1:$A$3880,0),MATCH("Evening and Weekend Rate",'Flat Rates'!$A$1:$M$1,0))=0,"",((INDEX('Flat Rates'!$A$1:$M$3880,MATCH($AM66,'Flat Rates'!$A$1:$A$3880,0),MATCH("Evening and Weekend Rate",'Flat Rates'!$A$1:$M$1,0)))*100)+H66),""))</f>
        <v/>
      </c>
      <c r="AU66" s="152" t="str">
        <f t="shared" si="21"/>
        <v/>
      </c>
      <c r="AV66" s="152" t="str">
        <f t="shared" si="22"/>
        <v/>
      </c>
      <c r="AW66" s="152" t="str">
        <f t="shared" si="23"/>
        <v/>
      </c>
    </row>
    <row r="67" spans="2:49" ht="15" thickBot="1" x14ac:dyDescent="0.35">
      <c r="B67" s="138" t="str">
        <f t="shared" si="0"/>
        <v/>
      </c>
      <c r="C67" s="137"/>
      <c r="D67" s="139"/>
      <c r="E67" s="140"/>
      <c r="F67" s="140"/>
      <c r="G67" s="139"/>
      <c r="H67" s="151"/>
      <c r="I67" s="139"/>
      <c r="J67" s="138"/>
      <c r="K67" s="139"/>
      <c r="L67" s="141"/>
      <c r="M67" s="133" t="str">
        <f t="shared" si="1"/>
        <v/>
      </c>
      <c r="N67" s="133" t="str">
        <f t="shared" si="2"/>
        <v/>
      </c>
      <c r="O67" s="133" t="str">
        <f t="shared" si="3"/>
        <v/>
      </c>
      <c r="P67" s="133" t="str">
        <f t="shared" si="4"/>
        <v/>
      </c>
      <c r="Q67" s="133" t="str">
        <f t="shared" si="5"/>
        <v/>
      </c>
      <c r="R67" s="133" t="str">
        <f t="shared" si="6"/>
        <v/>
      </c>
      <c r="S67" s="133" t="str">
        <f t="shared" si="7"/>
        <v/>
      </c>
      <c r="T67" s="133" t="str">
        <f>IFERROR(IF($U67="ERROR","ERROR",IF($N67="00",IF(J67="1-Rate","HH 1RATE",IF(J67="2-Rate","HH 2RATE","")),IFERROR(VLOOKUP(CONCATENATE(N67,Q67,O67,P67),Lookups!$A$2:$E$4557,5,0),VLOOKUP(CONCATENATE(N67,Q67,O67),Lookups!$A$2:$E$4557,5,0)))),"ERROR")</f>
        <v>ERROR</v>
      </c>
      <c r="U67" s="133" t="str">
        <f>IFERROR(IF(NOT($N67="00"),"",VLOOKUP(CONCATENATE(Q67,P67,LOOKUP(2,1/(Lookups!$I$2:$I$11&lt;=E67)/(Lookups!$J$2:$J$11&gt;=Tool!$C$14),Lookups!$K$2:$K$11)),'HH LLFs'!$A$2:$K$500,3,0)),"ERROR")</f>
        <v/>
      </c>
      <c r="V67" s="132">
        <f>Calcs!$I$2</f>
        <v>44377</v>
      </c>
      <c r="W67" s="132">
        <f>Calcs!$I$4</f>
        <v>44592</v>
      </c>
      <c r="X67" s="153" t="str">
        <f>IF(NOT(N67="00"),"",(VLOOKUP(CONCATENATE(Q67,P67,LOOKUP(2,1/(Lookups!$I$2:$I$11&lt;=Multisite!E67)/(Lookups!$J$2:$J$11&gt;=E67),Lookups!$K$2:$K$11)),'HH LLFs'!$A$2:$F$282,6,0)*365)/12)</f>
        <v/>
      </c>
      <c r="Y67" s="153">
        <f t="shared" si="8"/>
        <v>0</v>
      </c>
      <c r="Z67" s="153" t="str">
        <f t="shared" si="17"/>
        <v/>
      </c>
      <c r="AA67" s="153" t="str">
        <f t="shared" si="9"/>
        <v/>
      </c>
      <c r="AB67" s="153" t="str">
        <f t="shared" si="18"/>
        <v/>
      </c>
      <c r="AC67" s="153" t="str">
        <f t="shared" si="10"/>
        <v/>
      </c>
      <c r="AD67" s="153" t="str">
        <f t="shared" si="11"/>
        <v/>
      </c>
      <c r="AE67" s="153" t="str">
        <f t="shared" si="12"/>
        <v/>
      </c>
      <c r="AF67" s="155" t="e">
        <f>LOOKUP(2,1/(Lookups!$I$2:$I$11&lt;=E67)/(Lookups!$J$2:$J$11&gt;=E67),Lookups!$L$2:$L$11)</f>
        <v>#N/A</v>
      </c>
      <c r="AG67" s="142" t="str">
        <f t="shared" si="13"/>
        <v/>
      </c>
      <c r="AH67" s="142" t="str">
        <f t="shared" si="14"/>
        <v/>
      </c>
      <c r="AI67" s="143" t="b">
        <f t="shared" si="19"/>
        <v>0</v>
      </c>
      <c r="AJ67" s="143" t="str">
        <f t="shared" si="15"/>
        <v>Level 1</v>
      </c>
      <c r="AK67" s="142">
        <f t="shared" si="16"/>
        <v>0</v>
      </c>
      <c r="AL67" s="157" t="str">
        <f t="shared" si="24"/>
        <v/>
      </c>
      <c r="AM67" s="144" t="str">
        <f t="shared" si="25"/>
        <v>--FALSE-0</v>
      </c>
      <c r="AN67" s="158" t="str">
        <f t="shared" si="20"/>
        <v/>
      </c>
      <c r="AO67" s="145"/>
      <c r="AP67" s="159" t="str">
        <f>IF($AN67=FALSE,"",IFERROR(INDEX('Flat Rates'!$A$1:$M$3880,MATCH($AM67,'Flat Rates'!$A$1:$A$3880,0),MATCH("Standing Charge",'Flat Rates'!$A$1:$M$1,0))*100,""))</f>
        <v/>
      </c>
      <c r="AQ67" s="148" t="str">
        <f>IF($AN67=FALSE,"",IFERROR((IF(NOT(T67="Unrestricted"),"",INDEX('Flat Rates'!$A$1:$M$3880,MATCH($AM67,'Flat Rates'!$A$1:$A$3880,0),MATCH("Uni/Day Rate",'Flat Rates'!$A$1:$M$1,0)))*100)+H67,""))</f>
        <v/>
      </c>
      <c r="AR67" s="148" t="str">
        <f>IF($AN67=FALSE,"",IFERROR((IF(T67="Unrestricted","",INDEX('Flat Rates'!$A$1:$M$3880,MATCH($AM67,'Flat Rates'!$A$1:$A$3880,0),MATCH("Uni/Day Rate",'Flat Rates'!$A$1:$M$1,0)))*100)+H67,""))</f>
        <v/>
      </c>
      <c r="AS67" s="148" t="str">
        <f>IF($AN67=FALSE,"",IFERROR(IF(INDEX('Flat Rates'!$A$1:$M$3880,MATCH($AM67,'Flat Rates'!$A$1:$A$3880,0),MATCH("Night Unit Rate",'Flat Rates'!$A$1:$M$1,0))=0,"",((INDEX('Flat Rates'!$A$1:$M$3880,MATCH($AM67,'Flat Rates'!$A$1:$A$3880,0),MATCH("Night Unit Rate",'Flat Rates'!$A$1:$M$1,0)))*100)+H67),""))</f>
        <v/>
      </c>
      <c r="AT67" s="148" t="str">
        <f>IF($AN67=FALSE,"",IFERROR(IF(INDEX('Flat Rates'!$A$1:$M$3880,MATCH($AM67,'Flat Rates'!$A$1:$A$3880,0),MATCH("Evening and Weekend Rate",'Flat Rates'!$A$1:$M$1,0))=0,"",((INDEX('Flat Rates'!$A$1:$M$3880,MATCH($AM67,'Flat Rates'!$A$1:$A$3880,0),MATCH("Evening and Weekend Rate",'Flat Rates'!$A$1:$M$1,0)))*100)+H67),""))</f>
        <v/>
      </c>
      <c r="AU67" s="152" t="str">
        <f t="shared" si="21"/>
        <v/>
      </c>
      <c r="AV67" s="152" t="str">
        <f t="shared" si="22"/>
        <v/>
      </c>
      <c r="AW67" s="152" t="str">
        <f t="shared" si="23"/>
        <v/>
      </c>
    </row>
    <row r="68" spans="2:49" ht="15" thickBot="1" x14ac:dyDescent="0.35">
      <c r="B68" s="138" t="str">
        <f t="shared" si="0"/>
        <v/>
      </c>
      <c r="C68" s="137"/>
      <c r="D68" s="139"/>
      <c r="E68" s="140"/>
      <c r="F68" s="140"/>
      <c r="G68" s="139"/>
      <c r="H68" s="151"/>
      <c r="I68" s="139"/>
      <c r="J68" s="137"/>
      <c r="K68" s="139"/>
      <c r="L68" s="141"/>
      <c r="M68" s="133" t="str">
        <f t="shared" si="1"/>
        <v/>
      </c>
      <c r="N68" s="133" t="str">
        <f t="shared" si="2"/>
        <v/>
      </c>
      <c r="O68" s="133" t="str">
        <f t="shared" si="3"/>
        <v/>
      </c>
      <c r="P68" s="133" t="str">
        <f t="shared" si="4"/>
        <v/>
      </c>
      <c r="Q68" s="133" t="str">
        <f t="shared" si="5"/>
        <v/>
      </c>
      <c r="R68" s="133" t="str">
        <f t="shared" si="6"/>
        <v/>
      </c>
      <c r="S68" s="133" t="str">
        <f t="shared" si="7"/>
        <v/>
      </c>
      <c r="T68" s="133" t="str">
        <f>IFERROR(IF($U68="ERROR","ERROR",IF($N68="00",IF(J68="1-Rate","HH 1RATE",IF(J68="2-Rate","HH 2RATE","")),IFERROR(VLOOKUP(CONCATENATE(N68,Q68,O68,P68),Lookups!$A$2:$E$4557,5,0),VLOOKUP(CONCATENATE(N68,Q68,O68),Lookups!$A$2:$E$4557,5,0)))),"ERROR")</f>
        <v>ERROR</v>
      </c>
      <c r="U68" s="133" t="str">
        <f>IFERROR(IF(NOT($N68="00"),"",VLOOKUP(CONCATENATE(Q68,P68,LOOKUP(2,1/(Lookups!$I$2:$I$11&lt;=E68)/(Lookups!$J$2:$J$11&gt;=Tool!$C$14),Lookups!$K$2:$K$11)),'HH LLFs'!$A$2:$K$500,3,0)),"ERROR")</f>
        <v/>
      </c>
      <c r="V68" s="132">
        <f>Calcs!$I$2</f>
        <v>44377</v>
      </c>
      <c r="W68" s="132">
        <f>Calcs!$I$4</f>
        <v>44592</v>
      </c>
      <c r="X68" s="153" t="str">
        <f>IF(NOT(N68="00"),"",(VLOOKUP(CONCATENATE(Q68,P68,LOOKUP(2,1/(Lookups!$I$2:$I$11&lt;=Multisite!E68)/(Lookups!$J$2:$J$11&gt;=E68),Lookups!$K$2:$K$11)),'HH LLFs'!$A$2:$F$282,6,0)*365)/12)</f>
        <v/>
      </c>
      <c r="Y68" s="153">
        <f t="shared" si="8"/>
        <v>0</v>
      </c>
      <c r="Z68" s="153" t="str">
        <f t="shared" si="17"/>
        <v/>
      </c>
      <c r="AA68" s="153" t="str">
        <f t="shared" si="9"/>
        <v/>
      </c>
      <c r="AB68" s="153" t="str">
        <f t="shared" si="18"/>
        <v/>
      </c>
      <c r="AC68" s="153" t="str">
        <f t="shared" si="10"/>
        <v/>
      </c>
      <c r="AD68" s="153" t="str">
        <f t="shared" si="11"/>
        <v/>
      </c>
      <c r="AE68" s="153" t="str">
        <f t="shared" si="12"/>
        <v/>
      </c>
      <c r="AF68" s="155" t="e">
        <f>LOOKUP(2,1/(Lookups!$I$2:$I$11&lt;=E68)/(Lookups!$J$2:$J$11&gt;=E68),Lookups!$L$2:$L$11)</f>
        <v>#N/A</v>
      </c>
      <c r="AG68" s="142" t="str">
        <f t="shared" si="13"/>
        <v/>
      </c>
      <c r="AH68" s="142" t="str">
        <f t="shared" si="14"/>
        <v/>
      </c>
      <c r="AI68" s="143" t="b">
        <f t="shared" si="19"/>
        <v>0</v>
      </c>
      <c r="AJ68" s="143" t="str">
        <f t="shared" si="15"/>
        <v>Level 1</v>
      </c>
      <c r="AK68" s="142">
        <f t="shared" si="16"/>
        <v>0</v>
      </c>
      <c r="AL68" s="157" t="str">
        <f t="shared" si="24"/>
        <v/>
      </c>
      <c r="AM68" s="144" t="str">
        <f t="shared" si="25"/>
        <v>--FALSE-0</v>
      </c>
      <c r="AN68" s="158" t="str">
        <f t="shared" si="20"/>
        <v/>
      </c>
      <c r="AO68" s="145"/>
      <c r="AP68" s="159" t="str">
        <f>IF($AN68=FALSE,"",IFERROR(INDEX('Flat Rates'!$A$1:$M$3880,MATCH($AM68,'Flat Rates'!$A$1:$A$3880,0),MATCH("Standing Charge",'Flat Rates'!$A$1:$M$1,0))*100,""))</f>
        <v/>
      </c>
      <c r="AQ68" s="148" t="str">
        <f>IF($AN68=FALSE,"",IFERROR((IF(NOT(T68="Unrestricted"),"",INDEX('Flat Rates'!$A$1:$M$3880,MATCH($AM68,'Flat Rates'!$A$1:$A$3880,0),MATCH("Uni/Day Rate",'Flat Rates'!$A$1:$M$1,0)))*100)+H68,""))</f>
        <v/>
      </c>
      <c r="AR68" s="148" t="str">
        <f>IF($AN68=FALSE,"",IFERROR((IF(T68="Unrestricted","",INDEX('Flat Rates'!$A$1:$M$3880,MATCH($AM68,'Flat Rates'!$A$1:$A$3880,0),MATCH("Uni/Day Rate",'Flat Rates'!$A$1:$M$1,0)))*100)+H68,""))</f>
        <v/>
      </c>
      <c r="AS68" s="148" t="str">
        <f>IF($AN68=FALSE,"",IFERROR(IF(INDEX('Flat Rates'!$A$1:$M$3880,MATCH($AM68,'Flat Rates'!$A$1:$A$3880,0),MATCH("Night Unit Rate",'Flat Rates'!$A$1:$M$1,0))=0,"",((INDEX('Flat Rates'!$A$1:$M$3880,MATCH($AM68,'Flat Rates'!$A$1:$A$3880,0),MATCH("Night Unit Rate",'Flat Rates'!$A$1:$M$1,0)))*100)+H68),""))</f>
        <v/>
      </c>
      <c r="AT68" s="148" t="str">
        <f>IF($AN68=FALSE,"",IFERROR(IF(INDEX('Flat Rates'!$A$1:$M$3880,MATCH($AM68,'Flat Rates'!$A$1:$A$3880,0),MATCH("Evening and Weekend Rate",'Flat Rates'!$A$1:$M$1,0))=0,"",((INDEX('Flat Rates'!$A$1:$M$3880,MATCH($AM68,'Flat Rates'!$A$1:$A$3880,0),MATCH("Evening and Weekend Rate",'Flat Rates'!$A$1:$M$1,0)))*100)+H68),""))</f>
        <v/>
      </c>
      <c r="AU68" s="152" t="str">
        <f t="shared" si="21"/>
        <v/>
      </c>
      <c r="AV68" s="152" t="str">
        <f t="shared" si="22"/>
        <v/>
      </c>
      <c r="AW68" s="152" t="str">
        <f t="shared" si="23"/>
        <v/>
      </c>
    </row>
    <row r="69" spans="2:49" ht="15" thickBot="1" x14ac:dyDescent="0.35">
      <c r="B69" s="138" t="str">
        <f t="shared" si="0"/>
        <v/>
      </c>
      <c r="C69" s="137"/>
      <c r="D69" s="139"/>
      <c r="E69" s="140"/>
      <c r="F69" s="140"/>
      <c r="G69" s="139"/>
      <c r="H69" s="151"/>
      <c r="I69" s="139"/>
      <c r="J69" s="138"/>
      <c r="K69" s="139"/>
      <c r="L69" s="141"/>
      <c r="M69" s="133" t="str">
        <f t="shared" si="1"/>
        <v/>
      </c>
      <c r="N69" s="133" t="str">
        <f t="shared" si="2"/>
        <v/>
      </c>
      <c r="O69" s="133" t="str">
        <f t="shared" si="3"/>
        <v/>
      </c>
      <c r="P69" s="133" t="str">
        <f t="shared" si="4"/>
        <v/>
      </c>
      <c r="Q69" s="133" t="str">
        <f t="shared" si="5"/>
        <v/>
      </c>
      <c r="R69" s="133" t="str">
        <f t="shared" si="6"/>
        <v/>
      </c>
      <c r="S69" s="133" t="str">
        <f t="shared" si="7"/>
        <v/>
      </c>
      <c r="T69" s="133" t="str">
        <f>IFERROR(IF($U69="ERROR","ERROR",IF($N69="00",IF(J69="1-Rate","HH 1RATE",IF(J69="2-Rate","HH 2RATE","")),IFERROR(VLOOKUP(CONCATENATE(N69,Q69,O69,P69),Lookups!$A$2:$E$4557,5,0),VLOOKUP(CONCATENATE(N69,Q69,O69),Lookups!$A$2:$E$4557,5,0)))),"ERROR")</f>
        <v>ERROR</v>
      </c>
      <c r="U69" s="133" t="str">
        <f>IFERROR(IF(NOT($N69="00"),"",VLOOKUP(CONCATENATE(Q69,P69,LOOKUP(2,1/(Lookups!$I$2:$I$11&lt;=E69)/(Lookups!$J$2:$J$11&gt;=Tool!$C$14),Lookups!$K$2:$K$11)),'HH LLFs'!$A$2:$K$500,3,0)),"ERROR")</f>
        <v/>
      </c>
      <c r="V69" s="132">
        <f>Calcs!$I$2</f>
        <v>44377</v>
      </c>
      <c r="W69" s="132">
        <f>Calcs!$I$4</f>
        <v>44592</v>
      </c>
      <c r="X69" s="153" t="str">
        <f>IF(NOT(N69="00"),"",(VLOOKUP(CONCATENATE(Q69,P69,LOOKUP(2,1/(Lookups!$I$2:$I$11&lt;=Multisite!E69)/(Lookups!$J$2:$J$11&gt;=E69),Lookups!$K$2:$K$11)),'HH LLFs'!$A$2:$F$282,6,0)*365)/12)</f>
        <v/>
      </c>
      <c r="Y69" s="153">
        <f t="shared" si="8"/>
        <v>0</v>
      </c>
      <c r="Z69" s="153" t="str">
        <f t="shared" si="17"/>
        <v/>
      </c>
      <c r="AA69" s="153" t="str">
        <f t="shared" si="9"/>
        <v/>
      </c>
      <c r="AB69" s="153" t="str">
        <f t="shared" si="18"/>
        <v/>
      </c>
      <c r="AC69" s="153" t="str">
        <f t="shared" si="10"/>
        <v/>
      </c>
      <c r="AD69" s="153" t="str">
        <f t="shared" si="11"/>
        <v/>
      </c>
      <c r="AE69" s="153" t="str">
        <f t="shared" si="12"/>
        <v/>
      </c>
      <c r="AF69" s="155" t="e">
        <f>LOOKUP(2,1/(Lookups!$I$2:$I$11&lt;=E69)/(Lookups!$J$2:$J$11&gt;=E69),Lookups!$L$2:$L$11)</f>
        <v>#N/A</v>
      </c>
      <c r="AG69" s="142" t="str">
        <f t="shared" si="13"/>
        <v/>
      </c>
      <c r="AH69" s="142" t="str">
        <f t="shared" si="14"/>
        <v/>
      </c>
      <c r="AI69" s="143" t="b">
        <f t="shared" si="19"/>
        <v>0</v>
      </c>
      <c r="AJ69" s="143" t="str">
        <f t="shared" si="15"/>
        <v>Level 1</v>
      </c>
      <c r="AK69" s="142">
        <f t="shared" si="16"/>
        <v>0</v>
      </c>
      <c r="AL69" s="157" t="str">
        <f t="shared" si="24"/>
        <v/>
      </c>
      <c r="AM69" s="144" t="str">
        <f t="shared" si="25"/>
        <v>--FALSE-0</v>
      </c>
      <c r="AN69" s="158" t="str">
        <f t="shared" si="20"/>
        <v/>
      </c>
      <c r="AO69" s="145"/>
      <c r="AP69" s="159" t="str">
        <f>IF($AN69=FALSE,"",IFERROR(INDEX('Flat Rates'!$A$1:$M$3880,MATCH($AM69,'Flat Rates'!$A$1:$A$3880,0),MATCH("Standing Charge",'Flat Rates'!$A$1:$M$1,0))*100,""))</f>
        <v/>
      </c>
      <c r="AQ69" s="148" t="str">
        <f>IF($AN69=FALSE,"",IFERROR((IF(NOT(T69="Unrestricted"),"",INDEX('Flat Rates'!$A$1:$M$3880,MATCH($AM69,'Flat Rates'!$A$1:$A$3880,0),MATCH("Uni/Day Rate",'Flat Rates'!$A$1:$M$1,0)))*100)+H69,""))</f>
        <v/>
      </c>
      <c r="AR69" s="148" t="str">
        <f>IF($AN69=FALSE,"",IFERROR((IF(T69="Unrestricted","",INDEX('Flat Rates'!$A$1:$M$3880,MATCH($AM69,'Flat Rates'!$A$1:$A$3880,0),MATCH("Uni/Day Rate",'Flat Rates'!$A$1:$M$1,0)))*100)+H69,""))</f>
        <v/>
      </c>
      <c r="AS69" s="148" t="str">
        <f>IF($AN69=FALSE,"",IFERROR(IF(INDEX('Flat Rates'!$A$1:$M$3880,MATCH($AM69,'Flat Rates'!$A$1:$A$3880,0),MATCH("Night Unit Rate",'Flat Rates'!$A$1:$M$1,0))=0,"",((INDEX('Flat Rates'!$A$1:$M$3880,MATCH($AM69,'Flat Rates'!$A$1:$A$3880,0),MATCH("Night Unit Rate",'Flat Rates'!$A$1:$M$1,0)))*100)+H69),""))</f>
        <v/>
      </c>
      <c r="AT69" s="148" t="str">
        <f>IF($AN69=FALSE,"",IFERROR(IF(INDEX('Flat Rates'!$A$1:$M$3880,MATCH($AM69,'Flat Rates'!$A$1:$A$3880,0),MATCH("Evening and Weekend Rate",'Flat Rates'!$A$1:$M$1,0))=0,"",((INDEX('Flat Rates'!$A$1:$M$3880,MATCH($AM69,'Flat Rates'!$A$1:$A$3880,0),MATCH("Evening and Weekend Rate",'Flat Rates'!$A$1:$M$1,0)))*100)+H69),""))</f>
        <v/>
      </c>
      <c r="AU69" s="152" t="str">
        <f t="shared" si="21"/>
        <v/>
      </c>
      <c r="AV69" s="152" t="str">
        <f t="shared" si="22"/>
        <v/>
      </c>
      <c r="AW69" s="152" t="str">
        <f t="shared" si="23"/>
        <v/>
      </c>
    </row>
    <row r="70" spans="2:49" ht="15" thickBot="1" x14ac:dyDescent="0.35">
      <c r="B70" s="138" t="str">
        <f t="shared" si="0"/>
        <v/>
      </c>
      <c r="C70" s="137"/>
      <c r="D70" s="139"/>
      <c r="E70" s="140"/>
      <c r="F70" s="140"/>
      <c r="G70" s="139"/>
      <c r="H70" s="151"/>
      <c r="I70" s="139"/>
      <c r="J70" s="137"/>
      <c r="K70" s="139"/>
      <c r="L70" s="141"/>
      <c r="M70" s="133" t="str">
        <f t="shared" si="1"/>
        <v/>
      </c>
      <c r="N70" s="133" t="str">
        <f t="shared" si="2"/>
        <v/>
      </c>
      <c r="O70" s="133" t="str">
        <f t="shared" si="3"/>
        <v/>
      </c>
      <c r="P70" s="133" t="str">
        <f t="shared" si="4"/>
        <v/>
      </c>
      <c r="Q70" s="133" t="str">
        <f t="shared" si="5"/>
        <v/>
      </c>
      <c r="R70" s="133" t="str">
        <f t="shared" si="6"/>
        <v/>
      </c>
      <c r="S70" s="133" t="str">
        <f t="shared" si="7"/>
        <v/>
      </c>
      <c r="T70" s="133" t="str">
        <f>IFERROR(IF($U70="ERROR","ERROR",IF($N70="00",IF(J70="1-Rate","HH 1RATE",IF(J70="2-Rate","HH 2RATE","")),IFERROR(VLOOKUP(CONCATENATE(N70,Q70,O70,P70),Lookups!$A$2:$E$4557,5,0),VLOOKUP(CONCATENATE(N70,Q70,O70),Lookups!$A$2:$E$4557,5,0)))),"ERROR")</f>
        <v>ERROR</v>
      </c>
      <c r="U70" s="133" t="str">
        <f>IFERROR(IF(NOT($N70="00"),"",VLOOKUP(CONCATENATE(Q70,P70,LOOKUP(2,1/(Lookups!$I$2:$I$11&lt;=E70)/(Lookups!$J$2:$J$11&gt;=Tool!$C$14),Lookups!$K$2:$K$11)),'HH LLFs'!$A$2:$K$500,3,0)),"ERROR")</f>
        <v/>
      </c>
      <c r="V70" s="132">
        <f>Calcs!$I$2</f>
        <v>44377</v>
      </c>
      <c r="W70" s="132">
        <f>Calcs!$I$4</f>
        <v>44592</v>
      </c>
      <c r="X70" s="153" t="str">
        <f>IF(NOT(N70="00"),"",(VLOOKUP(CONCATENATE(Q70,P70,LOOKUP(2,1/(Lookups!$I$2:$I$11&lt;=Multisite!E70)/(Lookups!$J$2:$J$11&gt;=E70),Lookups!$K$2:$K$11)),'HH LLFs'!$A$2:$F$282,6,0)*365)/12)</f>
        <v/>
      </c>
      <c r="Y70" s="153">
        <f t="shared" si="8"/>
        <v>0</v>
      </c>
      <c r="Z70" s="153" t="str">
        <f t="shared" si="17"/>
        <v/>
      </c>
      <c r="AA70" s="153" t="str">
        <f t="shared" si="9"/>
        <v/>
      </c>
      <c r="AB70" s="153" t="str">
        <f t="shared" si="18"/>
        <v/>
      </c>
      <c r="AC70" s="153" t="str">
        <f t="shared" si="10"/>
        <v/>
      </c>
      <c r="AD70" s="153" t="str">
        <f t="shared" si="11"/>
        <v/>
      </c>
      <c r="AE70" s="153" t="str">
        <f t="shared" si="12"/>
        <v/>
      </c>
      <c r="AF70" s="155" t="e">
        <f>LOOKUP(2,1/(Lookups!$I$2:$I$11&lt;=E70)/(Lookups!$J$2:$J$11&gt;=E70),Lookups!$L$2:$L$11)</f>
        <v>#N/A</v>
      </c>
      <c r="AG70" s="142" t="str">
        <f t="shared" si="13"/>
        <v/>
      </c>
      <c r="AH70" s="142" t="str">
        <f t="shared" si="14"/>
        <v/>
      </c>
      <c r="AI70" s="143" t="b">
        <f t="shared" si="19"/>
        <v>0</v>
      </c>
      <c r="AJ70" s="143" t="str">
        <f t="shared" si="15"/>
        <v>Level 1</v>
      </c>
      <c r="AK70" s="142">
        <f t="shared" si="16"/>
        <v>0</v>
      </c>
      <c r="AL70" s="157" t="str">
        <f t="shared" si="24"/>
        <v/>
      </c>
      <c r="AM70" s="144" t="str">
        <f t="shared" si="25"/>
        <v>--FALSE-0</v>
      </c>
      <c r="AN70" s="158" t="str">
        <f t="shared" si="20"/>
        <v/>
      </c>
      <c r="AO70" s="145"/>
      <c r="AP70" s="159" t="str">
        <f>IF($AN70=FALSE,"",IFERROR(INDEX('Flat Rates'!$A$1:$M$3880,MATCH($AM70,'Flat Rates'!$A$1:$A$3880,0),MATCH("Standing Charge",'Flat Rates'!$A$1:$M$1,0))*100,""))</f>
        <v/>
      </c>
      <c r="AQ70" s="148" t="str">
        <f>IF($AN70=FALSE,"",IFERROR((IF(NOT(T70="Unrestricted"),"",INDEX('Flat Rates'!$A$1:$M$3880,MATCH($AM70,'Flat Rates'!$A$1:$A$3880,0),MATCH("Uni/Day Rate",'Flat Rates'!$A$1:$M$1,0)))*100)+H70,""))</f>
        <v/>
      </c>
      <c r="AR70" s="148" t="str">
        <f>IF($AN70=FALSE,"",IFERROR((IF(T70="Unrestricted","",INDEX('Flat Rates'!$A$1:$M$3880,MATCH($AM70,'Flat Rates'!$A$1:$A$3880,0),MATCH("Uni/Day Rate",'Flat Rates'!$A$1:$M$1,0)))*100)+H70,""))</f>
        <v/>
      </c>
      <c r="AS70" s="148" t="str">
        <f>IF($AN70=FALSE,"",IFERROR(IF(INDEX('Flat Rates'!$A$1:$M$3880,MATCH($AM70,'Flat Rates'!$A$1:$A$3880,0),MATCH("Night Unit Rate",'Flat Rates'!$A$1:$M$1,0))=0,"",((INDEX('Flat Rates'!$A$1:$M$3880,MATCH($AM70,'Flat Rates'!$A$1:$A$3880,0),MATCH("Night Unit Rate",'Flat Rates'!$A$1:$M$1,0)))*100)+H70),""))</f>
        <v/>
      </c>
      <c r="AT70" s="148" t="str">
        <f>IF($AN70=FALSE,"",IFERROR(IF(INDEX('Flat Rates'!$A$1:$M$3880,MATCH($AM70,'Flat Rates'!$A$1:$A$3880,0),MATCH("Evening and Weekend Rate",'Flat Rates'!$A$1:$M$1,0))=0,"",((INDEX('Flat Rates'!$A$1:$M$3880,MATCH($AM70,'Flat Rates'!$A$1:$A$3880,0),MATCH("Evening and Weekend Rate",'Flat Rates'!$A$1:$M$1,0)))*100)+H70),""))</f>
        <v/>
      </c>
      <c r="AU70" s="152" t="str">
        <f t="shared" si="21"/>
        <v/>
      </c>
      <c r="AV70" s="152" t="str">
        <f t="shared" si="22"/>
        <v/>
      </c>
      <c r="AW70" s="152" t="str">
        <f t="shared" si="23"/>
        <v/>
      </c>
    </row>
    <row r="71" spans="2:49" ht="15" thickBot="1" x14ac:dyDescent="0.35">
      <c r="B71" s="138" t="str">
        <f t="shared" si="0"/>
        <v/>
      </c>
      <c r="C71" s="137"/>
      <c r="D71" s="139"/>
      <c r="E71" s="140"/>
      <c r="F71" s="140"/>
      <c r="G71" s="139"/>
      <c r="H71" s="151"/>
      <c r="I71" s="139"/>
      <c r="J71" s="138"/>
      <c r="K71" s="139"/>
      <c r="L71" s="141"/>
      <c r="M71" s="133" t="str">
        <f t="shared" si="1"/>
        <v/>
      </c>
      <c r="N71" s="133" t="str">
        <f t="shared" si="2"/>
        <v/>
      </c>
      <c r="O71" s="133" t="str">
        <f t="shared" si="3"/>
        <v/>
      </c>
      <c r="P71" s="133" t="str">
        <f t="shared" si="4"/>
        <v/>
      </c>
      <c r="Q71" s="133" t="str">
        <f t="shared" si="5"/>
        <v/>
      </c>
      <c r="R71" s="133" t="str">
        <f t="shared" si="6"/>
        <v/>
      </c>
      <c r="S71" s="133" t="str">
        <f t="shared" si="7"/>
        <v/>
      </c>
      <c r="T71" s="133" t="str">
        <f>IFERROR(IF($U71="ERROR","ERROR",IF($N71="00",IF(J71="1-Rate","HH 1RATE",IF(J71="2-Rate","HH 2RATE","")),IFERROR(VLOOKUP(CONCATENATE(N71,Q71,O71,P71),Lookups!$A$2:$E$4557,5,0),VLOOKUP(CONCATENATE(N71,Q71,O71),Lookups!$A$2:$E$4557,5,0)))),"ERROR")</f>
        <v>ERROR</v>
      </c>
      <c r="U71" s="133" t="str">
        <f>IFERROR(IF(NOT($N71="00"),"",VLOOKUP(CONCATENATE(Q71,P71,LOOKUP(2,1/(Lookups!$I$2:$I$11&lt;=E71)/(Lookups!$J$2:$J$11&gt;=Tool!$C$14),Lookups!$K$2:$K$11)),'HH LLFs'!$A$2:$K$500,3,0)),"ERROR")</f>
        <v/>
      </c>
      <c r="V71" s="132">
        <f>Calcs!$I$2</f>
        <v>44377</v>
      </c>
      <c r="W71" s="132">
        <f>Calcs!$I$4</f>
        <v>44592</v>
      </c>
      <c r="X71" s="153" t="str">
        <f>IF(NOT(N71="00"),"",(VLOOKUP(CONCATENATE(Q71,P71,LOOKUP(2,1/(Lookups!$I$2:$I$11&lt;=Multisite!E71)/(Lookups!$J$2:$J$11&gt;=E71),Lookups!$K$2:$K$11)),'HH LLFs'!$A$2:$F$282,6,0)*365)/12)</f>
        <v/>
      </c>
      <c r="Y71" s="153">
        <f t="shared" si="8"/>
        <v>0</v>
      </c>
      <c r="Z71" s="153" t="str">
        <f t="shared" si="17"/>
        <v/>
      </c>
      <c r="AA71" s="153" t="str">
        <f t="shared" si="9"/>
        <v/>
      </c>
      <c r="AB71" s="153" t="str">
        <f t="shared" si="18"/>
        <v/>
      </c>
      <c r="AC71" s="153" t="str">
        <f t="shared" si="10"/>
        <v/>
      </c>
      <c r="AD71" s="153" t="str">
        <f t="shared" si="11"/>
        <v/>
      </c>
      <c r="AE71" s="153" t="str">
        <f t="shared" si="12"/>
        <v/>
      </c>
      <c r="AF71" s="155" t="e">
        <f>LOOKUP(2,1/(Lookups!$I$2:$I$11&lt;=E71)/(Lookups!$J$2:$J$11&gt;=E71),Lookups!$L$2:$L$11)</f>
        <v>#N/A</v>
      </c>
      <c r="AG71" s="142" t="str">
        <f t="shared" si="13"/>
        <v/>
      </c>
      <c r="AH71" s="142" t="str">
        <f t="shared" si="14"/>
        <v/>
      </c>
      <c r="AI71" s="143" t="b">
        <f t="shared" si="19"/>
        <v>0</v>
      </c>
      <c r="AJ71" s="143" t="str">
        <f t="shared" si="15"/>
        <v>Level 1</v>
      </c>
      <c r="AK71" s="142">
        <f t="shared" si="16"/>
        <v>0</v>
      </c>
      <c r="AL71" s="157" t="str">
        <f t="shared" si="24"/>
        <v/>
      </c>
      <c r="AM71" s="144" t="str">
        <f t="shared" si="25"/>
        <v>--FALSE-0</v>
      </c>
      <c r="AN71" s="158" t="str">
        <f t="shared" si="20"/>
        <v/>
      </c>
      <c r="AO71" s="145"/>
      <c r="AP71" s="159" t="str">
        <f>IF($AN71=FALSE,"",IFERROR(INDEX('Flat Rates'!$A$1:$M$3880,MATCH($AM71,'Flat Rates'!$A$1:$A$3880,0),MATCH("Standing Charge",'Flat Rates'!$A$1:$M$1,0))*100,""))</f>
        <v/>
      </c>
      <c r="AQ71" s="148" t="str">
        <f>IF($AN71=FALSE,"",IFERROR((IF(NOT(T71="Unrestricted"),"",INDEX('Flat Rates'!$A$1:$M$3880,MATCH($AM71,'Flat Rates'!$A$1:$A$3880,0),MATCH("Uni/Day Rate",'Flat Rates'!$A$1:$M$1,0)))*100)+H71,""))</f>
        <v/>
      </c>
      <c r="AR71" s="148" t="str">
        <f>IF($AN71=FALSE,"",IFERROR((IF(T71="Unrestricted","",INDEX('Flat Rates'!$A$1:$M$3880,MATCH($AM71,'Flat Rates'!$A$1:$A$3880,0),MATCH("Uni/Day Rate",'Flat Rates'!$A$1:$M$1,0)))*100)+H71,""))</f>
        <v/>
      </c>
      <c r="AS71" s="148" t="str">
        <f>IF($AN71=FALSE,"",IFERROR(IF(INDEX('Flat Rates'!$A$1:$M$3880,MATCH($AM71,'Flat Rates'!$A$1:$A$3880,0),MATCH("Night Unit Rate",'Flat Rates'!$A$1:$M$1,0))=0,"",((INDEX('Flat Rates'!$A$1:$M$3880,MATCH($AM71,'Flat Rates'!$A$1:$A$3880,0),MATCH("Night Unit Rate",'Flat Rates'!$A$1:$M$1,0)))*100)+H71),""))</f>
        <v/>
      </c>
      <c r="AT71" s="148" t="str">
        <f>IF($AN71=FALSE,"",IFERROR(IF(INDEX('Flat Rates'!$A$1:$M$3880,MATCH($AM71,'Flat Rates'!$A$1:$A$3880,0),MATCH("Evening and Weekend Rate",'Flat Rates'!$A$1:$M$1,0))=0,"",((INDEX('Flat Rates'!$A$1:$M$3880,MATCH($AM71,'Flat Rates'!$A$1:$A$3880,0),MATCH("Evening and Weekend Rate",'Flat Rates'!$A$1:$M$1,0)))*100)+H71),""))</f>
        <v/>
      </c>
      <c r="AU71" s="152" t="str">
        <f t="shared" si="21"/>
        <v/>
      </c>
      <c r="AV71" s="152" t="str">
        <f t="shared" si="22"/>
        <v/>
      </c>
      <c r="AW71" s="152" t="str">
        <f t="shared" si="23"/>
        <v/>
      </c>
    </row>
    <row r="72" spans="2:49" ht="15" thickBot="1" x14ac:dyDescent="0.35">
      <c r="B72" s="138" t="str">
        <f t="shared" si="0"/>
        <v/>
      </c>
      <c r="C72" s="137"/>
      <c r="D72" s="139"/>
      <c r="E72" s="140"/>
      <c r="F72" s="140"/>
      <c r="G72" s="139"/>
      <c r="H72" s="151"/>
      <c r="I72" s="139"/>
      <c r="J72" s="137"/>
      <c r="K72" s="139"/>
      <c r="L72" s="141"/>
      <c r="M72" s="133" t="str">
        <f t="shared" si="1"/>
        <v/>
      </c>
      <c r="N72" s="133" t="str">
        <f t="shared" si="2"/>
        <v/>
      </c>
      <c r="O72" s="133" t="str">
        <f t="shared" si="3"/>
        <v/>
      </c>
      <c r="P72" s="133" t="str">
        <f t="shared" si="4"/>
        <v/>
      </c>
      <c r="Q72" s="133" t="str">
        <f t="shared" si="5"/>
        <v/>
      </c>
      <c r="R72" s="133" t="str">
        <f t="shared" si="6"/>
        <v/>
      </c>
      <c r="S72" s="133" t="str">
        <f t="shared" si="7"/>
        <v/>
      </c>
      <c r="T72" s="133" t="str">
        <f>IFERROR(IF($U72="ERROR","ERROR",IF($N72="00",IF(J72="1-Rate","HH 1RATE",IF(J72="2-Rate","HH 2RATE","")),IFERROR(VLOOKUP(CONCATENATE(N72,Q72,O72,P72),Lookups!$A$2:$E$4557,5,0),VLOOKUP(CONCATENATE(N72,Q72,O72),Lookups!$A$2:$E$4557,5,0)))),"ERROR")</f>
        <v>ERROR</v>
      </c>
      <c r="U72" s="133" t="str">
        <f>IFERROR(IF(NOT($N72="00"),"",VLOOKUP(CONCATENATE(Q72,P72,LOOKUP(2,1/(Lookups!$I$2:$I$11&lt;=E72)/(Lookups!$J$2:$J$11&gt;=Tool!$C$14),Lookups!$K$2:$K$11)),'HH LLFs'!$A$2:$K$500,3,0)),"ERROR")</f>
        <v/>
      </c>
      <c r="V72" s="132">
        <f>Calcs!$I$2</f>
        <v>44377</v>
      </c>
      <c r="W72" s="132">
        <f>Calcs!$I$4</f>
        <v>44592</v>
      </c>
      <c r="X72" s="153" t="str">
        <f>IF(NOT(N72="00"),"",(VLOOKUP(CONCATENATE(Q72,P72,LOOKUP(2,1/(Lookups!$I$2:$I$11&lt;=Multisite!E72)/(Lookups!$J$2:$J$11&gt;=E72),Lookups!$K$2:$K$11)),'HH LLFs'!$A$2:$F$282,6,0)*365)/12)</f>
        <v/>
      </c>
      <c r="Y72" s="153">
        <f t="shared" si="8"/>
        <v>0</v>
      </c>
      <c r="Z72" s="153" t="str">
        <f t="shared" si="17"/>
        <v/>
      </c>
      <c r="AA72" s="153" t="str">
        <f t="shared" si="9"/>
        <v/>
      </c>
      <c r="AB72" s="153" t="str">
        <f t="shared" si="18"/>
        <v/>
      </c>
      <c r="AC72" s="153" t="str">
        <f t="shared" si="10"/>
        <v/>
      </c>
      <c r="AD72" s="153" t="str">
        <f t="shared" si="11"/>
        <v/>
      </c>
      <c r="AE72" s="153" t="str">
        <f t="shared" si="12"/>
        <v/>
      </c>
      <c r="AF72" s="155" t="e">
        <f>LOOKUP(2,1/(Lookups!$I$2:$I$11&lt;=E72)/(Lookups!$J$2:$J$11&gt;=E72),Lookups!$L$2:$L$11)</f>
        <v>#N/A</v>
      </c>
      <c r="AG72" s="142" t="str">
        <f t="shared" si="13"/>
        <v/>
      </c>
      <c r="AH72" s="142" t="str">
        <f t="shared" si="14"/>
        <v/>
      </c>
      <c r="AI72" s="143" t="b">
        <f t="shared" si="19"/>
        <v>0</v>
      </c>
      <c r="AJ72" s="143" t="str">
        <f t="shared" si="15"/>
        <v>Level 1</v>
      </c>
      <c r="AK72" s="142">
        <f t="shared" si="16"/>
        <v>0</v>
      </c>
      <c r="AL72" s="157" t="str">
        <f t="shared" si="24"/>
        <v/>
      </c>
      <c r="AM72" s="144" t="str">
        <f t="shared" si="25"/>
        <v>--FALSE-0</v>
      </c>
      <c r="AN72" s="158" t="str">
        <f t="shared" si="20"/>
        <v/>
      </c>
      <c r="AO72" s="145"/>
      <c r="AP72" s="159" t="str">
        <f>IF($AN72=FALSE,"",IFERROR(INDEX('Flat Rates'!$A$1:$M$3880,MATCH($AM72,'Flat Rates'!$A$1:$A$3880,0),MATCH("Standing Charge",'Flat Rates'!$A$1:$M$1,0))*100,""))</f>
        <v/>
      </c>
      <c r="AQ72" s="148" t="str">
        <f>IF($AN72=FALSE,"",IFERROR((IF(NOT(T72="Unrestricted"),"",INDEX('Flat Rates'!$A$1:$M$3880,MATCH($AM72,'Flat Rates'!$A$1:$A$3880,0),MATCH("Uni/Day Rate",'Flat Rates'!$A$1:$M$1,0)))*100)+H72,""))</f>
        <v/>
      </c>
      <c r="AR72" s="148" t="str">
        <f>IF($AN72=FALSE,"",IFERROR((IF(T72="Unrestricted","",INDEX('Flat Rates'!$A$1:$M$3880,MATCH($AM72,'Flat Rates'!$A$1:$A$3880,0),MATCH("Uni/Day Rate",'Flat Rates'!$A$1:$M$1,0)))*100)+H72,""))</f>
        <v/>
      </c>
      <c r="AS72" s="148" t="str">
        <f>IF($AN72=FALSE,"",IFERROR(IF(INDEX('Flat Rates'!$A$1:$M$3880,MATCH($AM72,'Flat Rates'!$A$1:$A$3880,0),MATCH("Night Unit Rate",'Flat Rates'!$A$1:$M$1,0))=0,"",((INDEX('Flat Rates'!$A$1:$M$3880,MATCH($AM72,'Flat Rates'!$A$1:$A$3880,0),MATCH("Night Unit Rate",'Flat Rates'!$A$1:$M$1,0)))*100)+H72),""))</f>
        <v/>
      </c>
      <c r="AT72" s="148" t="str">
        <f>IF($AN72=FALSE,"",IFERROR(IF(INDEX('Flat Rates'!$A$1:$M$3880,MATCH($AM72,'Flat Rates'!$A$1:$A$3880,0),MATCH("Evening and Weekend Rate",'Flat Rates'!$A$1:$M$1,0))=0,"",((INDEX('Flat Rates'!$A$1:$M$3880,MATCH($AM72,'Flat Rates'!$A$1:$A$3880,0),MATCH("Evening and Weekend Rate",'Flat Rates'!$A$1:$M$1,0)))*100)+H72),""))</f>
        <v/>
      </c>
      <c r="AU72" s="152" t="str">
        <f t="shared" si="21"/>
        <v/>
      </c>
      <c r="AV72" s="152" t="str">
        <f t="shared" si="22"/>
        <v/>
      </c>
      <c r="AW72" s="152" t="str">
        <f t="shared" si="23"/>
        <v/>
      </c>
    </row>
    <row r="73" spans="2:49" ht="15" thickBot="1" x14ac:dyDescent="0.35">
      <c r="B73" s="138" t="str">
        <f t="shared" si="0"/>
        <v/>
      </c>
      <c r="C73" s="137"/>
      <c r="D73" s="139"/>
      <c r="E73" s="140"/>
      <c r="F73" s="140"/>
      <c r="G73" s="139"/>
      <c r="H73" s="151"/>
      <c r="I73" s="139"/>
      <c r="J73" s="138"/>
      <c r="K73" s="139"/>
      <c r="L73" s="141"/>
      <c r="M73" s="133" t="str">
        <f t="shared" si="1"/>
        <v/>
      </c>
      <c r="N73" s="133" t="str">
        <f t="shared" si="2"/>
        <v/>
      </c>
      <c r="O73" s="133" t="str">
        <f t="shared" si="3"/>
        <v/>
      </c>
      <c r="P73" s="133" t="str">
        <f t="shared" si="4"/>
        <v/>
      </c>
      <c r="Q73" s="133" t="str">
        <f t="shared" si="5"/>
        <v/>
      </c>
      <c r="R73" s="133" t="str">
        <f t="shared" si="6"/>
        <v/>
      </c>
      <c r="S73" s="133" t="str">
        <f t="shared" si="7"/>
        <v/>
      </c>
      <c r="T73" s="133" t="str">
        <f>IFERROR(IF($U73="ERROR","ERROR",IF($N73="00",IF(J73="1-Rate","HH 1RATE",IF(J73="2-Rate","HH 2RATE","")),IFERROR(VLOOKUP(CONCATENATE(N73,Q73,O73,P73),Lookups!$A$2:$E$4557,5,0),VLOOKUP(CONCATENATE(N73,Q73,O73),Lookups!$A$2:$E$4557,5,0)))),"ERROR")</f>
        <v>ERROR</v>
      </c>
      <c r="U73" s="133" t="str">
        <f>IFERROR(IF(NOT($N73="00"),"",VLOOKUP(CONCATENATE(Q73,P73,LOOKUP(2,1/(Lookups!$I$2:$I$11&lt;=E73)/(Lookups!$J$2:$J$11&gt;=Tool!$C$14),Lookups!$K$2:$K$11)),'HH LLFs'!$A$2:$K$500,3,0)),"ERROR")</f>
        <v/>
      </c>
      <c r="V73" s="132">
        <f>Calcs!$I$2</f>
        <v>44377</v>
      </c>
      <c r="W73" s="132">
        <f>Calcs!$I$4</f>
        <v>44592</v>
      </c>
      <c r="X73" s="153" t="str">
        <f>IF(NOT(N73="00"),"",(VLOOKUP(CONCATENATE(Q73,P73,LOOKUP(2,1/(Lookups!$I$2:$I$11&lt;=Multisite!E73)/(Lookups!$J$2:$J$11&gt;=E73),Lookups!$K$2:$K$11)),'HH LLFs'!$A$2:$F$282,6,0)*365)/12)</f>
        <v/>
      </c>
      <c r="Y73" s="153">
        <f t="shared" si="8"/>
        <v>0</v>
      </c>
      <c r="Z73" s="153" t="str">
        <f t="shared" si="17"/>
        <v/>
      </c>
      <c r="AA73" s="153" t="str">
        <f t="shared" si="9"/>
        <v/>
      </c>
      <c r="AB73" s="153" t="str">
        <f t="shared" si="18"/>
        <v/>
      </c>
      <c r="AC73" s="153" t="str">
        <f t="shared" si="10"/>
        <v/>
      </c>
      <c r="AD73" s="153" t="str">
        <f t="shared" si="11"/>
        <v/>
      </c>
      <c r="AE73" s="153" t="str">
        <f t="shared" si="12"/>
        <v/>
      </c>
      <c r="AF73" s="155" t="e">
        <f>LOOKUP(2,1/(Lookups!$I$2:$I$11&lt;=E73)/(Lookups!$J$2:$J$11&gt;=E73),Lookups!$L$2:$L$11)</f>
        <v>#N/A</v>
      </c>
      <c r="AG73" s="142" t="str">
        <f t="shared" si="13"/>
        <v/>
      </c>
      <c r="AH73" s="142" t="str">
        <f t="shared" si="14"/>
        <v/>
      </c>
      <c r="AI73" s="143" t="b">
        <f t="shared" si="19"/>
        <v>0</v>
      </c>
      <c r="AJ73" s="143" t="str">
        <f t="shared" si="15"/>
        <v>Level 1</v>
      </c>
      <c r="AK73" s="142">
        <f t="shared" si="16"/>
        <v>0</v>
      </c>
      <c r="AL73" s="157" t="str">
        <f t="shared" si="24"/>
        <v/>
      </c>
      <c r="AM73" s="144" t="str">
        <f t="shared" si="25"/>
        <v>--FALSE-0</v>
      </c>
      <c r="AN73" s="158" t="str">
        <f t="shared" si="20"/>
        <v/>
      </c>
      <c r="AO73" s="145"/>
      <c r="AP73" s="159" t="str">
        <f>IF($AN73=FALSE,"",IFERROR(INDEX('Flat Rates'!$A$1:$M$3880,MATCH($AM73,'Flat Rates'!$A$1:$A$3880,0),MATCH("Standing Charge",'Flat Rates'!$A$1:$M$1,0))*100,""))</f>
        <v/>
      </c>
      <c r="AQ73" s="148" t="str">
        <f>IF($AN73=FALSE,"",IFERROR((IF(NOT(T73="Unrestricted"),"",INDEX('Flat Rates'!$A$1:$M$3880,MATCH($AM73,'Flat Rates'!$A$1:$A$3880,0),MATCH("Uni/Day Rate",'Flat Rates'!$A$1:$M$1,0)))*100)+H73,""))</f>
        <v/>
      </c>
      <c r="AR73" s="148" t="str">
        <f>IF($AN73=FALSE,"",IFERROR((IF(T73="Unrestricted","",INDEX('Flat Rates'!$A$1:$M$3880,MATCH($AM73,'Flat Rates'!$A$1:$A$3880,0),MATCH("Uni/Day Rate",'Flat Rates'!$A$1:$M$1,0)))*100)+H73,""))</f>
        <v/>
      </c>
      <c r="AS73" s="148" t="str">
        <f>IF($AN73=FALSE,"",IFERROR(IF(INDEX('Flat Rates'!$A$1:$M$3880,MATCH($AM73,'Flat Rates'!$A$1:$A$3880,0),MATCH("Night Unit Rate",'Flat Rates'!$A$1:$M$1,0))=0,"",((INDEX('Flat Rates'!$A$1:$M$3880,MATCH($AM73,'Flat Rates'!$A$1:$A$3880,0),MATCH("Night Unit Rate",'Flat Rates'!$A$1:$M$1,0)))*100)+H73),""))</f>
        <v/>
      </c>
      <c r="AT73" s="148" t="str">
        <f>IF($AN73=FALSE,"",IFERROR(IF(INDEX('Flat Rates'!$A$1:$M$3880,MATCH($AM73,'Flat Rates'!$A$1:$A$3880,0),MATCH("Evening and Weekend Rate",'Flat Rates'!$A$1:$M$1,0))=0,"",((INDEX('Flat Rates'!$A$1:$M$3880,MATCH($AM73,'Flat Rates'!$A$1:$A$3880,0),MATCH("Evening and Weekend Rate",'Flat Rates'!$A$1:$M$1,0)))*100)+H73),""))</f>
        <v/>
      </c>
      <c r="AU73" s="152" t="str">
        <f t="shared" si="21"/>
        <v/>
      </c>
      <c r="AV73" s="152" t="str">
        <f t="shared" si="22"/>
        <v/>
      </c>
      <c r="AW73" s="152" t="str">
        <f t="shared" si="23"/>
        <v/>
      </c>
    </row>
    <row r="74" spans="2:49" ht="15" thickBot="1" x14ac:dyDescent="0.35">
      <c r="B74" s="138" t="str">
        <f t="shared" si="0"/>
        <v/>
      </c>
      <c r="C74" s="137"/>
      <c r="D74" s="139"/>
      <c r="E74" s="140"/>
      <c r="F74" s="140"/>
      <c r="G74" s="139"/>
      <c r="H74" s="151"/>
      <c r="I74" s="139"/>
      <c r="J74" s="137"/>
      <c r="K74" s="139"/>
      <c r="L74" s="141"/>
      <c r="M74" s="133" t="str">
        <f t="shared" si="1"/>
        <v/>
      </c>
      <c r="N74" s="133" t="str">
        <f t="shared" si="2"/>
        <v/>
      </c>
      <c r="O74" s="133" t="str">
        <f t="shared" si="3"/>
        <v/>
      </c>
      <c r="P74" s="133" t="str">
        <f t="shared" si="4"/>
        <v/>
      </c>
      <c r="Q74" s="133" t="str">
        <f t="shared" si="5"/>
        <v/>
      </c>
      <c r="R74" s="133" t="str">
        <f t="shared" si="6"/>
        <v/>
      </c>
      <c r="S74" s="133" t="str">
        <f t="shared" si="7"/>
        <v/>
      </c>
      <c r="T74" s="133" t="str">
        <f>IFERROR(IF($U74="ERROR","ERROR",IF($N74="00",IF(J74="1-Rate","HH 1RATE",IF(J74="2-Rate","HH 2RATE","")),IFERROR(VLOOKUP(CONCATENATE(N74,Q74,O74,P74),Lookups!$A$2:$E$4557,5,0),VLOOKUP(CONCATENATE(N74,Q74,O74),Lookups!$A$2:$E$4557,5,0)))),"ERROR")</f>
        <v>ERROR</v>
      </c>
      <c r="U74" s="133" t="str">
        <f>IFERROR(IF(NOT($N74="00"),"",VLOOKUP(CONCATENATE(Q74,P74,LOOKUP(2,1/(Lookups!$I$2:$I$11&lt;=E74)/(Lookups!$J$2:$J$11&gt;=Tool!$C$14),Lookups!$K$2:$K$11)),'HH LLFs'!$A$2:$K$500,3,0)),"ERROR")</f>
        <v/>
      </c>
      <c r="V74" s="132">
        <f>Calcs!$I$2</f>
        <v>44377</v>
      </c>
      <c r="W74" s="132">
        <f>Calcs!$I$4</f>
        <v>44592</v>
      </c>
      <c r="X74" s="153" t="str">
        <f>IF(NOT(N74="00"),"",(VLOOKUP(CONCATENATE(Q74,P74,LOOKUP(2,1/(Lookups!$I$2:$I$11&lt;=Multisite!E74)/(Lookups!$J$2:$J$11&gt;=E74),Lookups!$K$2:$K$11)),'HH LLFs'!$A$2:$F$282,6,0)*365)/12)</f>
        <v/>
      </c>
      <c r="Y74" s="153">
        <f t="shared" si="8"/>
        <v>0</v>
      </c>
      <c r="Z74" s="153" t="str">
        <f t="shared" si="17"/>
        <v/>
      </c>
      <c r="AA74" s="153" t="str">
        <f t="shared" si="9"/>
        <v/>
      </c>
      <c r="AB74" s="153" t="str">
        <f t="shared" si="18"/>
        <v/>
      </c>
      <c r="AC74" s="153" t="str">
        <f t="shared" si="10"/>
        <v/>
      </c>
      <c r="AD74" s="153" t="str">
        <f t="shared" si="11"/>
        <v/>
      </c>
      <c r="AE74" s="153" t="str">
        <f t="shared" si="12"/>
        <v/>
      </c>
      <c r="AF74" s="155" t="e">
        <f>LOOKUP(2,1/(Lookups!$I$2:$I$11&lt;=E74)/(Lookups!$J$2:$J$11&gt;=E74),Lookups!$L$2:$L$11)</f>
        <v>#N/A</v>
      </c>
      <c r="AG74" s="142" t="str">
        <f t="shared" si="13"/>
        <v/>
      </c>
      <c r="AH74" s="142" t="str">
        <f t="shared" si="14"/>
        <v/>
      </c>
      <c r="AI74" s="143" t="b">
        <f t="shared" si="19"/>
        <v>0</v>
      </c>
      <c r="AJ74" s="143" t="str">
        <f t="shared" si="15"/>
        <v>Level 1</v>
      </c>
      <c r="AK74" s="142">
        <f t="shared" si="16"/>
        <v>0</v>
      </c>
      <c r="AL74" s="157" t="str">
        <f t="shared" si="24"/>
        <v/>
      </c>
      <c r="AM74" s="144" t="str">
        <f t="shared" si="25"/>
        <v>--FALSE-0</v>
      </c>
      <c r="AN74" s="158" t="str">
        <f t="shared" si="20"/>
        <v/>
      </c>
      <c r="AO74" s="145"/>
      <c r="AP74" s="159" t="str">
        <f>IF($AN74=FALSE,"",IFERROR(INDEX('Flat Rates'!$A$1:$M$3880,MATCH($AM74,'Flat Rates'!$A$1:$A$3880,0),MATCH("Standing Charge",'Flat Rates'!$A$1:$M$1,0))*100,""))</f>
        <v/>
      </c>
      <c r="AQ74" s="148" t="str">
        <f>IF($AN74=FALSE,"",IFERROR((IF(NOT(T74="Unrestricted"),"",INDEX('Flat Rates'!$A$1:$M$3880,MATCH($AM74,'Flat Rates'!$A$1:$A$3880,0),MATCH("Uni/Day Rate",'Flat Rates'!$A$1:$M$1,0)))*100)+H74,""))</f>
        <v/>
      </c>
      <c r="AR74" s="148" t="str">
        <f>IF($AN74=FALSE,"",IFERROR((IF(T74="Unrestricted","",INDEX('Flat Rates'!$A$1:$M$3880,MATCH($AM74,'Flat Rates'!$A$1:$A$3880,0),MATCH("Uni/Day Rate",'Flat Rates'!$A$1:$M$1,0)))*100)+H74,""))</f>
        <v/>
      </c>
      <c r="AS74" s="148" t="str">
        <f>IF($AN74=FALSE,"",IFERROR(IF(INDEX('Flat Rates'!$A$1:$M$3880,MATCH($AM74,'Flat Rates'!$A$1:$A$3880,0),MATCH("Night Unit Rate",'Flat Rates'!$A$1:$M$1,0))=0,"",((INDEX('Flat Rates'!$A$1:$M$3880,MATCH($AM74,'Flat Rates'!$A$1:$A$3880,0),MATCH("Night Unit Rate",'Flat Rates'!$A$1:$M$1,0)))*100)+H74),""))</f>
        <v/>
      </c>
      <c r="AT74" s="148" t="str">
        <f>IF($AN74=FALSE,"",IFERROR(IF(INDEX('Flat Rates'!$A$1:$M$3880,MATCH($AM74,'Flat Rates'!$A$1:$A$3880,0),MATCH("Evening and Weekend Rate",'Flat Rates'!$A$1:$M$1,0))=0,"",((INDEX('Flat Rates'!$A$1:$M$3880,MATCH($AM74,'Flat Rates'!$A$1:$A$3880,0),MATCH("Evening and Weekend Rate",'Flat Rates'!$A$1:$M$1,0)))*100)+H74),""))</f>
        <v/>
      </c>
      <c r="AU74" s="152" t="str">
        <f t="shared" si="21"/>
        <v/>
      </c>
      <c r="AV74" s="152" t="str">
        <f t="shared" si="22"/>
        <v/>
      </c>
      <c r="AW74" s="152" t="str">
        <f t="shared" si="23"/>
        <v/>
      </c>
    </row>
    <row r="75" spans="2:49" ht="15" thickBot="1" x14ac:dyDescent="0.35">
      <c r="B75" s="138" t="str">
        <f t="shared" si="0"/>
        <v/>
      </c>
      <c r="C75" s="137"/>
      <c r="D75" s="139"/>
      <c r="E75" s="140"/>
      <c r="F75" s="140"/>
      <c r="G75" s="139"/>
      <c r="H75" s="151"/>
      <c r="I75" s="139"/>
      <c r="J75" s="138"/>
      <c r="K75" s="139"/>
      <c r="L75" s="141"/>
      <c r="M75" s="133" t="str">
        <f t="shared" si="1"/>
        <v/>
      </c>
      <c r="N75" s="133" t="str">
        <f t="shared" si="2"/>
        <v/>
      </c>
      <c r="O75" s="133" t="str">
        <f t="shared" si="3"/>
        <v/>
      </c>
      <c r="P75" s="133" t="str">
        <f t="shared" si="4"/>
        <v/>
      </c>
      <c r="Q75" s="133" t="str">
        <f t="shared" si="5"/>
        <v/>
      </c>
      <c r="R75" s="133" t="str">
        <f t="shared" si="6"/>
        <v/>
      </c>
      <c r="S75" s="133" t="str">
        <f t="shared" si="7"/>
        <v/>
      </c>
      <c r="T75" s="133" t="str">
        <f>IFERROR(IF($U75="ERROR","ERROR",IF($N75="00",IF(J75="1-Rate","HH 1RATE",IF(J75="2-Rate","HH 2RATE","")),IFERROR(VLOOKUP(CONCATENATE(N75,Q75,O75,P75),Lookups!$A$2:$E$4557,5,0),VLOOKUP(CONCATENATE(N75,Q75,O75),Lookups!$A$2:$E$4557,5,0)))),"ERROR")</f>
        <v>ERROR</v>
      </c>
      <c r="U75" s="133" t="str">
        <f>IFERROR(IF(NOT($N75="00"),"",VLOOKUP(CONCATENATE(Q75,P75,LOOKUP(2,1/(Lookups!$I$2:$I$11&lt;=E75)/(Lookups!$J$2:$J$11&gt;=Tool!$C$14),Lookups!$K$2:$K$11)),'HH LLFs'!$A$2:$K$500,3,0)),"ERROR")</f>
        <v/>
      </c>
      <c r="V75" s="132">
        <f>Calcs!$I$2</f>
        <v>44377</v>
      </c>
      <c r="W75" s="132">
        <f>Calcs!$I$4</f>
        <v>44592</v>
      </c>
      <c r="X75" s="153" t="str">
        <f>IF(NOT(N75="00"),"",(VLOOKUP(CONCATENATE(Q75,P75,LOOKUP(2,1/(Lookups!$I$2:$I$11&lt;=Multisite!E75)/(Lookups!$J$2:$J$11&gt;=E75),Lookups!$K$2:$K$11)),'HH LLFs'!$A$2:$F$282,6,0)*365)/12)</f>
        <v/>
      </c>
      <c r="Y75" s="153">
        <f t="shared" si="8"/>
        <v>0</v>
      </c>
      <c r="Z75" s="153" t="str">
        <f t="shared" si="17"/>
        <v/>
      </c>
      <c r="AA75" s="153" t="str">
        <f t="shared" si="9"/>
        <v/>
      </c>
      <c r="AB75" s="153" t="str">
        <f t="shared" si="18"/>
        <v/>
      </c>
      <c r="AC75" s="153" t="str">
        <f t="shared" si="10"/>
        <v/>
      </c>
      <c r="AD75" s="153" t="str">
        <f t="shared" si="11"/>
        <v/>
      </c>
      <c r="AE75" s="153" t="str">
        <f t="shared" si="12"/>
        <v/>
      </c>
      <c r="AF75" s="155" t="e">
        <f>LOOKUP(2,1/(Lookups!$I$2:$I$11&lt;=E75)/(Lookups!$J$2:$J$11&gt;=E75),Lookups!$L$2:$L$11)</f>
        <v>#N/A</v>
      </c>
      <c r="AG75" s="142" t="str">
        <f t="shared" si="13"/>
        <v/>
      </c>
      <c r="AH75" s="142" t="str">
        <f t="shared" si="14"/>
        <v/>
      </c>
      <c r="AI75" s="143" t="b">
        <f t="shared" si="19"/>
        <v>0</v>
      </c>
      <c r="AJ75" s="143" t="str">
        <f t="shared" si="15"/>
        <v>Level 1</v>
      </c>
      <c r="AK75" s="142">
        <f t="shared" si="16"/>
        <v>0</v>
      </c>
      <c r="AL75" s="157" t="str">
        <f t="shared" si="24"/>
        <v/>
      </c>
      <c r="AM75" s="144" t="str">
        <f t="shared" si="25"/>
        <v>--FALSE-0</v>
      </c>
      <c r="AN75" s="158" t="str">
        <f t="shared" si="20"/>
        <v/>
      </c>
      <c r="AO75" s="145"/>
      <c r="AP75" s="159" t="str">
        <f>IF($AN75=FALSE,"",IFERROR(INDEX('Flat Rates'!$A$1:$M$3880,MATCH($AM75,'Flat Rates'!$A$1:$A$3880,0),MATCH("Standing Charge",'Flat Rates'!$A$1:$M$1,0))*100,""))</f>
        <v/>
      </c>
      <c r="AQ75" s="148" t="str">
        <f>IF($AN75=FALSE,"",IFERROR((IF(NOT(T75="Unrestricted"),"",INDEX('Flat Rates'!$A$1:$M$3880,MATCH($AM75,'Flat Rates'!$A$1:$A$3880,0),MATCH("Uni/Day Rate",'Flat Rates'!$A$1:$M$1,0)))*100)+H75,""))</f>
        <v/>
      </c>
      <c r="AR75" s="148" t="str">
        <f>IF($AN75=FALSE,"",IFERROR((IF(T75="Unrestricted","",INDEX('Flat Rates'!$A$1:$M$3880,MATCH($AM75,'Flat Rates'!$A$1:$A$3880,0),MATCH("Uni/Day Rate",'Flat Rates'!$A$1:$M$1,0)))*100)+H75,""))</f>
        <v/>
      </c>
      <c r="AS75" s="148" t="str">
        <f>IF($AN75=FALSE,"",IFERROR(IF(INDEX('Flat Rates'!$A$1:$M$3880,MATCH($AM75,'Flat Rates'!$A$1:$A$3880,0),MATCH("Night Unit Rate",'Flat Rates'!$A$1:$M$1,0))=0,"",((INDEX('Flat Rates'!$A$1:$M$3880,MATCH($AM75,'Flat Rates'!$A$1:$A$3880,0),MATCH("Night Unit Rate",'Flat Rates'!$A$1:$M$1,0)))*100)+H75),""))</f>
        <v/>
      </c>
      <c r="AT75" s="148" t="str">
        <f>IF($AN75=FALSE,"",IFERROR(IF(INDEX('Flat Rates'!$A$1:$M$3880,MATCH($AM75,'Flat Rates'!$A$1:$A$3880,0),MATCH("Evening and Weekend Rate",'Flat Rates'!$A$1:$M$1,0))=0,"",((INDEX('Flat Rates'!$A$1:$M$3880,MATCH($AM75,'Flat Rates'!$A$1:$A$3880,0),MATCH("Evening and Weekend Rate",'Flat Rates'!$A$1:$M$1,0)))*100)+H75),""))</f>
        <v/>
      </c>
      <c r="AU75" s="152" t="str">
        <f t="shared" si="21"/>
        <v/>
      </c>
      <c r="AV75" s="152" t="str">
        <f t="shared" si="22"/>
        <v/>
      </c>
      <c r="AW75" s="152" t="str">
        <f t="shared" si="23"/>
        <v/>
      </c>
    </row>
    <row r="76" spans="2:49" ht="15" thickBot="1" x14ac:dyDescent="0.35">
      <c r="B76" s="138" t="str">
        <f t="shared" si="0"/>
        <v/>
      </c>
      <c r="C76" s="137"/>
      <c r="D76" s="139"/>
      <c r="E76" s="140"/>
      <c r="F76" s="140"/>
      <c r="G76" s="139"/>
      <c r="H76" s="151"/>
      <c r="I76" s="139"/>
      <c r="J76" s="137"/>
      <c r="K76" s="139"/>
      <c r="L76" s="141"/>
      <c r="M76" s="133" t="str">
        <f t="shared" si="1"/>
        <v/>
      </c>
      <c r="N76" s="133" t="str">
        <f t="shared" si="2"/>
        <v/>
      </c>
      <c r="O76" s="133" t="str">
        <f t="shared" si="3"/>
        <v/>
      </c>
      <c r="P76" s="133" t="str">
        <f t="shared" si="4"/>
        <v/>
      </c>
      <c r="Q76" s="133" t="str">
        <f t="shared" si="5"/>
        <v/>
      </c>
      <c r="R76" s="133" t="str">
        <f t="shared" si="6"/>
        <v/>
      </c>
      <c r="S76" s="133" t="str">
        <f t="shared" si="7"/>
        <v/>
      </c>
      <c r="T76" s="133" t="str">
        <f>IFERROR(IF($U76="ERROR","ERROR",IF($N76="00",IF(J76="1-Rate","HH 1RATE",IF(J76="2-Rate","HH 2RATE","")),IFERROR(VLOOKUP(CONCATENATE(N76,Q76,O76,P76),Lookups!$A$2:$E$4557,5,0),VLOOKUP(CONCATENATE(N76,Q76,O76),Lookups!$A$2:$E$4557,5,0)))),"ERROR")</f>
        <v>ERROR</v>
      </c>
      <c r="U76" s="133" t="str">
        <f>IFERROR(IF(NOT($N76="00"),"",VLOOKUP(CONCATENATE(Q76,P76,LOOKUP(2,1/(Lookups!$I$2:$I$11&lt;=E76)/(Lookups!$J$2:$J$11&gt;=Tool!$C$14),Lookups!$K$2:$K$11)),'HH LLFs'!$A$2:$K$500,3,0)),"ERROR")</f>
        <v/>
      </c>
      <c r="V76" s="132">
        <f>Calcs!$I$2</f>
        <v>44377</v>
      </c>
      <c r="W76" s="132">
        <f>Calcs!$I$4</f>
        <v>44592</v>
      </c>
      <c r="X76" s="153" t="str">
        <f>IF(NOT(N76="00"),"",(VLOOKUP(CONCATENATE(Q76,P76,LOOKUP(2,1/(Lookups!$I$2:$I$11&lt;=Multisite!E76)/(Lookups!$J$2:$J$11&gt;=E76),Lookups!$K$2:$K$11)),'HH LLFs'!$A$2:$F$282,6,0)*365)/12)</f>
        <v/>
      </c>
      <c r="Y76" s="153">
        <f t="shared" si="8"/>
        <v>0</v>
      </c>
      <c r="Z76" s="153" t="str">
        <f t="shared" si="17"/>
        <v/>
      </c>
      <c r="AA76" s="153" t="str">
        <f t="shared" si="9"/>
        <v/>
      </c>
      <c r="AB76" s="153" t="str">
        <f t="shared" si="18"/>
        <v/>
      </c>
      <c r="AC76" s="153" t="str">
        <f t="shared" si="10"/>
        <v/>
      </c>
      <c r="AD76" s="153" t="str">
        <f t="shared" si="11"/>
        <v/>
      </c>
      <c r="AE76" s="153" t="str">
        <f t="shared" si="12"/>
        <v/>
      </c>
      <c r="AF76" s="155" t="e">
        <f>LOOKUP(2,1/(Lookups!$I$2:$I$11&lt;=E76)/(Lookups!$J$2:$J$11&gt;=E76),Lookups!$L$2:$L$11)</f>
        <v>#N/A</v>
      </c>
      <c r="AG76" s="142" t="str">
        <f t="shared" si="13"/>
        <v/>
      </c>
      <c r="AH76" s="142" t="str">
        <f t="shared" si="14"/>
        <v/>
      </c>
      <c r="AI76" s="143" t="b">
        <f t="shared" si="19"/>
        <v>0</v>
      </c>
      <c r="AJ76" s="143" t="str">
        <f t="shared" si="15"/>
        <v>Level 1</v>
      </c>
      <c r="AK76" s="142">
        <f t="shared" si="16"/>
        <v>0</v>
      </c>
      <c r="AL76" s="157" t="str">
        <f t="shared" si="24"/>
        <v/>
      </c>
      <c r="AM76" s="144" t="str">
        <f t="shared" si="25"/>
        <v>--FALSE-0</v>
      </c>
      <c r="AN76" s="158" t="str">
        <f t="shared" si="20"/>
        <v/>
      </c>
      <c r="AO76" s="145"/>
      <c r="AP76" s="159" t="str">
        <f>IF($AN76=FALSE,"",IFERROR(INDEX('Flat Rates'!$A$1:$M$3880,MATCH($AM76,'Flat Rates'!$A$1:$A$3880,0),MATCH("Standing Charge",'Flat Rates'!$A$1:$M$1,0))*100,""))</f>
        <v/>
      </c>
      <c r="AQ76" s="148" t="str">
        <f>IF($AN76=FALSE,"",IFERROR((IF(NOT(T76="Unrestricted"),"",INDEX('Flat Rates'!$A$1:$M$3880,MATCH($AM76,'Flat Rates'!$A$1:$A$3880,0),MATCH("Uni/Day Rate",'Flat Rates'!$A$1:$M$1,0)))*100)+H76,""))</f>
        <v/>
      </c>
      <c r="AR76" s="148" t="str">
        <f>IF($AN76=FALSE,"",IFERROR((IF(T76="Unrestricted","",INDEX('Flat Rates'!$A$1:$M$3880,MATCH($AM76,'Flat Rates'!$A$1:$A$3880,0),MATCH("Uni/Day Rate",'Flat Rates'!$A$1:$M$1,0)))*100)+H76,""))</f>
        <v/>
      </c>
      <c r="AS76" s="148" t="str">
        <f>IF($AN76=FALSE,"",IFERROR(IF(INDEX('Flat Rates'!$A$1:$M$3880,MATCH($AM76,'Flat Rates'!$A$1:$A$3880,0),MATCH("Night Unit Rate",'Flat Rates'!$A$1:$M$1,0))=0,"",((INDEX('Flat Rates'!$A$1:$M$3880,MATCH($AM76,'Flat Rates'!$A$1:$A$3880,0),MATCH("Night Unit Rate",'Flat Rates'!$A$1:$M$1,0)))*100)+H76),""))</f>
        <v/>
      </c>
      <c r="AT76" s="148" t="str">
        <f>IF($AN76=FALSE,"",IFERROR(IF(INDEX('Flat Rates'!$A$1:$M$3880,MATCH($AM76,'Flat Rates'!$A$1:$A$3880,0),MATCH("Evening and Weekend Rate",'Flat Rates'!$A$1:$M$1,0))=0,"",((INDEX('Flat Rates'!$A$1:$M$3880,MATCH($AM76,'Flat Rates'!$A$1:$A$3880,0),MATCH("Evening and Weekend Rate",'Flat Rates'!$A$1:$M$1,0)))*100)+H76),""))</f>
        <v/>
      </c>
      <c r="AU76" s="152" t="str">
        <f t="shared" si="21"/>
        <v/>
      </c>
      <c r="AV76" s="152" t="str">
        <f t="shared" si="22"/>
        <v/>
      </c>
      <c r="AW76" s="152" t="str">
        <f t="shared" si="23"/>
        <v/>
      </c>
    </row>
    <row r="77" spans="2:49" ht="15" thickBot="1" x14ac:dyDescent="0.35">
      <c r="B77" s="138" t="str">
        <f t="shared" si="0"/>
        <v/>
      </c>
      <c r="C77" s="137"/>
      <c r="D77" s="139"/>
      <c r="E77" s="140"/>
      <c r="F77" s="140"/>
      <c r="G77" s="139"/>
      <c r="H77" s="151"/>
      <c r="I77" s="139"/>
      <c r="J77" s="138"/>
      <c r="K77" s="139"/>
      <c r="L77" s="141"/>
      <c r="M77" s="133" t="str">
        <f t="shared" si="1"/>
        <v/>
      </c>
      <c r="N77" s="133" t="str">
        <f t="shared" si="2"/>
        <v/>
      </c>
      <c r="O77" s="133" t="str">
        <f t="shared" si="3"/>
        <v/>
      </c>
      <c r="P77" s="133" t="str">
        <f t="shared" si="4"/>
        <v/>
      </c>
      <c r="Q77" s="133" t="str">
        <f t="shared" si="5"/>
        <v/>
      </c>
      <c r="R77" s="133" t="str">
        <f t="shared" si="6"/>
        <v/>
      </c>
      <c r="S77" s="133" t="str">
        <f t="shared" si="7"/>
        <v/>
      </c>
      <c r="T77" s="133" t="str">
        <f>IFERROR(IF($U77="ERROR","ERROR",IF($N77="00",IF(J77="1-Rate","HH 1RATE",IF(J77="2-Rate","HH 2RATE","")),IFERROR(VLOOKUP(CONCATENATE(N77,Q77,O77,P77),Lookups!$A$2:$E$4557,5,0),VLOOKUP(CONCATENATE(N77,Q77,O77),Lookups!$A$2:$E$4557,5,0)))),"ERROR")</f>
        <v>ERROR</v>
      </c>
      <c r="U77" s="133" t="str">
        <f>IFERROR(IF(NOT($N77="00"),"",VLOOKUP(CONCATENATE(Q77,P77,LOOKUP(2,1/(Lookups!$I$2:$I$11&lt;=E77)/(Lookups!$J$2:$J$11&gt;=Tool!$C$14),Lookups!$K$2:$K$11)),'HH LLFs'!$A$2:$K$500,3,0)),"ERROR")</f>
        <v/>
      </c>
      <c r="V77" s="132">
        <f>Calcs!$I$2</f>
        <v>44377</v>
      </c>
      <c r="W77" s="132">
        <f>Calcs!$I$4</f>
        <v>44592</v>
      </c>
      <c r="X77" s="153" t="str">
        <f>IF(NOT(N77="00"),"",(VLOOKUP(CONCATENATE(Q77,P77,LOOKUP(2,1/(Lookups!$I$2:$I$11&lt;=Multisite!E77)/(Lookups!$J$2:$J$11&gt;=E77),Lookups!$K$2:$K$11)),'HH LLFs'!$A$2:$F$282,6,0)*365)/12)</f>
        <v/>
      </c>
      <c r="Y77" s="153">
        <f t="shared" si="8"/>
        <v>0</v>
      </c>
      <c r="Z77" s="153" t="str">
        <f t="shared" si="17"/>
        <v/>
      </c>
      <c r="AA77" s="153" t="str">
        <f t="shared" si="9"/>
        <v/>
      </c>
      <c r="AB77" s="153" t="str">
        <f t="shared" si="18"/>
        <v/>
      </c>
      <c r="AC77" s="153" t="str">
        <f t="shared" si="10"/>
        <v/>
      </c>
      <c r="AD77" s="153" t="str">
        <f t="shared" si="11"/>
        <v/>
      </c>
      <c r="AE77" s="153" t="str">
        <f t="shared" si="12"/>
        <v/>
      </c>
      <c r="AF77" s="155" t="e">
        <f>LOOKUP(2,1/(Lookups!$I$2:$I$11&lt;=E77)/(Lookups!$J$2:$J$11&gt;=E77),Lookups!$L$2:$L$11)</f>
        <v>#N/A</v>
      </c>
      <c r="AG77" s="142" t="str">
        <f t="shared" si="13"/>
        <v/>
      </c>
      <c r="AH77" s="142" t="str">
        <f t="shared" si="14"/>
        <v/>
      </c>
      <c r="AI77" s="143" t="b">
        <f t="shared" si="19"/>
        <v>0</v>
      </c>
      <c r="AJ77" s="143" t="str">
        <f t="shared" si="15"/>
        <v>Level 1</v>
      </c>
      <c r="AK77" s="142">
        <f t="shared" si="16"/>
        <v>0</v>
      </c>
      <c r="AL77" s="157" t="str">
        <f t="shared" si="24"/>
        <v/>
      </c>
      <c r="AM77" s="144" t="str">
        <f t="shared" si="25"/>
        <v>--FALSE-0</v>
      </c>
      <c r="AN77" s="158" t="str">
        <f t="shared" si="20"/>
        <v/>
      </c>
      <c r="AO77" s="145"/>
      <c r="AP77" s="159" t="str">
        <f>IF($AN77=FALSE,"",IFERROR(INDEX('Flat Rates'!$A$1:$M$3880,MATCH($AM77,'Flat Rates'!$A$1:$A$3880,0),MATCH("Standing Charge",'Flat Rates'!$A$1:$M$1,0))*100,""))</f>
        <v/>
      </c>
      <c r="AQ77" s="148" t="str">
        <f>IF($AN77=FALSE,"",IFERROR((IF(NOT(T77="Unrestricted"),"",INDEX('Flat Rates'!$A$1:$M$3880,MATCH($AM77,'Flat Rates'!$A$1:$A$3880,0),MATCH("Uni/Day Rate",'Flat Rates'!$A$1:$M$1,0)))*100)+H77,""))</f>
        <v/>
      </c>
      <c r="AR77" s="148" t="str">
        <f>IF($AN77=FALSE,"",IFERROR((IF(T77="Unrestricted","",INDEX('Flat Rates'!$A$1:$M$3880,MATCH($AM77,'Flat Rates'!$A$1:$A$3880,0),MATCH("Uni/Day Rate",'Flat Rates'!$A$1:$M$1,0)))*100)+H77,""))</f>
        <v/>
      </c>
      <c r="AS77" s="148" t="str">
        <f>IF($AN77=FALSE,"",IFERROR(IF(INDEX('Flat Rates'!$A$1:$M$3880,MATCH($AM77,'Flat Rates'!$A$1:$A$3880,0),MATCH("Night Unit Rate",'Flat Rates'!$A$1:$M$1,0))=0,"",((INDEX('Flat Rates'!$A$1:$M$3880,MATCH($AM77,'Flat Rates'!$A$1:$A$3880,0),MATCH("Night Unit Rate",'Flat Rates'!$A$1:$M$1,0)))*100)+H77),""))</f>
        <v/>
      </c>
      <c r="AT77" s="148" t="str">
        <f>IF($AN77=FALSE,"",IFERROR(IF(INDEX('Flat Rates'!$A$1:$M$3880,MATCH($AM77,'Flat Rates'!$A$1:$A$3880,0),MATCH("Evening and Weekend Rate",'Flat Rates'!$A$1:$M$1,0))=0,"",((INDEX('Flat Rates'!$A$1:$M$3880,MATCH($AM77,'Flat Rates'!$A$1:$A$3880,0),MATCH("Evening and Weekend Rate",'Flat Rates'!$A$1:$M$1,0)))*100)+H77),""))</f>
        <v/>
      </c>
      <c r="AU77" s="152" t="str">
        <f t="shared" si="21"/>
        <v/>
      </c>
      <c r="AV77" s="152" t="str">
        <f t="shared" si="22"/>
        <v/>
      </c>
      <c r="AW77" s="152" t="str">
        <f t="shared" si="23"/>
        <v/>
      </c>
    </row>
    <row r="78" spans="2:49" ht="15" thickBot="1" x14ac:dyDescent="0.35">
      <c r="B78" s="138" t="str">
        <f t="shared" si="0"/>
        <v/>
      </c>
      <c r="C78" s="137"/>
      <c r="D78" s="139"/>
      <c r="E78" s="140"/>
      <c r="F78" s="140"/>
      <c r="G78" s="139"/>
      <c r="H78" s="151"/>
      <c r="I78" s="139"/>
      <c r="J78" s="137"/>
      <c r="K78" s="139"/>
      <c r="L78" s="141"/>
      <c r="M78" s="133" t="str">
        <f t="shared" si="1"/>
        <v/>
      </c>
      <c r="N78" s="133" t="str">
        <f t="shared" si="2"/>
        <v/>
      </c>
      <c r="O78" s="133" t="str">
        <f t="shared" si="3"/>
        <v/>
      </c>
      <c r="P78" s="133" t="str">
        <f t="shared" si="4"/>
        <v/>
      </c>
      <c r="Q78" s="133" t="str">
        <f t="shared" si="5"/>
        <v/>
      </c>
      <c r="R78" s="133" t="str">
        <f t="shared" si="6"/>
        <v/>
      </c>
      <c r="S78" s="133" t="str">
        <f t="shared" si="7"/>
        <v/>
      </c>
      <c r="T78" s="133" t="str">
        <f>IFERROR(IF($U78="ERROR","ERROR",IF($N78="00",IF(J78="1-Rate","HH 1RATE",IF(J78="2-Rate","HH 2RATE","")),IFERROR(VLOOKUP(CONCATENATE(N78,Q78,O78,P78),Lookups!$A$2:$E$4557,5,0),VLOOKUP(CONCATENATE(N78,Q78,O78),Lookups!$A$2:$E$4557,5,0)))),"ERROR")</f>
        <v>ERROR</v>
      </c>
      <c r="U78" s="133" t="str">
        <f>IFERROR(IF(NOT($N78="00"),"",VLOOKUP(CONCATENATE(Q78,P78,LOOKUP(2,1/(Lookups!$I$2:$I$11&lt;=E78)/(Lookups!$J$2:$J$11&gt;=Tool!$C$14),Lookups!$K$2:$K$11)),'HH LLFs'!$A$2:$K$500,3,0)),"ERROR")</f>
        <v/>
      </c>
      <c r="V78" s="132">
        <f>Calcs!$I$2</f>
        <v>44377</v>
      </c>
      <c r="W78" s="132">
        <f>Calcs!$I$4</f>
        <v>44592</v>
      </c>
      <c r="X78" s="153" t="str">
        <f>IF(NOT(N78="00"),"",(VLOOKUP(CONCATENATE(Q78,P78,LOOKUP(2,1/(Lookups!$I$2:$I$11&lt;=Multisite!E78)/(Lookups!$J$2:$J$11&gt;=E78),Lookups!$K$2:$K$11)),'HH LLFs'!$A$2:$F$282,6,0)*365)/12)</f>
        <v/>
      </c>
      <c r="Y78" s="153">
        <f t="shared" si="8"/>
        <v>0</v>
      </c>
      <c r="Z78" s="153" t="str">
        <f t="shared" si="17"/>
        <v/>
      </c>
      <c r="AA78" s="153" t="str">
        <f t="shared" si="9"/>
        <v/>
      </c>
      <c r="AB78" s="153" t="str">
        <f t="shared" si="18"/>
        <v/>
      </c>
      <c r="AC78" s="153" t="str">
        <f t="shared" si="10"/>
        <v/>
      </c>
      <c r="AD78" s="153" t="str">
        <f t="shared" si="11"/>
        <v/>
      </c>
      <c r="AE78" s="153" t="str">
        <f t="shared" si="12"/>
        <v/>
      </c>
      <c r="AF78" s="155" t="e">
        <f>LOOKUP(2,1/(Lookups!$I$2:$I$11&lt;=E78)/(Lookups!$J$2:$J$11&gt;=E78),Lookups!$L$2:$L$11)</f>
        <v>#N/A</v>
      </c>
      <c r="AG78" s="142" t="str">
        <f t="shared" si="13"/>
        <v/>
      </c>
      <c r="AH78" s="142" t="str">
        <f t="shared" si="14"/>
        <v/>
      </c>
      <c r="AI78" s="143" t="b">
        <f t="shared" si="19"/>
        <v>0</v>
      </c>
      <c r="AJ78" s="143" t="str">
        <f t="shared" si="15"/>
        <v>Level 1</v>
      </c>
      <c r="AK78" s="142">
        <f t="shared" si="16"/>
        <v>0</v>
      </c>
      <c r="AL78" s="157" t="str">
        <f t="shared" si="24"/>
        <v/>
      </c>
      <c r="AM78" s="144" t="str">
        <f t="shared" si="25"/>
        <v>--FALSE-0</v>
      </c>
      <c r="AN78" s="158" t="str">
        <f t="shared" si="20"/>
        <v/>
      </c>
      <c r="AO78" s="145"/>
      <c r="AP78" s="159" t="str">
        <f>IF($AN78=FALSE,"",IFERROR(INDEX('Flat Rates'!$A$1:$M$3880,MATCH($AM78,'Flat Rates'!$A$1:$A$3880,0),MATCH("Standing Charge",'Flat Rates'!$A$1:$M$1,0))*100,""))</f>
        <v/>
      </c>
      <c r="AQ78" s="148" t="str">
        <f>IF($AN78=FALSE,"",IFERROR((IF(NOT(T78="Unrestricted"),"",INDEX('Flat Rates'!$A$1:$M$3880,MATCH($AM78,'Flat Rates'!$A$1:$A$3880,0),MATCH("Uni/Day Rate",'Flat Rates'!$A$1:$M$1,0)))*100)+H78,""))</f>
        <v/>
      </c>
      <c r="AR78" s="148" t="str">
        <f>IF($AN78=FALSE,"",IFERROR((IF(T78="Unrestricted","",INDEX('Flat Rates'!$A$1:$M$3880,MATCH($AM78,'Flat Rates'!$A$1:$A$3880,0),MATCH("Uni/Day Rate",'Flat Rates'!$A$1:$M$1,0)))*100)+H78,""))</f>
        <v/>
      </c>
      <c r="AS78" s="148" t="str">
        <f>IF($AN78=FALSE,"",IFERROR(IF(INDEX('Flat Rates'!$A$1:$M$3880,MATCH($AM78,'Flat Rates'!$A$1:$A$3880,0),MATCH("Night Unit Rate",'Flat Rates'!$A$1:$M$1,0))=0,"",((INDEX('Flat Rates'!$A$1:$M$3880,MATCH($AM78,'Flat Rates'!$A$1:$A$3880,0),MATCH("Night Unit Rate",'Flat Rates'!$A$1:$M$1,0)))*100)+H78),""))</f>
        <v/>
      </c>
      <c r="AT78" s="148" t="str">
        <f>IF($AN78=FALSE,"",IFERROR(IF(INDEX('Flat Rates'!$A$1:$M$3880,MATCH($AM78,'Flat Rates'!$A$1:$A$3880,0),MATCH("Evening and Weekend Rate",'Flat Rates'!$A$1:$M$1,0))=0,"",((INDEX('Flat Rates'!$A$1:$M$3880,MATCH($AM78,'Flat Rates'!$A$1:$A$3880,0),MATCH("Evening and Weekend Rate",'Flat Rates'!$A$1:$M$1,0)))*100)+H78),""))</f>
        <v/>
      </c>
      <c r="AU78" s="152" t="str">
        <f t="shared" si="21"/>
        <v/>
      </c>
      <c r="AV78" s="152" t="str">
        <f t="shared" si="22"/>
        <v/>
      </c>
      <c r="AW78" s="152" t="str">
        <f t="shared" si="23"/>
        <v/>
      </c>
    </row>
    <row r="79" spans="2:49" ht="15" thickBot="1" x14ac:dyDescent="0.35">
      <c r="B79" s="138" t="str">
        <f t="shared" si="0"/>
        <v/>
      </c>
      <c r="C79" s="137"/>
      <c r="D79" s="139"/>
      <c r="E79" s="140"/>
      <c r="F79" s="140"/>
      <c r="G79" s="139"/>
      <c r="H79" s="151"/>
      <c r="I79" s="139"/>
      <c r="J79" s="138"/>
      <c r="K79" s="139"/>
      <c r="L79" s="141"/>
      <c r="M79" s="133" t="str">
        <f t="shared" si="1"/>
        <v/>
      </c>
      <c r="N79" s="133" t="str">
        <f t="shared" si="2"/>
        <v/>
      </c>
      <c r="O79" s="133" t="str">
        <f t="shared" si="3"/>
        <v/>
      </c>
      <c r="P79" s="133" t="str">
        <f t="shared" si="4"/>
        <v/>
      </c>
      <c r="Q79" s="133" t="str">
        <f t="shared" si="5"/>
        <v/>
      </c>
      <c r="R79" s="133" t="str">
        <f t="shared" si="6"/>
        <v/>
      </c>
      <c r="S79" s="133" t="str">
        <f t="shared" si="7"/>
        <v/>
      </c>
      <c r="T79" s="133" t="str">
        <f>IFERROR(IF($U79="ERROR","ERROR",IF($N79="00",IF(J79="1-Rate","HH 1RATE",IF(J79="2-Rate","HH 2RATE","")),IFERROR(VLOOKUP(CONCATENATE(N79,Q79,O79,P79),Lookups!$A$2:$E$4557,5,0),VLOOKUP(CONCATENATE(N79,Q79,O79),Lookups!$A$2:$E$4557,5,0)))),"ERROR")</f>
        <v>ERROR</v>
      </c>
      <c r="U79" s="133" t="str">
        <f>IFERROR(IF(NOT($N79="00"),"",VLOOKUP(CONCATENATE(Q79,P79,LOOKUP(2,1/(Lookups!$I$2:$I$11&lt;=E79)/(Lookups!$J$2:$J$11&gt;=Tool!$C$14),Lookups!$K$2:$K$11)),'HH LLFs'!$A$2:$K$500,3,0)),"ERROR")</f>
        <v/>
      </c>
      <c r="V79" s="132">
        <f>Calcs!$I$2</f>
        <v>44377</v>
      </c>
      <c r="W79" s="132">
        <f>Calcs!$I$4</f>
        <v>44592</v>
      </c>
      <c r="X79" s="153" t="str">
        <f>IF(NOT(N79="00"),"",(VLOOKUP(CONCATENATE(Q79,P79,LOOKUP(2,1/(Lookups!$I$2:$I$11&lt;=Multisite!E79)/(Lookups!$J$2:$J$11&gt;=E79),Lookups!$K$2:$K$11)),'HH LLFs'!$A$2:$F$282,6,0)*365)/12)</f>
        <v/>
      </c>
      <c r="Y79" s="153">
        <f t="shared" si="8"/>
        <v>0</v>
      </c>
      <c r="Z79" s="153" t="str">
        <f t="shared" si="17"/>
        <v/>
      </c>
      <c r="AA79" s="153" t="str">
        <f t="shared" si="9"/>
        <v/>
      </c>
      <c r="AB79" s="153" t="str">
        <f t="shared" si="18"/>
        <v/>
      </c>
      <c r="AC79" s="153" t="str">
        <f t="shared" si="10"/>
        <v/>
      </c>
      <c r="AD79" s="153" t="str">
        <f t="shared" si="11"/>
        <v/>
      </c>
      <c r="AE79" s="153" t="str">
        <f t="shared" si="12"/>
        <v/>
      </c>
      <c r="AF79" s="155" t="e">
        <f>LOOKUP(2,1/(Lookups!$I$2:$I$11&lt;=E79)/(Lookups!$J$2:$J$11&gt;=E79),Lookups!$L$2:$L$11)</f>
        <v>#N/A</v>
      </c>
      <c r="AG79" s="142" t="str">
        <f t="shared" si="13"/>
        <v/>
      </c>
      <c r="AH79" s="142" t="str">
        <f t="shared" si="14"/>
        <v/>
      </c>
      <c r="AI79" s="143" t="b">
        <f t="shared" si="19"/>
        <v>0</v>
      </c>
      <c r="AJ79" s="143" t="str">
        <f t="shared" si="15"/>
        <v>Level 1</v>
      </c>
      <c r="AK79" s="142">
        <f t="shared" si="16"/>
        <v>0</v>
      </c>
      <c r="AL79" s="157" t="str">
        <f t="shared" si="24"/>
        <v/>
      </c>
      <c r="AM79" s="144" t="str">
        <f t="shared" si="25"/>
        <v>--FALSE-0</v>
      </c>
      <c r="AN79" s="158" t="str">
        <f t="shared" si="20"/>
        <v/>
      </c>
      <c r="AO79" s="145"/>
      <c r="AP79" s="159" t="str">
        <f>IF($AN79=FALSE,"",IFERROR(INDEX('Flat Rates'!$A$1:$M$3880,MATCH($AM79,'Flat Rates'!$A$1:$A$3880,0),MATCH("Standing Charge",'Flat Rates'!$A$1:$M$1,0))*100,""))</f>
        <v/>
      </c>
      <c r="AQ79" s="148" t="str">
        <f>IF($AN79=FALSE,"",IFERROR((IF(NOT(T79="Unrestricted"),"",INDEX('Flat Rates'!$A$1:$M$3880,MATCH($AM79,'Flat Rates'!$A$1:$A$3880,0),MATCH("Uni/Day Rate",'Flat Rates'!$A$1:$M$1,0)))*100)+H79,""))</f>
        <v/>
      </c>
      <c r="AR79" s="148" t="str">
        <f>IF($AN79=FALSE,"",IFERROR((IF(T79="Unrestricted","",INDEX('Flat Rates'!$A$1:$M$3880,MATCH($AM79,'Flat Rates'!$A$1:$A$3880,0),MATCH("Uni/Day Rate",'Flat Rates'!$A$1:$M$1,0)))*100)+H79,""))</f>
        <v/>
      </c>
      <c r="AS79" s="148" t="str">
        <f>IF($AN79=FALSE,"",IFERROR(IF(INDEX('Flat Rates'!$A$1:$M$3880,MATCH($AM79,'Flat Rates'!$A$1:$A$3880,0),MATCH("Night Unit Rate",'Flat Rates'!$A$1:$M$1,0))=0,"",((INDEX('Flat Rates'!$A$1:$M$3880,MATCH($AM79,'Flat Rates'!$A$1:$A$3880,0),MATCH("Night Unit Rate",'Flat Rates'!$A$1:$M$1,0)))*100)+H79),""))</f>
        <v/>
      </c>
      <c r="AT79" s="148" t="str">
        <f>IF($AN79=FALSE,"",IFERROR(IF(INDEX('Flat Rates'!$A$1:$M$3880,MATCH($AM79,'Flat Rates'!$A$1:$A$3880,0),MATCH("Evening and Weekend Rate",'Flat Rates'!$A$1:$M$1,0))=0,"",((INDEX('Flat Rates'!$A$1:$M$3880,MATCH($AM79,'Flat Rates'!$A$1:$A$3880,0),MATCH("Evening and Weekend Rate",'Flat Rates'!$A$1:$M$1,0)))*100)+H79),""))</f>
        <v/>
      </c>
      <c r="AU79" s="152" t="str">
        <f t="shared" si="21"/>
        <v/>
      </c>
      <c r="AV79" s="152" t="str">
        <f t="shared" si="22"/>
        <v/>
      </c>
      <c r="AW79" s="152" t="str">
        <f t="shared" si="23"/>
        <v/>
      </c>
    </row>
    <row r="80" spans="2:49" ht="15" thickBot="1" x14ac:dyDescent="0.35">
      <c r="B80" s="138" t="str">
        <f t="shared" si="0"/>
        <v/>
      </c>
      <c r="C80" s="137"/>
      <c r="D80" s="139"/>
      <c r="E80" s="140"/>
      <c r="F80" s="140"/>
      <c r="G80" s="139"/>
      <c r="H80" s="151"/>
      <c r="I80" s="139"/>
      <c r="J80" s="137"/>
      <c r="K80" s="139"/>
      <c r="L80" s="141"/>
      <c r="M80" s="133" t="str">
        <f t="shared" si="1"/>
        <v/>
      </c>
      <c r="N80" s="133" t="str">
        <f t="shared" si="2"/>
        <v/>
      </c>
      <c r="O80" s="133" t="str">
        <f t="shared" si="3"/>
        <v/>
      </c>
      <c r="P80" s="133" t="str">
        <f t="shared" si="4"/>
        <v/>
      </c>
      <c r="Q80" s="133" t="str">
        <f t="shared" si="5"/>
        <v/>
      </c>
      <c r="R80" s="133" t="str">
        <f t="shared" si="6"/>
        <v/>
      </c>
      <c r="S80" s="133" t="str">
        <f t="shared" si="7"/>
        <v/>
      </c>
      <c r="T80" s="133" t="str">
        <f>IFERROR(IF($U80="ERROR","ERROR",IF($N80="00",IF(J80="1-Rate","HH 1RATE",IF(J80="2-Rate","HH 2RATE","")),IFERROR(VLOOKUP(CONCATENATE(N80,Q80,O80,P80),Lookups!$A$2:$E$4557,5,0),VLOOKUP(CONCATENATE(N80,Q80,O80),Lookups!$A$2:$E$4557,5,0)))),"ERROR")</f>
        <v>ERROR</v>
      </c>
      <c r="U80" s="133" t="str">
        <f>IFERROR(IF(NOT($N80="00"),"",VLOOKUP(CONCATENATE(Q80,P80,LOOKUP(2,1/(Lookups!$I$2:$I$11&lt;=E80)/(Lookups!$J$2:$J$11&gt;=Tool!$C$14),Lookups!$K$2:$K$11)),'HH LLFs'!$A$2:$K$500,3,0)),"ERROR")</f>
        <v/>
      </c>
      <c r="V80" s="132">
        <f>Calcs!$I$2</f>
        <v>44377</v>
      </c>
      <c r="W80" s="132">
        <f>Calcs!$I$4</f>
        <v>44592</v>
      </c>
      <c r="X80" s="153" t="str">
        <f>IF(NOT(N80="00"),"",(VLOOKUP(CONCATENATE(Q80,P80,LOOKUP(2,1/(Lookups!$I$2:$I$11&lt;=Multisite!E80)/(Lookups!$J$2:$J$11&gt;=E80),Lookups!$K$2:$K$11)),'HH LLFs'!$A$2:$F$282,6,0)*365)/12)</f>
        <v/>
      </c>
      <c r="Y80" s="153">
        <f t="shared" si="8"/>
        <v>0</v>
      </c>
      <c r="Z80" s="153" t="str">
        <f t="shared" si="17"/>
        <v/>
      </c>
      <c r="AA80" s="153" t="str">
        <f t="shared" si="9"/>
        <v/>
      </c>
      <c r="AB80" s="153" t="str">
        <f t="shared" si="18"/>
        <v/>
      </c>
      <c r="AC80" s="153" t="str">
        <f t="shared" si="10"/>
        <v/>
      </c>
      <c r="AD80" s="153" t="str">
        <f t="shared" si="11"/>
        <v/>
      </c>
      <c r="AE80" s="153" t="str">
        <f t="shared" si="12"/>
        <v/>
      </c>
      <c r="AF80" s="155" t="e">
        <f>LOOKUP(2,1/(Lookups!$I$2:$I$11&lt;=E80)/(Lookups!$J$2:$J$11&gt;=E80),Lookups!$L$2:$L$11)</f>
        <v>#N/A</v>
      </c>
      <c r="AG80" s="142" t="str">
        <f t="shared" si="13"/>
        <v/>
      </c>
      <c r="AH80" s="142" t="str">
        <f t="shared" si="14"/>
        <v/>
      </c>
      <c r="AI80" s="143" t="b">
        <f t="shared" si="19"/>
        <v>0</v>
      </c>
      <c r="AJ80" s="143" t="str">
        <f t="shared" si="15"/>
        <v>Level 1</v>
      </c>
      <c r="AK80" s="142">
        <f t="shared" si="16"/>
        <v>0</v>
      </c>
      <c r="AL80" s="157" t="str">
        <f t="shared" si="24"/>
        <v/>
      </c>
      <c r="AM80" s="144" t="str">
        <f t="shared" si="25"/>
        <v>--FALSE-0</v>
      </c>
      <c r="AN80" s="158" t="str">
        <f t="shared" si="20"/>
        <v/>
      </c>
      <c r="AO80" s="145"/>
      <c r="AP80" s="159" t="str">
        <f>IF($AN80=FALSE,"",IFERROR(INDEX('Flat Rates'!$A$1:$M$3880,MATCH($AM80,'Flat Rates'!$A$1:$A$3880,0),MATCH("Standing Charge",'Flat Rates'!$A$1:$M$1,0))*100,""))</f>
        <v/>
      </c>
      <c r="AQ80" s="148" t="str">
        <f>IF($AN80=FALSE,"",IFERROR((IF(NOT(T80="Unrestricted"),"",INDEX('Flat Rates'!$A$1:$M$3880,MATCH($AM80,'Flat Rates'!$A$1:$A$3880,0),MATCH("Uni/Day Rate",'Flat Rates'!$A$1:$M$1,0)))*100)+H80,""))</f>
        <v/>
      </c>
      <c r="AR80" s="148" t="str">
        <f>IF($AN80=FALSE,"",IFERROR((IF(T80="Unrestricted","",INDEX('Flat Rates'!$A$1:$M$3880,MATCH($AM80,'Flat Rates'!$A$1:$A$3880,0),MATCH("Uni/Day Rate",'Flat Rates'!$A$1:$M$1,0)))*100)+H80,""))</f>
        <v/>
      </c>
      <c r="AS80" s="148" t="str">
        <f>IF($AN80=FALSE,"",IFERROR(IF(INDEX('Flat Rates'!$A$1:$M$3880,MATCH($AM80,'Flat Rates'!$A$1:$A$3880,0),MATCH("Night Unit Rate",'Flat Rates'!$A$1:$M$1,0))=0,"",((INDEX('Flat Rates'!$A$1:$M$3880,MATCH($AM80,'Flat Rates'!$A$1:$A$3880,0),MATCH("Night Unit Rate",'Flat Rates'!$A$1:$M$1,0)))*100)+H80),""))</f>
        <v/>
      </c>
      <c r="AT80" s="148" t="str">
        <f>IF($AN80=FALSE,"",IFERROR(IF(INDEX('Flat Rates'!$A$1:$M$3880,MATCH($AM80,'Flat Rates'!$A$1:$A$3880,0),MATCH("Evening and Weekend Rate",'Flat Rates'!$A$1:$M$1,0))=0,"",((INDEX('Flat Rates'!$A$1:$M$3880,MATCH($AM80,'Flat Rates'!$A$1:$A$3880,0),MATCH("Evening and Weekend Rate",'Flat Rates'!$A$1:$M$1,0)))*100)+H80),""))</f>
        <v/>
      </c>
      <c r="AU80" s="152" t="str">
        <f t="shared" si="21"/>
        <v/>
      </c>
      <c r="AV80" s="152" t="str">
        <f t="shared" si="22"/>
        <v/>
      </c>
      <c r="AW80" s="152" t="str">
        <f t="shared" si="23"/>
        <v/>
      </c>
    </row>
    <row r="81" spans="2:49" ht="15" thickBot="1" x14ac:dyDescent="0.35">
      <c r="B81" s="138" t="str">
        <f t="shared" si="0"/>
        <v/>
      </c>
      <c r="C81" s="137"/>
      <c r="D81" s="139"/>
      <c r="E81" s="140"/>
      <c r="F81" s="140"/>
      <c r="G81" s="139"/>
      <c r="H81" s="151"/>
      <c r="I81" s="139"/>
      <c r="J81" s="138"/>
      <c r="K81" s="139"/>
      <c r="L81" s="141"/>
      <c r="M81" s="133" t="str">
        <f t="shared" si="1"/>
        <v/>
      </c>
      <c r="N81" s="133" t="str">
        <f t="shared" si="2"/>
        <v/>
      </c>
      <c r="O81" s="133" t="str">
        <f t="shared" si="3"/>
        <v/>
      </c>
      <c r="P81" s="133" t="str">
        <f t="shared" si="4"/>
        <v/>
      </c>
      <c r="Q81" s="133" t="str">
        <f t="shared" si="5"/>
        <v/>
      </c>
      <c r="R81" s="133" t="str">
        <f t="shared" si="6"/>
        <v/>
      </c>
      <c r="S81" s="133" t="str">
        <f t="shared" si="7"/>
        <v/>
      </c>
      <c r="T81" s="133" t="str">
        <f>IFERROR(IF($U81="ERROR","ERROR",IF($N81="00",IF(J81="1-Rate","HH 1RATE",IF(J81="2-Rate","HH 2RATE","")),IFERROR(VLOOKUP(CONCATENATE(N81,Q81,O81,P81),Lookups!$A$2:$E$4557,5,0),VLOOKUP(CONCATENATE(N81,Q81,O81),Lookups!$A$2:$E$4557,5,0)))),"ERROR")</f>
        <v>ERROR</v>
      </c>
      <c r="U81" s="133" t="str">
        <f>IFERROR(IF(NOT($N81="00"),"",VLOOKUP(CONCATENATE(Q81,P81,LOOKUP(2,1/(Lookups!$I$2:$I$11&lt;=E81)/(Lookups!$J$2:$J$11&gt;=Tool!$C$14),Lookups!$K$2:$K$11)),'HH LLFs'!$A$2:$K$500,3,0)),"ERROR")</f>
        <v/>
      </c>
      <c r="V81" s="132">
        <f>Calcs!$I$2</f>
        <v>44377</v>
      </c>
      <c r="W81" s="132">
        <f>Calcs!$I$4</f>
        <v>44592</v>
      </c>
      <c r="X81" s="153" t="str">
        <f>IF(NOT(N81="00"),"",(VLOOKUP(CONCATENATE(Q81,P81,LOOKUP(2,1/(Lookups!$I$2:$I$11&lt;=Multisite!E81)/(Lookups!$J$2:$J$11&gt;=E81),Lookups!$K$2:$K$11)),'HH LLFs'!$A$2:$F$282,6,0)*365)/12)</f>
        <v/>
      </c>
      <c r="Y81" s="153">
        <f t="shared" si="8"/>
        <v>0</v>
      </c>
      <c r="Z81" s="153" t="str">
        <f t="shared" si="17"/>
        <v/>
      </c>
      <c r="AA81" s="153" t="str">
        <f t="shared" si="9"/>
        <v/>
      </c>
      <c r="AB81" s="153" t="str">
        <f t="shared" si="18"/>
        <v/>
      </c>
      <c r="AC81" s="153" t="str">
        <f t="shared" si="10"/>
        <v/>
      </c>
      <c r="AD81" s="153" t="str">
        <f t="shared" si="11"/>
        <v/>
      </c>
      <c r="AE81" s="153" t="str">
        <f t="shared" si="12"/>
        <v/>
      </c>
      <c r="AF81" s="155" t="e">
        <f>LOOKUP(2,1/(Lookups!$I$2:$I$11&lt;=E81)/(Lookups!$J$2:$J$11&gt;=E81),Lookups!$L$2:$L$11)</f>
        <v>#N/A</v>
      </c>
      <c r="AG81" s="142" t="str">
        <f t="shared" si="13"/>
        <v/>
      </c>
      <c r="AH81" s="142" t="str">
        <f t="shared" si="14"/>
        <v/>
      </c>
      <c r="AI81" s="143" t="b">
        <f t="shared" si="19"/>
        <v>0</v>
      </c>
      <c r="AJ81" s="143" t="str">
        <f t="shared" si="15"/>
        <v>Level 1</v>
      </c>
      <c r="AK81" s="142">
        <f t="shared" si="16"/>
        <v>0</v>
      </c>
      <c r="AL81" s="157" t="str">
        <f t="shared" si="24"/>
        <v/>
      </c>
      <c r="AM81" s="144" t="str">
        <f t="shared" si="25"/>
        <v>--FALSE-0</v>
      </c>
      <c r="AN81" s="158" t="str">
        <f t="shared" si="20"/>
        <v/>
      </c>
      <c r="AO81" s="145"/>
      <c r="AP81" s="159" t="str">
        <f>IF($AN81=FALSE,"",IFERROR(INDEX('Flat Rates'!$A$1:$M$3880,MATCH($AM81,'Flat Rates'!$A$1:$A$3880,0),MATCH("Standing Charge",'Flat Rates'!$A$1:$M$1,0))*100,""))</f>
        <v/>
      </c>
      <c r="AQ81" s="148" t="str">
        <f>IF($AN81=FALSE,"",IFERROR((IF(NOT(T81="Unrestricted"),"",INDEX('Flat Rates'!$A$1:$M$3880,MATCH($AM81,'Flat Rates'!$A$1:$A$3880,0),MATCH("Uni/Day Rate",'Flat Rates'!$A$1:$M$1,0)))*100)+H81,""))</f>
        <v/>
      </c>
      <c r="AR81" s="148" t="str">
        <f>IF($AN81=FALSE,"",IFERROR((IF(T81="Unrestricted","",INDEX('Flat Rates'!$A$1:$M$3880,MATCH($AM81,'Flat Rates'!$A$1:$A$3880,0),MATCH("Uni/Day Rate",'Flat Rates'!$A$1:$M$1,0)))*100)+H81,""))</f>
        <v/>
      </c>
      <c r="AS81" s="148" t="str">
        <f>IF($AN81=FALSE,"",IFERROR(IF(INDEX('Flat Rates'!$A$1:$M$3880,MATCH($AM81,'Flat Rates'!$A$1:$A$3880,0),MATCH("Night Unit Rate",'Flat Rates'!$A$1:$M$1,0))=0,"",((INDEX('Flat Rates'!$A$1:$M$3880,MATCH($AM81,'Flat Rates'!$A$1:$A$3880,0),MATCH("Night Unit Rate",'Flat Rates'!$A$1:$M$1,0)))*100)+H81),""))</f>
        <v/>
      </c>
      <c r="AT81" s="148" t="str">
        <f>IF($AN81=FALSE,"",IFERROR(IF(INDEX('Flat Rates'!$A$1:$M$3880,MATCH($AM81,'Flat Rates'!$A$1:$A$3880,0),MATCH("Evening and Weekend Rate",'Flat Rates'!$A$1:$M$1,0))=0,"",((INDEX('Flat Rates'!$A$1:$M$3880,MATCH($AM81,'Flat Rates'!$A$1:$A$3880,0),MATCH("Evening and Weekend Rate",'Flat Rates'!$A$1:$M$1,0)))*100)+H81),""))</f>
        <v/>
      </c>
      <c r="AU81" s="152" t="str">
        <f t="shared" si="21"/>
        <v/>
      </c>
      <c r="AV81" s="152" t="str">
        <f t="shared" si="22"/>
        <v/>
      </c>
      <c r="AW81" s="152" t="str">
        <f t="shared" si="23"/>
        <v/>
      </c>
    </row>
    <row r="82" spans="2:49" ht="15" thickBot="1" x14ac:dyDescent="0.35">
      <c r="B82" s="138" t="str">
        <f t="shared" si="0"/>
        <v/>
      </c>
      <c r="C82" s="137"/>
      <c r="D82" s="139"/>
      <c r="E82" s="140"/>
      <c r="F82" s="140"/>
      <c r="G82" s="139"/>
      <c r="H82" s="151"/>
      <c r="I82" s="139"/>
      <c r="J82" s="137"/>
      <c r="K82" s="139"/>
      <c r="L82" s="141"/>
      <c r="M82" s="133" t="str">
        <f t="shared" si="1"/>
        <v/>
      </c>
      <c r="N82" s="133" t="str">
        <f t="shared" si="2"/>
        <v/>
      </c>
      <c r="O82" s="133" t="str">
        <f t="shared" si="3"/>
        <v/>
      </c>
      <c r="P82" s="133" t="str">
        <f t="shared" si="4"/>
        <v/>
      </c>
      <c r="Q82" s="133" t="str">
        <f t="shared" si="5"/>
        <v/>
      </c>
      <c r="R82" s="133" t="str">
        <f t="shared" si="6"/>
        <v/>
      </c>
      <c r="S82" s="133" t="str">
        <f t="shared" si="7"/>
        <v/>
      </c>
      <c r="T82" s="133" t="str">
        <f>IFERROR(IF($U82="ERROR","ERROR",IF($N82="00",IF(J82="1-Rate","HH 1RATE",IF(J82="2-Rate","HH 2RATE","")),IFERROR(VLOOKUP(CONCATENATE(N82,Q82,O82,P82),Lookups!$A$2:$E$4557,5,0),VLOOKUP(CONCATENATE(N82,Q82,O82),Lookups!$A$2:$E$4557,5,0)))),"ERROR")</f>
        <v>ERROR</v>
      </c>
      <c r="U82" s="133" t="str">
        <f>IFERROR(IF(NOT($N82="00"),"",VLOOKUP(CONCATENATE(Q82,P82,LOOKUP(2,1/(Lookups!$I$2:$I$11&lt;=E82)/(Lookups!$J$2:$J$11&gt;=Tool!$C$14),Lookups!$K$2:$K$11)),'HH LLFs'!$A$2:$K$500,3,0)),"ERROR")</f>
        <v/>
      </c>
      <c r="V82" s="132">
        <f>Calcs!$I$2</f>
        <v>44377</v>
      </c>
      <c r="W82" s="132">
        <f>Calcs!$I$4</f>
        <v>44592</v>
      </c>
      <c r="X82" s="153" t="str">
        <f>IF(NOT(N82="00"),"",(VLOOKUP(CONCATENATE(Q82,P82,LOOKUP(2,1/(Lookups!$I$2:$I$11&lt;=Multisite!E82)/(Lookups!$J$2:$J$11&gt;=E82),Lookups!$K$2:$K$11)),'HH LLFs'!$A$2:$F$282,6,0)*365)/12)</f>
        <v/>
      </c>
      <c r="Y82" s="153">
        <f t="shared" si="8"/>
        <v>0</v>
      </c>
      <c r="Z82" s="153" t="str">
        <f t="shared" si="17"/>
        <v/>
      </c>
      <c r="AA82" s="153" t="str">
        <f t="shared" si="9"/>
        <v/>
      </c>
      <c r="AB82" s="153" t="str">
        <f t="shared" si="18"/>
        <v/>
      </c>
      <c r="AC82" s="153" t="str">
        <f t="shared" si="10"/>
        <v/>
      </c>
      <c r="AD82" s="153" t="str">
        <f t="shared" si="11"/>
        <v/>
      </c>
      <c r="AE82" s="153" t="str">
        <f t="shared" si="12"/>
        <v/>
      </c>
      <c r="AF82" s="155" t="e">
        <f>LOOKUP(2,1/(Lookups!$I$2:$I$11&lt;=E82)/(Lookups!$J$2:$J$11&gt;=E82),Lookups!$L$2:$L$11)</f>
        <v>#N/A</v>
      </c>
      <c r="AG82" s="142" t="str">
        <f t="shared" si="13"/>
        <v/>
      </c>
      <c r="AH82" s="142" t="str">
        <f t="shared" si="14"/>
        <v/>
      </c>
      <c r="AI82" s="143" t="b">
        <f t="shared" si="19"/>
        <v>0</v>
      </c>
      <c r="AJ82" s="143" t="str">
        <f t="shared" si="15"/>
        <v>Level 1</v>
      </c>
      <c r="AK82" s="142">
        <f t="shared" si="16"/>
        <v>0</v>
      </c>
      <c r="AL82" s="157" t="str">
        <f t="shared" si="24"/>
        <v/>
      </c>
      <c r="AM82" s="144" t="str">
        <f t="shared" si="25"/>
        <v>--FALSE-0</v>
      </c>
      <c r="AN82" s="158" t="str">
        <f t="shared" si="20"/>
        <v/>
      </c>
      <c r="AO82" s="145"/>
      <c r="AP82" s="159" t="str">
        <f>IF($AN82=FALSE,"",IFERROR(INDEX('Flat Rates'!$A$1:$M$3880,MATCH($AM82,'Flat Rates'!$A$1:$A$3880,0),MATCH("Standing Charge",'Flat Rates'!$A$1:$M$1,0))*100,""))</f>
        <v/>
      </c>
      <c r="AQ82" s="148" t="str">
        <f>IF($AN82=FALSE,"",IFERROR((IF(NOT(T82="Unrestricted"),"",INDEX('Flat Rates'!$A$1:$M$3880,MATCH($AM82,'Flat Rates'!$A$1:$A$3880,0),MATCH("Uni/Day Rate",'Flat Rates'!$A$1:$M$1,0)))*100)+H82,""))</f>
        <v/>
      </c>
      <c r="AR82" s="148" t="str">
        <f>IF($AN82=FALSE,"",IFERROR((IF(T82="Unrestricted","",INDEX('Flat Rates'!$A$1:$M$3880,MATCH($AM82,'Flat Rates'!$A$1:$A$3880,0),MATCH("Uni/Day Rate",'Flat Rates'!$A$1:$M$1,0)))*100)+H82,""))</f>
        <v/>
      </c>
      <c r="AS82" s="148" t="str">
        <f>IF($AN82=FALSE,"",IFERROR(IF(INDEX('Flat Rates'!$A$1:$M$3880,MATCH($AM82,'Flat Rates'!$A$1:$A$3880,0),MATCH("Night Unit Rate",'Flat Rates'!$A$1:$M$1,0))=0,"",((INDEX('Flat Rates'!$A$1:$M$3880,MATCH($AM82,'Flat Rates'!$A$1:$A$3880,0),MATCH("Night Unit Rate",'Flat Rates'!$A$1:$M$1,0)))*100)+H82),""))</f>
        <v/>
      </c>
      <c r="AT82" s="148" t="str">
        <f>IF($AN82=FALSE,"",IFERROR(IF(INDEX('Flat Rates'!$A$1:$M$3880,MATCH($AM82,'Flat Rates'!$A$1:$A$3880,0),MATCH("Evening and Weekend Rate",'Flat Rates'!$A$1:$M$1,0))=0,"",((INDEX('Flat Rates'!$A$1:$M$3880,MATCH($AM82,'Flat Rates'!$A$1:$A$3880,0),MATCH("Evening and Weekend Rate",'Flat Rates'!$A$1:$M$1,0)))*100)+H82),""))</f>
        <v/>
      </c>
      <c r="AU82" s="152" t="str">
        <f t="shared" si="21"/>
        <v/>
      </c>
      <c r="AV82" s="152" t="str">
        <f t="shared" si="22"/>
        <v/>
      </c>
      <c r="AW82" s="152" t="str">
        <f t="shared" si="23"/>
        <v/>
      </c>
    </row>
    <row r="83" spans="2:49" ht="15" thickBot="1" x14ac:dyDescent="0.35">
      <c r="B83" s="138" t="str">
        <f t="shared" ref="B83:B146" si="26">SUBSTITUTE(C83," ","")</f>
        <v/>
      </c>
      <c r="C83" s="137"/>
      <c r="D83" s="139"/>
      <c r="E83" s="140"/>
      <c r="F83" s="140"/>
      <c r="G83" s="139"/>
      <c r="H83" s="151"/>
      <c r="I83" s="139"/>
      <c r="J83" s="138"/>
      <c r="K83" s="139"/>
      <c r="L83" s="141"/>
      <c r="M83" s="133" t="str">
        <f t="shared" ref="M83:M146" si="27">CONCATENATE(LEFT(B83,2),LEFT(D83,2),MID(B83,3,3))</f>
        <v/>
      </c>
      <c r="N83" s="133" t="str">
        <f t="shared" ref="N83:N146" si="28">IF(LEFT(B83,2)="01","03",IF(LEFT(B83,2)="02","04",LEFT(B83,2)))</f>
        <v/>
      </c>
      <c r="O83" s="133" t="str">
        <f t="shared" ref="O83:O146" si="29">MID(B83,3,3)</f>
        <v/>
      </c>
      <c r="P83" s="133" t="str">
        <f t="shared" ref="P83:P146" si="30">RIGHT(B83,3)</f>
        <v/>
      </c>
      <c r="Q83" s="133" t="str">
        <f t="shared" ref="Q83:Q146" si="31">LEFT(D83,2)</f>
        <v/>
      </c>
      <c r="R83" s="133" t="str">
        <f t="shared" ref="R83:R146" si="32">MID(D83,3,8)</f>
        <v/>
      </c>
      <c r="S83" s="133" t="str">
        <f t="shared" ref="S83:S146" si="33">RIGHT(D83,3)</f>
        <v/>
      </c>
      <c r="T83" s="133" t="str">
        <f>IFERROR(IF($U83="ERROR","ERROR",IF($N83="00",IF(J83="1-Rate","HH 1RATE",IF(J83="2-Rate","HH 2RATE","")),IFERROR(VLOOKUP(CONCATENATE(N83,Q83,O83,P83),Lookups!$A$2:$E$4557,5,0),VLOOKUP(CONCATENATE(N83,Q83,O83),Lookups!$A$2:$E$4557,5,0)))),"ERROR")</f>
        <v>ERROR</v>
      </c>
      <c r="U83" s="133" t="str">
        <f>IFERROR(IF(NOT($N83="00"),"",VLOOKUP(CONCATENATE(Q83,P83,LOOKUP(2,1/(Lookups!$I$2:$I$11&lt;=E83)/(Lookups!$J$2:$J$11&gt;=Tool!$C$14),Lookups!$K$2:$K$11)),'HH LLFs'!$A$2:$K$500,3,0)),"ERROR")</f>
        <v/>
      </c>
      <c r="V83" s="132">
        <f>Calcs!$I$2</f>
        <v>44377</v>
      </c>
      <c r="W83" s="132">
        <f>Calcs!$I$4</f>
        <v>44592</v>
      </c>
      <c r="X83" s="153" t="str">
        <f>IF(NOT(N83="00"),"",(VLOOKUP(CONCATENATE(Q83,P83,LOOKUP(2,1/(Lookups!$I$2:$I$11&lt;=Multisite!E83)/(Lookups!$J$2:$J$11&gt;=E83),Lookups!$K$2:$K$11)),'HH LLFs'!$A$2:$F$282,6,0)*365)/12)</f>
        <v/>
      </c>
      <c r="Y83" s="153">
        <f t="shared" ref="Y83:Y146" si="34">K83</f>
        <v>0</v>
      </c>
      <c r="Z83" s="153" t="str">
        <f t="shared" si="17"/>
        <v/>
      </c>
      <c r="AA83" s="153" t="str">
        <f t="shared" ref="AA83:AA146" si="35">IFERROR(((AQ83*I83)/100),"")</f>
        <v/>
      </c>
      <c r="AB83" s="153" t="str">
        <f t="shared" si="18"/>
        <v/>
      </c>
      <c r="AC83" s="153" t="str">
        <f t="shared" ref="AC83:AC146" si="36">IFERROR((IF(T83="E7",((AS83*I83)*0.3),IF(T83="3-Rate",((AS83*I83)*0.2),IF(T83="HH 2RATE",((AS83*I83)*0.3),"")))/100),"")</f>
        <v/>
      </c>
      <c r="AD83" s="153" t="str">
        <f t="shared" ref="AD83:AD146" si="37">IFERROR((IF(T83="EW",((AT83*I83)*0.4),IF(T83="3-Rate",((AT83*I83)*0.2),""))/100),"")</f>
        <v/>
      </c>
      <c r="AE83" s="153" t="str">
        <f t="shared" ref="AE83:AE146" si="38">IF(Z83="","",IF(T83="3 Rate Half Hourly","",SUM(Z83:AD83,AW83)))</f>
        <v/>
      </c>
      <c r="AF83" s="155" t="e">
        <f>LOOKUP(2,1/(Lookups!$I$2:$I$11&lt;=E83)/(Lookups!$J$2:$J$11&gt;=E83),Lookups!$L$2:$L$11)</f>
        <v>#N/A</v>
      </c>
      <c r="AG83" s="142" t="str">
        <f t="shared" ref="AG83:AG146" si="39">Q83</f>
        <v/>
      </c>
      <c r="AH83" s="142" t="str">
        <f t="shared" ref="AH83:AH146" si="40">IF(E83&gt;W83,"",RIGHT(N83,1))</f>
        <v/>
      </c>
      <c r="AI83" s="143" t="b">
        <f t="shared" si="19"/>
        <v>0</v>
      </c>
      <c r="AJ83" s="143" t="str">
        <f t="shared" ref="AJ83:AJ146" si="41">IF($E83&lt;=$V83,"Level 1",IF($E83&lt;=$W83,"Level 2",""))</f>
        <v>Level 1</v>
      </c>
      <c r="AK83" s="142">
        <f t="shared" ref="AK83:AK146" si="42">IF($G83="SmartFIX – 1 Year","SmartFIX – 1 Year",IF($G83="SmartFIX – 2 Year","SmartFIX – 2 Year",IF($G83="SmartFIX – 3 Year","SmartFIX – 3 Year",IF($G83="SmartPAY12","SmartPAY12",IF($G83="SmartPAY24","SmartPAY24",IF($G83="SmartPAY36","SmartPAY36",IF($G83="SmartFIX – 5 Year","SmartFIX – 5 Year",IF($G83="SmartTRACKER","SmartTRACKER",IF($G83="SmartTRACKER","SmartTRACKER",)))))))))</f>
        <v>0</v>
      </c>
      <c r="AL83" s="157" t="str">
        <f t="shared" si="24"/>
        <v/>
      </c>
      <c r="AM83" s="144" t="str">
        <f t="shared" si="25"/>
        <v>--FALSE-0</v>
      </c>
      <c r="AN83" s="158" t="str">
        <f t="shared" si="20"/>
        <v/>
      </c>
      <c r="AO83" s="145"/>
      <c r="AP83" s="159" t="str">
        <f>IF($AN83=FALSE,"",IFERROR(INDEX('Flat Rates'!$A$1:$M$3880,MATCH($AM83,'Flat Rates'!$A$1:$A$3880,0),MATCH("Standing Charge",'Flat Rates'!$A$1:$M$1,0))*100,""))</f>
        <v/>
      </c>
      <c r="AQ83" s="148" t="str">
        <f>IF($AN83=FALSE,"",IFERROR((IF(NOT(T83="Unrestricted"),"",INDEX('Flat Rates'!$A$1:$M$3880,MATCH($AM83,'Flat Rates'!$A$1:$A$3880,0),MATCH("Uni/Day Rate",'Flat Rates'!$A$1:$M$1,0)))*100)+H83,""))</f>
        <v/>
      </c>
      <c r="AR83" s="148" t="str">
        <f>IF($AN83=FALSE,"",IFERROR((IF(T83="Unrestricted","",INDEX('Flat Rates'!$A$1:$M$3880,MATCH($AM83,'Flat Rates'!$A$1:$A$3880,0),MATCH("Uni/Day Rate",'Flat Rates'!$A$1:$M$1,0)))*100)+H83,""))</f>
        <v/>
      </c>
      <c r="AS83" s="148" t="str">
        <f>IF($AN83=FALSE,"",IFERROR(IF(INDEX('Flat Rates'!$A$1:$M$3880,MATCH($AM83,'Flat Rates'!$A$1:$A$3880,0),MATCH("Night Unit Rate",'Flat Rates'!$A$1:$M$1,0))=0,"",((INDEX('Flat Rates'!$A$1:$M$3880,MATCH($AM83,'Flat Rates'!$A$1:$A$3880,0),MATCH("Night Unit Rate",'Flat Rates'!$A$1:$M$1,0)))*100)+H83),""))</f>
        <v/>
      </c>
      <c r="AT83" s="148" t="str">
        <f>IF($AN83=FALSE,"",IFERROR(IF(INDEX('Flat Rates'!$A$1:$M$3880,MATCH($AM83,'Flat Rates'!$A$1:$A$3880,0),MATCH("Evening and Weekend Rate",'Flat Rates'!$A$1:$M$1,0))=0,"",((INDEX('Flat Rates'!$A$1:$M$3880,MATCH($AM83,'Flat Rates'!$A$1:$A$3880,0),MATCH("Evening and Weekend Rate",'Flat Rates'!$A$1:$M$1,0)))*100)+H83),""))</f>
        <v/>
      </c>
      <c r="AU83" s="152" t="str">
        <f t="shared" si="21"/>
        <v/>
      </c>
      <c r="AV83" s="152" t="str">
        <f t="shared" si="22"/>
        <v/>
      </c>
      <c r="AW83" s="152" t="str">
        <f t="shared" si="23"/>
        <v/>
      </c>
    </row>
    <row r="84" spans="2:49" ht="15" thickBot="1" x14ac:dyDescent="0.35">
      <c r="B84" s="138" t="str">
        <f t="shared" si="26"/>
        <v/>
      </c>
      <c r="C84" s="137"/>
      <c r="D84" s="139"/>
      <c r="E84" s="140"/>
      <c r="F84" s="140"/>
      <c r="G84" s="139"/>
      <c r="H84" s="151"/>
      <c r="I84" s="139"/>
      <c r="J84" s="137"/>
      <c r="K84" s="139"/>
      <c r="L84" s="141"/>
      <c r="M84" s="133" t="str">
        <f t="shared" si="27"/>
        <v/>
      </c>
      <c r="N84" s="133" t="str">
        <f t="shared" si="28"/>
        <v/>
      </c>
      <c r="O84" s="133" t="str">
        <f t="shared" si="29"/>
        <v/>
      </c>
      <c r="P84" s="133" t="str">
        <f t="shared" si="30"/>
        <v/>
      </c>
      <c r="Q84" s="133" t="str">
        <f t="shared" si="31"/>
        <v/>
      </c>
      <c r="R84" s="133" t="str">
        <f t="shared" si="32"/>
        <v/>
      </c>
      <c r="S84" s="133" t="str">
        <f t="shared" si="33"/>
        <v/>
      </c>
      <c r="T84" s="133" t="str">
        <f>IFERROR(IF($U84="ERROR","ERROR",IF($N84="00",IF(J84="1-Rate","HH 1RATE",IF(J84="2-Rate","HH 2RATE","")),IFERROR(VLOOKUP(CONCATENATE(N84,Q84,O84,P84),Lookups!$A$2:$E$4557,5,0),VLOOKUP(CONCATENATE(N84,Q84,O84),Lookups!$A$2:$E$4557,5,0)))),"ERROR")</f>
        <v>ERROR</v>
      </c>
      <c r="U84" s="133" t="str">
        <f>IFERROR(IF(NOT($N84="00"),"",VLOOKUP(CONCATENATE(Q84,P84,LOOKUP(2,1/(Lookups!$I$2:$I$11&lt;=E84)/(Lookups!$J$2:$J$11&gt;=Tool!$C$14),Lookups!$K$2:$K$11)),'HH LLFs'!$A$2:$K$500,3,0)),"ERROR")</f>
        <v/>
      </c>
      <c r="V84" s="132">
        <f>Calcs!$I$2</f>
        <v>44377</v>
      </c>
      <c r="W84" s="132">
        <f>Calcs!$I$4</f>
        <v>44592</v>
      </c>
      <c r="X84" s="153" t="str">
        <f>IF(NOT(N84="00"),"",(VLOOKUP(CONCATENATE(Q84,P84,LOOKUP(2,1/(Lookups!$I$2:$I$11&lt;=Multisite!E84)/(Lookups!$J$2:$J$11&gt;=E84),Lookups!$K$2:$K$11)),'HH LLFs'!$A$2:$F$282,6,0)*365)/12)</f>
        <v/>
      </c>
      <c r="Y84" s="153">
        <f t="shared" si="34"/>
        <v>0</v>
      </c>
      <c r="Z84" s="153" t="str">
        <f t="shared" ref="Z84:Z147" si="43">IFERROR(((IF(I84="3 `Rate Half Hourly","",AP84*365)/100)),"")</f>
        <v/>
      </c>
      <c r="AA84" s="153" t="str">
        <f t="shared" si="35"/>
        <v/>
      </c>
      <c r="AB84" s="153" t="str">
        <f t="shared" ref="AB84:AB147" si="44">IFERROR((IF(T84="E7",((AR84*I84)*0.7),IF(T84="EW",((AR84*I84)*0.6),IF(T84="3-Rate",((AR84*I84)*0.6),IF(T84="HH 2RATE",((AR84*I84)*0.7),IF(T84="HH 1RATE",(AR84*I84),"")))))/100),"")</f>
        <v/>
      </c>
      <c r="AC84" s="153" t="str">
        <f t="shared" si="36"/>
        <v/>
      </c>
      <c r="AD84" s="153" t="str">
        <f t="shared" si="37"/>
        <v/>
      </c>
      <c r="AE84" s="153" t="str">
        <f t="shared" si="38"/>
        <v/>
      </c>
      <c r="AF84" s="155" t="e">
        <f>LOOKUP(2,1/(Lookups!$I$2:$I$11&lt;=E84)/(Lookups!$J$2:$J$11&gt;=E84),Lookups!$L$2:$L$11)</f>
        <v>#N/A</v>
      </c>
      <c r="AG84" s="142" t="str">
        <f t="shared" si="39"/>
        <v/>
      </c>
      <c r="AH84" s="142" t="str">
        <f t="shared" si="40"/>
        <v/>
      </c>
      <c r="AI84" s="143" t="b">
        <f t="shared" ref="AI84:AI147" si="45">IF(T84="Unrestricted","U",IF(T84="E7","E7",IF(T84="EW","EW",IF(T84="3-Rate","3RATE",IF(T84="3 Rate Half Hourly","TOU",IF(T84="HH 2RATE",CONCATENATE("HH 2RATE ",U84),IF(T84="HH 1RATE",CONCATENATE("HH 1RATE ",U84))))))))</f>
        <v>0</v>
      </c>
      <c r="AJ84" s="143" t="str">
        <f t="shared" si="41"/>
        <v>Level 1</v>
      </c>
      <c r="AK84" s="142">
        <f t="shared" si="42"/>
        <v>0</v>
      </c>
      <c r="AL84" s="157" t="str">
        <f t="shared" si="24"/>
        <v/>
      </c>
      <c r="AM84" s="144" t="str">
        <f t="shared" si="25"/>
        <v>--FALSE-0</v>
      </c>
      <c r="AN84" s="158" t="str">
        <f t="shared" ref="AN84:AN147" si="46">IFERROR(CHOOSE(IF(OR(F84="Acquisition",F84="Renewal"),1,0)+IF(OR(F84="Smartpay",F84="Smartpay_Renewal"),2,0),IF(OR(ISNUMBER(SEARCH("fix",G84)),ISNUMBER(SEARCH("Tracker",G84))),TRUE,FALSE),IF(ISNUMBER(SEARCH("pay",G84)),TRUE,FALSE)),"")</f>
        <v/>
      </c>
      <c r="AO84" s="145"/>
      <c r="AP84" s="159" t="str">
        <f>IF($AN84=FALSE,"",IFERROR(INDEX('Flat Rates'!$A$1:$M$3880,MATCH($AM84,'Flat Rates'!$A$1:$A$3880,0),MATCH("Standing Charge",'Flat Rates'!$A$1:$M$1,0))*100,""))</f>
        <v/>
      </c>
      <c r="AQ84" s="148" t="str">
        <f>IF($AN84=FALSE,"",IFERROR((IF(NOT(T84="Unrestricted"),"",INDEX('Flat Rates'!$A$1:$M$3880,MATCH($AM84,'Flat Rates'!$A$1:$A$3880,0),MATCH("Uni/Day Rate",'Flat Rates'!$A$1:$M$1,0)))*100)+H84,""))</f>
        <v/>
      </c>
      <c r="AR84" s="148" t="str">
        <f>IF($AN84=FALSE,"",IFERROR((IF(T84="Unrestricted","",INDEX('Flat Rates'!$A$1:$M$3880,MATCH($AM84,'Flat Rates'!$A$1:$A$3880,0),MATCH("Uni/Day Rate",'Flat Rates'!$A$1:$M$1,0)))*100)+H84,""))</f>
        <v/>
      </c>
      <c r="AS84" s="148" t="str">
        <f>IF($AN84=FALSE,"",IFERROR(IF(INDEX('Flat Rates'!$A$1:$M$3880,MATCH($AM84,'Flat Rates'!$A$1:$A$3880,0),MATCH("Night Unit Rate",'Flat Rates'!$A$1:$M$1,0))=0,"",((INDEX('Flat Rates'!$A$1:$M$3880,MATCH($AM84,'Flat Rates'!$A$1:$A$3880,0),MATCH("Night Unit Rate",'Flat Rates'!$A$1:$M$1,0)))*100)+H84),""))</f>
        <v/>
      </c>
      <c r="AT84" s="148" t="str">
        <f>IF($AN84=FALSE,"",IFERROR(IF(INDEX('Flat Rates'!$A$1:$M$3880,MATCH($AM84,'Flat Rates'!$A$1:$A$3880,0),MATCH("Evening and Weekend Rate",'Flat Rates'!$A$1:$M$1,0))=0,"",((INDEX('Flat Rates'!$A$1:$M$3880,MATCH($AM84,'Flat Rates'!$A$1:$A$3880,0),MATCH("Evening and Weekend Rate",'Flat Rates'!$A$1:$M$1,0)))*100)+H84),""))</f>
        <v/>
      </c>
      <c r="AU84" s="152" t="str">
        <f t="shared" ref="AU84:AU147" si="47">IF($AN84=FALSE,"",IF(I84="","",AE84))</f>
        <v/>
      </c>
      <c r="AV84" s="152" t="str">
        <f t="shared" ref="AV84:AV147" si="48">IF($AN84=FALSE,"",IF(AU84="","",IF(I84&lt;12000,((AE84*1.05)/12),(((I84*AF84)+AE84)*1.2)/12)))</f>
        <v/>
      </c>
      <c r="AW84" s="152" t="str">
        <f t="shared" ref="AW84:AW147" si="49">IF($AN84=FALSE,"",IF(NOT(N84="00"),"",IFERROR(((X84/100)*Y84)*12,"")))</f>
        <v/>
      </c>
    </row>
    <row r="85" spans="2:49" ht="15" thickBot="1" x14ac:dyDescent="0.35">
      <c r="B85" s="138" t="str">
        <f t="shared" si="26"/>
        <v/>
      </c>
      <c r="C85" s="137"/>
      <c r="D85" s="139"/>
      <c r="E85" s="140"/>
      <c r="F85" s="140"/>
      <c r="G85" s="139"/>
      <c r="H85" s="151"/>
      <c r="I85" s="139"/>
      <c r="J85" s="138"/>
      <c r="K85" s="139"/>
      <c r="L85" s="141"/>
      <c r="M85" s="133" t="str">
        <f t="shared" si="27"/>
        <v/>
      </c>
      <c r="N85" s="133" t="str">
        <f t="shared" si="28"/>
        <v/>
      </c>
      <c r="O85" s="133" t="str">
        <f t="shared" si="29"/>
        <v/>
      </c>
      <c r="P85" s="133" t="str">
        <f t="shared" si="30"/>
        <v/>
      </c>
      <c r="Q85" s="133" t="str">
        <f t="shared" si="31"/>
        <v/>
      </c>
      <c r="R85" s="133" t="str">
        <f t="shared" si="32"/>
        <v/>
      </c>
      <c r="S85" s="133" t="str">
        <f t="shared" si="33"/>
        <v/>
      </c>
      <c r="T85" s="133" t="str">
        <f>IFERROR(IF($U85="ERROR","ERROR",IF($N85="00",IF(J85="1-Rate","HH 1RATE",IF(J85="2-Rate","HH 2RATE","")),IFERROR(VLOOKUP(CONCATENATE(N85,Q85,O85,P85),Lookups!$A$2:$E$4557,5,0),VLOOKUP(CONCATENATE(N85,Q85,O85),Lookups!$A$2:$E$4557,5,0)))),"ERROR")</f>
        <v>ERROR</v>
      </c>
      <c r="U85" s="133" t="str">
        <f>IFERROR(IF(NOT($N85="00"),"",VLOOKUP(CONCATENATE(Q85,P85,LOOKUP(2,1/(Lookups!$I$2:$I$11&lt;=E85)/(Lookups!$J$2:$J$11&gt;=Tool!$C$14),Lookups!$K$2:$K$11)),'HH LLFs'!$A$2:$K$500,3,0)),"ERROR")</f>
        <v/>
      </c>
      <c r="V85" s="132">
        <f>Calcs!$I$2</f>
        <v>44377</v>
      </c>
      <c r="W85" s="132">
        <f>Calcs!$I$4</f>
        <v>44592</v>
      </c>
      <c r="X85" s="153" t="str">
        <f>IF(NOT(N85="00"),"",(VLOOKUP(CONCATENATE(Q85,P85,LOOKUP(2,1/(Lookups!$I$2:$I$11&lt;=Multisite!E85)/(Lookups!$J$2:$J$11&gt;=E85),Lookups!$K$2:$K$11)),'HH LLFs'!$A$2:$F$282,6,0)*365)/12)</f>
        <v/>
      </c>
      <c r="Y85" s="153">
        <f t="shared" si="34"/>
        <v>0</v>
      </c>
      <c r="Z85" s="153" t="str">
        <f t="shared" si="43"/>
        <v/>
      </c>
      <c r="AA85" s="153" t="str">
        <f t="shared" si="35"/>
        <v/>
      </c>
      <c r="AB85" s="153" t="str">
        <f t="shared" si="44"/>
        <v/>
      </c>
      <c r="AC85" s="153" t="str">
        <f t="shared" si="36"/>
        <v/>
      </c>
      <c r="AD85" s="153" t="str">
        <f t="shared" si="37"/>
        <v/>
      </c>
      <c r="AE85" s="153" t="str">
        <f t="shared" si="38"/>
        <v/>
      </c>
      <c r="AF85" s="155" t="e">
        <f>LOOKUP(2,1/(Lookups!$I$2:$I$11&lt;=E85)/(Lookups!$J$2:$J$11&gt;=E85),Lookups!$L$2:$L$11)</f>
        <v>#N/A</v>
      </c>
      <c r="AG85" s="142" t="str">
        <f t="shared" si="39"/>
        <v/>
      </c>
      <c r="AH85" s="142" t="str">
        <f t="shared" si="40"/>
        <v/>
      </c>
      <c r="AI85" s="143" t="b">
        <f t="shared" si="45"/>
        <v>0</v>
      </c>
      <c r="AJ85" s="143" t="str">
        <f t="shared" si="41"/>
        <v>Level 1</v>
      </c>
      <c r="AK85" s="142">
        <f t="shared" si="42"/>
        <v>0</v>
      </c>
      <c r="AL85" s="157" t="str">
        <f t="shared" ref="AL85:AL148" si="50">IF(F85="Renewal"," Renewal",IF(F85="Smartpay_Renewal","_Renewal",""))</f>
        <v/>
      </c>
      <c r="AM85" s="144" t="str">
        <f t="shared" ref="AM85:AM148" si="51">IF(NOT($AI85="TOU"),CONCATENATE($AG85,"-",$AH85,"-",$AI85,"-",$AK85,$AL85,IF(AJ85="Level 2",CONCATENATE(" (",AJ85,")"),"")),CONCATENATE($AG85,"-",$AH85,"-",$AI85,"-",$AK85,$AL85,IF(AJ85="Level 2",CONCATENATE(" (",AJ85,")"),"")))</f>
        <v>--FALSE-0</v>
      </c>
      <c r="AN85" s="158" t="str">
        <f t="shared" si="46"/>
        <v/>
      </c>
      <c r="AO85" s="145"/>
      <c r="AP85" s="159" t="str">
        <f>IF($AN85=FALSE,"",IFERROR(INDEX('Flat Rates'!$A$1:$M$3880,MATCH($AM85,'Flat Rates'!$A$1:$A$3880,0),MATCH("Standing Charge",'Flat Rates'!$A$1:$M$1,0))*100,""))</f>
        <v/>
      </c>
      <c r="AQ85" s="148" t="str">
        <f>IF($AN85=FALSE,"",IFERROR((IF(NOT(T85="Unrestricted"),"",INDEX('Flat Rates'!$A$1:$M$3880,MATCH($AM85,'Flat Rates'!$A$1:$A$3880,0),MATCH("Uni/Day Rate",'Flat Rates'!$A$1:$M$1,0)))*100)+H85,""))</f>
        <v/>
      </c>
      <c r="AR85" s="148" t="str">
        <f>IF($AN85=FALSE,"",IFERROR((IF(T85="Unrestricted","",INDEX('Flat Rates'!$A$1:$M$3880,MATCH($AM85,'Flat Rates'!$A$1:$A$3880,0),MATCH("Uni/Day Rate",'Flat Rates'!$A$1:$M$1,0)))*100)+H85,""))</f>
        <v/>
      </c>
      <c r="AS85" s="148" t="str">
        <f>IF($AN85=FALSE,"",IFERROR(IF(INDEX('Flat Rates'!$A$1:$M$3880,MATCH($AM85,'Flat Rates'!$A$1:$A$3880,0),MATCH("Night Unit Rate",'Flat Rates'!$A$1:$M$1,0))=0,"",((INDEX('Flat Rates'!$A$1:$M$3880,MATCH($AM85,'Flat Rates'!$A$1:$A$3880,0),MATCH("Night Unit Rate",'Flat Rates'!$A$1:$M$1,0)))*100)+H85),""))</f>
        <v/>
      </c>
      <c r="AT85" s="148" t="str">
        <f>IF($AN85=FALSE,"",IFERROR(IF(INDEX('Flat Rates'!$A$1:$M$3880,MATCH($AM85,'Flat Rates'!$A$1:$A$3880,0),MATCH("Evening and Weekend Rate",'Flat Rates'!$A$1:$M$1,0))=0,"",((INDEX('Flat Rates'!$A$1:$M$3880,MATCH($AM85,'Flat Rates'!$A$1:$A$3880,0),MATCH("Evening and Weekend Rate",'Flat Rates'!$A$1:$M$1,0)))*100)+H85),""))</f>
        <v/>
      </c>
      <c r="AU85" s="152" t="str">
        <f t="shared" si="47"/>
        <v/>
      </c>
      <c r="AV85" s="152" t="str">
        <f t="shared" si="48"/>
        <v/>
      </c>
      <c r="AW85" s="152" t="str">
        <f t="shared" si="49"/>
        <v/>
      </c>
    </row>
    <row r="86" spans="2:49" ht="15" thickBot="1" x14ac:dyDescent="0.35">
      <c r="B86" s="138" t="str">
        <f t="shared" si="26"/>
        <v/>
      </c>
      <c r="C86" s="137"/>
      <c r="D86" s="139"/>
      <c r="E86" s="140"/>
      <c r="F86" s="140"/>
      <c r="G86" s="139"/>
      <c r="H86" s="151"/>
      <c r="I86" s="139"/>
      <c r="J86" s="137"/>
      <c r="K86" s="139"/>
      <c r="L86" s="141"/>
      <c r="M86" s="133" t="str">
        <f t="shared" si="27"/>
        <v/>
      </c>
      <c r="N86" s="133" t="str">
        <f t="shared" si="28"/>
        <v/>
      </c>
      <c r="O86" s="133" t="str">
        <f t="shared" si="29"/>
        <v/>
      </c>
      <c r="P86" s="133" t="str">
        <f t="shared" si="30"/>
        <v/>
      </c>
      <c r="Q86" s="133" t="str">
        <f t="shared" si="31"/>
        <v/>
      </c>
      <c r="R86" s="133" t="str">
        <f t="shared" si="32"/>
        <v/>
      </c>
      <c r="S86" s="133" t="str">
        <f t="shared" si="33"/>
        <v/>
      </c>
      <c r="T86" s="133" t="str">
        <f>IFERROR(IF($U86="ERROR","ERROR",IF($N86="00",IF(J86="1-Rate","HH 1RATE",IF(J86="2-Rate","HH 2RATE","")),IFERROR(VLOOKUP(CONCATENATE(N86,Q86,O86,P86),Lookups!$A$2:$E$4557,5,0),VLOOKUP(CONCATENATE(N86,Q86,O86),Lookups!$A$2:$E$4557,5,0)))),"ERROR")</f>
        <v>ERROR</v>
      </c>
      <c r="U86" s="133" t="str">
        <f>IFERROR(IF(NOT($N86="00"),"",VLOOKUP(CONCATENATE(Q86,P86,LOOKUP(2,1/(Lookups!$I$2:$I$11&lt;=E86)/(Lookups!$J$2:$J$11&gt;=Tool!$C$14),Lookups!$K$2:$K$11)),'HH LLFs'!$A$2:$K$500,3,0)),"ERROR")</f>
        <v/>
      </c>
      <c r="V86" s="132">
        <f>Calcs!$I$2</f>
        <v>44377</v>
      </c>
      <c r="W86" s="132">
        <f>Calcs!$I$4</f>
        <v>44592</v>
      </c>
      <c r="X86" s="153" t="str">
        <f>IF(NOT(N86="00"),"",(VLOOKUP(CONCATENATE(Q86,P86,LOOKUP(2,1/(Lookups!$I$2:$I$11&lt;=Multisite!E86)/(Lookups!$J$2:$J$11&gt;=E86),Lookups!$K$2:$K$11)),'HH LLFs'!$A$2:$F$282,6,0)*365)/12)</f>
        <v/>
      </c>
      <c r="Y86" s="153">
        <f t="shared" si="34"/>
        <v>0</v>
      </c>
      <c r="Z86" s="153" t="str">
        <f t="shared" si="43"/>
        <v/>
      </c>
      <c r="AA86" s="153" t="str">
        <f t="shared" si="35"/>
        <v/>
      </c>
      <c r="AB86" s="153" t="str">
        <f t="shared" si="44"/>
        <v/>
      </c>
      <c r="AC86" s="153" t="str">
        <f t="shared" si="36"/>
        <v/>
      </c>
      <c r="AD86" s="153" t="str">
        <f t="shared" si="37"/>
        <v/>
      </c>
      <c r="AE86" s="153" t="str">
        <f t="shared" si="38"/>
        <v/>
      </c>
      <c r="AF86" s="155" t="e">
        <f>LOOKUP(2,1/(Lookups!$I$2:$I$11&lt;=E86)/(Lookups!$J$2:$J$11&gt;=E86),Lookups!$L$2:$L$11)</f>
        <v>#N/A</v>
      </c>
      <c r="AG86" s="142" t="str">
        <f t="shared" si="39"/>
        <v/>
      </c>
      <c r="AH86" s="142" t="str">
        <f t="shared" si="40"/>
        <v/>
      </c>
      <c r="AI86" s="143" t="b">
        <f t="shared" si="45"/>
        <v>0</v>
      </c>
      <c r="AJ86" s="143" t="str">
        <f t="shared" si="41"/>
        <v>Level 1</v>
      </c>
      <c r="AK86" s="142">
        <f t="shared" si="42"/>
        <v>0</v>
      </c>
      <c r="AL86" s="157" t="str">
        <f t="shared" si="50"/>
        <v/>
      </c>
      <c r="AM86" s="144" t="str">
        <f t="shared" si="51"/>
        <v>--FALSE-0</v>
      </c>
      <c r="AN86" s="158" t="str">
        <f t="shared" si="46"/>
        <v/>
      </c>
      <c r="AO86" s="145"/>
      <c r="AP86" s="159" t="str">
        <f>IF($AN86=FALSE,"",IFERROR(INDEX('Flat Rates'!$A$1:$M$3880,MATCH($AM86,'Flat Rates'!$A$1:$A$3880,0),MATCH("Standing Charge",'Flat Rates'!$A$1:$M$1,0))*100,""))</f>
        <v/>
      </c>
      <c r="AQ86" s="148" t="str">
        <f>IF($AN86=FALSE,"",IFERROR((IF(NOT(T86="Unrestricted"),"",INDEX('Flat Rates'!$A$1:$M$3880,MATCH($AM86,'Flat Rates'!$A$1:$A$3880,0),MATCH("Uni/Day Rate",'Flat Rates'!$A$1:$M$1,0)))*100)+H86,""))</f>
        <v/>
      </c>
      <c r="AR86" s="148" t="str">
        <f>IF($AN86=FALSE,"",IFERROR((IF(T86="Unrestricted","",INDEX('Flat Rates'!$A$1:$M$3880,MATCH($AM86,'Flat Rates'!$A$1:$A$3880,0),MATCH("Uni/Day Rate",'Flat Rates'!$A$1:$M$1,0)))*100)+H86,""))</f>
        <v/>
      </c>
      <c r="AS86" s="148" t="str">
        <f>IF($AN86=FALSE,"",IFERROR(IF(INDEX('Flat Rates'!$A$1:$M$3880,MATCH($AM86,'Flat Rates'!$A$1:$A$3880,0),MATCH("Night Unit Rate",'Flat Rates'!$A$1:$M$1,0))=0,"",((INDEX('Flat Rates'!$A$1:$M$3880,MATCH($AM86,'Flat Rates'!$A$1:$A$3880,0),MATCH("Night Unit Rate",'Flat Rates'!$A$1:$M$1,0)))*100)+H86),""))</f>
        <v/>
      </c>
      <c r="AT86" s="148" t="str">
        <f>IF($AN86=FALSE,"",IFERROR(IF(INDEX('Flat Rates'!$A$1:$M$3880,MATCH($AM86,'Flat Rates'!$A$1:$A$3880,0),MATCH("Evening and Weekend Rate",'Flat Rates'!$A$1:$M$1,0))=0,"",((INDEX('Flat Rates'!$A$1:$M$3880,MATCH($AM86,'Flat Rates'!$A$1:$A$3880,0),MATCH("Evening and Weekend Rate",'Flat Rates'!$A$1:$M$1,0)))*100)+H86),""))</f>
        <v/>
      </c>
      <c r="AU86" s="152" t="str">
        <f t="shared" si="47"/>
        <v/>
      </c>
      <c r="AV86" s="152" t="str">
        <f t="shared" si="48"/>
        <v/>
      </c>
      <c r="AW86" s="152" t="str">
        <f t="shared" si="49"/>
        <v/>
      </c>
    </row>
    <row r="87" spans="2:49" ht="15" thickBot="1" x14ac:dyDescent="0.35">
      <c r="B87" s="138" t="str">
        <f t="shared" si="26"/>
        <v/>
      </c>
      <c r="C87" s="137"/>
      <c r="D87" s="139"/>
      <c r="E87" s="140"/>
      <c r="F87" s="140"/>
      <c r="G87" s="139"/>
      <c r="H87" s="151"/>
      <c r="I87" s="139"/>
      <c r="J87" s="138"/>
      <c r="K87" s="139"/>
      <c r="L87" s="141"/>
      <c r="M87" s="133" t="str">
        <f t="shared" si="27"/>
        <v/>
      </c>
      <c r="N87" s="133" t="str">
        <f t="shared" si="28"/>
        <v/>
      </c>
      <c r="O87" s="133" t="str">
        <f t="shared" si="29"/>
        <v/>
      </c>
      <c r="P87" s="133" t="str">
        <f t="shared" si="30"/>
        <v/>
      </c>
      <c r="Q87" s="133" t="str">
        <f t="shared" si="31"/>
        <v/>
      </c>
      <c r="R87" s="133" t="str">
        <f t="shared" si="32"/>
        <v/>
      </c>
      <c r="S87" s="133" t="str">
        <f t="shared" si="33"/>
        <v/>
      </c>
      <c r="T87" s="133" t="str">
        <f>IFERROR(IF($U87="ERROR","ERROR",IF($N87="00",IF(J87="1-Rate","HH 1RATE",IF(J87="2-Rate","HH 2RATE","")),IFERROR(VLOOKUP(CONCATENATE(N87,Q87,O87,P87),Lookups!$A$2:$E$4557,5,0),VLOOKUP(CONCATENATE(N87,Q87,O87),Lookups!$A$2:$E$4557,5,0)))),"ERROR")</f>
        <v>ERROR</v>
      </c>
      <c r="U87" s="133" t="str">
        <f>IFERROR(IF(NOT($N87="00"),"",VLOOKUP(CONCATENATE(Q87,P87,LOOKUP(2,1/(Lookups!$I$2:$I$11&lt;=E87)/(Lookups!$J$2:$J$11&gt;=Tool!$C$14),Lookups!$K$2:$K$11)),'HH LLFs'!$A$2:$K$500,3,0)),"ERROR")</f>
        <v/>
      </c>
      <c r="V87" s="132">
        <f>Calcs!$I$2</f>
        <v>44377</v>
      </c>
      <c r="W87" s="132">
        <f>Calcs!$I$4</f>
        <v>44592</v>
      </c>
      <c r="X87" s="153" t="str">
        <f>IF(NOT(N87="00"),"",(VLOOKUP(CONCATENATE(Q87,P87,LOOKUP(2,1/(Lookups!$I$2:$I$11&lt;=Multisite!E87)/(Lookups!$J$2:$J$11&gt;=E87),Lookups!$K$2:$K$11)),'HH LLFs'!$A$2:$F$282,6,0)*365)/12)</f>
        <v/>
      </c>
      <c r="Y87" s="153">
        <f t="shared" si="34"/>
        <v>0</v>
      </c>
      <c r="Z87" s="153" t="str">
        <f t="shared" si="43"/>
        <v/>
      </c>
      <c r="AA87" s="153" t="str">
        <f t="shared" si="35"/>
        <v/>
      </c>
      <c r="AB87" s="153" t="str">
        <f t="shared" si="44"/>
        <v/>
      </c>
      <c r="AC87" s="153" t="str">
        <f t="shared" si="36"/>
        <v/>
      </c>
      <c r="AD87" s="153" t="str">
        <f t="shared" si="37"/>
        <v/>
      </c>
      <c r="AE87" s="153" t="str">
        <f t="shared" si="38"/>
        <v/>
      </c>
      <c r="AF87" s="155" t="e">
        <f>LOOKUP(2,1/(Lookups!$I$2:$I$11&lt;=E87)/(Lookups!$J$2:$J$11&gt;=E87),Lookups!$L$2:$L$11)</f>
        <v>#N/A</v>
      </c>
      <c r="AG87" s="142" t="str">
        <f t="shared" si="39"/>
        <v/>
      </c>
      <c r="AH87" s="142" t="str">
        <f t="shared" si="40"/>
        <v/>
      </c>
      <c r="AI87" s="143" t="b">
        <f t="shared" si="45"/>
        <v>0</v>
      </c>
      <c r="AJ87" s="143" t="str">
        <f t="shared" si="41"/>
        <v>Level 1</v>
      </c>
      <c r="AK87" s="142">
        <f t="shared" si="42"/>
        <v>0</v>
      </c>
      <c r="AL87" s="157" t="str">
        <f t="shared" si="50"/>
        <v/>
      </c>
      <c r="AM87" s="144" t="str">
        <f t="shared" si="51"/>
        <v>--FALSE-0</v>
      </c>
      <c r="AN87" s="158" t="str">
        <f t="shared" si="46"/>
        <v/>
      </c>
      <c r="AO87" s="145"/>
      <c r="AP87" s="159" t="str">
        <f>IF($AN87=FALSE,"",IFERROR(INDEX('Flat Rates'!$A$1:$M$3880,MATCH($AM87,'Flat Rates'!$A$1:$A$3880,0),MATCH("Standing Charge",'Flat Rates'!$A$1:$M$1,0))*100,""))</f>
        <v/>
      </c>
      <c r="AQ87" s="148" t="str">
        <f>IF($AN87=FALSE,"",IFERROR((IF(NOT(T87="Unrestricted"),"",INDEX('Flat Rates'!$A$1:$M$3880,MATCH($AM87,'Flat Rates'!$A$1:$A$3880,0),MATCH("Uni/Day Rate",'Flat Rates'!$A$1:$M$1,0)))*100)+H87,""))</f>
        <v/>
      </c>
      <c r="AR87" s="148" t="str">
        <f>IF($AN87=FALSE,"",IFERROR((IF(T87="Unrestricted","",INDEX('Flat Rates'!$A$1:$M$3880,MATCH($AM87,'Flat Rates'!$A$1:$A$3880,0),MATCH("Uni/Day Rate",'Flat Rates'!$A$1:$M$1,0)))*100)+H87,""))</f>
        <v/>
      </c>
      <c r="AS87" s="148" t="str">
        <f>IF($AN87=FALSE,"",IFERROR(IF(INDEX('Flat Rates'!$A$1:$M$3880,MATCH($AM87,'Flat Rates'!$A$1:$A$3880,0),MATCH("Night Unit Rate",'Flat Rates'!$A$1:$M$1,0))=0,"",((INDEX('Flat Rates'!$A$1:$M$3880,MATCH($AM87,'Flat Rates'!$A$1:$A$3880,0),MATCH("Night Unit Rate",'Flat Rates'!$A$1:$M$1,0)))*100)+H87),""))</f>
        <v/>
      </c>
      <c r="AT87" s="148" t="str">
        <f>IF($AN87=FALSE,"",IFERROR(IF(INDEX('Flat Rates'!$A$1:$M$3880,MATCH($AM87,'Flat Rates'!$A$1:$A$3880,0),MATCH("Evening and Weekend Rate",'Flat Rates'!$A$1:$M$1,0))=0,"",((INDEX('Flat Rates'!$A$1:$M$3880,MATCH($AM87,'Flat Rates'!$A$1:$A$3880,0),MATCH("Evening and Weekend Rate",'Flat Rates'!$A$1:$M$1,0)))*100)+H87),""))</f>
        <v/>
      </c>
      <c r="AU87" s="152" t="str">
        <f t="shared" si="47"/>
        <v/>
      </c>
      <c r="AV87" s="152" t="str">
        <f t="shared" si="48"/>
        <v/>
      </c>
      <c r="AW87" s="152" t="str">
        <f t="shared" si="49"/>
        <v/>
      </c>
    </row>
    <row r="88" spans="2:49" ht="15" thickBot="1" x14ac:dyDescent="0.35">
      <c r="B88" s="138" t="str">
        <f t="shared" si="26"/>
        <v/>
      </c>
      <c r="C88" s="137"/>
      <c r="D88" s="139"/>
      <c r="E88" s="140"/>
      <c r="F88" s="140"/>
      <c r="G88" s="139"/>
      <c r="H88" s="151"/>
      <c r="I88" s="139"/>
      <c r="J88" s="137"/>
      <c r="K88" s="139"/>
      <c r="L88" s="141"/>
      <c r="M88" s="133" t="str">
        <f t="shared" si="27"/>
        <v/>
      </c>
      <c r="N88" s="133" t="str">
        <f t="shared" si="28"/>
        <v/>
      </c>
      <c r="O88" s="133" t="str">
        <f t="shared" si="29"/>
        <v/>
      </c>
      <c r="P88" s="133" t="str">
        <f t="shared" si="30"/>
        <v/>
      </c>
      <c r="Q88" s="133" t="str">
        <f t="shared" si="31"/>
        <v/>
      </c>
      <c r="R88" s="133" t="str">
        <f t="shared" si="32"/>
        <v/>
      </c>
      <c r="S88" s="133" t="str">
        <f t="shared" si="33"/>
        <v/>
      </c>
      <c r="T88" s="133" t="str">
        <f>IFERROR(IF($U88="ERROR","ERROR",IF($N88="00",IF(J88="1-Rate","HH 1RATE",IF(J88="2-Rate","HH 2RATE","")),IFERROR(VLOOKUP(CONCATENATE(N88,Q88,O88,P88),Lookups!$A$2:$E$4557,5,0),VLOOKUP(CONCATENATE(N88,Q88,O88),Lookups!$A$2:$E$4557,5,0)))),"ERROR")</f>
        <v>ERROR</v>
      </c>
      <c r="U88" s="133" t="str">
        <f>IFERROR(IF(NOT($N88="00"),"",VLOOKUP(CONCATENATE(Q88,P88,LOOKUP(2,1/(Lookups!$I$2:$I$11&lt;=E88)/(Lookups!$J$2:$J$11&gt;=Tool!$C$14),Lookups!$K$2:$K$11)),'HH LLFs'!$A$2:$K$500,3,0)),"ERROR")</f>
        <v/>
      </c>
      <c r="V88" s="132">
        <f>Calcs!$I$2</f>
        <v>44377</v>
      </c>
      <c r="W88" s="132">
        <f>Calcs!$I$4</f>
        <v>44592</v>
      </c>
      <c r="X88" s="153" t="str">
        <f>IF(NOT(N88="00"),"",(VLOOKUP(CONCATENATE(Q88,P88,LOOKUP(2,1/(Lookups!$I$2:$I$11&lt;=Multisite!E88)/(Lookups!$J$2:$J$11&gt;=E88),Lookups!$K$2:$K$11)),'HH LLFs'!$A$2:$F$282,6,0)*365)/12)</f>
        <v/>
      </c>
      <c r="Y88" s="153">
        <f t="shared" si="34"/>
        <v>0</v>
      </c>
      <c r="Z88" s="153" t="str">
        <f t="shared" si="43"/>
        <v/>
      </c>
      <c r="AA88" s="153" t="str">
        <f t="shared" si="35"/>
        <v/>
      </c>
      <c r="AB88" s="153" t="str">
        <f t="shared" si="44"/>
        <v/>
      </c>
      <c r="AC88" s="153" t="str">
        <f t="shared" si="36"/>
        <v/>
      </c>
      <c r="AD88" s="153" t="str">
        <f t="shared" si="37"/>
        <v/>
      </c>
      <c r="AE88" s="153" t="str">
        <f t="shared" si="38"/>
        <v/>
      </c>
      <c r="AF88" s="155" t="e">
        <f>LOOKUP(2,1/(Lookups!$I$2:$I$11&lt;=E88)/(Lookups!$J$2:$J$11&gt;=E88),Lookups!$L$2:$L$11)</f>
        <v>#N/A</v>
      </c>
      <c r="AG88" s="142" t="str">
        <f t="shared" si="39"/>
        <v/>
      </c>
      <c r="AH88" s="142" t="str">
        <f t="shared" si="40"/>
        <v/>
      </c>
      <c r="AI88" s="143" t="b">
        <f t="shared" si="45"/>
        <v>0</v>
      </c>
      <c r="AJ88" s="143" t="str">
        <f t="shared" si="41"/>
        <v>Level 1</v>
      </c>
      <c r="AK88" s="142">
        <f t="shared" si="42"/>
        <v>0</v>
      </c>
      <c r="AL88" s="157" t="str">
        <f t="shared" si="50"/>
        <v/>
      </c>
      <c r="AM88" s="144" t="str">
        <f t="shared" si="51"/>
        <v>--FALSE-0</v>
      </c>
      <c r="AN88" s="158" t="str">
        <f t="shared" si="46"/>
        <v/>
      </c>
      <c r="AO88" s="145"/>
      <c r="AP88" s="159" t="str">
        <f>IF($AN88=FALSE,"",IFERROR(INDEX('Flat Rates'!$A$1:$M$3880,MATCH($AM88,'Flat Rates'!$A$1:$A$3880,0),MATCH("Standing Charge",'Flat Rates'!$A$1:$M$1,0))*100,""))</f>
        <v/>
      </c>
      <c r="AQ88" s="148" t="str">
        <f>IF($AN88=FALSE,"",IFERROR((IF(NOT(T88="Unrestricted"),"",INDEX('Flat Rates'!$A$1:$M$3880,MATCH($AM88,'Flat Rates'!$A$1:$A$3880,0),MATCH("Uni/Day Rate",'Flat Rates'!$A$1:$M$1,0)))*100)+H88,""))</f>
        <v/>
      </c>
      <c r="AR88" s="148" t="str">
        <f>IF($AN88=FALSE,"",IFERROR((IF(T88="Unrestricted","",INDEX('Flat Rates'!$A$1:$M$3880,MATCH($AM88,'Flat Rates'!$A$1:$A$3880,0),MATCH("Uni/Day Rate",'Flat Rates'!$A$1:$M$1,0)))*100)+H88,""))</f>
        <v/>
      </c>
      <c r="AS88" s="148" t="str">
        <f>IF($AN88=FALSE,"",IFERROR(IF(INDEX('Flat Rates'!$A$1:$M$3880,MATCH($AM88,'Flat Rates'!$A$1:$A$3880,0),MATCH("Night Unit Rate",'Flat Rates'!$A$1:$M$1,0))=0,"",((INDEX('Flat Rates'!$A$1:$M$3880,MATCH($AM88,'Flat Rates'!$A$1:$A$3880,0),MATCH("Night Unit Rate",'Flat Rates'!$A$1:$M$1,0)))*100)+H88),""))</f>
        <v/>
      </c>
      <c r="AT88" s="148" t="str">
        <f>IF($AN88=FALSE,"",IFERROR(IF(INDEX('Flat Rates'!$A$1:$M$3880,MATCH($AM88,'Flat Rates'!$A$1:$A$3880,0),MATCH("Evening and Weekend Rate",'Flat Rates'!$A$1:$M$1,0))=0,"",((INDEX('Flat Rates'!$A$1:$M$3880,MATCH($AM88,'Flat Rates'!$A$1:$A$3880,0),MATCH("Evening and Weekend Rate",'Flat Rates'!$A$1:$M$1,0)))*100)+H88),""))</f>
        <v/>
      </c>
      <c r="AU88" s="152" t="str">
        <f t="shared" si="47"/>
        <v/>
      </c>
      <c r="AV88" s="152" t="str">
        <f t="shared" si="48"/>
        <v/>
      </c>
      <c r="AW88" s="152" t="str">
        <f t="shared" si="49"/>
        <v/>
      </c>
    </row>
    <row r="89" spans="2:49" ht="15" thickBot="1" x14ac:dyDescent="0.35">
      <c r="B89" s="138" t="str">
        <f t="shared" si="26"/>
        <v/>
      </c>
      <c r="C89" s="137"/>
      <c r="D89" s="139"/>
      <c r="E89" s="140"/>
      <c r="F89" s="140"/>
      <c r="G89" s="139"/>
      <c r="H89" s="151"/>
      <c r="I89" s="139"/>
      <c r="J89" s="138"/>
      <c r="K89" s="139"/>
      <c r="L89" s="141"/>
      <c r="M89" s="133" t="str">
        <f t="shared" si="27"/>
        <v/>
      </c>
      <c r="N89" s="133" t="str">
        <f t="shared" si="28"/>
        <v/>
      </c>
      <c r="O89" s="133" t="str">
        <f t="shared" si="29"/>
        <v/>
      </c>
      <c r="P89" s="133" t="str">
        <f t="shared" si="30"/>
        <v/>
      </c>
      <c r="Q89" s="133" t="str">
        <f t="shared" si="31"/>
        <v/>
      </c>
      <c r="R89" s="133" t="str">
        <f t="shared" si="32"/>
        <v/>
      </c>
      <c r="S89" s="133" t="str">
        <f t="shared" si="33"/>
        <v/>
      </c>
      <c r="T89" s="133" t="str">
        <f>IFERROR(IF($U89="ERROR","ERROR",IF($N89="00",IF(J89="1-Rate","HH 1RATE",IF(J89="2-Rate","HH 2RATE","")),IFERROR(VLOOKUP(CONCATENATE(N89,Q89,O89,P89),Lookups!$A$2:$E$4557,5,0),VLOOKUP(CONCATENATE(N89,Q89,O89),Lookups!$A$2:$E$4557,5,0)))),"ERROR")</f>
        <v>ERROR</v>
      </c>
      <c r="U89" s="133" t="str">
        <f>IFERROR(IF(NOT($N89="00"),"",VLOOKUP(CONCATENATE(Q89,P89,LOOKUP(2,1/(Lookups!$I$2:$I$11&lt;=E89)/(Lookups!$J$2:$J$11&gt;=Tool!$C$14),Lookups!$K$2:$K$11)),'HH LLFs'!$A$2:$K$500,3,0)),"ERROR")</f>
        <v/>
      </c>
      <c r="V89" s="132">
        <f>Calcs!$I$2</f>
        <v>44377</v>
      </c>
      <c r="W89" s="132">
        <f>Calcs!$I$4</f>
        <v>44592</v>
      </c>
      <c r="X89" s="153" t="str">
        <f>IF(NOT(N89="00"),"",(VLOOKUP(CONCATENATE(Q89,P89,LOOKUP(2,1/(Lookups!$I$2:$I$11&lt;=Multisite!E89)/(Lookups!$J$2:$J$11&gt;=E89),Lookups!$K$2:$K$11)),'HH LLFs'!$A$2:$F$282,6,0)*365)/12)</f>
        <v/>
      </c>
      <c r="Y89" s="153">
        <f t="shared" si="34"/>
        <v>0</v>
      </c>
      <c r="Z89" s="153" t="str">
        <f t="shared" si="43"/>
        <v/>
      </c>
      <c r="AA89" s="153" t="str">
        <f t="shared" si="35"/>
        <v/>
      </c>
      <c r="AB89" s="153" t="str">
        <f t="shared" si="44"/>
        <v/>
      </c>
      <c r="AC89" s="153" t="str">
        <f t="shared" si="36"/>
        <v/>
      </c>
      <c r="AD89" s="153" t="str">
        <f t="shared" si="37"/>
        <v/>
      </c>
      <c r="AE89" s="153" t="str">
        <f t="shared" si="38"/>
        <v/>
      </c>
      <c r="AF89" s="155" t="e">
        <f>LOOKUP(2,1/(Lookups!$I$2:$I$11&lt;=E89)/(Lookups!$J$2:$J$11&gt;=E89),Lookups!$L$2:$L$11)</f>
        <v>#N/A</v>
      </c>
      <c r="AG89" s="142" t="str">
        <f t="shared" si="39"/>
        <v/>
      </c>
      <c r="AH89" s="142" t="str">
        <f t="shared" si="40"/>
        <v/>
      </c>
      <c r="AI89" s="143" t="b">
        <f t="shared" si="45"/>
        <v>0</v>
      </c>
      <c r="AJ89" s="143" t="str">
        <f t="shared" si="41"/>
        <v>Level 1</v>
      </c>
      <c r="AK89" s="142">
        <f t="shared" si="42"/>
        <v>0</v>
      </c>
      <c r="AL89" s="157" t="str">
        <f t="shared" si="50"/>
        <v/>
      </c>
      <c r="AM89" s="144" t="str">
        <f t="shared" si="51"/>
        <v>--FALSE-0</v>
      </c>
      <c r="AN89" s="158" t="str">
        <f t="shared" si="46"/>
        <v/>
      </c>
      <c r="AO89" s="145"/>
      <c r="AP89" s="159" t="str">
        <f>IF($AN89=FALSE,"",IFERROR(INDEX('Flat Rates'!$A$1:$M$3880,MATCH($AM89,'Flat Rates'!$A$1:$A$3880,0),MATCH("Standing Charge",'Flat Rates'!$A$1:$M$1,0))*100,""))</f>
        <v/>
      </c>
      <c r="AQ89" s="148" t="str">
        <f>IF($AN89=FALSE,"",IFERROR((IF(NOT(T89="Unrestricted"),"",INDEX('Flat Rates'!$A$1:$M$3880,MATCH($AM89,'Flat Rates'!$A$1:$A$3880,0),MATCH("Uni/Day Rate",'Flat Rates'!$A$1:$M$1,0)))*100)+H89,""))</f>
        <v/>
      </c>
      <c r="AR89" s="148" t="str">
        <f>IF($AN89=FALSE,"",IFERROR((IF(T89="Unrestricted","",INDEX('Flat Rates'!$A$1:$M$3880,MATCH($AM89,'Flat Rates'!$A$1:$A$3880,0),MATCH("Uni/Day Rate",'Flat Rates'!$A$1:$M$1,0)))*100)+H89,""))</f>
        <v/>
      </c>
      <c r="AS89" s="148" t="str">
        <f>IF($AN89=FALSE,"",IFERROR(IF(INDEX('Flat Rates'!$A$1:$M$3880,MATCH($AM89,'Flat Rates'!$A$1:$A$3880,0),MATCH("Night Unit Rate",'Flat Rates'!$A$1:$M$1,0))=0,"",((INDEX('Flat Rates'!$A$1:$M$3880,MATCH($AM89,'Flat Rates'!$A$1:$A$3880,0),MATCH("Night Unit Rate",'Flat Rates'!$A$1:$M$1,0)))*100)+H89),""))</f>
        <v/>
      </c>
      <c r="AT89" s="148" t="str">
        <f>IF($AN89=FALSE,"",IFERROR(IF(INDEX('Flat Rates'!$A$1:$M$3880,MATCH($AM89,'Flat Rates'!$A$1:$A$3880,0),MATCH("Evening and Weekend Rate",'Flat Rates'!$A$1:$M$1,0))=0,"",((INDEX('Flat Rates'!$A$1:$M$3880,MATCH($AM89,'Flat Rates'!$A$1:$A$3880,0),MATCH("Evening and Weekend Rate",'Flat Rates'!$A$1:$M$1,0)))*100)+H89),""))</f>
        <v/>
      </c>
      <c r="AU89" s="152" t="str">
        <f t="shared" si="47"/>
        <v/>
      </c>
      <c r="AV89" s="152" t="str">
        <f t="shared" si="48"/>
        <v/>
      </c>
      <c r="AW89" s="152" t="str">
        <f t="shared" si="49"/>
        <v/>
      </c>
    </row>
    <row r="90" spans="2:49" ht="15" thickBot="1" x14ac:dyDescent="0.35">
      <c r="B90" s="138" t="str">
        <f t="shared" si="26"/>
        <v/>
      </c>
      <c r="C90" s="137"/>
      <c r="D90" s="139"/>
      <c r="E90" s="140"/>
      <c r="F90" s="140"/>
      <c r="G90" s="139"/>
      <c r="H90" s="151"/>
      <c r="I90" s="139"/>
      <c r="J90" s="137"/>
      <c r="K90" s="139"/>
      <c r="L90" s="141"/>
      <c r="M90" s="133" t="str">
        <f t="shared" si="27"/>
        <v/>
      </c>
      <c r="N90" s="133" t="str">
        <f t="shared" si="28"/>
        <v/>
      </c>
      <c r="O90" s="133" t="str">
        <f t="shared" si="29"/>
        <v/>
      </c>
      <c r="P90" s="133" t="str">
        <f t="shared" si="30"/>
        <v/>
      </c>
      <c r="Q90" s="133" t="str">
        <f t="shared" si="31"/>
        <v/>
      </c>
      <c r="R90" s="133" t="str">
        <f t="shared" si="32"/>
        <v/>
      </c>
      <c r="S90" s="133" t="str">
        <f t="shared" si="33"/>
        <v/>
      </c>
      <c r="T90" s="133" t="str">
        <f>IFERROR(IF($U90="ERROR","ERROR",IF($N90="00",IF(J90="1-Rate","HH 1RATE",IF(J90="2-Rate","HH 2RATE","")),IFERROR(VLOOKUP(CONCATENATE(N90,Q90,O90,P90),Lookups!$A$2:$E$4557,5,0),VLOOKUP(CONCATENATE(N90,Q90,O90),Lookups!$A$2:$E$4557,5,0)))),"ERROR")</f>
        <v>ERROR</v>
      </c>
      <c r="U90" s="133" t="str">
        <f>IFERROR(IF(NOT($N90="00"),"",VLOOKUP(CONCATENATE(Q90,P90,LOOKUP(2,1/(Lookups!$I$2:$I$11&lt;=E90)/(Lookups!$J$2:$J$11&gt;=Tool!$C$14),Lookups!$K$2:$K$11)),'HH LLFs'!$A$2:$K$500,3,0)),"ERROR")</f>
        <v/>
      </c>
      <c r="V90" s="132">
        <f>Calcs!$I$2</f>
        <v>44377</v>
      </c>
      <c r="W90" s="132">
        <f>Calcs!$I$4</f>
        <v>44592</v>
      </c>
      <c r="X90" s="153" t="str">
        <f>IF(NOT(N90="00"),"",(VLOOKUP(CONCATENATE(Q90,P90,LOOKUP(2,1/(Lookups!$I$2:$I$11&lt;=Multisite!E90)/(Lookups!$J$2:$J$11&gt;=E90),Lookups!$K$2:$K$11)),'HH LLFs'!$A$2:$F$282,6,0)*365)/12)</f>
        <v/>
      </c>
      <c r="Y90" s="153">
        <f t="shared" si="34"/>
        <v>0</v>
      </c>
      <c r="Z90" s="153" t="str">
        <f t="shared" si="43"/>
        <v/>
      </c>
      <c r="AA90" s="153" t="str">
        <f t="shared" si="35"/>
        <v/>
      </c>
      <c r="AB90" s="153" t="str">
        <f t="shared" si="44"/>
        <v/>
      </c>
      <c r="AC90" s="153" t="str">
        <f t="shared" si="36"/>
        <v/>
      </c>
      <c r="AD90" s="153" t="str">
        <f t="shared" si="37"/>
        <v/>
      </c>
      <c r="AE90" s="153" t="str">
        <f t="shared" si="38"/>
        <v/>
      </c>
      <c r="AF90" s="155" t="e">
        <f>LOOKUP(2,1/(Lookups!$I$2:$I$11&lt;=E90)/(Lookups!$J$2:$J$11&gt;=E90),Lookups!$L$2:$L$11)</f>
        <v>#N/A</v>
      </c>
      <c r="AG90" s="142" t="str">
        <f t="shared" si="39"/>
        <v/>
      </c>
      <c r="AH90" s="142" t="str">
        <f t="shared" si="40"/>
        <v/>
      </c>
      <c r="AI90" s="143" t="b">
        <f t="shared" si="45"/>
        <v>0</v>
      </c>
      <c r="AJ90" s="143" t="str">
        <f t="shared" si="41"/>
        <v>Level 1</v>
      </c>
      <c r="AK90" s="142">
        <f t="shared" si="42"/>
        <v>0</v>
      </c>
      <c r="AL90" s="157" t="str">
        <f t="shared" si="50"/>
        <v/>
      </c>
      <c r="AM90" s="144" t="str">
        <f t="shared" si="51"/>
        <v>--FALSE-0</v>
      </c>
      <c r="AN90" s="158" t="str">
        <f t="shared" si="46"/>
        <v/>
      </c>
      <c r="AO90" s="145"/>
      <c r="AP90" s="159" t="str">
        <f>IF($AN90=FALSE,"",IFERROR(INDEX('Flat Rates'!$A$1:$M$3880,MATCH($AM90,'Flat Rates'!$A$1:$A$3880,0),MATCH("Standing Charge",'Flat Rates'!$A$1:$M$1,0))*100,""))</f>
        <v/>
      </c>
      <c r="AQ90" s="148" t="str">
        <f>IF($AN90=FALSE,"",IFERROR((IF(NOT(T90="Unrestricted"),"",INDEX('Flat Rates'!$A$1:$M$3880,MATCH($AM90,'Flat Rates'!$A$1:$A$3880,0),MATCH("Uni/Day Rate",'Flat Rates'!$A$1:$M$1,0)))*100)+H90,""))</f>
        <v/>
      </c>
      <c r="AR90" s="148" t="str">
        <f>IF($AN90=FALSE,"",IFERROR((IF(T90="Unrestricted","",INDEX('Flat Rates'!$A$1:$M$3880,MATCH($AM90,'Flat Rates'!$A$1:$A$3880,0),MATCH("Uni/Day Rate",'Flat Rates'!$A$1:$M$1,0)))*100)+H90,""))</f>
        <v/>
      </c>
      <c r="AS90" s="148" t="str">
        <f>IF($AN90=FALSE,"",IFERROR(IF(INDEX('Flat Rates'!$A$1:$M$3880,MATCH($AM90,'Flat Rates'!$A$1:$A$3880,0),MATCH("Night Unit Rate",'Flat Rates'!$A$1:$M$1,0))=0,"",((INDEX('Flat Rates'!$A$1:$M$3880,MATCH($AM90,'Flat Rates'!$A$1:$A$3880,0),MATCH("Night Unit Rate",'Flat Rates'!$A$1:$M$1,0)))*100)+H90),""))</f>
        <v/>
      </c>
      <c r="AT90" s="148" t="str">
        <f>IF($AN90=FALSE,"",IFERROR(IF(INDEX('Flat Rates'!$A$1:$M$3880,MATCH($AM90,'Flat Rates'!$A$1:$A$3880,0),MATCH("Evening and Weekend Rate",'Flat Rates'!$A$1:$M$1,0))=0,"",((INDEX('Flat Rates'!$A$1:$M$3880,MATCH($AM90,'Flat Rates'!$A$1:$A$3880,0),MATCH("Evening and Weekend Rate",'Flat Rates'!$A$1:$M$1,0)))*100)+H90),""))</f>
        <v/>
      </c>
      <c r="AU90" s="152" t="str">
        <f t="shared" si="47"/>
        <v/>
      </c>
      <c r="AV90" s="152" t="str">
        <f t="shared" si="48"/>
        <v/>
      </c>
      <c r="AW90" s="152" t="str">
        <f t="shared" si="49"/>
        <v/>
      </c>
    </row>
    <row r="91" spans="2:49" ht="15" thickBot="1" x14ac:dyDescent="0.35">
      <c r="B91" s="138" t="str">
        <f t="shared" si="26"/>
        <v/>
      </c>
      <c r="C91" s="137"/>
      <c r="D91" s="139"/>
      <c r="E91" s="140"/>
      <c r="F91" s="140"/>
      <c r="G91" s="139"/>
      <c r="H91" s="151"/>
      <c r="I91" s="139"/>
      <c r="J91" s="138"/>
      <c r="K91" s="139"/>
      <c r="L91" s="141"/>
      <c r="M91" s="133" t="str">
        <f t="shared" si="27"/>
        <v/>
      </c>
      <c r="N91" s="133" t="str">
        <f t="shared" si="28"/>
        <v/>
      </c>
      <c r="O91" s="133" t="str">
        <f t="shared" si="29"/>
        <v/>
      </c>
      <c r="P91" s="133" t="str">
        <f t="shared" si="30"/>
        <v/>
      </c>
      <c r="Q91" s="133" t="str">
        <f t="shared" si="31"/>
        <v/>
      </c>
      <c r="R91" s="133" t="str">
        <f t="shared" si="32"/>
        <v/>
      </c>
      <c r="S91" s="133" t="str">
        <f t="shared" si="33"/>
        <v/>
      </c>
      <c r="T91" s="133" t="str">
        <f>IFERROR(IF($U91="ERROR","ERROR",IF($N91="00",IF(J91="1-Rate","HH 1RATE",IF(J91="2-Rate","HH 2RATE","")),IFERROR(VLOOKUP(CONCATENATE(N91,Q91,O91,P91),Lookups!$A$2:$E$4557,5,0),VLOOKUP(CONCATENATE(N91,Q91,O91),Lookups!$A$2:$E$4557,5,0)))),"ERROR")</f>
        <v>ERROR</v>
      </c>
      <c r="U91" s="133" t="str">
        <f>IFERROR(IF(NOT($N91="00"),"",VLOOKUP(CONCATENATE(Q91,P91,LOOKUP(2,1/(Lookups!$I$2:$I$11&lt;=E91)/(Lookups!$J$2:$J$11&gt;=Tool!$C$14),Lookups!$K$2:$K$11)),'HH LLFs'!$A$2:$K$500,3,0)),"ERROR")</f>
        <v/>
      </c>
      <c r="V91" s="132">
        <f>Calcs!$I$2</f>
        <v>44377</v>
      </c>
      <c r="W91" s="132">
        <f>Calcs!$I$4</f>
        <v>44592</v>
      </c>
      <c r="X91" s="153" t="str">
        <f>IF(NOT(N91="00"),"",(VLOOKUP(CONCATENATE(Q91,P91,LOOKUP(2,1/(Lookups!$I$2:$I$11&lt;=Multisite!E91)/(Lookups!$J$2:$J$11&gt;=E91),Lookups!$K$2:$K$11)),'HH LLFs'!$A$2:$F$282,6,0)*365)/12)</f>
        <v/>
      </c>
      <c r="Y91" s="153">
        <f t="shared" si="34"/>
        <v>0</v>
      </c>
      <c r="Z91" s="153" t="str">
        <f t="shared" si="43"/>
        <v/>
      </c>
      <c r="AA91" s="153" t="str">
        <f t="shared" si="35"/>
        <v/>
      </c>
      <c r="AB91" s="153" t="str">
        <f t="shared" si="44"/>
        <v/>
      </c>
      <c r="AC91" s="153" t="str">
        <f t="shared" si="36"/>
        <v/>
      </c>
      <c r="AD91" s="153" t="str">
        <f t="shared" si="37"/>
        <v/>
      </c>
      <c r="AE91" s="153" t="str">
        <f t="shared" si="38"/>
        <v/>
      </c>
      <c r="AF91" s="155" t="e">
        <f>LOOKUP(2,1/(Lookups!$I$2:$I$11&lt;=E91)/(Lookups!$J$2:$J$11&gt;=E91),Lookups!$L$2:$L$11)</f>
        <v>#N/A</v>
      </c>
      <c r="AG91" s="142" t="str">
        <f t="shared" si="39"/>
        <v/>
      </c>
      <c r="AH91" s="142" t="str">
        <f t="shared" si="40"/>
        <v/>
      </c>
      <c r="AI91" s="143" t="b">
        <f t="shared" si="45"/>
        <v>0</v>
      </c>
      <c r="AJ91" s="143" t="str">
        <f t="shared" si="41"/>
        <v>Level 1</v>
      </c>
      <c r="AK91" s="142">
        <f t="shared" si="42"/>
        <v>0</v>
      </c>
      <c r="AL91" s="157" t="str">
        <f t="shared" si="50"/>
        <v/>
      </c>
      <c r="AM91" s="144" t="str">
        <f t="shared" si="51"/>
        <v>--FALSE-0</v>
      </c>
      <c r="AN91" s="158" t="str">
        <f t="shared" si="46"/>
        <v/>
      </c>
      <c r="AO91" s="145"/>
      <c r="AP91" s="159" t="str">
        <f>IF($AN91=FALSE,"",IFERROR(INDEX('Flat Rates'!$A$1:$M$3880,MATCH($AM91,'Flat Rates'!$A$1:$A$3880,0),MATCH("Standing Charge",'Flat Rates'!$A$1:$M$1,0))*100,""))</f>
        <v/>
      </c>
      <c r="AQ91" s="148" t="str">
        <f>IF($AN91=FALSE,"",IFERROR((IF(NOT(T91="Unrestricted"),"",INDEX('Flat Rates'!$A$1:$M$3880,MATCH($AM91,'Flat Rates'!$A$1:$A$3880,0),MATCH("Uni/Day Rate",'Flat Rates'!$A$1:$M$1,0)))*100)+H91,""))</f>
        <v/>
      </c>
      <c r="AR91" s="148" t="str">
        <f>IF($AN91=FALSE,"",IFERROR((IF(T91="Unrestricted","",INDEX('Flat Rates'!$A$1:$M$3880,MATCH($AM91,'Flat Rates'!$A$1:$A$3880,0),MATCH("Uni/Day Rate",'Flat Rates'!$A$1:$M$1,0)))*100)+H91,""))</f>
        <v/>
      </c>
      <c r="AS91" s="148" t="str">
        <f>IF($AN91=FALSE,"",IFERROR(IF(INDEX('Flat Rates'!$A$1:$M$3880,MATCH($AM91,'Flat Rates'!$A$1:$A$3880,0),MATCH("Night Unit Rate",'Flat Rates'!$A$1:$M$1,0))=0,"",((INDEX('Flat Rates'!$A$1:$M$3880,MATCH($AM91,'Flat Rates'!$A$1:$A$3880,0),MATCH("Night Unit Rate",'Flat Rates'!$A$1:$M$1,0)))*100)+H91),""))</f>
        <v/>
      </c>
      <c r="AT91" s="148" t="str">
        <f>IF($AN91=FALSE,"",IFERROR(IF(INDEX('Flat Rates'!$A$1:$M$3880,MATCH($AM91,'Flat Rates'!$A$1:$A$3880,0),MATCH("Evening and Weekend Rate",'Flat Rates'!$A$1:$M$1,0))=0,"",((INDEX('Flat Rates'!$A$1:$M$3880,MATCH($AM91,'Flat Rates'!$A$1:$A$3880,0),MATCH("Evening and Weekend Rate",'Flat Rates'!$A$1:$M$1,0)))*100)+H91),""))</f>
        <v/>
      </c>
      <c r="AU91" s="152" t="str">
        <f t="shared" si="47"/>
        <v/>
      </c>
      <c r="AV91" s="152" t="str">
        <f t="shared" si="48"/>
        <v/>
      </c>
      <c r="AW91" s="152" t="str">
        <f t="shared" si="49"/>
        <v/>
      </c>
    </row>
    <row r="92" spans="2:49" ht="15" thickBot="1" x14ac:dyDescent="0.35">
      <c r="B92" s="138" t="str">
        <f t="shared" si="26"/>
        <v/>
      </c>
      <c r="C92" s="137"/>
      <c r="D92" s="139"/>
      <c r="E92" s="140"/>
      <c r="F92" s="140"/>
      <c r="G92" s="139"/>
      <c r="H92" s="151"/>
      <c r="I92" s="139"/>
      <c r="J92" s="137"/>
      <c r="K92" s="139"/>
      <c r="L92" s="141"/>
      <c r="M92" s="133" t="str">
        <f t="shared" si="27"/>
        <v/>
      </c>
      <c r="N92" s="133" t="str">
        <f t="shared" si="28"/>
        <v/>
      </c>
      <c r="O92" s="133" t="str">
        <f t="shared" si="29"/>
        <v/>
      </c>
      <c r="P92" s="133" t="str">
        <f t="shared" si="30"/>
        <v/>
      </c>
      <c r="Q92" s="133" t="str">
        <f t="shared" si="31"/>
        <v/>
      </c>
      <c r="R92" s="133" t="str">
        <f t="shared" si="32"/>
        <v/>
      </c>
      <c r="S92" s="133" t="str">
        <f t="shared" si="33"/>
        <v/>
      </c>
      <c r="T92" s="133" t="str">
        <f>IFERROR(IF($U92="ERROR","ERROR",IF($N92="00",IF(J92="1-Rate","HH 1RATE",IF(J92="2-Rate","HH 2RATE","")),IFERROR(VLOOKUP(CONCATENATE(N92,Q92,O92,P92),Lookups!$A$2:$E$4557,5,0),VLOOKUP(CONCATENATE(N92,Q92,O92),Lookups!$A$2:$E$4557,5,0)))),"ERROR")</f>
        <v>ERROR</v>
      </c>
      <c r="U92" s="133" t="str">
        <f>IFERROR(IF(NOT($N92="00"),"",VLOOKUP(CONCATENATE(Q92,P92,LOOKUP(2,1/(Lookups!$I$2:$I$11&lt;=E92)/(Lookups!$J$2:$J$11&gt;=Tool!$C$14),Lookups!$K$2:$K$11)),'HH LLFs'!$A$2:$K$500,3,0)),"ERROR")</f>
        <v/>
      </c>
      <c r="V92" s="132">
        <f>Calcs!$I$2</f>
        <v>44377</v>
      </c>
      <c r="W92" s="132">
        <f>Calcs!$I$4</f>
        <v>44592</v>
      </c>
      <c r="X92" s="153" t="str">
        <f>IF(NOT(N92="00"),"",(VLOOKUP(CONCATENATE(Q92,P92,LOOKUP(2,1/(Lookups!$I$2:$I$11&lt;=Multisite!E92)/(Lookups!$J$2:$J$11&gt;=E92),Lookups!$K$2:$K$11)),'HH LLFs'!$A$2:$F$282,6,0)*365)/12)</f>
        <v/>
      </c>
      <c r="Y92" s="153">
        <f t="shared" si="34"/>
        <v>0</v>
      </c>
      <c r="Z92" s="153" t="str">
        <f t="shared" si="43"/>
        <v/>
      </c>
      <c r="AA92" s="153" t="str">
        <f t="shared" si="35"/>
        <v/>
      </c>
      <c r="AB92" s="153" t="str">
        <f t="shared" si="44"/>
        <v/>
      </c>
      <c r="AC92" s="153" t="str">
        <f t="shared" si="36"/>
        <v/>
      </c>
      <c r="AD92" s="153" t="str">
        <f t="shared" si="37"/>
        <v/>
      </c>
      <c r="AE92" s="153" t="str">
        <f t="shared" si="38"/>
        <v/>
      </c>
      <c r="AF92" s="155" t="e">
        <f>LOOKUP(2,1/(Lookups!$I$2:$I$11&lt;=E92)/(Lookups!$J$2:$J$11&gt;=E92),Lookups!$L$2:$L$11)</f>
        <v>#N/A</v>
      </c>
      <c r="AG92" s="142" t="str">
        <f t="shared" si="39"/>
        <v/>
      </c>
      <c r="AH92" s="142" t="str">
        <f t="shared" si="40"/>
        <v/>
      </c>
      <c r="AI92" s="143" t="b">
        <f t="shared" si="45"/>
        <v>0</v>
      </c>
      <c r="AJ92" s="143" t="str">
        <f t="shared" si="41"/>
        <v>Level 1</v>
      </c>
      <c r="AK92" s="142">
        <f t="shared" si="42"/>
        <v>0</v>
      </c>
      <c r="AL92" s="157" t="str">
        <f t="shared" si="50"/>
        <v/>
      </c>
      <c r="AM92" s="144" t="str">
        <f t="shared" si="51"/>
        <v>--FALSE-0</v>
      </c>
      <c r="AN92" s="158" t="str">
        <f t="shared" si="46"/>
        <v/>
      </c>
      <c r="AO92" s="145"/>
      <c r="AP92" s="159" t="str">
        <f>IF($AN92=FALSE,"",IFERROR(INDEX('Flat Rates'!$A$1:$M$3880,MATCH($AM92,'Flat Rates'!$A$1:$A$3880,0),MATCH("Standing Charge",'Flat Rates'!$A$1:$M$1,0))*100,""))</f>
        <v/>
      </c>
      <c r="AQ92" s="148" t="str">
        <f>IF($AN92=FALSE,"",IFERROR((IF(NOT(T92="Unrestricted"),"",INDEX('Flat Rates'!$A$1:$M$3880,MATCH($AM92,'Flat Rates'!$A$1:$A$3880,0),MATCH("Uni/Day Rate",'Flat Rates'!$A$1:$M$1,0)))*100)+H92,""))</f>
        <v/>
      </c>
      <c r="AR92" s="148" t="str">
        <f>IF($AN92=FALSE,"",IFERROR((IF(T92="Unrestricted","",INDEX('Flat Rates'!$A$1:$M$3880,MATCH($AM92,'Flat Rates'!$A$1:$A$3880,0),MATCH("Uni/Day Rate",'Flat Rates'!$A$1:$M$1,0)))*100)+H92,""))</f>
        <v/>
      </c>
      <c r="AS92" s="148" t="str">
        <f>IF($AN92=FALSE,"",IFERROR(IF(INDEX('Flat Rates'!$A$1:$M$3880,MATCH($AM92,'Flat Rates'!$A$1:$A$3880,0),MATCH("Night Unit Rate",'Flat Rates'!$A$1:$M$1,0))=0,"",((INDEX('Flat Rates'!$A$1:$M$3880,MATCH($AM92,'Flat Rates'!$A$1:$A$3880,0),MATCH("Night Unit Rate",'Flat Rates'!$A$1:$M$1,0)))*100)+H92),""))</f>
        <v/>
      </c>
      <c r="AT92" s="148" t="str">
        <f>IF($AN92=FALSE,"",IFERROR(IF(INDEX('Flat Rates'!$A$1:$M$3880,MATCH($AM92,'Flat Rates'!$A$1:$A$3880,0),MATCH("Evening and Weekend Rate",'Flat Rates'!$A$1:$M$1,0))=0,"",((INDEX('Flat Rates'!$A$1:$M$3880,MATCH($AM92,'Flat Rates'!$A$1:$A$3880,0),MATCH("Evening and Weekend Rate",'Flat Rates'!$A$1:$M$1,0)))*100)+H92),""))</f>
        <v/>
      </c>
      <c r="AU92" s="152" t="str">
        <f t="shared" si="47"/>
        <v/>
      </c>
      <c r="AV92" s="152" t="str">
        <f t="shared" si="48"/>
        <v/>
      </c>
      <c r="AW92" s="152" t="str">
        <f t="shared" si="49"/>
        <v/>
      </c>
    </row>
    <row r="93" spans="2:49" ht="15" thickBot="1" x14ac:dyDescent="0.35">
      <c r="B93" s="138" t="str">
        <f t="shared" si="26"/>
        <v/>
      </c>
      <c r="C93" s="137"/>
      <c r="D93" s="139"/>
      <c r="E93" s="140"/>
      <c r="F93" s="140"/>
      <c r="G93" s="139"/>
      <c r="H93" s="151"/>
      <c r="I93" s="139"/>
      <c r="J93" s="138"/>
      <c r="K93" s="139"/>
      <c r="L93" s="141"/>
      <c r="M93" s="133" t="str">
        <f t="shared" si="27"/>
        <v/>
      </c>
      <c r="N93" s="133" t="str">
        <f t="shared" si="28"/>
        <v/>
      </c>
      <c r="O93" s="133" t="str">
        <f t="shared" si="29"/>
        <v/>
      </c>
      <c r="P93" s="133" t="str">
        <f t="shared" si="30"/>
        <v/>
      </c>
      <c r="Q93" s="133" t="str">
        <f t="shared" si="31"/>
        <v/>
      </c>
      <c r="R93" s="133" t="str">
        <f t="shared" si="32"/>
        <v/>
      </c>
      <c r="S93" s="133" t="str">
        <f t="shared" si="33"/>
        <v/>
      </c>
      <c r="T93" s="133" t="str">
        <f>IFERROR(IF($U93="ERROR","ERROR",IF($N93="00",IF(J93="1-Rate","HH 1RATE",IF(J93="2-Rate","HH 2RATE","")),IFERROR(VLOOKUP(CONCATENATE(N93,Q93,O93,P93),Lookups!$A$2:$E$4557,5,0),VLOOKUP(CONCATENATE(N93,Q93,O93),Lookups!$A$2:$E$4557,5,0)))),"ERROR")</f>
        <v>ERROR</v>
      </c>
      <c r="U93" s="133" t="str">
        <f>IFERROR(IF(NOT($N93="00"),"",VLOOKUP(CONCATENATE(Q93,P93,LOOKUP(2,1/(Lookups!$I$2:$I$11&lt;=E93)/(Lookups!$J$2:$J$11&gt;=Tool!$C$14),Lookups!$K$2:$K$11)),'HH LLFs'!$A$2:$K$500,3,0)),"ERROR")</f>
        <v/>
      </c>
      <c r="V93" s="132">
        <f>Calcs!$I$2</f>
        <v>44377</v>
      </c>
      <c r="W93" s="132">
        <f>Calcs!$I$4</f>
        <v>44592</v>
      </c>
      <c r="X93" s="153" t="str">
        <f>IF(NOT(N93="00"),"",(VLOOKUP(CONCATENATE(Q93,P93,LOOKUP(2,1/(Lookups!$I$2:$I$11&lt;=Multisite!E93)/(Lookups!$J$2:$J$11&gt;=E93),Lookups!$K$2:$K$11)),'HH LLFs'!$A$2:$F$282,6,0)*365)/12)</f>
        <v/>
      </c>
      <c r="Y93" s="153">
        <f t="shared" si="34"/>
        <v>0</v>
      </c>
      <c r="Z93" s="153" t="str">
        <f t="shared" si="43"/>
        <v/>
      </c>
      <c r="AA93" s="153" t="str">
        <f t="shared" si="35"/>
        <v/>
      </c>
      <c r="AB93" s="153" t="str">
        <f t="shared" si="44"/>
        <v/>
      </c>
      <c r="AC93" s="153" t="str">
        <f t="shared" si="36"/>
        <v/>
      </c>
      <c r="AD93" s="153" t="str">
        <f t="shared" si="37"/>
        <v/>
      </c>
      <c r="AE93" s="153" t="str">
        <f t="shared" si="38"/>
        <v/>
      </c>
      <c r="AF93" s="155" t="e">
        <f>LOOKUP(2,1/(Lookups!$I$2:$I$11&lt;=E93)/(Lookups!$J$2:$J$11&gt;=E93),Lookups!$L$2:$L$11)</f>
        <v>#N/A</v>
      </c>
      <c r="AG93" s="142" t="str">
        <f t="shared" si="39"/>
        <v/>
      </c>
      <c r="AH93" s="142" t="str">
        <f t="shared" si="40"/>
        <v/>
      </c>
      <c r="AI93" s="143" t="b">
        <f t="shared" si="45"/>
        <v>0</v>
      </c>
      <c r="AJ93" s="143" t="str">
        <f t="shared" si="41"/>
        <v>Level 1</v>
      </c>
      <c r="AK93" s="142">
        <f t="shared" si="42"/>
        <v>0</v>
      </c>
      <c r="AL93" s="157" t="str">
        <f t="shared" si="50"/>
        <v/>
      </c>
      <c r="AM93" s="144" t="str">
        <f t="shared" si="51"/>
        <v>--FALSE-0</v>
      </c>
      <c r="AN93" s="158" t="str">
        <f t="shared" si="46"/>
        <v/>
      </c>
      <c r="AO93" s="145"/>
      <c r="AP93" s="159" t="str">
        <f>IF($AN93=FALSE,"",IFERROR(INDEX('Flat Rates'!$A$1:$M$3880,MATCH($AM93,'Flat Rates'!$A$1:$A$3880,0),MATCH("Standing Charge",'Flat Rates'!$A$1:$M$1,0))*100,""))</f>
        <v/>
      </c>
      <c r="AQ93" s="148" t="str">
        <f>IF($AN93=FALSE,"",IFERROR((IF(NOT(T93="Unrestricted"),"",INDEX('Flat Rates'!$A$1:$M$3880,MATCH($AM93,'Flat Rates'!$A$1:$A$3880,0),MATCH("Uni/Day Rate",'Flat Rates'!$A$1:$M$1,0)))*100)+H93,""))</f>
        <v/>
      </c>
      <c r="AR93" s="148" t="str">
        <f>IF($AN93=FALSE,"",IFERROR((IF(T93="Unrestricted","",INDEX('Flat Rates'!$A$1:$M$3880,MATCH($AM93,'Flat Rates'!$A$1:$A$3880,0),MATCH("Uni/Day Rate",'Flat Rates'!$A$1:$M$1,0)))*100)+H93,""))</f>
        <v/>
      </c>
      <c r="AS93" s="148" t="str">
        <f>IF($AN93=FALSE,"",IFERROR(IF(INDEX('Flat Rates'!$A$1:$M$3880,MATCH($AM93,'Flat Rates'!$A$1:$A$3880,0),MATCH("Night Unit Rate",'Flat Rates'!$A$1:$M$1,0))=0,"",((INDEX('Flat Rates'!$A$1:$M$3880,MATCH($AM93,'Flat Rates'!$A$1:$A$3880,0),MATCH("Night Unit Rate",'Flat Rates'!$A$1:$M$1,0)))*100)+H93),""))</f>
        <v/>
      </c>
      <c r="AT93" s="148" t="str">
        <f>IF($AN93=FALSE,"",IFERROR(IF(INDEX('Flat Rates'!$A$1:$M$3880,MATCH($AM93,'Flat Rates'!$A$1:$A$3880,0),MATCH("Evening and Weekend Rate",'Flat Rates'!$A$1:$M$1,0))=0,"",((INDEX('Flat Rates'!$A$1:$M$3880,MATCH($AM93,'Flat Rates'!$A$1:$A$3880,0),MATCH("Evening and Weekend Rate",'Flat Rates'!$A$1:$M$1,0)))*100)+H93),""))</f>
        <v/>
      </c>
      <c r="AU93" s="152" t="str">
        <f t="shared" si="47"/>
        <v/>
      </c>
      <c r="AV93" s="152" t="str">
        <f t="shared" si="48"/>
        <v/>
      </c>
      <c r="AW93" s="152" t="str">
        <f t="shared" si="49"/>
        <v/>
      </c>
    </row>
    <row r="94" spans="2:49" ht="15" thickBot="1" x14ac:dyDescent="0.35">
      <c r="B94" s="138" t="str">
        <f t="shared" si="26"/>
        <v/>
      </c>
      <c r="C94" s="137"/>
      <c r="D94" s="139"/>
      <c r="E94" s="140"/>
      <c r="F94" s="140"/>
      <c r="G94" s="139"/>
      <c r="H94" s="151"/>
      <c r="I94" s="139"/>
      <c r="J94" s="137"/>
      <c r="K94" s="139"/>
      <c r="L94" s="141"/>
      <c r="M94" s="133" t="str">
        <f t="shared" si="27"/>
        <v/>
      </c>
      <c r="N94" s="133" t="str">
        <f t="shared" si="28"/>
        <v/>
      </c>
      <c r="O94" s="133" t="str">
        <f t="shared" si="29"/>
        <v/>
      </c>
      <c r="P94" s="133" t="str">
        <f t="shared" si="30"/>
        <v/>
      </c>
      <c r="Q94" s="133" t="str">
        <f t="shared" si="31"/>
        <v/>
      </c>
      <c r="R94" s="133" t="str">
        <f t="shared" si="32"/>
        <v/>
      </c>
      <c r="S94" s="133" t="str">
        <f t="shared" si="33"/>
        <v/>
      </c>
      <c r="T94" s="133" t="str">
        <f>IFERROR(IF($U94="ERROR","ERROR",IF($N94="00",IF(J94="1-Rate","HH 1RATE",IF(J94="2-Rate","HH 2RATE","")),IFERROR(VLOOKUP(CONCATENATE(N94,Q94,O94,P94),Lookups!$A$2:$E$4557,5,0),VLOOKUP(CONCATENATE(N94,Q94,O94),Lookups!$A$2:$E$4557,5,0)))),"ERROR")</f>
        <v>ERROR</v>
      </c>
      <c r="U94" s="133" t="str">
        <f>IFERROR(IF(NOT($N94="00"),"",VLOOKUP(CONCATENATE(Q94,P94,LOOKUP(2,1/(Lookups!$I$2:$I$11&lt;=E94)/(Lookups!$J$2:$J$11&gt;=Tool!$C$14),Lookups!$K$2:$K$11)),'HH LLFs'!$A$2:$K$500,3,0)),"ERROR")</f>
        <v/>
      </c>
      <c r="V94" s="132">
        <f>Calcs!$I$2</f>
        <v>44377</v>
      </c>
      <c r="W94" s="132">
        <f>Calcs!$I$4</f>
        <v>44592</v>
      </c>
      <c r="X94" s="153" t="str">
        <f>IF(NOT(N94="00"),"",(VLOOKUP(CONCATENATE(Q94,P94,LOOKUP(2,1/(Lookups!$I$2:$I$11&lt;=Multisite!E94)/(Lookups!$J$2:$J$11&gt;=E94),Lookups!$K$2:$K$11)),'HH LLFs'!$A$2:$F$282,6,0)*365)/12)</f>
        <v/>
      </c>
      <c r="Y94" s="153">
        <f t="shared" si="34"/>
        <v>0</v>
      </c>
      <c r="Z94" s="153" t="str">
        <f t="shared" si="43"/>
        <v/>
      </c>
      <c r="AA94" s="153" t="str">
        <f t="shared" si="35"/>
        <v/>
      </c>
      <c r="AB94" s="153" t="str">
        <f t="shared" si="44"/>
        <v/>
      </c>
      <c r="AC94" s="153" t="str">
        <f t="shared" si="36"/>
        <v/>
      </c>
      <c r="AD94" s="153" t="str">
        <f t="shared" si="37"/>
        <v/>
      </c>
      <c r="AE94" s="153" t="str">
        <f t="shared" si="38"/>
        <v/>
      </c>
      <c r="AF94" s="155" t="e">
        <f>LOOKUP(2,1/(Lookups!$I$2:$I$11&lt;=E94)/(Lookups!$J$2:$J$11&gt;=E94),Lookups!$L$2:$L$11)</f>
        <v>#N/A</v>
      </c>
      <c r="AG94" s="142" t="str">
        <f t="shared" si="39"/>
        <v/>
      </c>
      <c r="AH94" s="142" t="str">
        <f t="shared" si="40"/>
        <v/>
      </c>
      <c r="AI94" s="143" t="b">
        <f t="shared" si="45"/>
        <v>0</v>
      </c>
      <c r="AJ94" s="143" t="str">
        <f t="shared" si="41"/>
        <v>Level 1</v>
      </c>
      <c r="AK94" s="142">
        <f t="shared" si="42"/>
        <v>0</v>
      </c>
      <c r="AL94" s="157" t="str">
        <f t="shared" si="50"/>
        <v/>
      </c>
      <c r="AM94" s="144" t="str">
        <f t="shared" si="51"/>
        <v>--FALSE-0</v>
      </c>
      <c r="AN94" s="158" t="str">
        <f t="shared" si="46"/>
        <v/>
      </c>
      <c r="AO94" s="145"/>
      <c r="AP94" s="159" t="str">
        <f>IF($AN94=FALSE,"",IFERROR(INDEX('Flat Rates'!$A$1:$M$3880,MATCH($AM94,'Flat Rates'!$A$1:$A$3880,0),MATCH("Standing Charge",'Flat Rates'!$A$1:$M$1,0))*100,""))</f>
        <v/>
      </c>
      <c r="AQ94" s="148" t="str">
        <f>IF($AN94=FALSE,"",IFERROR((IF(NOT(T94="Unrestricted"),"",INDEX('Flat Rates'!$A$1:$M$3880,MATCH($AM94,'Flat Rates'!$A$1:$A$3880,0),MATCH("Uni/Day Rate",'Flat Rates'!$A$1:$M$1,0)))*100)+H94,""))</f>
        <v/>
      </c>
      <c r="AR94" s="148" t="str">
        <f>IF($AN94=FALSE,"",IFERROR((IF(T94="Unrestricted","",INDEX('Flat Rates'!$A$1:$M$3880,MATCH($AM94,'Flat Rates'!$A$1:$A$3880,0),MATCH("Uni/Day Rate",'Flat Rates'!$A$1:$M$1,0)))*100)+H94,""))</f>
        <v/>
      </c>
      <c r="AS94" s="148" t="str">
        <f>IF($AN94=FALSE,"",IFERROR(IF(INDEX('Flat Rates'!$A$1:$M$3880,MATCH($AM94,'Flat Rates'!$A$1:$A$3880,0),MATCH("Night Unit Rate",'Flat Rates'!$A$1:$M$1,0))=0,"",((INDEX('Flat Rates'!$A$1:$M$3880,MATCH($AM94,'Flat Rates'!$A$1:$A$3880,0),MATCH("Night Unit Rate",'Flat Rates'!$A$1:$M$1,0)))*100)+H94),""))</f>
        <v/>
      </c>
      <c r="AT94" s="148" t="str">
        <f>IF($AN94=FALSE,"",IFERROR(IF(INDEX('Flat Rates'!$A$1:$M$3880,MATCH($AM94,'Flat Rates'!$A$1:$A$3880,0),MATCH("Evening and Weekend Rate",'Flat Rates'!$A$1:$M$1,0))=0,"",((INDEX('Flat Rates'!$A$1:$M$3880,MATCH($AM94,'Flat Rates'!$A$1:$A$3880,0),MATCH("Evening and Weekend Rate",'Flat Rates'!$A$1:$M$1,0)))*100)+H94),""))</f>
        <v/>
      </c>
      <c r="AU94" s="152" t="str">
        <f t="shared" si="47"/>
        <v/>
      </c>
      <c r="AV94" s="152" t="str">
        <f t="shared" si="48"/>
        <v/>
      </c>
      <c r="AW94" s="152" t="str">
        <f t="shared" si="49"/>
        <v/>
      </c>
    </row>
    <row r="95" spans="2:49" ht="15" thickBot="1" x14ac:dyDescent="0.35">
      <c r="B95" s="138" t="str">
        <f t="shared" si="26"/>
        <v/>
      </c>
      <c r="C95" s="137"/>
      <c r="D95" s="139"/>
      <c r="E95" s="140"/>
      <c r="F95" s="140"/>
      <c r="G95" s="139"/>
      <c r="H95" s="151"/>
      <c r="I95" s="139"/>
      <c r="J95" s="138"/>
      <c r="K95" s="139"/>
      <c r="L95" s="141"/>
      <c r="M95" s="133" t="str">
        <f t="shared" si="27"/>
        <v/>
      </c>
      <c r="N95" s="133" t="str">
        <f t="shared" si="28"/>
        <v/>
      </c>
      <c r="O95" s="133" t="str">
        <f t="shared" si="29"/>
        <v/>
      </c>
      <c r="P95" s="133" t="str">
        <f t="shared" si="30"/>
        <v/>
      </c>
      <c r="Q95" s="133" t="str">
        <f t="shared" si="31"/>
        <v/>
      </c>
      <c r="R95" s="133" t="str">
        <f t="shared" si="32"/>
        <v/>
      </c>
      <c r="S95" s="133" t="str">
        <f t="shared" si="33"/>
        <v/>
      </c>
      <c r="T95" s="133" t="str">
        <f>IFERROR(IF($U95="ERROR","ERROR",IF($N95="00",IF(J95="1-Rate","HH 1RATE",IF(J95="2-Rate","HH 2RATE","")),IFERROR(VLOOKUP(CONCATENATE(N95,Q95,O95,P95),Lookups!$A$2:$E$4557,5,0),VLOOKUP(CONCATENATE(N95,Q95,O95),Lookups!$A$2:$E$4557,5,0)))),"ERROR")</f>
        <v>ERROR</v>
      </c>
      <c r="U95" s="133" t="str">
        <f>IFERROR(IF(NOT($N95="00"),"",VLOOKUP(CONCATENATE(Q95,P95,LOOKUP(2,1/(Lookups!$I$2:$I$11&lt;=E95)/(Lookups!$J$2:$J$11&gt;=Tool!$C$14),Lookups!$K$2:$K$11)),'HH LLFs'!$A$2:$K$500,3,0)),"ERROR")</f>
        <v/>
      </c>
      <c r="V95" s="132">
        <f>Calcs!$I$2</f>
        <v>44377</v>
      </c>
      <c r="W95" s="132">
        <f>Calcs!$I$4</f>
        <v>44592</v>
      </c>
      <c r="X95" s="153" t="str">
        <f>IF(NOT(N95="00"),"",(VLOOKUP(CONCATENATE(Q95,P95,LOOKUP(2,1/(Lookups!$I$2:$I$11&lt;=Multisite!E95)/(Lookups!$J$2:$J$11&gt;=E95),Lookups!$K$2:$K$11)),'HH LLFs'!$A$2:$F$282,6,0)*365)/12)</f>
        <v/>
      </c>
      <c r="Y95" s="153">
        <f t="shared" si="34"/>
        <v>0</v>
      </c>
      <c r="Z95" s="153" t="str">
        <f t="shared" si="43"/>
        <v/>
      </c>
      <c r="AA95" s="153" t="str">
        <f t="shared" si="35"/>
        <v/>
      </c>
      <c r="AB95" s="153" t="str">
        <f t="shared" si="44"/>
        <v/>
      </c>
      <c r="AC95" s="153" t="str">
        <f t="shared" si="36"/>
        <v/>
      </c>
      <c r="AD95" s="153" t="str">
        <f t="shared" si="37"/>
        <v/>
      </c>
      <c r="AE95" s="153" t="str">
        <f t="shared" si="38"/>
        <v/>
      </c>
      <c r="AF95" s="155" t="e">
        <f>LOOKUP(2,1/(Lookups!$I$2:$I$11&lt;=E95)/(Lookups!$J$2:$J$11&gt;=E95),Lookups!$L$2:$L$11)</f>
        <v>#N/A</v>
      </c>
      <c r="AG95" s="142" t="str">
        <f t="shared" si="39"/>
        <v/>
      </c>
      <c r="AH95" s="142" t="str">
        <f t="shared" si="40"/>
        <v/>
      </c>
      <c r="AI95" s="143" t="b">
        <f t="shared" si="45"/>
        <v>0</v>
      </c>
      <c r="AJ95" s="143" t="str">
        <f t="shared" si="41"/>
        <v>Level 1</v>
      </c>
      <c r="AK95" s="142">
        <f t="shared" si="42"/>
        <v>0</v>
      </c>
      <c r="AL95" s="157" t="str">
        <f t="shared" si="50"/>
        <v/>
      </c>
      <c r="AM95" s="144" t="str">
        <f t="shared" si="51"/>
        <v>--FALSE-0</v>
      </c>
      <c r="AN95" s="158" t="str">
        <f t="shared" si="46"/>
        <v/>
      </c>
      <c r="AO95" s="145"/>
      <c r="AP95" s="159" t="str">
        <f>IF($AN95=FALSE,"",IFERROR(INDEX('Flat Rates'!$A$1:$M$3880,MATCH($AM95,'Flat Rates'!$A$1:$A$3880,0),MATCH("Standing Charge",'Flat Rates'!$A$1:$M$1,0))*100,""))</f>
        <v/>
      </c>
      <c r="AQ95" s="148" t="str">
        <f>IF($AN95=FALSE,"",IFERROR((IF(NOT(T95="Unrestricted"),"",INDEX('Flat Rates'!$A$1:$M$3880,MATCH($AM95,'Flat Rates'!$A$1:$A$3880,0),MATCH("Uni/Day Rate",'Flat Rates'!$A$1:$M$1,0)))*100)+H95,""))</f>
        <v/>
      </c>
      <c r="AR95" s="148" t="str">
        <f>IF($AN95=FALSE,"",IFERROR((IF(T95="Unrestricted","",INDEX('Flat Rates'!$A$1:$M$3880,MATCH($AM95,'Flat Rates'!$A$1:$A$3880,0),MATCH("Uni/Day Rate",'Flat Rates'!$A$1:$M$1,0)))*100)+H95,""))</f>
        <v/>
      </c>
      <c r="AS95" s="148" t="str">
        <f>IF($AN95=FALSE,"",IFERROR(IF(INDEX('Flat Rates'!$A$1:$M$3880,MATCH($AM95,'Flat Rates'!$A$1:$A$3880,0),MATCH("Night Unit Rate",'Flat Rates'!$A$1:$M$1,0))=0,"",((INDEX('Flat Rates'!$A$1:$M$3880,MATCH($AM95,'Flat Rates'!$A$1:$A$3880,0),MATCH("Night Unit Rate",'Flat Rates'!$A$1:$M$1,0)))*100)+H95),""))</f>
        <v/>
      </c>
      <c r="AT95" s="148" t="str">
        <f>IF($AN95=FALSE,"",IFERROR(IF(INDEX('Flat Rates'!$A$1:$M$3880,MATCH($AM95,'Flat Rates'!$A$1:$A$3880,0),MATCH("Evening and Weekend Rate",'Flat Rates'!$A$1:$M$1,0))=0,"",((INDEX('Flat Rates'!$A$1:$M$3880,MATCH($AM95,'Flat Rates'!$A$1:$A$3880,0),MATCH("Evening and Weekend Rate",'Flat Rates'!$A$1:$M$1,0)))*100)+H95),""))</f>
        <v/>
      </c>
      <c r="AU95" s="152" t="str">
        <f t="shared" si="47"/>
        <v/>
      </c>
      <c r="AV95" s="152" t="str">
        <f t="shared" si="48"/>
        <v/>
      </c>
      <c r="AW95" s="152" t="str">
        <f t="shared" si="49"/>
        <v/>
      </c>
    </row>
    <row r="96" spans="2:49" ht="15" thickBot="1" x14ac:dyDescent="0.35">
      <c r="B96" s="138" t="str">
        <f t="shared" si="26"/>
        <v/>
      </c>
      <c r="C96" s="137"/>
      <c r="D96" s="139"/>
      <c r="E96" s="140"/>
      <c r="F96" s="140"/>
      <c r="G96" s="139"/>
      <c r="H96" s="151"/>
      <c r="I96" s="139"/>
      <c r="J96" s="137"/>
      <c r="K96" s="139"/>
      <c r="L96" s="141"/>
      <c r="M96" s="133" t="str">
        <f t="shared" si="27"/>
        <v/>
      </c>
      <c r="N96" s="133" t="str">
        <f t="shared" si="28"/>
        <v/>
      </c>
      <c r="O96" s="133" t="str">
        <f t="shared" si="29"/>
        <v/>
      </c>
      <c r="P96" s="133" t="str">
        <f t="shared" si="30"/>
        <v/>
      </c>
      <c r="Q96" s="133" t="str">
        <f t="shared" si="31"/>
        <v/>
      </c>
      <c r="R96" s="133" t="str">
        <f t="shared" si="32"/>
        <v/>
      </c>
      <c r="S96" s="133" t="str">
        <f t="shared" si="33"/>
        <v/>
      </c>
      <c r="T96" s="133" t="str">
        <f>IFERROR(IF($U96="ERROR","ERROR",IF($N96="00",IF(J96="1-Rate","HH 1RATE",IF(J96="2-Rate","HH 2RATE","")),IFERROR(VLOOKUP(CONCATENATE(N96,Q96,O96,P96),Lookups!$A$2:$E$4557,5,0),VLOOKUP(CONCATENATE(N96,Q96,O96),Lookups!$A$2:$E$4557,5,0)))),"ERROR")</f>
        <v>ERROR</v>
      </c>
      <c r="U96" s="133" t="str">
        <f>IFERROR(IF(NOT($N96="00"),"",VLOOKUP(CONCATENATE(Q96,P96,LOOKUP(2,1/(Lookups!$I$2:$I$11&lt;=E96)/(Lookups!$J$2:$J$11&gt;=Tool!$C$14),Lookups!$K$2:$K$11)),'HH LLFs'!$A$2:$K$500,3,0)),"ERROR")</f>
        <v/>
      </c>
      <c r="V96" s="132">
        <f>Calcs!$I$2</f>
        <v>44377</v>
      </c>
      <c r="W96" s="132">
        <f>Calcs!$I$4</f>
        <v>44592</v>
      </c>
      <c r="X96" s="153" t="str">
        <f>IF(NOT(N96="00"),"",(VLOOKUP(CONCATENATE(Q96,P96,LOOKUP(2,1/(Lookups!$I$2:$I$11&lt;=Multisite!E96)/(Lookups!$J$2:$J$11&gt;=E96),Lookups!$K$2:$K$11)),'HH LLFs'!$A$2:$F$282,6,0)*365)/12)</f>
        <v/>
      </c>
      <c r="Y96" s="153">
        <f t="shared" si="34"/>
        <v>0</v>
      </c>
      <c r="Z96" s="153" t="str">
        <f t="shared" si="43"/>
        <v/>
      </c>
      <c r="AA96" s="153" t="str">
        <f t="shared" si="35"/>
        <v/>
      </c>
      <c r="AB96" s="153" t="str">
        <f t="shared" si="44"/>
        <v/>
      </c>
      <c r="AC96" s="153" t="str">
        <f t="shared" si="36"/>
        <v/>
      </c>
      <c r="AD96" s="153" t="str">
        <f t="shared" si="37"/>
        <v/>
      </c>
      <c r="AE96" s="153" t="str">
        <f t="shared" si="38"/>
        <v/>
      </c>
      <c r="AF96" s="155" t="e">
        <f>LOOKUP(2,1/(Lookups!$I$2:$I$11&lt;=E96)/(Lookups!$J$2:$J$11&gt;=E96),Lookups!$L$2:$L$11)</f>
        <v>#N/A</v>
      </c>
      <c r="AG96" s="142" t="str">
        <f t="shared" si="39"/>
        <v/>
      </c>
      <c r="AH96" s="142" t="str">
        <f t="shared" si="40"/>
        <v/>
      </c>
      <c r="AI96" s="143" t="b">
        <f t="shared" si="45"/>
        <v>0</v>
      </c>
      <c r="AJ96" s="143" t="str">
        <f t="shared" si="41"/>
        <v>Level 1</v>
      </c>
      <c r="AK96" s="142">
        <f t="shared" si="42"/>
        <v>0</v>
      </c>
      <c r="AL96" s="157" t="str">
        <f t="shared" si="50"/>
        <v/>
      </c>
      <c r="AM96" s="144" t="str">
        <f t="shared" si="51"/>
        <v>--FALSE-0</v>
      </c>
      <c r="AN96" s="158" t="str">
        <f t="shared" si="46"/>
        <v/>
      </c>
      <c r="AO96" s="145"/>
      <c r="AP96" s="159" t="str">
        <f>IF($AN96=FALSE,"",IFERROR(INDEX('Flat Rates'!$A$1:$M$3880,MATCH($AM96,'Flat Rates'!$A$1:$A$3880,0),MATCH("Standing Charge",'Flat Rates'!$A$1:$M$1,0))*100,""))</f>
        <v/>
      </c>
      <c r="AQ96" s="148" t="str">
        <f>IF($AN96=FALSE,"",IFERROR((IF(NOT(T96="Unrestricted"),"",INDEX('Flat Rates'!$A$1:$M$3880,MATCH($AM96,'Flat Rates'!$A$1:$A$3880,0),MATCH("Uni/Day Rate",'Flat Rates'!$A$1:$M$1,0)))*100)+H96,""))</f>
        <v/>
      </c>
      <c r="AR96" s="148" t="str">
        <f>IF($AN96=FALSE,"",IFERROR((IF(T96="Unrestricted","",INDEX('Flat Rates'!$A$1:$M$3880,MATCH($AM96,'Flat Rates'!$A$1:$A$3880,0),MATCH("Uni/Day Rate",'Flat Rates'!$A$1:$M$1,0)))*100)+H96,""))</f>
        <v/>
      </c>
      <c r="AS96" s="148" t="str">
        <f>IF($AN96=FALSE,"",IFERROR(IF(INDEX('Flat Rates'!$A$1:$M$3880,MATCH($AM96,'Flat Rates'!$A$1:$A$3880,0),MATCH("Night Unit Rate",'Flat Rates'!$A$1:$M$1,0))=0,"",((INDEX('Flat Rates'!$A$1:$M$3880,MATCH($AM96,'Flat Rates'!$A$1:$A$3880,0),MATCH("Night Unit Rate",'Flat Rates'!$A$1:$M$1,0)))*100)+H96),""))</f>
        <v/>
      </c>
      <c r="AT96" s="148" t="str">
        <f>IF($AN96=FALSE,"",IFERROR(IF(INDEX('Flat Rates'!$A$1:$M$3880,MATCH($AM96,'Flat Rates'!$A$1:$A$3880,0),MATCH("Evening and Weekend Rate",'Flat Rates'!$A$1:$M$1,0))=0,"",((INDEX('Flat Rates'!$A$1:$M$3880,MATCH($AM96,'Flat Rates'!$A$1:$A$3880,0),MATCH("Evening and Weekend Rate",'Flat Rates'!$A$1:$M$1,0)))*100)+H96),""))</f>
        <v/>
      </c>
      <c r="AU96" s="152" t="str">
        <f t="shared" si="47"/>
        <v/>
      </c>
      <c r="AV96" s="152" t="str">
        <f t="shared" si="48"/>
        <v/>
      </c>
      <c r="AW96" s="152" t="str">
        <f t="shared" si="49"/>
        <v/>
      </c>
    </row>
    <row r="97" spans="2:49" ht="15" thickBot="1" x14ac:dyDescent="0.35">
      <c r="B97" s="138" t="str">
        <f t="shared" si="26"/>
        <v/>
      </c>
      <c r="C97" s="137"/>
      <c r="D97" s="139"/>
      <c r="E97" s="140"/>
      <c r="F97" s="140"/>
      <c r="G97" s="139"/>
      <c r="H97" s="151"/>
      <c r="I97" s="139"/>
      <c r="J97" s="138"/>
      <c r="K97" s="139"/>
      <c r="L97" s="141"/>
      <c r="M97" s="133" t="str">
        <f t="shared" si="27"/>
        <v/>
      </c>
      <c r="N97" s="133" t="str">
        <f t="shared" si="28"/>
        <v/>
      </c>
      <c r="O97" s="133" t="str">
        <f t="shared" si="29"/>
        <v/>
      </c>
      <c r="P97" s="133" t="str">
        <f t="shared" si="30"/>
        <v/>
      </c>
      <c r="Q97" s="133" t="str">
        <f t="shared" si="31"/>
        <v/>
      </c>
      <c r="R97" s="133" t="str">
        <f t="shared" si="32"/>
        <v/>
      </c>
      <c r="S97" s="133" t="str">
        <f t="shared" si="33"/>
        <v/>
      </c>
      <c r="T97" s="133" t="str">
        <f>IFERROR(IF($U97="ERROR","ERROR",IF($N97="00",IF(J97="1-Rate","HH 1RATE",IF(J97="2-Rate","HH 2RATE","")),IFERROR(VLOOKUP(CONCATENATE(N97,Q97,O97,P97),Lookups!$A$2:$E$4557,5,0),VLOOKUP(CONCATENATE(N97,Q97,O97),Lookups!$A$2:$E$4557,5,0)))),"ERROR")</f>
        <v>ERROR</v>
      </c>
      <c r="U97" s="133" t="str">
        <f>IFERROR(IF(NOT($N97="00"),"",VLOOKUP(CONCATENATE(Q97,P97,LOOKUP(2,1/(Lookups!$I$2:$I$11&lt;=E97)/(Lookups!$J$2:$J$11&gt;=Tool!$C$14),Lookups!$K$2:$K$11)),'HH LLFs'!$A$2:$K$500,3,0)),"ERROR")</f>
        <v/>
      </c>
      <c r="V97" s="132">
        <f>Calcs!$I$2</f>
        <v>44377</v>
      </c>
      <c r="W97" s="132">
        <f>Calcs!$I$4</f>
        <v>44592</v>
      </c>
      <c r="X97" s="153" t="str">
        <f>IF(NOT(N97="00"),"",(VLOOKUP(CONCATENATE(Q97,P97,LOOKUP(2,1/(Lookups!$I$2:$I$11&lt;=Multisite!E97)/(Lookups!$J$2:$J$11&gt;=E97),Lookups!$K$2:$K$11)),'HH LLFs'!$A$2:$F$282,6,0)*365)/12)</f>
        <v/>
      </c>
      <c r="Y97" s="153">
        <f t="shared" si="34"/>
        <v>0</v>
      </c>
      <c r="Z97" s="153" t="str">
        <f t="shared" si="43"/>
        <v/>
      </c>
      <c r="AA97" s="153" t="str">
        <f t="shared" si="35"/>
        <v/>
      </c>
      <c r="AB97" s="153" t="str">
        <f t="shared" si="44"/>
        <v/>
      </c>
      <c r="AC97" s="153" t="str">
        <f t="shared" si="36"/>
        <v/>
      </c>
      <c r="AD97" s="153" t="str">
        <f t="shared" si="37"/>
        <v/>
      </c>
      <c r="AE97" s="153" t="str">
        <f t="shared" si="38"/>
        <v/>
      </c>
      <c r="AF97" s="155" t="e">
        <f>LOOKUP(2,1/(Lookups!$I$2:$I$11&lt;=E97)/(Lookups!$J$2:$J$11&gt;=E97),Lookups!$L$2:$L$11)</f>
        <v>#N/A</v>
      </c>
      <c r="AG97" s="142" t="str">
        <f t="shared" si="39"/>
        <v/>
      </c>
      <c r="AH97" s="142" t="str">
        <f t="shared" si="40"/>
        <v/>
      </c>
      <c r="AI97" s="143" t="b">
        <f t="shared" si="45"/>
        <v>0</v>
      </c>
      <c r="AJ97" s="143" t="str">
        <f t="shared" si="41"/>
        <v>Level 1</v>
      </c>
      <c r="AK97" s="142">
        <f t="shared" si="42"/>
        <v>0</v>
      </c>
      <c r="AL97" s="157" t="str">
        <f t="shared" si="50"/>
        <v/>
      </c>
      <c r="AM97" s="144" t="str">
        <f t="shared" si="51"/>
        <v>--FALSE-0</v>
      </c>
      <c r="AN97" s="158" t="str">
        <f t="shared" si="46"/>
        <v/>
      </c>
      <c r="AO97" s="145"/>
      <c r="AP97" s="159" t="str">
        <f>IF($AN97=FALSE,"",IFERROR(INDEX('Flat Rates'!$A$1:$M$3880,MATCH($AM97,'Flat Rates'!$A$1:$A$3880,0),MATCH("Standing Charge",'Flat Rates'!$A$1:$M$1,0))*100,""))</f>
        <v/>
      </c>
      <c r="AQ97" s="148" t="str">
        <f>IF($AN97=FALSE,"",IFERROR((IF(NOT(T97="Unrestricted"),"",INDEX('Flat Rates'!$A$1:$M$3880,MATCH($AM97,'Flat Rates'!$A$1:$A$3880,0),MATCH("Uni/Day Rate",'Flat Rates'!$A$1:$M$1,0)))*100)+H97,""))</f>
        <v/>
      </c>
      <c r="AR97" s="148" t="str">
        <f>IF($AN97=FALSE,"",IFERROR((IF(T97="Unrestricted","",INDEX('Flat Rates'!$A$1:$M$3880,MATCH($AM97,'Flat Rates'!$A$1:$A$3880,0),MATCH("Uni/Day Rate",'Flat Rates'!$A$1:$M$1,0)))*100)+H97,""))</f>
        <v/>
      </c>
      <c r="AS97" s="148" t="str">
        <f>IF($AN97=FALSE,"",IFERROR(IF(INDEX('Flat Rates'!$A$1:$M$3880,MATCH($AM97,'Flat Rates'!$A$1:$A$3880,0),MATCH("Night Unit Rate",'Flat Rates'!$A$1:$M$1,0))=0,"",((INDEX('Flat Rates'!$A$1:$M$3880,MATCH($AM97,'Flat Rates'!$A$1:$A$3880,0),MATCH("Night Unit Rate",'Flat Rates'!$A$1:$M$1,0)))*100)+H97),""))</f>
        <v/>
      </c>
      <c r="AT97" s="148" t="str">
        <f>IF($AN97=FALSE,"",IFERROR(IF(INDEX('Flat Rates'!$A$1:$M$3880,MATCH($AM97,'Flat Rates'!$A$1:$A$3880,0),MATCH("Evening and Weekend Rate",'Flat Rates'!$A$1:$M$1,0))=0,"",((INDEX('Flat Rates'!$A$1:$M$3880,MATCH($AM97,'Flat Rates'!$A$1:$A$3880,0),MATCH("Evening and Weekend Rate",'Flat Rates'!$A$1:$M$1,0)))*100)+H97),""))</f>
        <v/>
      </c>
      <c r="AU97" s="152" t="str">
        <f t="shared" si="47"/>
        <v/>
      </c>
      <c r="AV97" s="152" t="str">
        <f t="shared" si="48"/>
        <v/>
      </c>
      <c r="AW97" s="152" t="str">
        <f t="shared" si="49"/>
        <v/>
      </c>
    </row>
    <row r="98" spans="2:49" ht="15" thickBot="1" x14ac:dyDescent="0.35">
      <c r="B98" s="138" t="str">
        <f t="shared" si="26"/>
        <v/>
      </c>
      <c r="C98" s="137"/>
      <c r="D98" s="139"/>
      <c r="E98" s="140"/>
      <c r="F98" s="140"/>
      <c r="G98" s="139"/>
      <c r="H98" s="151"/>
      <c r="I98" s="139"/>
      <c r="J98" s="137"/>
      <c r="K98" s="139"/>
      <c r="L98" s="141"/>
      <c r="M98" s="133" t="str">
        <f t="shared" si="27"/>
        <v/>
      </c>
      <c r="N98" s="133" t="str">
        <f t="shared" si="28"/>
        <v/>
      </c>
      <c r="O98" s="133" t="str">
        <f t="shared" si="29"/>
        <v/>
      </c>
      <c r="P98" s="133" t="str">
        <f t="shared" si="30"/>
        <v/>
      </c>
      <c r="Q98" s="133" t="str">
        <f t="shared" si="31"/>
        <v/>
      </c>
      <c r="R98" s="133" t="str">
        <f t="shared" si="32"/>
        <v/>
      </c>
      <c r="S98" s="133" t="str">
        <f t="shared" si="33"/>
        <v/>
      </c>
      <c r="T98" s="133" t="str">
        <f>IFERROR(IF($U98="ERROR","ERROR",IF($N98="00",IF(J98="1-Rate","HH 1RATE",IF(J98="2-Rate","HH 2RATE","")),IFERROR(VLOOKUP(CONCATENATE(N98,Q98,O98,P98),Lookups!$A$2:$E$4557,5,0),VLOOKUP(CONCATENATE(N98,Q98,O98),Lookups!$A$2:$E$4557,5,0)))),"ERROR")</f>
        <v>ERROR</v>
      </c>
      <c r="U98" s="133" t="str">
        <f>IFERROR(IF(NOT($N98="00"),"",VLOOKUP(CONCATENATE(Q98,P98,LOOKUP(2,1/(Lookups!$I$2:$I$11&lt;=E98)/(Lookups!$J$2:$J$11&gt;=Tool!$C$14),Lookups!$K$2:$K$11)),'HH LLFs'!$A$2:$K$500,3,0)),"ERROR")</f>
        <v/>
      </c>
      <c r="V98" s="132">
        <f>Calcs!$I$2</f>
        <v>44377</v>
      </c>
      <c r="W98" s="132">
        <f>Calcs!$I$4</f>
        <v>44592</v>
      </c>
      <c r="X98" s="153" t="str">
        <f>IF(NOT(N98="00"),"",(VLOOKUP(CONCATENATE(Q98,P98,LOOKUP(2,1/(Lookups!$I$2:$I$11&lt;=Multisite!E98)/(Lookups!$J$2:$J$11&gt;=E98),Lookups!$K$2:$K$11)),'HH LLFs'!$A$2:$F$282,6,0)*365)/12)</f>
        <v/>
      </c>
      <c r="Y98" s="153">
        <f t="shared" si="34"/>
        <v>0</v>
      </c>
      <c r="Z98" s="153" t="str">
        <f t="shared" si="43"/>
        <v/>
      </c>
      <c r="AA98" s="153" t="str">
        <f t="shared" si="35"/>
        <v/>
      </c>
      <c r="AB98" s="153" t="str">
        <f t="shared" si="44"/>
        <v/>
      </c>
      <c r="AC98" s="153" t="str">
        <f t="shared" si="36"/>
        <v/>
      </c>
      <c r="AD98" s="153" t="str">
        <f t="shared" si="37"/>
        <v/>
      </c>
      <c r="AE98" s="153" t="str">
        <f t="shared" si="38"/>
        <v/>
      </c>
      <c r="AF98" s="155" t="e">
        <f>LOOKUP(2,1/(Lookups!$I$2:$I$11&lt;=E98)/(Lookups!$J$2:$J$11&gt;=E98),Lookups!$L$2:$L$11)</f>
        <v>#N/A</v>
      </c>
      <c r="AG98" s="142" t="str">
        <f t="shared" si="39"/>
        <v/>
      </c>
      <c r="AH98" s="142" t="str">
        <f t="shared" si="40"/>
        <v/>
      </c>
      <c r="AI98" s="143" t="b">
        <f t="shared" si="45"/>
        <v>0</v>
      </c>
      <c r="AJ98" s="143" t="str">
        <f t="shared" si="41"/>
        <v>Level 1</v>
      </c>
      <c r="AK98" s="142">
        <f t="shared" si="42"/>
        <v>0</v>
      </c>
      <c r="AL98" s="157" t="str">
        <f t="shared" si="50"/>
        <v/>
      </c>
      <c r="AM98" s="144" t="str">
        <f t="shared" si="51"/>
        <v>--FALSE-0</v>
      </c>
      <c r="AN98" s="158" t="str">
        <f t="shared" si="46"/>
        <v/>
      </c>
      <c r="AO98" s="145"/>
      <c r="AP98" s="159" t="str">
        <f>IF($AN98=FALSE,"",IFERROR(INDEX('Flat Rates'!$A$1:$M$3880,MATCH($AM98,'Flat Rates'!$A$1:$A$3880,0),MATCH("Standing Charge",'Flat Rates'!$A$1:$M$1,0))*100,""))</f>
        <v/>
      </c>
      <c r="AQ98" s="148" t="str">
        <f>IF($AN98=FALSE,"",IFERROR((IF(NOT(T98="Unrestricted"),"",INDEX('Flat Rates'!$A$1:$M$3880,MATCH($AM98,'Flat Rates'!$A$1:$A$3880,0),MATCH("Uni/Day Rate",'Flat Rates'!$A$1:$M$1,0)))*100)+H98,""))</f>
        <v/>
      </c>
      <c r="AR98" s="148" t="str">
        <f>IF($AN98=FALSE,"",IFERROR((IF(T98="Unrestricted","",INDEX('Flat Rates'!$A$1:$M$3880,MATCH($AM98,'Flat Rates'!$A$1:$A$3880,0),MATCH("Uni/Day Rate",'Flat Rates'!$A$1:$M$1,0)))*100)+H98,""))</f>
        <v/>
      </c>
      <c r="AS98" s="148" t="str">
        <f>IF($AN98=FALSE,"",IFERROR(IF(INDEX('Flat Rates'!$A$1:$M$3880,MATCH($AM98,'Flat Rates'!$A$1:$A$3880,0),MATCH("Night Unit Rate",'Flat Rates'!$A$1:$M$1,0))=0,"",((INDEX('Flat Rates'!$A$1:$M$3880,MATCH($AM98,'Flat Rates'!$A$1:$A$3880,0),MATCH("Night Unit Rate",'Flat Rates'!$A$1:$M$1,0)))*100)+H98),""))</f>
        <v/>
      </c>
      <c r="AT98" s="148" t="str">
        <f>IF($AN98=FALSE,"",IFERROR(IF(INDEX('Flat Rates'!$A$1:$M$3880,MATCH($AM98,'Flat Rates'!$A$1:$A$3880,0),MATCH("Evening and Weekend Rate",'Flat Rates'!$A$1:$M$1,0))=0,"",((INDEX('Flat Rates'!$A$1:$M$3880,MATCH($AM98,'Flat Rates'!$A$1:$A$3880,0),MATCH("Evening and Weekend Rate",'Flat Rates'!$A$1:$M$1,0)))*100)+H98),""))</f>
        <v/>
      </c>
      <c r="AU98" s="152" t="str">
        <f t="shared" si="47"/>
        <v/>
      </c>
      <c r="AV98" s="152" t="str">
        <f t="shared" si="48"/>
        <v/>
      </c>
      <c r="AW98" s="152" t="str">
        <f t="shared" si="49"/>
        <v/>
      </c>
    </row>
    <row r="99" spans="2:49" ht="15" thickBot="1" x14ac:dyDescent="0.35">
      <c r="B99" s="138" t="str">
        <f t="shared" si="26"/>
        <v/>
      </c>
      <c r="C99" s="137"/>
      <c r="D99" s="139"/>
      <c r="E99" s="140"/>
      <c r="F99" s="140"/>
      <c r="G99" s="139"/>
      <c r="H99" s="151"/>
      <c r="I99" s="139"/>
      <c r="J99" s="138"/>
      <c r="K99" s="139"/>
      <c r="L99" s="141"/>
      <c r="M99" s="133" t="str">
        <f t="shared" si="27"/>
        <v/>
      </c>
      <c r="N99" s="133" t="str">
        <f t="shared" si="28"/>
        <v/>
      </c>
      <c r="O99" s="133" t="str">
        <f t="shared" si="29"/>
        <v/>
      </c>
      <c r="P99" s="133" t="str">
        <f t="shared" si="30"/>
        <v/>
      </c>
      <c r="Q99" s="133" t="str">
        <f t="shared" si="31"/>
        <v/>
      </c>
      <c r="R99" s="133" t="str">
        <f t="shared" si="32"/>
        <v/>
      </c>
      <c r="S99" s="133" t="str">
        <f t="shared" si="33"/>
        <v/>
      </c>
      <c r="T99" s="133" t="str">
        <f>IFERROR(IF($U99="ERROR","ERROR",IF($N99="00",IF(J99="1-Rate","HH 1RATE",IF(J99="2-Rate","HH 2RATE","")),IFERROR(VLOOKUP(CONCATENATE(N99,Q99,O99,P99),Lookups!$A$2:$E$4557,5,0),VLOOKUP(CONCATENATE(N99,Q99,O99),Lookups!$A$2:$E$4557,5,0)))),"ERROR")</f>
        <v>ERROR</v>
      </c>
      <c r="U99" s="133" t="str">
        <f>IFERROR(IF(NOT($N99="00"),"",VLOOKUP(CONCATENATE(Q99,P99,LOOKUP(2,1/(Lookups!$I$2:$I$11&lt;=E99)/(Lookups!$J$2:$J$11&gt;=Tool!$C$14),Lookups!$K$2:$K$11)),'HH LLFs'!$A$2:$K$500,3,0)),"ERROR")</f>
        <v/>
      </c>
      <c r="V99" s="132">
        <f>Calcs!$I$2</f>
        <v>44377</v>
      </c>
      <c r="W99" s="132">
        <f>Calcs!$I$4</f>
        <v>44592</v>
      </c>
      <c r="X99" s="153" t="str">
        <f>IF(NOT(N99="00"),"",(VLOOKUP(CONCATENATE(Q99,P99,LOOKUP(2,1/(Lookups!$I$2:$I$11&lt;=Multisite!E99)/(Lookups!$J$2:$J$11&gt;=E99),Lookups!$K$2:$K$11)),'HH LLFs'!$A$2:$F$282,6,0)*365)/12)</f>
        <v/>
      </c>
      <c r="Y99" s="153">
        <f t="shared" si="34"/>
        <v>0</v>
      </c>
      <c r="Z99" s="153" t="str">
        <f t="shared" si="43"/>
        <v/>
      </c>
      <c r="AA99" s="153" t="str">
        <f t="shared" si="35"/>
        <v/>
      </c>
      <c r="AB99" s="153" t="str">
        <f t="shared" si="44"/>
        <v/>
      </c>
      <c r="AC99" s="153" t="str">
        <f t="shared" si="36"/>
        <v/>
      </c>
      <c r="AD99" s="153" t="str">
        <f t="shared" si="37"/>
        <v/>
      </c>
      <c r="AE99" s="153" t="str">
        <f t="shared" si="38"/>
        <v/>
      </c>
      <c r="AF99" s="155" t="e">
        <f>LOOKUP(2,1/(Lookups!$I$2:$I$11&lt;=E99)/(Lookups!$J$2:$J$11&gt;=E99),Lookups!$L$2:$L$11)</f>
        <v>#N/A</v>
      </c>
      <c r="AG99" s="142" t="str">
        <f t="shared" si="39"/>
        <v/>
      </c>
      <c r="AH99" s="142" t="str">
        <f t="shared" si="40"/>
        <v/>
      </c>
      <c r="AI99" s="143" t="b">
        <f t="shared" si="45"/>
        <v>0</v>
      </c>
      <c r="AJ99" s="143" t="str">
        <f t="shared" si="41"/>
        <v>Level 1</v>
      </c>
      <c r="AK99" s="142">
        <f t="shared" si="42"/>
        <v>0</v>
      </c>
      <c r="AL99" s="157" t="str">
        <f t="shared" si="50"/>
        <v/>
      </c>
      <c r="AM99" s="144" t="str">
        <f t="shared" si="51"/>
        <v>--FALSE-0</v>
      </c>
      <c r="AN99" s="158" t="str">
        <f t="shared" si="46"/>
        <v/>
      </c>
      <c r="AO99" s="145"/>
      <c r="AP99" s="159" t="str">
        <f>IF($AN99=FALSE,"",IFERROR(INDEX('Flat Rates'!$A$1:$M$3880,MATCH($AM99,'Flat Rates'!$A$1:$A$3880,0),MATCH("Standing Charge",'Flat Rates'!$A$1:$M$1,0))*100,""))</f>
        <v/>
      </c>
      <c r="AQ99" s="148" t="str">
        <f>IF($AN99=FALSE,"",IFERROR((IF(NOT(T99="Unrestricted"),"",INDEX('Flat Rates'!$A$1:$M$3880,MATCH($AM99,'Flat Rates'!$A$1:$A$3880,0),MATCH("Uni/Day Rate",'Flat Rates'!$A$1:$M$1,0)))*100)+H99,""))</f>
        <v/>
      </c>
      <c r="AR99" s="148" t="str">
        <f>IF($AN99=FALSE,"",IFERROR((IF(T99="Unrestricted","",INDEX('Flat Rates'!$A$1:$M$3880,MATCH($AM99,'Flat Rates'!$A$1:$A$3880,0),MATCH("Uni/Day Rate",'Flat Rates'!$A$1:$M$1,0)))*100)+H99,""))</f>
        <v/>
      </c>
      <c r="AS99" s="148" t="str">
        <f>IF($AN99=FALSE,"",IFERROR(IF(INDEX('Flat Rates'!$A$1:$M$3880,MATCH($AM99,'Flat Rates'!$A$1:$A$3880,0),MATCH("Night Unit Rate",'Flat Rates'!$A$1:$M$1,0))=0,"",((INDEX('Flat Rates'!$A$1:$M$3880,MATCH($AM99,'Flat Rates'!$A$1:$A$3880,0),MATCH("Night Unit Rate",'Flat Rates'!$A$1:$M$1,0)))*100)+H99),""))</f>
        <v/>
      </c>
      <c r="AT99" s="148" t="str">
        <f>IF($AN99=FALSE,"",IFERROR(IF(INDEX('Flat Rates'!$A$1:$M$3880,MATCH($AM99,'Flat Rates'!$A$1:$A$3880,0),MATCH("Evening and Weekend Rate",'Flat Rates'!$A$1:$M$1,0))=0,"",((INDEX('Flat Rates'!$A$1:$M$3880,MATCH($AM99,'Flat Rates'!$A$1:$A$3880,0),MATCH("Evening and Weekend Rate",'Flat Rates'!$A$1:$M$1,0)))*100)+H99),""))</f>
        <v/>
      </c>
      <c r="AU99" s="152" t="str">
        <f t="shared" si="47"/>
        <v/>
      </c>
      <c r="AV99" s="152" t="str">
        <f t="shared" si="48"/>
        <v/>
      </c>
      <c r="AW99" s="152" t="str">
        <f t="shared" si="49"/>
        <v/>
      </c>
    </row>
    <row r="100" spans="2:49" ht="15" thickBot="1" x14ac:dyDescent="0.35">
      <c r="B100" s="138" t="str">
        <f t="shared" si="26"/>
        <v/>
      </c>
      <c r="C100" s="137"/>
      <c r="D100" s="139"/>
      <c r="E100" s="140"/>
      <c r="F100" s="140"/>
      <c r="G100" s="139"/>
      <c r="H100" s="151"/>
      <c r="I100" s="139"/>
      <c r="J100" s="137"/>
      <c r="K100" s="139"/>
      <c r="L100" s="141"/>
      <c r="M100" s="133" t="str">
        <f t="shared" si="27"/>
        <v/>
      </c>
      <c r="N100" s="133" t="str">
        <f t="shared" si="28"/>
        <v/>
      </c>
      <c r="O100" s="133" t="str">
        <f t="shared" si="29"/>
        <v/>
      </c>
      <c r="P100" s="133" t="str">
        <f t="shared" si="30"/>
        <v/>
      </c>
      <c r="Q100" s="133" t="str">
        <f t="shared" si="31"/>
        <v/>
      </c>
      <c r="R100" s="133" t="str">
        <f t="shared" si="32"/>
        <v/>
      </c>
      <c r="S100" s="133" t="str">
        <f t="shared" si="33"/>
        <v/>
      </c>
      <c r="T100" s="133" t="str">
        <f>IFERROR(IF($U100="ERROR","ERROR",IF($N100="00",IF(J100="1-Rate","HH 1RATE",IF(J100="2-Rate","HH 2RATE","")),IFERROR(VLOOKUP(CONCATENATE(N100,Q100,O100,P100),Lookups!$A$2:$E$4557,5,0),VLOOKUP(CONCATENATE(N100,Q100,O100),Lookups!$A$2:$E$4557,5,0)))),"ERROR")</f>
        <v>ERROR</v>
      </c>
      <c r="U100" s="133" t="str">
        <f>IFERROR(IF(NOT($N100="00"),"",VLOOKUP(CONCATENATE(Q100,P100,LOOKUP(2,1/(Lookups!$I$2:$I$11&lt;=E100)/(Lookups!$J$2:$J$11&gt;=Tool!$C$14),Lookups!$K$2:$K$11)),'HH LLFs'!$A$2:$K$500,3,0)),"ERROR")</f>
        <v/>
      </c>
      <c r="V100" s="132">
        <f>Calcs!$I$2</f>
        <v>44377</v>
      </c>
      <c r="W100" s="132">
        <f>Calcs!$I$4</f>
        <v>44592</v>
      </c>
      <c r="X100" s="153" t="str">
        <f>IF(NOT(N100="00"),"",(VLOOKUP(CONCATENATE(Q100,P100,LOOKUP(2,1/(Lookups!$I$2:$I$11&lt;=Multisite!E100)/(Lookups!$J$2:$J$11&gt;=E100),Lookups!$K$2:$K$11)),'HH LLFs'!$A$2:$F$282,6,0)*365)/12)</f>
        <v/>
      </c>
      <c r="Y100" s="153">
        <f t="shared" si="34"/>
        <v>0</v>
      </c>
      <c r="Z100" s="153" t="str">
        <f t="shared" si="43"/>
        <v/>
      </c>
      <c r="AA100" s="153" t="str">
        <f t="shared" si="35"/>
        <v/>
      </c>
      <c r="AB100" s="153" t="str">
        <f t="shared" si="44"/>
        <v/>
      </c>
      <c r="AC100" s="153" t="str">
        <f t="shared" si="36"/>
        <v/>
      </c>
      <c r="AD100" s="153" t="str">
        <f t="shared" si="37"/>
        <v/>
      </c>
      <c r="AE100" s="153" t="str">
        <f t="shared" si="38"/>
        <v/>
      </c>
      <c r="AF100" s="155" t="e">
        <f>LOOKUP(2,1/(Lookups!$I$2:$I$11&lt;=E100)/(Lookups!$J$2:$J$11&gt;=E100),Lookups!$L$2:$L$11)</f>
        <v>#N/A</v>
      </c>
      <c r="AG100" s="142" t="str">
        <f t="shared" si="39"/>
        <v/>
      </c>
      <c r="AH100" s="142" t="str">
        <f t="shared" si="40"/>
        <v/>
      </c>
      <c r="AI100" s="143" t="b">
        <f t="shared" si="45"/>
        <v>0</v>
      </c>
      <c r="AJ100" s="143" t="str">
        <f t="shared" si="41"/>
        <v>Level 1</v>
      </c>
      <c r="AK100" s="142">
        <f t="shared" si="42"/>
        <v>0</v>
      </c>
      <c r="AL100" s="157" t="str">
        <f t="shared" si="50"/>
        <v/>
      </c>
      <c r="AM100" s="144" t="str">
        <f t="shared" si="51"/>
        <v>--FALSE-0</v>
      </c>
      <c r="AN100" s="158" t="str">
        <f t="shared" si="46"/>
        <v/>
      </c>
      <c r="AO100" s="145"/>
      <c r="AP100" s="159" t="str">
        <f>IF($AN100=FALSE,"",IFERROR(INDEX('Flat Rates'!$A$1:$M$3880,MATCH($AM100,'Flat Rates'!$A$1:$A$3880,0),MATCH("Standing Charge",'Flat Rates'!$A$1:$M$1,0))*100,""))</f>
        <v/>
      </c>
      <c r="AQ100" s="148" t="str">
        <f>IF($AN100=FALSE,"",IFERROR((IF(NOT(T100="Unrestricted"),"",INDEX('Flat Rates'!$A$1:$M$3880,MATCH($AM100,'Flat Rates'!$A$1:$A$3880,0),MATCH("Uni/Day Rate",'Flat Rates'!$A$1:$M$1,0)))*100)+H100,""))</f>
        <v/>
      </c>
      <c r="AR100" s="148" t="str">
        <f>IF($AN100=FALSE,"",IFERROR((IF(T100="Unrestricted","",INDEX('Flat Rates'!$A$1:$M$3880,MATCH($AM100,'Flat Rates'!$A$1:$A$3880,0),MATCH("Uni/Day Rate",'Flat Rates'!$A$1:$M$1,0)))*100)+H100,""))</f>
        <v/>
      </c>
      <c r="AS100" s="148" t="str">
        <f>IF($AN100=FALSE,"",IFERROR(IF(INDEX('Flat Rates'!$A$1:$M$3880,MATCH($AM100,'Flat Rates'!$A$1:$A$3880,0),MATCH("Night Unit Rate",'Flat Rates'!$A$1:$M$1,0))=0,"",((INDEX('Flat Rates'!$A$1:$M$3880,MATCH($AM100,'Flat Rates'!$A$1:$A$3880,0),MATCH("Night Unit Rate",'Flat Rates'!$A$1:$M$1,0)))*100)+H100),""))</f>
        <v/>
      </c>
      <c r="AT100" s="148" t="str">
        <f>IF($AN100=FALSE,"",IFERROR(IF(INDEX('Flat Rates'!$A$1:$M$3880,MATCH($AM100,'Flat Rates'!$A$1:$A$3880,0),MATCH("Evening and Weekend Rate",'Flat Rates'!$A$1:$M$1,0))=0,"",((INDEX('Flat Rates'!$A$1:$M$3880,MATCH($AM100,'Flat Rates'!$A$1:$A$3880,0),MATCH("Evening and Weekend Rate",'Flat Rates'!$A$1:$M$1,0)))*100)+H100),""))</f>
        <v/>
      </c>
      <c r="AU100" s="152" t="str">
        <f t="shared" si="47"/>
        <v/>
      </c>
      <c r="AV100" s="152" t="str">
        <f t="shared" si="48"/>
        <v/>
      </c>
      <c r="AW100" s="152" t="str">
        <f t="shared" si="49"/>
        <v/>
      </c>
    </row>
    <row r="101" spans="2:49" ht="15" thickBot="1" x14ac:dyDescent="0.35">
      <c r="B101" s="138" t="str">
        <f t="shared" si="26"/>
        <v/>
      </c>
      <c r="C101" s="137"/>
      <c r="D101" s="139"/>
      <c r="E101" s="140"/>
      <c r="F101" s="140"/>
      <c r="G101" s="139"/>
      <c r="H101" s="151"/>
      <c r="I101" s="139"/>
      <c r="J101" s="138"/>
      <c r="K101" s="139"/>
      <c r="L101" s="141"/>
      <c r="M101" s="133" t="str">
        <f t="shared" si="27"/>
        <v/>
      </c>
      <c r="N101" s="133" t="str">
        <f t="shared" si="28"/>
        <v/>
      </c>
      <c r="O101" s="133" t="str">
        <f t="shared" si="29"/>
        <v/>
      </c>
      <c r="P101" s="133" t="str">
        <f t="shared" si="30"/>
        <v/>
      </c>
      <c r="Q101" s="133" t="str">
        <f t="shared" si="31"/>
        <v/>
      </c>
      <c r="R101" s="133" t="str">
        <f t="shared" si="32"/>
        <v/>
      </c>
      <c r="S101" s="133" t="str">
        <f t="shared" si="33"/>
        <v/>
      </c>
      <c r="T101" s="133" t="str">
        <f>IFERROR(IF($U101="ERROR","ERROR",IF($N101="00",IF(J101="1-Rate","HH 1RATE",IF(J101="2-Rate","HH 2RATE","")),IFERROR(VLOOKUP(CONCATENATE(N101,Q101,O101,P101),Lookups!$A$2:$E$4557,5,0),VLOOKUP(CONCATENATE(N101,Q101,O101),Lookups!$A$2:$E$4557,5,0)))),"ERROR")</f>
        <v>ERROR</v>
      </c>
      <c r="U101" s="133" t="str">
        <f>IFERROR(IF(NOT($N101="00"),"",VLOOKUP(CONCATENATE(Q101,P101,LOOKUP(2,1/(Lookups!$I$2:$I$11&lt;=E101)/(Lookups!$J$2:$J$11&gt;=Tool!$C$14),Lookups!$K$2:$K$11)),'HH LLFs'!$A$2:$K$500,3,0)),"ERROR")</f>
        <v/>
      </c>
      <c r="V101" s="132">
        <f>Calcs!$I$2</f>
        <v>44377</v>
      </c>
      <c r="W101" s="132">
        <f>Calcs!$I$4</f>
        <v>44592</v>
      </c>
      <c r="X101" s="153" t="str">
        <f>IF(NOT(N101="00"),"",(VLOOKUP(CONCATENATE(Q101,P101,LOOKUP(2,1/(Lookups!$I$2:$I$11&lt;=Multisite!E101)/(Lookups!$J$2:$J$11&gt;=E101),Lookups!$K$2:$K$11)),'HH LLFs'!$A$2:$F$282,6,0)*365)/12)</f>
        <v/>
      </c>
      <c r="Y101" s="153">
        <f t="shared" si="34"/>
        <v>0</v>
      </c>
      <c r="Z101" s="153" t="str">
        <f t="shared" si="43"/>
        <v/>
      </c>
      <c r="AA101" s="153" t="str">
        <f t="shared" si="35"/>
        <v/>
      </c>
      <c r="AB101" s="153" t="str">
        <f t="shared" si="44"/>
        <v/>
      </c>
      <c r="AC101" s="153" t="str">
        <f t="shared" si="36"/>
        <v/>
      </c>
      <c r="AD101" s="153" t="str">
        <f t="shared" si="37"/>
        <v/>
      </c>
      <c r="AE101" s="153" t="str">
        <f t="shared" si="38"/>
        <v/>
      </c>
      <c r="AF101" s="155" t="e">
        <f>LOOKUP(2,1/(Lookups!$I$2:$I$11&lt;=E101)/(Lookups!$J$2:$J$11&gt;=E101),Lookups!$L$2:$L$11)</f>
        <v>#N/A</v>
      </c>
      <c r="AG101" s="142" t="str">
        <f t="shared" si="39"/>
        <v/>
      </c>
      <c r="AH101" s="142" t="str">
        <f t="shared" si="40"/>
        <v/>
      </c>
      <c r="AI101" s="143" t="b">
        <f t="shared" si="45"/>
        <v>0</v>
      </c>
      <c r="AJ101" s="143" t="str">
        <f t="shared" si="41"/>
        <v>Level 1</v>
      </c>
      <c r="AK101" s="142">
        <f t="shared" si="42"/>
        <v>0</v>
      </c>
      <c r="AL101" s="157" t="str">
        <f t="shared" si="50"/>
        <v/>
      </c>
      <c r="AM101" s="144" t="str">
        <f t="shared" si="51"/>
        <v>--FALSE-0</v>
      </c>
      <c r="AN101" s="158" t="str">
        <f t="shared" si="46"/>
        <v/>
      </c>
      <c r="AO101" s="145"/>
      <c r="AP101" s="159" t="str">
        <f>IF($AN101=FALSE,"",IFERROR(INDEX('Flat Rates'!$A$1:$M$3880,MATCH($AM101,'Flat Rates'!$A$1:$A$3880,0),MATCH("Standing Charge",'Flat Rates'!$A$1:$M$1,0))*100,""))</f>
        <v/>
      </c>
      <c r="AQ101" s="148" t="str">
        <f>IF($AN101=FALSE,"",IFERROR((IF(NOT(T101="Unrestricted"),"",INDEX('Flat Rates'!$A$1:$M$3880,MATCH($AM101,'Flat Rates'!$A$1:$A$3880,0),MATCH("Uni/Day Rate",'Flat Rates'!$A$1:$M$1,0)))*100)+H101,""))</f>
        <v/>
      </c>
      <c r="AR101" s="148" t="str">
        <f>IF($AN101=FALSE,"",IFERROR((IF(T101="Unrestricted","",INDEX('Flat Rates'!$A$1:$M$3880,MATCH($AM101,'Flat Rates'!$A$1:$A$3880,0),MATCH("Uni/Day Rate",'Flat Rates'!$A$1:$M$1,0)))*100)+H101,""))</f>
        <v/>
      </c>
      <c r="AS101" s="148" t="str">
        <f>IF($AN101=FALSE,"",IFERROR(IF(INDEX('Flat Rates'!$A$1:$M$3880,MATCH($AM101,'Flat Rates'!$A$1:$A$3880,0),MATCH("Night Unit Rate",'Flat Rates'!$A$1:$M$1,0))=0,"",((INDEX('Flat Rates'!$A$1:$M$3880,MATCH($AM101,'Flat Rates'!$A$1:$A$3880,0),MATCH("Night Unit Rate",'Flat Rates'!$A$1:$M$1,0)))*100)+H101),""))</f>
        <v/>
      </c>
      <c r="AT101" s="148" t="str">
        <f>IF($AN101=FALSE,"",IFERROR(IF(INDEX('Flat Rates'!$A$1:$M$3880,MATCH($AM101,'Flat Rates'!$A$1:$A$3880,0),MATCH("Evening and Weekend Rate",'Flat Rates'!$A$1:$M$1,0))=0,"",((INDEX('Flat Rates'!$A$1:$M$3880,MATCH($AM101,'Flat Rates'!$A$1:$A$3880,0),MATCH("Evening and Weekend Rate",'Flat Rates'!$A$1:$M$1,0)))*100)+H101),""))</f>
        <v/>
      </c>
      <c r="AU101" s="152" t="str">
        <f t="shared" si="47"/>
        <v/>
      </c>
      <c r="AV101" s="152" t="str">
        <f t="shared" si="48"/>
        <v/>
      </c>
      <c r="AW101" s="152" t="str">
        <f t="shared" si="49"/>
        <v/>
      </c>
    </row>
    <row r="102" spans="2:49" ht="15" thickBot="1" x14ac:dyDescent="0.35">
      <c r="B102" s="138" t="str">
        <f t="shared" si="26"/>
        <v/>
      </c>
      <c r="C102" s="137"/>
      <c r="D102" s="139"/>
      <c r="E102" s="140"/>
      <c r="F102" s="140"/>
      <c r="G102" s="139"/>
      <c r="H102" s="151"/>
      <c r="I102" s="139"/>
      <c r="J102" s="137"/>
      <c r="K102" s="139"/>
      <c r="L102" s="141"/>
      <c r="M102" s="133" t="str">
        <f t="shared" si="27"/>
        <v/>
      </c>
      <c r="N102" s="133" t="str">
        <f t="shared" si="28"/>
        <v/>
      </c>
      <c r="O102" s="133" t="str">
        <f t="shared" si="29"/>
        <v/>
      </c>
      <c r="P102" s="133" t="str">
        <f t="shared" si="30"/>
        <v/>
      </c>
      <c r="Q102" s="133" t="str">
        <f t="shared" si="31"/>
        <v/>
      </c>
      <c r="R102" s="133" t="str">
        <f t="shared" si="32"/>
        <v/>
      </c>
      <c r="S102" s="133" t="str">
        <f t="shared" si="33"/>
        <v/>
      </c>
      <c r="T102" s="133" t="str">
        <f>IFERROR(IF($U102="ERROR","ERROR",IF($N102="00",IF(J102="1-Rate","HH 1RATE",IF(J102="2-Rate","HH 2RATE","")),IFERROR(VLOOKUP(CONCATENATE(N102,Q102,O102,P102),Lookups!$A$2:$E$4557,5,0),VLOOKUP(CONCATENATE(N102,Q102,O102),Lookups!$A$2:$E$4557,5,0)))),"ERROR")</f>
        <v>ERROR</v>
      </c>
      <c r="U102" s="133" t="str">
        <f>IFERROR(IF(NOT($N102="00"),"",VLOOKUP(CONCATENATE(Q102,P102,LOOKUP(2,1/(Lookups!$I$2:$I$11&lt;=E102)/(Lookups!$J$2:$J$11&gt;=Tool!$C$14),Lookups!$K$2:$K$11)),'HH LLFs'!$A$2:$K$500,3,0)),"ERROR")</f>
        <v/>
      </c>
      <c r="V102" s="132">
        <f>Calcs!$I$2</f>
        <v>44377</v>
      </c>
      <c r="W102" s="132">
        <f>Calcs!$I$4</f>
        <v>44592</v>
      </c>
      <c r="X102" s="153" t="str">
        <f>IF(NOT(N102="00"),"",(VLOOKUP(CONCATENATE(Q102,P102,LOOKUP(2,1/(Lookups!$I$2:$I$11&lt;=Multisite!E102)/(Lookups!$J$2:$J$11&gt;=E102),Lookups!$K$2:$K$11)),'HH LLFs'!$A$2:$F$282,6,0)*365)/12)</f>
        <v/>
      </c>
      <c r="Y102" s="153">
        <f t="shared" si="34"/>
        <v>0</v>
      </c>
      <c r="Z102" s="153" t="str">
        <f t="shared" si="43"/>
        <v/>
      </c>
      <c r="AA102" s="153" t="str">
        <f t="shared" si="35"/>
        <v/>
      </c>
      <c r="AB102" s="153" t="str">
        <f t="shared" si="44"/>
        <v/>
      </c>
      <c r="AC102" s="153" t="str">
        <f t="shared" si="36"/>
        <v/>
      </c>
      <c r="AD102" s="153" t="str">
        <f t="shared" si="37"/>
        <v/>
      </c>
      <c r="AE102" s="153" t="str">
        <f t="shared" si="38"/>
        <v/>
      </c>
      <c r="AF102" s="155" t="e">
        <f>LOOKUP(2,1/(Lookups!$I$2:$I$11&lt;=E102)/(Lookups!$J$2:$J$11&gt;=E102),Lookups!$L$2:$L$11)</f>
        <v>#N/A</v>
      </c>
      <c r="AG102" s="142" t="str">
        <f t="shared" si="39"/>
        <v/>
      </c>
      <c r="AH102" s="142" t="str">
        <f t="shared" si="40"/>
        <v/>
      </c>
      <c r="AI102" s="143" t="b">
        <f t="shared" si="45"/>
        <v>0</v>
      </c>
      <c r="AJ102" s="143" t="str">
        <f t="shared" si="41"/>
        <v>Level 1</v>
      </c>
      <c r="AK102" s="142">
        <f t="shared" si="42"/>
        <v>0</v>
      </c>
      <c r="AL102" s="157" t="str">
        <f t="shared" si="50"/>
        <v/>
      </c>
      <c r="AM102" s="144" t="str">
        <f t="shared" si="51"/>
        <v>--FALSE-0</v>
      </c>
      <c r="AN102" s="158" t="str">
        <f t="shared" si="46"/>
        <v/>
      </c>
      <c r="AO102" s="145"/>
      <c r="AP102" s="159" t="str">
        <f>IF($AN102=FALSE,"",IFERROR(INDEX('Flat Rates'!$A$1:$M$3880,MATCH($AM102,'Flat Rates'!$A$1:$A$3880,0),MATCH("Standing Charge",'Flat Rates'!$A$1:$M$1,0))*100,""))</f>
        <v/>
      </c>
      <c r="AQ102" s="148" t="str">
        <f>IF($AN102=FALSE,"",IFERROR((IF(NOT(T102="Unrestricted"),"",INDEX('Flat Rates'!$A$1:$M$3880,MATCH($AM102,'Flat Rates'!$A$1:$A$3880,0),MATCH("Uni/Day Rate",'Flat Rates'!$A$1:$M$1,0)))*100)+H102,""))</f>
        <v/>
      </c>
      <c r="AR102" s="148" t="str">
        <f>IF($AN102=FALSE,"",IFERROR((IF(T102="Unrestricted","",INDEX('Flat Rates'!$A$1:$M$3880,MATCH($AM102,'Flat Rates'!$A$1:$A$3880,0),MATCH("Uni/Day Rate",'Flat Rates'!$A$1:$M$1,0)))*100)+H102,""))</f>
        <v/>
      </c>
      <c r="AS102" s="148" t="str">
        <f>IF($AN102=FALSE,"",IFERROR(IF(INDEX('Flat Rates'!$A$1:$M$3880,MATCH($AM102,'Flat Rates'!$A$1:$A$3880,0),MATCH("Night Unit Rate",'Flat Rates'!$A$1:$M$1,0))=0,"",((INDEX('Flat Rates'!$A$1:$M$3880,MATCH($AM102,'Flat Rates'!$A$1:$A$3880,0),MATCH("Night Unit Rate",'Flat Rates'!$A$1:$M$1,0)))*100)+H102),""))</f>
        <v/>
      </c>
      <c r="AT102" s="148" t="str">
        <f>IF($AN102=FALSE,"",IFERROR(IF(INDEX('Flat Rates'!$A$1:$M$3880,MATCH($AM102,'Flat Rates'!$A$1:$A$3880,0),MATCH("Evening and Weekend Rate",'Flat Rates'!$A$1:$M$1,0))=0,"",((INDEX('Flat Rates'!$A$1:$M$3880,MATCH($AM102,'Flat Rates'!$A$1:$A$3880,0),MATCH("Evening and Weekend Rate",'Flat Rates'!$A$1:$M$1,0)))*100)+H102),""))</f>
        <v/>
      </c>
      <c r="AU102" s="152" t="str">
        <f t="shared" si="47"/>
        <v/>
      </c>
      <c r="AV102" s="152" t="str">
        <f t="shared" si="48"/>
        <v/>
      </c>
      <c r="AW102" s="152" t="str">
        <f t="shared" si="49"/>
        <v/>
      </c>
    </row>
    <row r="103" spans="2:49" ht="15" thickBot="1" x14ac:dyDescent="0.35">
      <c r="B103" s="138" t="str">
        <f t="shared" si="26"/>
        <v/>
      </c>
      <c r="C103" s="137"/>
      <c r="D103" s="139"/>
      <c r="E103" s="140"/>
      <c r="F103" s="140"/>
      <c r="G103" s="139"/>
      <c r="H103" s="151"/>
      <c r="I103" s="139"/>
      <c r="J103" s="138"/>
      <c r="K103" s="139"/>
      <c r="L103" s="141"/>
      <c r="M103" s="133" t="str">
        <f t="shared" si="27"/>
        <v/>
      </c>
      <c r="N103" s="133" t="str">
        <f t="shared" si="28"/>
        <v/>
      </c>
      <c r="O103" s="133" t="str">
        <f t="shared" si="29"/>
        <v/>
      </c>
      <c r="P103" s="133" t="str">
        <f t="shared" si="30"/>
        <v/>
      </c>
      <c r="Q103" s="133" t="str">
        <f t="shared" si="31"/>
        <v/>
      </c>
      <c r="R103" s="133" t="str">
        <f t="shared" si="32"/>
        <v/>
      </c>
      <c r="S103" s="133" t="str">
        <f t="shared" si="33"/>
        <v/>
      </c>
      <c r="T103" s="133" t="str">
        <f>IFERROR(IF($U103="ERROR","ERROR",IF($N103="00",IF(J103="1-Rate","HH 1RATE",IF(J103="2-Rate","HH 2RATE","")),IFERROR(VLOOKUP(CONCATENATE(N103,Q103,O103,P103),Lookups!$A$2:$E$4557,5,0),VLOOKUP(CONCATENATE(N103,Q103,O103),Lookups!$A$2:$E$4557,5,0)))),"ERROR")</f>
        <v>ERROR</v>
      </c>
      <c r="U103" s="133" t="str">
        <f>IFERROR(IF(NOT($N103="00"),"",VLOOKUP(CONCATENATE(Q103,P103,LOOKUP(2,1/(Lookups!$I$2:$I$11&lt;=E103)/(Lookups!$J$2:$J$11&gt;=Tool!$C$14),Lookups!$K$2:$K$11)),'HH LLFs'!$A$2:$K$500,3,0)),"ERROR")</f>
        <v/>
      </c>
      <c r="V103" s="132">
        <f>Calcs!$I$2</f>
        <v>44377</v>
      </c>
      <c r="W103" s="132">
        <f>Calcs!$I$4</f>
        <v>44592</v>
      </c>
      <c r="X103" s="153" t="str">
        <f>IF(NOT(N103="00"),"",(VLOOKUP(CONCATENATE(Q103,P103,LOOKUP(2,1/(Lookups!$I$2:$I$11&lt;=Multisite!E103)/(Lookups!$J$2:$J$11&gt;=E103),Lookups!$K$2:$K$11)),'HH LLFs'!$A$2:$F$282,6,0)*365)/12)</f>
        <v/>
      </c>
      <c r="Y103" s="153">
        <f t="shared" si="34"/>
        <v>0</v>
      </c>
      <c r="Z103" s="153" t="str">
        <f t="shared" si="43"/>
        <v/>
      </c>
      <c r="AA103" s="153" t="str">
        <f t="shared" si="35"/>
        <v/>
      </c>
      <c r="AB103" s="153" t="str">
        <f t="shared" si="44"/>
        <v/>
      </c>
      <c r="AC103" s="153" t="str">
        <f t="shared" si="36"/>
        <v/>
      </c>
      <c r="AD103" s="153" t="str">
        <f t="shared" si="37"/>
        <v/>
      </c>
      <c r="AE103" s="153" t="str">
        <f t="shared" si="38"/>
        <v/>
      </c>
      <c r="AF103" s="155" t="e">
        <f>LOOKUP(2,1/(Lookups!$I$2:$I$11&lt;=E103)/(Lookups!$J$2:$J$11&gt;=E103),Lookups!$L$2:$L$11)</f>
        <v>#N/A</v>
      </c>
      <c r="AG103" s="142" t="str">
        <f t="shared" si="39"/>
        <v/>
      </c>
      <c r="AH103" s="142" t="str">
        <f t="shared" si="40"/>
        <v/>
      </c>
      <c r="AI103" s="143" t="b">
        <f t="shared" si="45"/>
        <v>0</v>
      </c>
      <c r="AJ103" s="143" t="str">
        <f t="shared" si="41"/>
        <v>Level 1</v>
      </c>
      <c r="AK103" s="142">
        <f t="shared" si="42"/>
        <v>0</v>
      </c>
      <c r="AL103" s="157" t="str">
        <f t="shared" si="50"/>
        <v/>
      </c>
      <c r="AM103" s="144" t="str">
        <f t="shared" si="51"/>
        <v>--FALSE-0</v>
      </c>
      <c r="AN103" s="158" t="str">
        <f t="shared" si="46"/>
        <v/>
      </c>
      <c r="AO103" s="145"/>
      <c r="AP103" s="159" t="str">
        <f>IF($AN103=FALSE,"",IFERROR(INDEX('Flat Rates'!$A$1:$M$3880,MATCH($AM103,'Flat Rates'!$A$1:$A$3880,0),MATCH("Standing Charge",'Flat Rates'!$A$1:$M$1,0))*100,""))</f>
        <v/>
      </c>
      <c r="AQ103" s="148" t="str">
        <f>IF($AN103=FALSE,"",IFERROR((IF(NOT(T103="Unrestricted"),"",INDEX('Flat Rates'!$A$1:$M$3880,MATCH($AM103,'Flat Rates'!$A$1:$A$3880,0),MATCH("Uni/Day Rate",'Flat Rates'!$A$1:$M$1,0)))*100)+H103,""))</f>
        <v/>
      </c>
      <c r="AR103" s="148" t="str">
        <f>IF($AN103=FALSE,"",IFERROR((IF(T103="Unrestricted","",INDEX('Flat Rates'!$A$1:$M$3880,MATCH($AM103,'Flat Rates'!$A$1:$A$3880,0),MATCH("Uni/Day Rate",'Flat Rates'!$A$1:$M$1,0)))*100)+H103,""))</f>
        <v/>
      </c>
      <c r="AS103" s="148" t="str">
        <f>IF($AN103=FALSE,"",IFERROR(IF(INDEX('Flat Rates'!$A$1:$M$3880,MATCH($AM103,'Flat Rates'!$A$1:$A$3880,0),MATCH("Night Unit Rate",'Flat Rates'!$A$1:$M$1,0))=0,"",((INDEX('Flat Rates'!$A$1:$M$3880,MATCH($AM103,'Flat Rates'!$A$1:$A$3880,0),MATCH("Night Unit Rate",'Flat Rates'!$A$1:$M$1,0)))*100)+H103),""))</f>
        <v/>
      </c>
      <c r="AT103" s="148" t="str">
        <f>IF($AN103=FALSE,"",IFERROR(IF(INDEX('Flat Rates'!$A$1:$M$3880,MATCH($AM103,'Flat Rates'!$A$1:$A$3880,0),MATCH("Evening and Weekend Rate",'Flat Rates'!$A$1:$M$1,0))=0,"",((INDEX('Flat Rates'!$A$1:$M$3880,MATCH($AM103,'Flat Rates'!$A$1:$A$3880,0),MATCH("Evening and Weekend Rate",'Flat Rates'!$A$1:$M$1,0)))*100)+H103),""))</f>
        <v/>
      </c>
      <c r="AU103" s="152" t="str">
        <f t="shared" si="47"/>
        <v/>
      </c>
      <c r="AV103" s="152" t="str">
        <f t="shared" si="48"/>
        <v/>
      </c>
      <c r="AW103" s="152" t="str">
        <f t="shared" si="49"/>
        <v/>
      </c>
    </row>
    <row r="104" spans="2:49" ht="15" thickBot="1" x14ac:dyDescent="0.35">
      <c r="B104" s="138" t="str">
        <f t="shared" si="26"/>
        <v/>
      </c>
      <c r="C104" s="137"/>
      <c r="D104" s="139"/>
      <c r="E104" s="140"/>
      <c r="F104" s="140"/>
      <c r="G104" s="139"/>
      <c r="H104" s="151"/>
      <c r="I104" s="139"/>
      <c r="J104" s="137"/>
      <c r="K104" s="139"/>
      <c r="L104" s="141"/>
      <c r="M104" s="133" t="str">
        <f t="shared" si="27"/>
        <v/>
      </c>
      <c r="N104" s="133" t="str">
        <f t="shared" si="28"/>
        <v/>
      </c>
      <c r="O104" s="133" t="str">
        <f t="shared" si="29"/>
        <v/>
      </c>
      <c r="P104" s="133" t="str">
        <f t="shared" si="30"/>
        <v/>
      </c>
      <c r="Q104" s="133" t="str">
        <f t="shared" si="31"/>
        <v/>
      </c>
      <c r="R104" s="133" t="str">
        <f t="shared" si="32"/>
        <v/>
      </c>
      <c r="S104" s="133" t="str">
        <f t="shared" si="33"/>
        <v/>
      </c>
      <c r="T104" s="133" t="str">
        <f>IFERROR(IF($U104="ERROR","ERROR",IF($N104="00",IF(J104="1-Rate","HH 1RATE",IF(J104="2-Rate","HH 2RATE","")),IFERROR(VLOOKUP(CONCATENATE(N104,Q104,O104,P104),Lookups!$A$2:$E$4557,5,0),VLOOKUP(CONCATENATE(N104,Q104,O104),Lookups!$A$2:$E$4557,5,0)))),"ERROR")</f>
        <v>ERROR</v>
      </c>
      <c r="U104" s="133" t="str">
        <f>IFERROR(IF(NOT($N104="00"),"",VLOOKUP(CONCATENATE(Q104,P104,LOOKUP(2,1/(Lookups!$I$2:$I$11&lt;=E104)/(Lookups!$J$2:$J$11&gt;=Tool!$C$14),Lookups!$K$2:$K$11)),'HH LLFs'!$A$2:$K$500,3,0)),"ERROR")</f>
        <v/>
      </c>
      <c r="V104" s="132">
        <f>Calcs!$I$2</f>
        <v>44377</v>
      </c>
      <c r="W104" s="132">
        <f>Calcs!$I$4</f>
        <v>44592</v>
      </c>
      <c r="X104" s="153" t="str">
        <f>IF(NOT(N104="00"),"",(VLOOKUP(CONCATENATE(Q104,P104,LOOKUP(2,1/(Lookups!$I$2:$I$11&lt;=Multisite!E104)/(Lookups!$J$2:$J$11&gt;=E104),Lookups!$K$2:$K$11)),'HH LLFs'!$A$2:$F$282,6,0)*365)/12)</f>
        <v/>
      </c>
      <c r="Y104" s="153">
        <f t="shared" si="34"/>
        <v>0</v>
      </c>
      <c r="Z104" s="153" t="str">
        <f t="shared" si="43"/>
        <v/>
      </c>
      <c r="AA104" s="153" t="str">
        <f t="shared" si="35"/>
        <v/>
      </c>
      <c r="AB104" s="153" t="str">
        <f t="shared" si="44"/>
        <v/>
      </c>
      <c r="AC104" s="153" t="str">
        <f t="shared" si="36"/>
        <v/>
      </c>
      <c r="AD104" s="153" t="str">
        <f t="shared" si="37"/>
        <v/>
      </c>
      <c r="AE104" s="153" t="str">
        <f t="shared" si="38"/>
        <v/>
      </c>
      <c r="AF104" s="155" t="e">
        <f>LOOKUP(2,1/(Lookups!$I$2:$I$11&lt;=E104)/(Lookups!$J$2:$J$11&gt;=E104),Lookups!$L$2:$L$11)</f>
        <v>#N/A</v>
      </c>
      <c r="AG104" s="142" t="str">
        <f t="shared" si="39"/>
        <v/>
      </c>
      <c r="AH104" s="142" t="str">
        <f t="shared" si="40"/>
        <v/>
      </c>
      <c r="AI104" s="143" t="b">
        <f t="shared" si="45"/>
        <v>0</v>
      </c>
      <c r="AJ104" s="143" t="str">
        <f t="shared" si="41"/>
        <v>Level 1</v>
      </c>
      <c r="AK104" s="142">
        <f t="shared" si="42"/>
        <v>0</v>
      </c>
      <c r="AL104" s="157" t="str">
        <f t="shared" si="50"/>
        <v/>
      </c>
      <c r="AM104" s="144" t="str">
        <f t="shared" si="51"/>
        <v>--FALSE-0</v>
      </c>
      <c r="AN104" s="158" t="str">
        <f t="shared" si="46"/>
        <v/>
      </c>
      <c r="AO104" s="145"/>
      <c r="AP104" s="159" t="str">
        <f>IF($AN104=FALSE,"",IFERROR(INDEX('Flat Rates'!$A$1:$M$3880,MATCH($AM104,'Flat Rates'!$A$1:$A$3880,0),MATCH("Standing Charge",'Flat Rates'!$A$1:$M$1,0))*100,""))</f>
        <v/>
      </c>
      <c r="AQ104" s="148" t="str">
        <f>IF($AN104=FALSE,"",IFERROR((IF(NOT(T104="Unrestricted"),"",INDEX('Flat Rates'!$A$1:$M$3880,MATCH($AM104,'Flat Rates'!$A$1:$A$3880,0),MATCH("Uni/Day Rate",'Flat Rates'!$A$1:$M$1,0)))*100)+H104,""))</f>
        <v/>
      </c>
      <c r="AR104" s="148" t="str">
        <f>IF($AN104=FALSE,"",IFERROR((IF(T104="Unrestricted","",INDEX('Flat Rates'!$A$1:$M$3880,MATCH($AM104,'Flat Rates'!$A$1:$A$3880,0),MATCH("Uni/Day Rate",'Flat Rates'!$A$1:$M$1,0)))*100)+H104,""))</f>
        <v/>
      </c>
      <c r="AS104" s="148" t="str">
        <f>IF($AN104=FALSE,"",IFERROR(IF(INDEX('Flat Rates'!$A$1:$M$3880,MATCH($AM104,'Flat Rates'!$A$1:$A$3880,0),MATCH("Night Unit Rate",'Flat Rates'!$A$1:$M$1,0))=0,"",((INDEX('Flat Rates'!$A$1:$M$3880,MATCH($AM104,'Flat Rates'!$A$1:$A$3880,0),MATCH("Night Unit Rate",'Flat Rates'!$A$1:$M$1,0)))*100)+H104),""))</f>
        <v/>
      </c>
      <c r="AT104" s="148" t="str">
        <f>IF($AN104=FALSE,"",IFERROR(IF(INDEX('Flat Rates'!$A$1:$M$3880,MATCH($AM104,'Flat Rates'!$A$1:$A$3880,0),MATCH("Evening and Weekend Rate",'Flat Rates'!$A$1:$M$1,0))=0,"",((INDEX('Flat Rates'!$A$1:$M$3880,MATCH($AM104,'Flat Rates'!$A$1:$A$3880,0),MATCH("Evening and Weekend Rate",'Flat Rates'!$A$1:$M$1,0)))*100)+H104),""))</f>
        <v/>
      </c>
      <c r="AU104" s="152" t="str">
        <f t="shared" si="47"/>
        <v/>
      </c>
      <c r="AV104" s="152" t="str">
        <f t="shared" si="48"/>
        <v/>
      </c>
      <c r="AW104" s="152" t="str">
        <f t="shared" si="49"/>
        <v/>
      </c>
    </row>
    <row r="105" spans="2:49" ht="15" thickBot="1" x14ac:dyDescent="0.35">
      <c r="B105" s="138" t="str">
        <f t="shared" si="26"/>
        <v/>
      </c>
      <c r="C105" s="137"/>
      <c r="D105" s="139"/>
      <c r="E105" s="140"/>
      <c r="F105" s="140"/>
      <c r="G105" s="139"/>
      <c r="H105" s="151"/>
      <c r="I105" s="139"/>
      <c r="J105" s="138"/>
      <c r="K105" s="139"/>
      <c r="L105" s="141"/>
      <c r="M105" s="133" t="str">
        <f t="shared" si="27"/>
        <v/>
      </c>
      <c r="N105" s="133" t="str">
        <f t="shared" si="28"/>
        <v/>
      </c>
      <c r="O105" s="133" t="str">
        <f t="shared" si="29"/>
        <v/>
      </c>
      <c r="P105" s="133" t="str">
        <f t="shared" si="30"/>
        <v/>
      </c>
      <c r="Q105" s="133" t="str">
        <f t="shared" si="31"/>
        <v/>
      </c>
      <c r="R105" s="133" t="str">
        <f t="shared" si="32"/>
        <v/>
      </c>
      <c r="S105" s="133" t="str">
        <f t="shared" si="33"/>
        <v/>
      </c>
      <c r="T105" s="133" t="str">
        <f>IFERROR(IF($U105="ERROR","ERROR",IF($N105="00",IF(J105="1-Rate","HH 1RATE",IF(J105="2-Rate","HH 2RATE","")),IFERROR(VLOOKUP(CONCATENATE(N105,Q105,O105,P105),Lookups!$A$2:$E$4557,5,0),VLOOKUP(CONCATENATE(N105,Q105,O105),Lookups!$A$2:$E$4557,5,0)))),"ERROR")</f>
        <v>ERROR</v>
      </c>
      <c r="U105" s="133" t="str">
        <f>IFERROR(IF(NOT($N105="00"),"",VLOOKUP(CONCATENATE(Q105,P105,LOOKUP(2,1/(Lookups!$I$2:$I$11&lt;=E105)/(Lookups!$J$2:$J$11&gt;=Tool!$C$14),Lookups!$K$2:$K$11)),'HH LLFs'!$A$2:$K$500,3,0)),"ERROR")</f>
        <v/>
      </c>
      <c r="V105" s="132">
        <f>Calcs!$I$2</f>
        <v>44377</v>
      </c>
      <c r="W105" s="132">
        <f>Calcs!$I$4</f>
        <v>44592</v>
      </c>
      <c r="X105" s="153" t="str">
        <f>IF(NOT(N105="00"),"",(VLOOKUP(CONCATENATE(Q105,P105,LOOKUP(2,1/(Lookups!$I$2:$I$11&lt;=Multisite!E105)/(Lookups!$J$2:$J$11&gt;=E105),Lookups!$K$2:$K$11)),'HH LLFs'!$A$2:$F$282,6,0)*365)/12)</f>
        <v/>
      </c>
      <c r="Y105" s="153">
        <f t="shared" si="34"/>
        <v>0</v>
      </c>
      <c r="Z105" s="153" t="str">
        <f t="shared" si="43"/>
        <v/>
      </c>
      <c r="AA105" s="153" t="str">
        <f t="shared" si="35"/>
        <v/>
      </c>
      <c r="AB105" s="153" t="str">
        <f t="shared" si="44"/>
        <v/>
      </c>
      <c r="AC105" s="153" t="str">
        <f t="shared" si="36"/>
        <v/>
      </c>
      <c r="AD105" s="153" t="str">
        <f t="shared" si="37"/>
        <v/>
      </c>
      <c r="AE105" s="153" t="str">
        <f t="shared" si="38"/>
        <v/>
      </c>
      <c r="AF105" s="155" t="e">
        <f>LOOKUP(2,1/(Lookups!$I$2:$I$11&lt;=E105)/(Lookups!$J$2:$J$11&gt;=E105),Lookups!$L$2:$L$11)</f>
        <v>#N/A</v>
      </c>
      <c r="AG105" s="142" t="str">
        <f t="shared" si="39"/>
        <v/>
      </c>
      <c r="AH105" s="142" t="str">
        <f t="shared" si="40"/>
        <v/>
      </c>
      <c r="AI105" s="143" t="b">
        <f t="shared" si="45"/>
        <v>0</v>
      </c>
      <c r="AJ105" s="143" t="str">
        <f t="shared" si="41"/>
        <v>Level 1</v>
      </c>
      <c r="AK105" s="142">
        <f t="shared" si="42"/>
        <v>0</v>
      </c>
      <c r="AL105" s="157" t="str">
        <f t="shared" si="50"/>
        <v/>
      </c>
      <c r="AM105" s="144" t="str">
        <f t="shared" si="51"/>
        <v>--FALSE-0</v>
      </c>
      <c r="AN105" s="158" t="str">
        <f t="shared" si="46"/>
        <v/>
      </c>
      <c r="AO105" s="145"/>
      <c r="AP105" s="159" t="str">
        <f>IF($AN105=FALSE,"",IFERROR(INDEX('Flat Rates'!$A$1:$M$3880,MATCH($AM105,'Flat Rates'!$A$1:$A$3880,0),MATCH("Standing Charge",'Flat Rates'!$A$1:$M$1,0))*100,""))</f>
        <v/>
      </c>
      <c r="AQ105" s="148" t="str">
        <f>IF($AN105=FALSE,"",IFERROR((IF(NOT(T105="Unrestricted"),"",INDEX('Flat Rates'!$A$1:$M$3880,MATCH($AM105,'Flat Rates'!$A$1:$A$3880,0),MATCH("Uni/Day Rate",'Flat Rates'!$A$1:$M$1,0)))*100)+H105,""))</f>
        <v/>
      </c>
      <c r="AR105" s="148" t="str">
        <f>IF($AN105=FALSE,"",IFERROR((IF(T105="Unrestricted","",INDEX('Flat Rates'!$A$1:$M$3880,MATCH($AM105,'Flat Rates'!$A$1:$A$3880,0),MATCH("Uni/Day Rate",'Flat Rates'!$A$1:$M$1,0)))*100)+H105,""))</f>
        <v/>
      </c>
      <c r="AS105" s="148" t="str">
        <f>IF($AN105=FALSE,"",IFERROR(IF(INDEX('Flat Rates'!$A$1:$M$3880,MATCH($AM105,'Flat Rates'!$A$1:$A$3880,0),MATCH("Night Unit Rate",'Flat Rates'!$A$1:$M$1,0))=0,"",((INDEX('Flat Rates'!$A$1:$M$3880,MATCH($AM105,'Flat Rates'!$A$1:$A$3880,0),MATCH("Night Unit Rate",'Flat Rates'!$A$1:$M$1,0)))*100)+H105),""))</f>
        <v/>
      </c>
      <c r="AT105" s="148" t="str">
        <f>IF($AN105=FALSE,"",IFERROR(IF(INDEX('Flat Rates'!$A$1:$M$3880,MATCH($AM105,'Flat Rates'!$A$1:$A$3880,0),MATCH("Evening and Weekend Rate",'Flat Rates'!$A$1:$M$1,0))=0,"",((INDEX('Flat Rates'!$A$1:$M$3880,MATCH($AM105,'Flat Rates'!$A$1:$A$3880,0),MATCH("Evening and Weekend Rate",'Flat Rates'!$A$1:$M$1,0)))*100)+H105),""))</f>
        <v/>
      </c>
      <c r="AU105" s="152" t="str">
        <f t="shared" si="47"/>
        <v/>
      </c>
      <c r="AV105" s="152" t="str">
        <f t="shared" si="48"/>
        <v/>
      </c>
      <c r="AW105" s="152" t="str">
        <f t="shared" si="49"/>
        <v/>
      </c>
    </row>
    <row r="106" spans="2:49" ht="15" thickBot="1" x14ac:dyDescent="0.35">
      <c r="B106" s="138" t="str">
        <f t="shared" si="26"/>
        <v/>
      </c>
      <c r="C106" s="137"/>
      <c r="D106" s="139"/>
      <c r="E106" s="140"/>
      <c r="F106" s="140"/>
      <c r="G106" s="139"/>
      <c r="H106" s="151"/>
      <c r="I106" s="139"/>
      <c r="J106" s="137"/>
      <c r="K106" s="139"/>
      <c r="L106" s="141"/>
      <c r="M106" s="133" t="str">
        <f t="shared" si="27"/>
        <v/>
      </c>
      <c r="N106" s="133" t="str">
        <f t="shared" si="28"/>
        <v/>
      </c>
      <c r="O106" s="133" t="str">
        <f t="shared" si="29"/>
        <v/>
      </c>
      <c r="P106" s="133" t="str">
        <f t="shared" si="30"/>
        <v/>
      </c>
      <c r="Q106" s="133" t="str">
        <f t="shared" si="31"/>
        <v/>
      </c>
      <c r="R106" s="133" t="str">
        <f t="shared" si="32"/>
        <v/>
      </c>
      <c r="S106" s="133" t="str">
        <f t="shared" si="33"/>
        <v/>
      </c>
      <c r="T106" s="133" t="str">
        <f>IFERROR(IF($U106="ERROR","ERROR",IF($N106="00",IF(J106="1-Rate","HH 1RATE",IF(J106="2-Rate","HH 2RATE","")),IFERROR(VLOOKUP(CONCATENATE(N106,Q106,O106,P106),Lookups!$A$2:$E$4557,5,0),VLOOKUP(CONCATENATE(N106,Q106,O106),Lookups!$A$2:$E$4557,5,0)))),"ERROR")</f>
        <v>ERROR</v>
      </c>
      <c r="U106" s="133" t="str">
        <f>IFERROR(IF(NOT($N106="00"),"",VLOOKUP(CONCATENATE(Q106,P106,LOOKUP(2,1/(Lookups!$I$2:$I$11&lt;=E106)/(Lookups!$J$2:$J$11&gt;=Tool!$C$14),Lookups!$K$2:$K$11)),'HH LLFs'!$A$2:$K$500,3,0)),"ERROR")</f>
        <v/>
      </c>
      <c r="V106" s="132">
        <f>Calcs!$I$2</f>
        <v>44377</v>
      </c>
      <c r="W106" s="132">
        <f>Calcs!$I$4</f>
        <v>44592</v>
      </c>
      <c r="X106" s="153" t="str">
        <f>IF(NOT(N106="00"),"",(VLOOKUP(CONCATENATE(Q106,P106,LOOKUP(2,1/(Lookups!$I$2:$I$11&lt;=Multisite!E106)/(Lookups!$J$2:$J$11&gt;=E106),Lookups!$K$2:$K$11)),'HH LLFs'!$A$2:$F$282,6,0)*365)/12)</f>
        <v/>
      </c>
      <c r="Y106" s="153">
        <f t="shared" si="34"/>
        <v>0</v>
      </c>
      <c r="Z106" s="153" t="str">
        <f t="shared" si="43"/>
        <v/>
      </c>
      <c r="AA106" s="153" t="str">
        <f t="shared" si="35"/>
        <v/>
      </c>
      <c r="AB106" s="153" t="str">
        <f t="shared" si="44"/>
        <v/>
      </c>
      <c r="AC106" s="153" t="str">
        <f t="shared" si="36"/>
        <v/>
      </c>
      <c r="AD106" s="153" t="str">
        <f t="shared" si="37"/>
        <v/>
      </c>
      <c r="AE106" s="153" t="str">
        <f t="shared" si="38"/>
        <v/>
      </c>
      <c r="AF106" s="155" t="e">
        <f>LOOKUP(2,1/(Lookups!$I$2:$I$11&lt;=E106)/(Lookups!$J$2:$J$11&gt;=E106),Lookups!$L$2:$L$11)</f>
        <v>#N/A</v>
      </c>
      <c r="AG106" s="142" t="str">
        <f t="shared" si="39"/>
        <v/>
      </c>
      <c r="AH106" s="142" t="str">
        <f t="shared" si="40"/>
        <v/>
      </c>
      <c r="AI106" s="143" t="b">
        <f t="shared" si="45"/>
        <v>0</v>
      </c>
      <c r="AJ106" s="143" t="str">
        <f t="shared" si="41"/>
        <v>Level 1</v>
      </c>
      <c r="AK106" s="142">
        <f t="shared" si="42"/>
        <v>0</v>
      </c>
      <c r="AL106" s="157" t="str">
        <f t="shared" si="50"/>
        <v/>
      </c>
      <c r="AM106" s="144" t="str">
        <f t="shared" si="51"/>
        <v>--FALSE-0</v>
      </c>
      <c r="AN106" s="158" t="str">
        <f t="shared" si="46"/>
        <v/>
      </c>
      <c r="AO106" s="145"/>
      <c r="AP106" s="159" t="str">
        <f>IF($AN106=FALSE,"",IFERROR(INDEX('Flat Rates'!$A$1:$M$3880,MATCH($AM106,'Flat Rates'!$A$1:$A$3880,0),MATCH("Standing Charge",'Flat Rates'!$A$1:$M$1,0))*100,""))</f>
        <v/>
      </c>
      <c r="AQ106" s="148" t="str">
        <f>IF($AN106=FALSE,"",IFERROR((IF(NOT(T106="Unrestricted"),"",INDEX('Flat Rates'!$A$1:$M$3880,MATCH($AM106,'Flat Rates'!$A$1:$A$3880,0),MATCH("Uni/Day Rate",'Flat Rates'!$A$1:$M$1,0)))*100)+H106,""))</f>
        <v/>
      </c>
      <c r="AR106" s="148" t="str">
        <f>IF($AN106=FALSE,"",IFERROR((IF(T106="Unrestricted","",INDEX('Flat Rates'!$A$1:$M$3880,MATCH($AM106,'Flat Rates'!$A$1:$A$3880,0),MATCH("Uni/Day Rate",'Flat Rates'!$A$1:$M$1,0)))*100)+H106,""))</f>
        <v/>
      </c>
      <c r="AS106" s="148" t="str">
        <f>IF($AN106=FALSE,"",IFERROR(IF(INDEX('Flat Rates'!$A$1:$M$3880,MATCH($AM106,'Flat Rates'!$A$1:$A$3880,0),MATCH("Night Unit Rate",'Flat Rates'!$A$1:$M$1,0))=0,"",((INDEX('Flat Rates'!$A$1:$M$3880,MATCH($AM106,'Flat Rates'!$A$1:$A$3880,0),MATCH("Night Unit Rate",'Flat Rates'!$A$1:$M$1,0)))*100)+H106),""))</f>
        <v/>
      </c>
      <c r="AT106" s="148" t="str">
        <f>IF($AN106=FALSE,"",IFERROR(IF(INDEX('Flat Rates'!$A$1:$M$3880,MATCH($AM106,'Flat Rates'!$A$1:$A$3880,0),MATCH("Evening and Weekend Rate",'Flat Rates'!$A$1:$M$1,0))=0,"",((INDEX('Flat Rates'!$A$1:$M$3880,MATCH($AM106,'Flat Rates'!$A$1:$A$3880,0),MATCH("Evening and Weekend Rate",'Flat Rates'!$A$1:$M$1,0)))*100)+H106),""))</f>
        <v/>
      </c>
      <c r="AU106" s="152" t="str">
        <f t="shared" si="47"/>
        <v/>
      </c>
      <c r="AV106" s="152" t="str">
        <f t="shared" si="48"/>
        <v/>
      </c>
      <c r="AW106" s="152" t="str">
        <f t="shared" si="49"/>
        <v/>
      </c>
    </row>
    <row r="107" spans="2:49" ht="15" thickBot="1" x14ac:dyDescent="0.35">
      <c r="B107" s="138" t="str">
        <f t="shared" si="26"/>
        <v/>
      </c>
      <c r="C107" s="137"/>
      <c r="D107" s="139"/>
      <c r="E107" s="140"/>
      <c r="F107" s="140"/>
      <c r="G107" s="139"/>
      <c r="H107" s="151"/>
      <c r="I107" s="139"/>
      <c r="J107" s="138"/>
      <c r="K107" s="139"/>
      <c r="L107" s="141"/>
      <c r="M107" s="133" t="str">
        <f t="shared" si="27"/>
        <v/>
      </c>
      <c r="N107" s="133" t="str">
        <f t="shared" si="28"/>
        <v/>
      </c>
      <c r="O107" s="133" t="str">
        <f t="shared" si="29"/>
        <v/>
      </c>
      <c r="P107" s="133" t="str">
        <f t="shared" si="30"/>
        <v/>
      </c>
      <c r="Q107" s="133" t="str">
        <f t="shared" si="31"/>
        <v/>
      </c>
      <c r="R107" s="133" t="str">
        <f t="shared" si="32"/>
        <v/>
      </c>
      <c r="S107" s="133" t="str">
        <f t="shared" si="33"/>
        <v/>
      </c>
      <c r="T107" s="133" t="str">
        <f>IFERROR(IF($U107="ERROR","ERROR",IF($N107="00",IF(J107="1-Rate","HH 1RATE",IF(J107="2-Rate","HH 2RATE","")),IFERROR(VLOOKUP(CONCATENATE(N107,Q107,O107,P107),Lookups!$A$2:$E$4557,5,0),VLOOKUP(CONCATENATE(N107,Q107,O107),Lookups!$A$2:$E$4557,5,0)))),"ERROR")</f>
        <v>ERROR</v>
      </c>
      <c r="U107" s="133" t="str">
        <f>IFERROR(IF(NOT($N107="00"),"",VLOOKUP(CONCATENATE(Q107,P107,LOOKUP(2,1/(Lookups!$I$2:$I$11&lt;=E107)/(Lookups!$J$2:$J$11&gt;=Tool!$C$14),Lookups!$K$2:$K$11)),'HH LLFs'!$A$2:$K$500,3,0)),"ERROR")</f>
        <v/>
      </c>
      <c r="V107" s="132">
        <f>Calcs!$I$2</f>
        <v>44377</v>
      </c>
      <c r="W107" s="132">
        <f>Calcs!$I$4</f>
        <v>44592</v>
      </c>
      <c r="X107" s="153" t="str">
        <f>IF(NOT(N107="00"),"",(VLOOKUP(CONCATENATE(Q107,P107,LOOKUP(2,1/(Lookups!$I$2:$I$11&lt;=Multisite!E107)/(Lookups!$J$2:$J$11&gt;=E107),Lookups!$K$2:$K$11)),'HH LLFs'!$A$2:$F$282,6,0)*365)/12)</f>
        <v/>
      </c>
      <c r="Y107" s="153">
        <f t="shared" si="34"/>
        <v>0</v>
      </c>
      <c r="Z107" s="153" t="str">
        <f t="shared" si="43"/>
        <v/>
      </c>
      <c r="AA107" s="153" t="str">
        <f t="shared" si="35"/>
        <v/>
      </c>
      <c r="AB107" s="153" t="str">
        <f t="shared" si="44"/>
        <v/>
      </c>
      <c r="AC107" s="153" t="str">
        <f t="shared" si="36"/>
        <v/>
      </c>
      <c r="AD107" s="153" t="str">
        <f t="shared" si="37"/>
        <v/>
      </c>
      <c r="AE107" s="153" t="str">
        <f t="shared" si="38"/>
        <v/>
      </c>
      <c r="AF107" s="155" t="e">
        <f>LOOKUP(2,1/(Lookups!$I$2:$I$11&lt;=E107)/(Lookups!$J$2:$J$11&gt;=E107),Lookups!$L$2:$L$11)</f>
        <v>#N/A</v>
      </c>
      <c r="AG107" s="142" t="str">
        <f t="shared" si="39"/>
        <v/>
      </c>
      <c r="AH107" s="142" t="str">
        <f t="shared" si="40"/>
        <v/>
      </c>
      <c r="AI107" s="143" t="b">
        <f t="shared" si="45"/>
        <v>0</v>
      </c>
      <c r="AJ107" s="143" t="str">
        <f t="shared" si="41"/>
        <v>Level 1</v>
      </c>
      <c r="AK107" s="142">
        <f t="shared" si="42"/>
        <v>0</v>
      </c>
      <c r="AL107" s="157" t="str">
        <f t="shared" si="50"/>
        <v/>
      </c>
      <c r="AM107" s="144" t="str">
        <f t="shared" si="51"/>
        <v>--FALSE-0</v>
      </c>
      <c r="AN107" s="158" t="str">
        <f t="shared" si="46"/>
        <v/>
      </c>
      <c r="AO107" s="145"/>
      <c r="AP107" s="159" t="str">
        <f>IF($AN107=FALSE,"",IFERROR(INDEX('Flat Rates'!$A$1:$M$3880,MATCH($AM107,'Flat Rates'!$A$1:$A$3880,0),MATCH("Standing Charge",'Flat Rates'!$A$1:$M$1,0))*100,""))</f>
        <v/>
      </c>
      <c r="AQ107" s="148" t="str">
        <f>IF($AN107=FALSE,"",IFERROR((IF(NOT(T107="Unrestricted"),"",INDEX('Flat Rates'!$A$1:$M$3880,MATCH($AM107,'Flat Rates'!$A$1:$A$3880,0),MATCH("Uni/Day Rate",'Flat Rates'!$A$1:$M$1,0)))*100)+H107,""))</f>
        <v/>
      </c>
      <c r="AR107" s="148" t="str">
        <f>IF($AN107=FALSE,"",IFERROR((IF(T107="Unrestricted","",INDEX('Flat Rates'!$A$1:$M$3880,MATCH($AM107,'Flat Rates'!$A$1:$A$3880,0),MATCH("Uni/Day Rate",'Flat Rates'!$A$1:$M$1,0)))*100)+H107,""))</f>
        <v/>
      </c>
      <c r="AS107" s="148" t="str">
        <f>IF($AN107=FALSE,"",IFERROR(IF(INDEX('Flat Rates'!$A$1:$M$3880,MATCH($AM107,'Flat Rates'!$A$1:$A$3880,0),MATCH("Night Unit Rate",'Flat Rates'!$A$1:$M$1,0))=0,"",((INDEX('Flat Rates'!$A$1:$M$3880,MATCH($AM107,'Flat Rates'!$A$1:$A$3880,0),MATCH("Night Unit Rate",'Flat Rates'!$A$1:$M$1,0)))*100)+H107),""))</f>
        <v/>
      </c>
      <c r="AT107" s="148" t="str">
        <f>IF($AN107=FALSE,"",IFERROR(IF(INDEX('Flat Rates'!$A$1:$M$3880,MATCH($AM107,'Flat Rates'!$A$1:$A$3880,0),MATCH("Evening and Weekend Rate",'Flat Rates'!$A$1:$M$1,0))=0,"",((INDEX('Flat Rates'!$A$1:$M$3880,MATCH($AM107,'Flat Rates'!$A$1:$A$3880,0),MATCH("Evening and Weekend Rate",'Flat Rates'!$A$1:$M$1,0)))*100)+H107),""))</f>
        <v/>
      </c>
      <c r="AU107" s="152" t="str">
        <f t="shared" si="47"/>
        <v/>
      </c>
      <c r="AV107" s="152" t="str">
        <f t="shared" si="48"/>
        <v/>
      </c>
      <c r="AW107" s="152" t="str">
        <f t="shared" si="49"/>
        <v/>
      </c>
    </row>
    <row r="108" spans="2:49" ht="15" thickBot="1" x14ac:dyDescent="0.35">
      <c r="B108" s="138" t="str">
        <f t="shared" si="26"/>
        <v/>
      </c>
      <c r="C108" s="137"/>
      <c r="D108" s="139"/>
      <c r="E108" s="140"/>
      <c r="F108" s="140"/>
      <c r="G108" s="139"/>
      <c r="H108" s="151"/>
      <c r="I108" s="139"/>
      <c r="J108" s="137"/>
      <c r="K108" s="139"/>
      <c r="L108" s="141"/>
      <c r="M108" s="133" t="str">
        <f t="shared" si="27"/>
        <v/>
      </c>
      <c r="N108" s="133" t="str">
        <f t="shared" si="28"/>
        <v/>
      </c>
      <c r="O108" s="133" t="str">
        <f t="shared" si="29"/>
        <v/>
      </c>
      <c r="P108" s="133" t="str">
        <f t="shared" si="30"/>
        <v/>
      </c>
      <c r="Q108" s="133" t="str">
        <f t="shared" si="31"/>
        <v/>
      </c>
      <c r="R108" s="133" t="str">
        <f t="shared" si="32"/>
        <v/>
      </c>
      <c r="S108" s="133" t="str">
        <f t="shared" si="33"/>
        <v/>
      </c>
      <c r="T108" s="133" t="str">
        <f>IFERROR(IF($U108="ERROR","ERROR",IF($N108="00",IF(J108="1-Rate","HH 1RATE",IF(J108="2-Rate","HH 2RATE","")),IFERROR(VLOOKUP(CONCATENATE(N108,Q108,O108,P108),Lookups!$A$2:$E$4557,5,0),VLOOKUP(CONCATENATE(N108,Q108,O108),Lookups!$A$2:$E$4557,5,0)))),"ERROR")</f>
        <v>ERROR</v>
      </c>
      <c r="U108" s="133" t="str">
        <f>IFERROR(IF(NOT($N108="00"),"",VLOOKUP(CONCATENATE(Q108,P108,LOOKUP(2,1/(Lookups!$I$2:$I$11&lt;=E108)/(Lookups!$J$2:$J$11&gt;=Tool!$C$14),Lookups!$K$2:$K$11)),'HH LLFs'!$A$2:$K$500,3,0)),"ERROR")</f>
        <v/>
      </c>
      <c r="V108" s="132">
        <f>Calcs!$I$2</f>
        <v>44377</v>
      </c>
      <c r="W108" s="132">
        <f>Calcs!$I$4</f>
        <v>44592</v>
      </c>
      <c r="X108" s="153" t="str">
        <f>IF(NOT(N108="00"),"",(VLOOKUP(CONCATENATE(Q108,P108,LOOKUP(2,1/(Lookups!$I$2:$I$11&lt;=Multisite!E108)/(Lookups!$J$2:$J$11&gt;=E108),Lookups!$K$2:$K$11)),'HH LLFs'!$A$2:$F$282,6,0)*365)/12)</f>
        <v/>
      </c>
      <c r="Y108" s="153">
        <f t="shared" si="34"/>
        <v>0</v>
      </c>
      <c r="Z108" s="153" t="str">
        <f t="shared" si="43"/>
        <v/>
      </c>
      <c r="AA108" s="153" t="str">
        <f t="shared" si="35"/>
        <v/>
      </c>
      <c r="AB108" s="153" t="str">
        <f t="shared" si="44"/>
        <v/>
      </c>
      <c r="AC108" s="153" t="str">
        <f t="shared" si="36"/>
        <v/>
      </c>
      <c r="AD108" s="153" t="str">
        <f t="shared" si="37"/>
        <v/>
      </c>
      <c r="AE108" s="153" t="str">
        <f t="shared" si="38"/>
        <v/>
      </c>
      <c r="AF108" s="155" t="e">
        <f>LOOKUP(2,1/(Lookups!$I$2:$I$11&lt;=E108)/(Lookups!$J$2:$J$11&gt;=E108),Lookups!$L$2:$L$11)</f>
        <v>#N/A</v>
      </c>
      <c r="AG108" s="142" t="str">
        <f t="shared" si="39"/>
        <v/>
      </c>
      <c r="AH108" s="142" t="str">
        <f t="shared" si="40"/>
        <v/>
      </c>
      <c r="AI108" s="143" t="b">
        <f t="shared" si="45"/>
        <v>0</v>
      </c>
      <c r="AJ108" s="143" t="str">
        <f t="shared" si="41"/>
        <v>Level 1</v>
      </c>
      <c r="AK108" s="142">
        <f t="shared" si="42"/>
        <v>0</v>
      </c>
      <c r="AL108" s="157" t="str">
        <f t="shared" si="50"/>
        <v/>
      </c>
      <c r="AM108" s="144" t="str">
        <f t="shared" si="51"/>
        <v>--FALSE-0</v>
      </c>
      <c r="AN108" s="158" t="str">
        <f t="shared" si="46"/>
        <v/>
      </c>
      <c r="AO108" s="145"/>
      <c r="AP108" s="159" t="str">
        <f>IF($AN108=FALSE,"",IFERROR(INDEX('Flat Rates'!$A$1:$M$3880,MATCH($AM108,'Flat Rates'!$A$1:$A$3880,0),MATCH("Standing Charge",'Flat Rates'!$A$1:$M$1,0))*100,""))</f>
        <v/>
      </c>
      <c r="AQ108" s="148" t="str">
        <f>IF($AN108=FALSE,"",IFERROR((IF(NOT(T108="Unrestricted"),"",INDEX('Flat Rates'!$A$1:$M$3880,MATCH($AM108,'Flat Rates'!$A$1:$A$3880,0),MATCH("Uni/Day Rate",'Flat Rates'!$A$1:$M$1,0)))*100)+H108,""))</f>
        <v/>
      </c>
      <c r="AR108" s="148" t="str">
        <f>IF($AN108=FALSE,"",IFERROR((IF(T108="Unrestricted","",INDEX('Flat Rates'!$A$1:$M$3880,MATCH($AM108,'Flat Rates'!$A$1:$A$3880,0),MATCH("Uni/Day Rate",'Flat Rates'!$A$1:$M$1,0)))*100)+H108,""))</f>
        <v/>
      </c>
      <c r="AS108" s="148" t="str">
        <f>IF($AN108=FALSE,"",IFERROR(IF(INDEX('Flat Rates'!$A$1:$M$3880,MATCH($AM108,'Flat Rates'!$A$1:$A$3880,0),MATCH("Night Unit Rate",'Flat Rates'!$A$1:$M$1,0))=0,"",((INDEX('Flat Rates'!$A$1:$M$3880,MATCH($AM108,'Flat Rates'!$A$1:$A$3880,0),MATCH("Night Unit Rate",'Flat Rates'!$A$1:$M$1,0)))*100)+H108),""))</f>
        <v/>
      </c>
      <c r="AT108" s="148" t="str">
        <f>IF($AN108=FALSE,"",IFERROR(IF(INDEX('Flat Rates'!$A$1:$M$3880,MATCH($AM108,'Flat Rates'!$A$1:$A$3880,0),MATCH("Evening and Weekend Rate",'Flat Rates'!$A$1:$M$1,0))=0,"",((INDEX('Flat Rates'!$A$1:$M$3880,MATCH($AM108,'Flat Rates'!$A$1:$A$3880,0),MATCH("Evening and Weekend Rate",'Flat Rates'!$A$1:$M$1,0)))*100)+H108),""))</f>
        <v/>
      </c>
      <c r="AU108" s="152" t="str">
        <f t="shared" si="47"/>
        <v/>
      </c>
      <c r="AV108" s="152" t="str">
        <f t="shared" si="48"/>
        <v/>
      </c>
      <c r="AW108" s="152" t="str">
        <f t="shared" si="49"/>
        <v/>
      </c>
    </row>
    <row r="109" spans="2:49" ht="15" thickBot="1" x14ac:dyDescent="0.35">
      <c r="B109" s="138" t="str">
        <f t="shared" si="26"/>
        <v/>
      </c>
      <c r="C109" s="137"/>
      <c r="D109" s="139"/>
      <c r="E109" s="140"/>
      <c r="F109" s="140"/>
      <c r="G109" s="139"/>
      <c r="H109" s="151"/>
      <c r="I109" s="139"/>
      <c r="J109" s="138"/>
      <c r="K109" s="139"/>
      <c r="L109" s="141"/>
      <c r="M109" s="133" t="str">
        <f t="shared" si="27"/>
        <v/>
      </c>
      <c r="N109" s="133" t="str">
        <f t="shared" si="28"/>
        <v/>
      </c>
      <c r="O109" s="133" t="str">
        <f t="shared" si="29"/>
        <v/>
      </c>
      <c r="P109" s="133" t="str">
        <f t="shared" si="30"/>
        <v/>
      </c>
      <c r="Q109" s="133" t="str">
        <f t="shared" si="31"/>
        <v/>
      </c>
      <c r="R109" s="133" t="str">
        <f t="shared" si="32"/>
        <v/>
      </c>
      <c r="S109" s="133" t="str">
        <f t="shared" si="33"/>
        <v/>
      </c>
      <c r="T109" s="133" t="str">
        <f>IFERROR(IF($U109="ERROR","ERROR",IF($N109="00",IF(J109="1-Rate","HH 1RATE",IF(J109="2-Rate","HH 2RATE","")),IFERROR(VLOOKUP(CONCATENATE(N109,Q109,O109,P109),Lookups!$A$2:$E$4557,5,0),VLOOKUP(CONCATENATE(N109,Q109,O109),Lookups!$A$2:$E$4557,5,0)))),"ERROR")</f>
        <v>ERROR</v>
      </c>
      <c r="U109" s="133" t="str">
        <f>IFERROR(IF(NOT($N109="00"),"",VLOOKUP(CONCATENATE(Q109,P109,LOOKUP(2,1/(Lookups!$I$2:$I$11&lt;=E109)/(Lookups!$J$2:$J$11&gt;=Tool!$C$14),Lookups!$K$2:$K$11)),'HH LLFs'!$A$2:$K$500,3,0)),"ERROR")</f>
        <v/>
      </c>
      <c r="V109" s="132">
        <f>Calcs!$I$2</f>
        <v>44377</v>
      </c>
      <c r="W109" s="132">
        <f>Calcs!$I$4</f>
        <v>44592</v>
      </c>
      <c r="X109" s="153" t="str">
        <f>IF(NOT(N109="00"),"",(VLOOKUP(CONCATENATE(Q109,P109,LOOKUP(2,1/(Lookups!$I$2:$I$11&lt;=Multisite!E109)/(Lookups!$J$2:$J$11&gt;=E109),Lookups!$K$2:$K$11)),'HH LLFs'!$A$2:$F$282,6,0)*365)/12)</f>
        <v/>
      </c>
      <c r="Y109" s="153">
        <f t="shared" si="34"/>
        <v>0</v>
      </c>
      <c r="Z109" s="153" t="str">
        <f t="shared" si="43"/>
        <v/>
      </c>
      <c r="AA109" s="153" t="str">
        <f t="shared" si="35"/>
        <v/>
      </c>
      <c r="AB109" s="153" t="str">
        <f t="shared" si="44"/>
        <v/>
      </c>
      <c r="AC109" s="153" t="str">
        <f t="shared" si="36"/>
        <v/>
      </c>
      <c r="AD109" s="153" t="str">
        <f t="shared" si="37"/>
        <v/>
      </c>
      <c r="AE109" s="153" t="str">
        <f t="shared" si="38"/>
        <v/>
      </c>
      <c r="AF109" s="155" t="e">
        <f>LOOKUP(2,1/(Lookups!$I$2:$I$11&lt;=E109)/(Lookups!$J$2:$J$11&gt;=E109),Lookups!$L$2:$L$11)</f>
        <v>#N/A</v>
      </c>
      <c r="AG109" s="142" t="str">
        <f t="shared" si="39"/>
        <v/>
      </c>
      <c r="AH109" s="142" t="str">
        <f t="shared" si="40"/>
        <v/>
      </c>
      <c r="AI109" s="143" t="b">
        <f t="shared" si="45"/>
        <v>0</v>
      </c>
      <c r="AJ109" s="143" t="str">
        <f t="shared" si="41"/>
        <v>Level 1</v>
      </c>
      <c r="AK109" s="142">
        <f t="shared" si="42"/>
        <v>0</v>
      </c>
      <c r="AL109" s="157" t="str">
        <f t="shared" si="50"/>
        <v/>
      </c>
      <c r="AM109" s="144" t="str">
        <f t="shared" si="51"/>
        <v>--FALSE-0</v>
      </c>
      <c r="AN109" s="158" t="str">
        <f t="shared" si="46"/>
        <v/>
      </c>
      <c r="AO109" s="145"/>
      <c r="AP109" s="159" t="str">
        <f>IF($AN109=FALSE,"",IFERROR(INDEX('Flat Rates'!$A$1:$M$3880,MATCH($AM109,'Flat Rates'!$A$1:$A$3880,0),MATCH("Standing Charge",'Flat Rates'!$A$1:$M$1,0))*100,""))</f>
        <v/>
      </c>
      <c r="AQ109" s="148" t="str">
        <f>IF($AN109=FALSE,"",IFERROR((IF(NOT(T109="Unrestricted"),"",INDEX('Flat Rates'!$A$1:$M$3880,MATCH($AM109,'Flat Rates'!$A$1:$A$3880,0),MATCH("Uni/Day Rate",'Flat Rates'!$A$1:$M$1,0)))*100)+H109,""))</f>
        <v/>
      </c>
      <c r="AR109" s="148" t="str">
        <f>IF($AN109=FALSE,"",IFERROR((IF(T109="Unrestricted","",INDEX('Flat Rates'!$A$1:$M$3880,MATCH($AM109,'Flat Rates'!$A$1:$A$3880,0),MATCH("Uni/Day Rate",'Flat Rates'!$A$1:$M$1,0)))*100)+H109,""))</f>
        <v/>
      </c>
      <c r="AS109" s="148" t="str">
        <f>IF($AN109=FALSE,"",IFERROR(IF(INDEX('Flat Rates'!$A$1:$M$3880,MATCH($AM109,'Flat Rates'!$A$1:$A$3880,0),MATCH("Night Unit Rate",'Flat Rates'!$A$1:$M$1,0))=0,"",((INDEX('Flat Rates'!$A$1:$M$3880,MATCH($AM109,'Flat Rates'!$A$1:$A$3880,0),MATCH("Night Unit Rate",'Flat Rates'!$A$1:$M$1,0)))*100)+H109),""))</f>
        <v/>
      </c>
      <c r="AT109" s="148" t="str">
        <f>IF($AN109=FALSE,"",IFERROR(IF(INDEX('Flat Rates'!$A$1:$M$3880,MATCH($AM109,'Flat Rates'!$A$1:$A$3880,0),MATCH("Evening and Weekend Rate",'Flat Rates'!$A$1:$M$1,0))=0,"",((INDEX('Flat Rates'!$A$1:$M$3880,MATCH($AM109,'Flat Rates'!$A$1:$A$3880,0),MATCH("Evening and Weekend Rate",'Flat Rates'!$A$1:$M$1,0)))*100)+H109),""))</f>
        <v/>
      </c>
      <c r="AU109" s="152" t="str">
        <f t="shared" si="47"/>
        <v/>
      </c>
      <c r="AV109" s="152" t="str">
        <f t="shared" si="48"/>
        <v/>
      </c>
      <c r="AW109" s="152" t="str">
        <f t="shared" si="49"/>
        <v/>
      </c>
    </row>
    <row r="110" spans="2:49" ht="15" thickBot="1" x14ac:dyDescent="0.35">
      <c r="B110" s="138" t="str">
        <f t="shared" si="26"/>
        <v/>
      </c>
      <c r="C110" s="137"/>
      <c r="D110" s="139"/>
      <c r="E110" s="140"/>
      <c r="F110" s="140"/>
      <c r="G110" s="139"/>
      <c r="H110" s="151"/>
      <c r="I110" s="139"/>
      <c r="J110" s="137"/>
      <c r="K110" s="139"/>
      <c r="L110" s="141"/>
      <c r="M110" s="133" t="str">
        <f t="shared" si="27"/>
        <v/>
      </c>
      <c r="N110" s="133" t="str">
        <f t="shared" si="28"/>
        <v/>
      </c>
      <c r="O110" s="133" t="str">
        <f t="shared" si="29"/>
        <v/>
      </c>
      <c r="P110" s="133" t="str">
        <f t="shared" si="30"/>
        <v/>
      </c>
      <c r="Q110" s="133" t="str">
        <f t="shared" si="31"/>
        <v/>
      </c>
      <c r="R110" s="133" t="str">
        <f t="shared" si="32"/>
        <v/>
      </c>
      <c r="S110" s="133" t="str">
        <f t="shared" si="33"/>
        <v/>
      </c>
      <c r="T110" s="133" t="str">
        <f>IFERROR(IF($U110="ERROR","ERROR",IF($N110="00",IF(J110="1-Rate","HH 1RATE",IF(J110="2-Rate","HH 2RATE","")),IFERROR(VLOOKUP(CONCATENATE(N110,Q110,O110,P110),Lookups!$A$2:$E$4557,5,0),VLOOKUP(CONCATENATE(N110,Q110,O110),Lookups!$A$2:$E$4557,5,0)))),"ERROR")</f>
        <v>ERROR</v>
      </c>
      <c r="U110" s="133" t="str">
        <f>IFERROR(IF(NOT($N110="00"),"",VLOOKUP(CONCATENATE(Q110,P110,LOOKUP(2,1/(Lookups!$I$2:$I$11&lt;=E110)/(Lookups!$J$2:$J$11&gt;=Tool!$C$14),Lookups!$K$2:$K$11)),'HH LLFs'!$A$2:$K$500,3,0)),"ERROR")</f>
        <v/>
      </c>
      <c r="V110" s="132">
        <f>Calcs!$I$2</f>
        <v>44377</v>
      </c>
      <c r="W110" s="132">
        <f>Calcs!$I$4</f>
        <v>44592</v>
      </c>
      <c r="X110" s="153" t="str">
        <f>IF(NOT(N110="00"),"",(VLOOKUP(CONCATENATE(Q110,P110,LOOKUP(2,1/(Lookups!$I$2:$I$11&lt;=Multisite!E110)/(Lookups!$J$2:$J$11&gt;=E110),Lookups!$K$2:$K$11)),'HH LLFs'!$A$2:$F$282,6,0)*365)/12)</f>
        <v/>
      </c>
      <c r="Y110" s="153">
        <f t="shared" si="34"/>
        <v>0</v>
      </c>
      <c r="Z110" s="153" t="str">
        <f t="shared" si="43"/>
        <v/>
      </c>
      <c r="AA110" s="153" t="str">
        <f t="shared" si="35"/>
        <v/>
      </c>
      <c r="AB110" s="153" t="str">
        <f t="shared" si="44"/>
        <v/>
      </c>
      <c r="AC110" s="153" t="str">
        <f t="shared" si="36"/>
        <v/>
      </c>
      <c r="AD110" s="153" t="str">
        <f t="shared" si="37"/>
        <v/>
      </c>
      <c r="AE110" s="153" t="str">
        <f t="shared" si="38"/>
        <v/>
      </c>
      <c r="AF110" s="155" t="e">
        <f>LOOKUP(2,1/(Lookups!$I$2:$I$11&lt;=E110)/(Lookups!$J$2:$J$11&gt;=E110),Lookups!$L$2:$L$11)</f>
        <v>#N/A</v>
      </c>
      <c r="AG110" s="142" t="str">
        <f t="shared" si="39"/>
        <v/>
      </c>
      <c r="AH110" s="142" t="str">
        <f t="shared" si="40"/>
        <v/>
      </c>
      <c r="AI110" s="143" t="b">
        <f t="shared" si="45"/>
        <v>0</v>
      </c>
      <c r="AJ110" s="143" t="str">
        <f t="shared" si="41"/>
        <v>Level 1</v>
      </c>
      <c r="AK110" s="142">
        <f t="shared" si="42"/>
        <v>0</v>
      </c>
      <c r="AL110" s="157" t="str">
        <f t="shared" si="50"/>
        <v/>
      </c>
      <c r="AM110" s="144" t="str">
        <f t="shared" si="51"/>
        <v>--FALSE-0</v>
      </c>
      <c r="AN110" s="158" t="str">
        <f t="shared" si="46"/>
        <v/>
      </c>
      <c r="AO110" s="145"/>
      <c r="AP110" s="159" t="str">
        <f>IF($AN110=FALSE,"",IFERROR(INDEX('Flat Rates'!$A$1:$M$3880,MATCH($AM110,'Flat Rates'!$A$1:$A$3880,0),MATCH("Standing Charge",'Flat Rates'!$A$1:$M$1,0))*100,""))</f>
        <v/>
      </c>
      <c r="AQ110" s="148" t="str">
        <f>IF($AN110=FALSE,"",IFERROR((IF(NOT(T110="Unrestricted"),"",INDEX('Flat Rates'!$A$1:$M$3880,MATCH($AM110,'Flat Rates'!$A$1:$A$3880,0),MATCH("Uni/Day Rate",'Flat Rates'!$A$1:$M$1,0)))*100)+H110,""))</f>
        <v/>
      </c>
      <c r="AR110" s="148" t="str">
        <f>IF($AN110=FALSE,"",IFERROR((IF(T110="Unrestricted","",INDEX('Flat Rates'!$A$1:$M$3880,MATCH($AM110,'Flat Rates'!$A$1:$A$3880,0),MATCH("Uni/Day Rate",'Flat Rates'!$A$1:$M$1,0)))*100)+H110,""))</f>
        <v/>
      </c>
      <c r="AS110" s="148" t="str">
        <f>IF($AN110=FALSE,"",IFERROR(IF(INDEX('Flat Rates'!$A$1:$M$3880,MATCH($AM110,'Flat Rates'!$A$1:$A$3880,0),MATCH("Night Unit Rate",'Flat Rates'!$A$1:$M$1,0))=0,"",((INDEX('Flat Rates'!$A$1:$M$3880,MATCH($AM110,'Flat Rates'!$A$1:$A$3880,0),MATCH("Night Unit Rate",'Flat Rates'!$A$1:$M$1,0)))*100)+H110),""))</f>
        <v/>
      </c>
      <c r="AT110" s="148" t="str">
        <f>IF($AN110=FALSE,"",IFERROR(IF(INDEX('Flat Rates'!$A$1:$M$3880,MATCH($AM110,'Flat Rates'!$A$1:$A$3880,0),MATCH("Evening and Weekend Rate",'Flat Rates'!$A$1:$M$1,0))=0,"",((INDEX('Flat Rates'!$A$1:$M$3880,MATCH($AM110,'Flat Rates'!$A$1:$A$3880,0),MATCH("Evening and Weekend Rate",'Flat Rates'!$A$1:$M$1,0)))*100)+H110),""))</f>
        <v/>
      </c>
      <c r="AU110" s="152" t="str">
        <f t="shared" si="47"/>
        <v/>
      </c>
      <c r="AV110" s="152" t="str">
        <f t="shared" si="48"/>
        <v/>
      </c>
      <c r="AW110" s="152" t="str">
        <f t="shared" si="49"/>
        <v/>
      </c>
    </row>
    <row r="111" spans="2:49" ht="15" thickBot="1" x14ac:dyDescent="0.35">
      <c r="B111" s="138" t="str">
        <f t="shared" si="26"/>
        <v/>
      </c>
      <c r="C111" s="137"/>
      <c r="D111" s="139"/>
      <c r="E111" s="140"/>
      <c r="F111" s="140"/>
      <c r="G111" s="139"/>
      <c r="H111" s="151"/>
      <c r="I111" s="139"/>
      <c r="J111" s="138"/>
      <c r="K111" s="139"/>
      <c r="L111" s="141"/>
      <c r="M111" s="133" t="str">
        <f t="shared" si="27"/>
        <v/>
      </c>
      <c r="N111" s="133" t="str">
        <f t="shared" si="28"/>
        <v/>
      </c>
      <c r="O111" s="133" t="str">
        <f t="shared" si="29"/>
        <v/>
      </c>
      <c r="P111" s="133" t="str">
        <f t="shared" si="30"/>
        <v/>
      </c>
      <c r="Q111" s="133" t="str">
        <f t="shared" si="31"/>
        <v/>
      </c>
      <c r="R111" s="133" t="str">
        <f t="shared" si="32"/>
        <v/>
      </c>
      <c r="S111" s="133" t="str">
        <f t="shared" si="33"/>
        <v/>
      </c>
      <c r="T111" s="133" t="str">
        <f>IFERROR(IF($U111="ERROR","ERROR",IF($N111="00",IF(J111="1-Rate","HH 1RATE",IF(J111="2-Rate","HH 2RATE","")),IFERROR(VLOOKUP(CONCATENATE(N111,Q111,O111,P111),Lookups!$A$2:$E$4557,5,0),VLOOKUP(CONCATENATE(N111,Q111,O111),Lookups!$A$2:$E$4557,5,0)))),"ERROR")</f>
        <v>ERROR</v>
      </c>
      <c r="U111" s="133" t="str">
        <f>IFERROR(IF(NOT($N111="00"),"",VLOOKUP(CONCATENATE(Q111,P111,LOOKUP(2,1/(Lookups!$I$2:$I$11&lt;=E111)/(Lookups!$J$2:$J$11&gt;=Tool!$C$14),Lookups!$K$2:$K$11)),'HH LLFs'!$A$2:$K$500,3,0)),"ERROR")</f>
        <v/>
      </c>
      <c r="V111" s="132">
        <f>Calcs!$I$2</f>
        <v>44377</v>
      </c>
      <c r="W111" s="132">
        <f>Calcs!$I$4</f>
        <v>44592</v>
      </c>
      <c r="X111" s="153" t="str">
        <f>IF(NOT(N111="00"),"",(VLOOKUP(CONCATENATE(Q111,P111,LOOKUP(2,1/(Lookups!$I$2:$I$11&lt;=Multisite!E111)/(Lookups!$J$2:$J$11&gt;=E111),Lookups!$K$2:$K$11)),'HH LLFs'!$A$2:$F$282,6,0)*365)/12)</f>
        <v/>
      </c>
      <c r="Y111" s="153">
        <f t="shared" si="34"/>
        <v>0</v>
      </c>
      <c r="Z111" s="153" t="str">
        <f t="shared" si="43"/>
        <v/>
      </c>
      <c r="AA111" s="153" t="str">
        <f t="shared" si="35"/>
        <v/>
      </c>
      <c r="AB111" s="153" t="str">
        <f t="shared" si="44"/>
        <v/>
      </c>
      <c r="AC111" s="153" t="str">
        <f t="shared" si="36"/>
        <v/>
      </c>
      <c r="AD111" s="153" t="str">
        <f t="shared" si="37"/>
        <v/>
      </c>
      <c r="AE111" s="153" t="str">
        <f t="shared" si="38"/>
        <v/>
      </c>
      <c r="AF111" s="155" t="e">
        <f>LOOKUP(2,1/(Lookups!$I$2:$I$11&lt;=E111)/(Lookups!$J$2:$J$11&gt;=E111),Lookups!$L$2:$L$11)</f>
        <v>#N/A</v>
      </c>
      <c r="AG111" s="142" t="str">
        <f t="shared" si="39"/>
        <v/>
      </c>
      <c r="AH111" s="142" t="str">
        <f t="shared" si="40"/>
        <v/>
      </c>
      <c r="AI111" s="143" t="b">
        <f t="shared" si="45"/>
        <v>0</v>
      </c>
      <c r="AJ111" s="143" t="str">
        <f t="shared" si="41"/>
        <v>Level 1</v>
      </c>
      <c r="AK111" s="142">
        <f t="shared" si="42"/>
        <v>0</v>
      </c>
      <c r="AL111" s="157" t="str">
        <f t="shared" si="50"/>
        <v/>
      </c>
      <c r="AM111" s="144" t="str">
        <f t="shared" si="51"/>
        <v>--FALSE-0</v>
      </c>
      <c r="AN111" s="158" t="str">
        <f t="shared" si="46"/>
        <v/>
      </c>
      <c r="AO111" s="145"/>
      <c r="AP111" s="159" t="str">
        <f>IF($AN111=FALSE,"",IFERROR(INDEX('Flat Rates'!$A$1:$M$3880,MATCH($AM111,'Flat Rates'!$A$1:$A$3880,0),MATCH("Standing Charge",'Flat Rates'!$A$1:$M$1,0))*100,""))</f>
        <v/>
      </c>
      <c r="AQ111" s="148" t="str">
        <f>IF($AN111=FALSE,"",IFERROR((IF(NOT(T111="Unrestricted"),"",INDEX('Flat Rates'!$A$1:$M$3880,MATCH($AM111,'Flat Rates'!$A$1:$A$3880,0),MATCH("Uni/Day Rate",'Flat Rates'!$A$1:$M$1,0)))*100)+H111,""))</f>
        <v/>
      </c>
      <c r="AR111" s="148" t="str">
        <f>IF($AN111=FALSE,"",IFERROR((IF(T111="Unrestricted","",INDEX('Flat Rates'!$A$1:$M$3880,MATCH($AM111,'Flat Rates'!$A$1:$A$3880,0),MATCH("Uni/Day Rate",'Flat Rates'!$A$1:$M$1,0)))*100)+H111,""))</f>
        <v/>
      </c>
      <c r="AS111" s="148" t="str">
        <f>IF($AN111=FALSE,"",IFERROR(IF(INDEX('Flat Rates'!$A$1:$M$3880,MATCH($AM111,'Flat Rates'!$A$1:$A$3880,0),MATCH("Night Unit Rate",'Flat Rates'!$A$1:$M$1,0))=0,"",((INDEX('Flat Rates'!$A$1:$M$3880,MATCH($AM111,'Flat Rates'!$A$1:$A$3880,0),MATCH("Night Unit Rate",'Flat Rates'!$A$1:$M$1,0)))*100)+H111),""))</f>
        <v/>
      </c>
      <c r="AT111" s="148" t="str">
        <f>IF($AN111=FALSE,"",IFERROR(IF(INDEX('Flat Rates'!$A$1:$M$3880,MATCH($AM111,'Flat Rates'!$A$1:$A$3880,0),MATCH("Evening and Weekend Rate",'Flat Rates'!$A$1:$M$1,0))=0,"",((INDEX('Flat Rates'!$A$1:$M$3880,MATCH($AM111,'Flat Rates'!$A$1:$A$3880,0),MATCH("Evening and Weekend Rate",'Flat Rates'!$A$1:$M$1,0)))*100)+H111),""))</f>
        <v/>
      </c>
      <c r="AU111" s="152" t="str">
        <f t="shared" si="47"/>
        <v/>
      </c>
      <c r="AV111" s="152" t="str">
        <f t="shared" si="48"/>
        <v/>
      </c>
      <c r="AW111" s="152" t="str">
        <f t="shared" si="49"/>
        <v/>
      </c>
    </row>
    <row r="112" spans="2:49" ht="15" thickBot="1" x14ac:dyDescent="0.35">
      <c r="B112" s="138" t="str">
        <f t="shared" si="26"/>
        <v/>
      </c>
      <c r="C112" s="137"/>
      <c r="D112" s="139"/>
      <c r="E112" s="140"/>
      <c r="F112" s="140"/>
      <c r="G112" s="139"/>
      <c r="H112" s="151"/>
      <c r="I112" s="139"/>
      <c r="J112" s="137"/>
      <c r="K112" s="139"/>
      <c r="L112" s="141"/>
      <c r="M112" s="133" t="str">
        <f t="shared" si="27"/>
        <v/>
      </c>
      <c r="N112" s="133" t="str">
        <f t="shared" si="28"/>
        <v/>
      </c>
      <c r="O112" s="133" t="str">
        <f t="shared" si="29"/>
        <v/>
      </c>
      <c r="P112" s="133" t="str">
        <f t="shared" si="30"/>
        <v/>
      </c>
      <c r="Q112" s="133" t="str">
        <f t="shared" si="31"/>
        <v/>
      </c>
      <c r="R112" s="133" t="str">
        <f t="shared" si="32"/>
        <v/>
      </c>
      <c r="S112" s="133" t="str">
        <f t="shared" si="33"/>
        <v/>
      </c>
      <c r="T112" s="133" t="str">
        <f>IFERROR(IF($U112="ERROR","ERROR",IF($N112="00",IF(J112="1-Rate","HH 1RATE",IF(J112="2-Rate","HH 2RATE","")),IFERROR(VLOOKUP(CONCATENATE(N112,Q112,O112,P112),Lookups!$A$2:$E$4557,5,0),VLOOKUP(CONCATENATE(N112,Q112,O112),Lookups!$A$2:$E$4557,5,0)))),"ERROR")</f>
        <v>ERROR</v>
      </c>
      <c r="U112" s="133" t="str">
        <f>IFERROR(IF(NOT($N112="00"),"",VLOOKUP(CONCATENATE(Q112,P112,LOOKUP(2,1/(Lookups!$I$2:$I$11&lt;=E112)/(Lookups!$J$2:$J$11&gt;=Tool!$C$14),Lookups!$K$2:$K$11)),'HH LLFs'!$A$2:$K$500,3,0)),"ERROR")</f>
        <v/>
      </c>
      <c r="V112" s="132">
        <f>Calcs!$I$2</f>
        <v>44377</v>
      </c>
      <c r="W112" s="132">
        <f>Calcs!$I$4</f>
        <v>44592</v>
      </c>
      <c r="X112" s="153" t="str">
        <f>IF(NOT(N112="00"),"",(VLOOKUP(CONCATENATE(Q112,P112,LOOKUP(2,1/(Lookups!$I$2:$I$11&lt;=Multisite!E112)/(Lookups!$J$2:$J$11&gt;=E112),Lookups!$K$2:$K$11)),'HH LLFs'!$A$2:$F$282,6,0)*365)/12)</f>
        <v/>
      </c>
      <c r="Y112" s="153">
        <f t="shared" si="34"/>
        <v>0</v>
      </c>
      <c r="Z112" s="153" t="str">
        <f t="shared" si="43"/>
        <v/>
      </c>
      <c r="AA112" s="153" t="str">
        <f t="shared" si="35"/>
        <v/>
      </c>
      <c r="AB112" s="153" t="str">
        <f t="shared" si="44"/>
        <v/>
      </c>
      <c r="AC112" s="153" t="str">
        <f t="shared" si="36"/>
        <v/>
      </c>
      <c r="AD112" s="153" t="str">
        <f t="shared" si="37"/>
        <v/>
      </c>
      <c r="AE112" s="153" t="str">
        <f t="shared" si="38"/>
        <v/>
      </c>
      <c r="AF112" s="155" t="e">
        <f>LOOKUP(2,1/(Lookups!$I$2:$I$11&lt;=E112)/(Lookups!$J$2:$J$11&gt;=E112),Lookups!$L$2:$L$11)</f>
        <v>#N/A</v>
      </c>
      <c r="AG112" s="142" t="str">
        <f t="shared" si="39"/>
        <v/>
      </c>
      <c r="AH112" s="142" t="str">
        <f t="shared" si="40"/>
        <v/>
      </c>
      <c r="AI112" s="143" t="b">
        <f t="shared" si="45"/>
        <v>0</v>
      </c>
      <c r="AJ112" s="143" t="str">
        <f t="shared" si="41"/>
        <v>Level 1</v>
      </c>
      <c r="AK112" s="142">
        <f t="shared" si="42"/>
        <v>0</v>
      </c>
      <c r="AL112" s="157" t="str">
        <f t="shared" si="50"/>
        <v/>
      </c>
      <c r="AM112" s="144" t="str">
        <f t="shared" si="51"/>
        <v>--FALSE-0</v>
      </c>
      <c r="AN112" s="158" t="str">
        <f t="shared" si="46"/>
        <v/>
      </c>
      <c r="AO112" s="145"/>
      <c r="AP112" s="159" t="str">
        <f>IF($AN112=FALSE,"",IFERROR(INDEX('Flat Rates'!$A$1:$M$3880,MATCH($AM112,'Flat Rates'!$A$1:$A$3880,0),MATCH("Standing Charge",'Flat Rates'!$A$1:$M$1,0))*100,""))</f>
        <v/>
      </c>
      <c r="AQ112" s="148" t="str">
        <f>IF($AN112=FALSE,"",IFERROR((IF(NOT(T112="Unrestricted"),"",INDEX('Flat Rates'!$A$1:$M$3880,MATCH($AM112,'Flat Rates'!$A$1:$A$3880,0),MATCH("Uni/Day Rate",'Flat Rates'!$A$1:$M$1,0)))*100)+H112,""))</f>
        <v/>
      </c>
      <c r="AR112" s="148" t="str">
        <f>IF($AN112=FALSE,"",IFERROR((IF(T112="Unrestricted","",INDEX('Flat Rates'!$A$1:$M$3880,MATCH($AM112,'Flat Rates'!$A$1:$A$3880,0),MATCH("Uni/Day Rate",'Flat Rates'!$A$1:$M$1,0)))*100)+H112,""))</f>
        <v/>
      </c>
      <c r="AS112" s="148" t="str">
        <f>IF($AN112=FALSE,"",IFERROR(IF(INDEX('Flat Rates'!$A$1:$M$3880,MATCH($AM112,'Flat Rates'!$A$1:$A$3880,0),MATCH("Night Unit Rate",'Flat Rates'!$A$1:$M$1,0))=0,"",((INDEX('Flat Rates'!$A$1:$M$3880,MATCH($AM112,'Flat Rates'!$A$1:$A$3880,0),MATCH("Night Unit Rate",'Flat Rates'!$A$1:$M$1,0)))*100)+H112),""))</f>
        <v/>
      </c>
      <c r="AT112" s="148" t="str">
        <f>IF($AN112=FALSE,"",IFERROR(IF(INDEX('Flat Rates'!$A$1:$M$3880,MATCH($AM112,'Flat Rates'!$A$1:$A$3880,0),MATCH("Evening and Weekend Rate",'Flat Rates'!$A$1:$M$1,0))=0,"",((INDEX('Flat Rates'!$A$1:$M$3880,MATCH($AM112,'Flat Rates'!$A$1:$A$3880,0),MATCH("Evening and Weekend Rate",'Flat Rates'!$A$1:$M$1,0)))*100)+H112),""))</f>
        <v/>
      </c>
      <c r="AU112" s="152" t="str">
        <f t="shared" si="47"/>
        <v/>
      </c>
      <c r="AV112" s="152" t="str">
        <f t="shared" si="48"/>
        <v/>
      </c>
      <c r="AW112" s="152" t="str">
        <f t="shared" si="49"/>
        <v/>
      </c>
    </row>
    <row r="113" spans="2:49" ht="15" thickBot="1" x14ac:dyDescent="0.35">
      <c r="B113" s="138" t="str">
        <f t="shared" si="26"/>
        <v/>
      </c>
      <c r="C113" s="137"/>
      <c r="D113" s="139"/>
      <c r="E113" s="140"/>
      <c r="F113" s="140"/>
      <c r="G113" s="139"/>
      <c r="H113" s="151"/>
      <c r="I113" s="139"/>
      <c r="J113" s="138"/>
      <c r="K113" s="139"/>
      <c r="L113" s="141"/>
      <c r="M113" s="133" t="str">
        <f t="shared" si="27"/>
        <v/>
      </c>
      <c r="N113" s="133" t="str">
        <f t="shared" si="28"/>
        <v/>
      </c>
      <c r="O113" s="133" t="str">
        <f t="shared" si="29"/>
        <v/>
      </c>
      <c r="P113" s="133" t="str">
        <f t="shared" si="30"/>
        <v/>
      </c>
      <c r="Q113" s="133" t="str">
        <f t="shared" si="31"/>
        <v/>
      </c>
      <c r="R113" s="133" t="str">
        <f t="shared" si="32"/>
        <v/>
      </c>
      <c r="S113" s="133" t="str">
        <f t="shared" si="33"/>
        <v/>
      </c>
      <c r="T113" s="133" t="str">
        <f>IFERROR(IF($U113="ERROR","ERROR",IF($N113="00",IF(J113="1-Rate","HH 1RATE",IF(J113="2-Rate","HH 2RATE","")),IFERROR(VLOOKUP(CONCATENATE(N113,Q113,O113,P113),Lookups!$A$2:$E$4557,5,0),VLOOKUP(CONCATENATE(N113,Q113,O113),Lookups!$A$2:$E$4557,5,0)))),"ERROR")</f>
        <v>ERROR</v>
      </c>
      <c r="U113" s="133" t="str">
        <f>IFERROR(IF(NOT($N113="00"),"",VLOOKUP(CONCATENATE(Q113,P113,LOOKUP(2,1/(Lookups!$I$2:$I$11&lt;=E113)/(Lookups!$J$2:$J$11&gt;=Tool!$C$14),Lookups!$K$2:$K$11)),'HH LLFs'!$A$2:$K$500,3,0)),"ERROR")</f>
        <v/>
      </c>
      <c r="V113" s="132">
        <f>Calcs!$I$2</f>
        <v>44377</v>
      </c>
      <c r="W113" s="132">
        <f>Calcs!$I$4</f>
        <v>44592</v>
      </c>
      <c r="X113" s="153" t="str">
        <f>IF(NOT(N113="00"),"",(VLOOKUP(CONCATENATE(Q113,P113,LOOKUP(2,1/(Lookups!$I$2:$I$11&lt;=Multisite!E113)/(Lookups!$J$2:$J$11&gt;=E113),Lookups!$K$2:$K$11)),'HH LLFs'!$A$2:$F$282,6,0)*365)/12)</f>
        <v/>
      </c>
      <c r="Y113" s="153">
        <f t="shared" si="34"/>
        <v>0</v>
      </c>
      <c r="Z113" s="153" t="str">
        <f t="shared" si="43"/>
        <v/>
      </c>
      <c r="AA113" s="153" t="str">
        <f t="shared" si="35"/>
        <v/>
      </c>
      <c r="AB113" s="153" t="str">
        <f t="shared" si="44"/>
        <v/>
      </c>
      <c r="AC113" s="153" t="str">
        <f t="shared" si="36"/>
        <v/>
      </c>
      <c r="AD113" s="153" t="str">
        <f t="shared" si="37"/>
        <v/>
      </c>
      <c r="AE113" s="153" t="str">
        <f t="shared" si="38"/>
        <v/>
      </c>
      <c r="AF113" s="155" t="e">
        <f>LOOKUP(2,1/(Lookups!$I$2:$I$11&lt;=E113)/(Lookups!$J$2:$J$11&gt;=E113),Lookups!$L$2:$L$11)</f>
        <v>#N/A</v>
      </c>
      <c r="AG113" s="142" t="str">
        <f t="shared" si="39"/>
        <v/>
      </c>
      <c r="AH113" s="142" t="str">
        <f t="shared" si="40"/>
        <v/>
      </c>
      <c r="AI113" s="143" t="b">
        <f t="shared" si="45"/>
        <v>0</v>
      </c>
      <c r="AJ113" s="143" t="str">
        <f t="shared" si="41"/>
        <v>Level 1</v>
      </c>
      <c r="AK113" s="142">
        <f t="shared" si="42"/>
        <v>0</v>
      </c>
      <c r="AL113" s="157" t="str">
        <f t="shared" si="50"/>
        <v/>
      </c>
      <c r="AM113" s="144" t="str">
        <f t="shared" si="51"/>
        <v>--FALSE-0</v>
      </c>
      <c r="AN113" s="158" t="str">
        <f t="shared" si="46"/>
        <v/>
      </c>
      <c r="AO113" s="145"/>
      <c r="AP113" s="159" t="str">
        <f>IF($AN113=FALSE,"",IFERROR(INDEX('Flat Rates'!$A$1:$M$3880,MATCH($AM113,'Flat Rates'!$A$1:$A$3880,0),MATCH("Standing Charge",'Flat Rates'!$A$1:$M$1,0))*100,""))</f>
        <v/>
      </c>
      <c r="AQ113" s="148" t="str">
        <f>IF($AN113=FALSE,"",IFERROR((IF(NOT(T113="Unrestricted"),"",INDEX('Flat Rates'!$A$1:$M$3880,MATCH($AM113,'Flat Rates'!$A$1:$A$3880,0),MATCH("Uni/Day Rate",'Flat Rates'!$A$1:$M$1,0)))*100)+H113,""))</f>
        <v/>
      </c>
      <c r="AR113" s="148" t="str">
        <f>IF($AN113=FALSE,"",IFERROR((IF(T113="Unrestricted","",INDEX('Flat Rates'!$A$1:$M$3880,MATCH($AM113,'Flat Rates'!$A$1:$A$3880,0),MATCH("Uni/Day Rate",'Flat Rates'!$A$1:$M$1,0)))*100)+H113,""))</f>
        <v/>
      </c>
      <c r="AS113" s="148" t="str">
        <f>IF($AN113=FALSE,"",IFERROR(IF(INDEX('Flat Rates'!$A$1:$M$3880,MATCH($AM113,'Flat Rates'!$A$1:$A$3880,0),MATCH("Night Unit Rate",'Flat Rates'!$A$1:$M$1,0))=0,"",((INDEX('Flat Rates'!$A$1:$M$3880,MATCH($AM113,'Flat Rates'!$A$1:$A$3880,0),MATCH("Night Unit Rate",'Flat Rates'!$A$1:$M$1,0)))*100)+H113),""))</f>
        <v/>
      </c>
      <c r="AT113" s="148" t="str">
        <f>IF($AN113=FALSE,"",IFERROR(IF(INDEX('Flat Rates'!$A$1:$M$3880,MATCH($AM113,'Flat Rates'!$A$1:$A$3880,0),MATCH("Evening and Weekend Rate",'Flat Rates'!$A$1:$M$1,0))=0,"",((INDEX('Flat Rates'!$A$1:$M$3880,MATCH($AM113,'Flat Rates'!$A$1:$A$3880,0),MATCH("Evening and Weekend Rate",'Flat Rates'!$A$1:$M$1,0)))*100)+H113),""))</f>
        <v/>
      </c>
      <c r="AU113" s="152" t="str">
        <f t="shared" si="47"/>
        <v/>
      </c>
      <c r="AV113" s="152" t="str">
        <f t="shared" si="48"/>
        <v/>
      </c>
      <c r="AW113" s="152" t="str">
        <f t="shared" si="49"/>
        <v/>
      </c>
    </row>
    <row r="114" spans="2:49" ht="15" thickBot="1" x14ac:dyDescent="0.35">
      <c r="B114" s="138" t="str">
        <f t="shared" si="26"/>
        <v/>
      </c>
      <c r="C114" s="137"/>
      <c r="D114" s="139"/>
      <c r="E114" s="140"/>
      <c r="F114" s="140"/>
      <c r="G114" s="139"/>
      <c r="H114" s="151"/>
      <c r="I114" s="139"/>
      <c r="J114" s="137"/>
      <c r="K114" s="139"/>
      <c r="L114" s="141"/>
      <c r="M114" s="133" t="str">
        <f t="shared" si="27"/>
        <v/>
      </c>
      <c r="N114" s="133" t="str">
        <f t="shared" si="28"/>
        <v/>
      </c>
      <c r="O114" s="133" t="str">
        <f t="shared" si="29"/>
        <v/>
      </c>
      <c r="P114" s="133" t="str">
        <f t="shared" si="30"/>
        <v/>
      </c>
      <c r="Q114" s="133" t="str">
        <f t="shared" si="31"/>
        <v/>
      </c>
      <c r="R114" s="133" t="str">
        <f t="shared" si="32"/>
        <v/>
      </c>
      <c r="S114" s="133" t="str">
        <f t="shared" si="33"/>
        <v/>
      </c>
      <c r="T114" s="133" t="str">
        <f>IFERROR(IF($U114="ERROR","ERROR",IF($N114="00",IF(J114="1-Rate","HH 1RATE",IF(J114="2-Rate","HH 2RATE","")),IFERROR(VLOOKUP(CONCATENATE(N114,Q114,O114,P114),Lookups!$A$2:$E$4557,5,0),VLOOKUP(CONCATENATE(N114,Q114,O114),Lookups!$A$2:$E$4557,5,0)))),"ERROR")</f>
        <v>ERROR</v>
      </c>
      <c r="U114" s="133" t="str">
        <f>IFERROR(IF(NOT($N114="00"),"",VLOOKUP(CONCATENATE(Q114,P114,LOOKUP(2,1/(Lookups!$I$2:$I$11&lt;=E114)/(Lookups!$J$2:$J$11&gt;=Tool!$C$14),Lookups!$K$2:$K$11)),'HH LLFs'!$A$2:$K$500,3,0)),"ERROR")</f>
        <v/>
      </c>
      <c r="V114" s="132">
        <f>Calcs!$I$2</f>
        <v>44377</v>
      </c>
      <c r="W114" s="132">
        <f>Calcs!$I$4</f>
        <v>44592</v>
      </c>
      <c r="X114" s="153" t="str">
        <f>IF(NOT(N114="00"),"",(VLOOKUP(CONCATENATE(Q114,P114,LOOKUP(2,1/(Lookups!$I$2:$I$11&lt;=Multisite!E114)/(Lookups!$J$2:$J$11&gt;=E114),Lookups!$K$2:$K$11)),'HH LLFs'!$A$2:$F$282,6,0)*365)/12)</f>
        <v/>
      </c>
      <c r="Y114" s="153">
        <f t="shared" si="34"/>
        <v>0</v>
      </c>
      <c r="Z114" s="153" t="str">
        <f t="shared" si="43"/>
        <v/>
      </c>
      <c r="AA114" s="153" t="str">
        <f t="shared" si="35"/>
        <v/>
      </c>
      <c r="AB114" s="153" t="str">
        <f t="shared" si="44"/>
        <v/>
      </c>
      <c r="AC114" s="153" t="str">
        <f t="shared" si="36"/>
        <v/>
      </c>
      <c r="AD114" s="153" t="str">
        <f t="shared" si="37"/>
        <v/>
      </c>
      <c r="AE114" s="153" t="str">
        <f t="shared" si="38"/>
        <v/>
      </c>
      <c r="AF114" s="155" t="e">
        <f>LOOKUP(2,1/(Lookups!$I$2:$I$11&lt;=E114)/(Lookups!$J$2:$J$11&gt;=E114),Lookups!$L$2:$L$11)</f>
        <v>#N/A</v>
      </c>
      <c r="AG114" s="142" t="str">
        <f t="shared" si="39"/>
        <v/>
      </c>
      <c r="AH114" s="142" t="str">
        <f t="shared" si="40"/>
        <v/>
      </c>
      <c r="AI114" s="143" t="b">
        <f t="shared" si="45"/>
        <v>0</v>
      </c>
      <c r="AJ114" s="143" t="str">
        <f t="shared" si="41"/>
        <v>Level 1</v>
      </c>
      <c r="AK114" s="142">
        <f t="shared" si="42"/>
        <v>0</v>
      </c>
      <c r="AL114" s="157" t="str">
        <f t="shared" si="50"/>
        <v/>
      </c>
      <c r="AM114" s="144" t="str">
        <f t="shared" si="51"/>
        <v>--FALSE-0</v>
      </c>
      <c r="AN114" s="158" t="str">
        <f t="shared" si="46"/>
        <v/>
      </c>
      <c r="AO114" s="145"/>
      <c r="AP114" s="159" t="str">
        <f>IF($AN114=FALSE,"",IFERROR(INDEX('Flat Rates'!$A$1:$M$3880,MATCH($AM114,'Flat Rates'!$A$1:$A$3880,0),MATCH("Standing Charge",'Flat Rates'!$A$1:$M$1,0))*100,""))</f>
        <v/>
      </c>
      <c r="AQ114" s="148" t="str">
        <f>IF($AN114=FALSE,"",IFERROR((IF(NOT(T114="Unrestricted"),"",INDEX('Flat Rates'!$A$1:$M$3880,MATCH($AM114,'Flat Rates'!$A$1:$A$3880,0),MATCH("Uni/Day Rate",'Flat Rates'!$A$1:$M$1,0)))*100)+H114,""))</f>
        <v/>
      </c>
      <c r="AR114" s="148" t="str">
        <f>IF($AN114=FALSE,"",IFERROR((IF(T114="Unrestricted","",INDEX('Flat Rates'!$A$1:$M$3880,MATCH($AM114,'Flat Rates'!$A$1:$A$3880,0),MATCH("Uni/Day Rate",'Flat Rates'!$A$1:$M$1,0)))*100)+H114,""))</f>
        <v/>
      </c>
      <c r="AS114" s="148" t="str">
        <f>IF($AN114=FALSE,"",IFERROR(IF(INDEX('Flat Rates'!$A$1:$M$3880,MATCH($AM114,'Flat Rates'!$A$1:$A$3880,0),MATCH("Night Unit Rate",'Flat Rates'!$A$1:$M$1,0))=0,"",((INDEX('Flat Rates'!$A$1:$M$3880,MATCH($AM114,'Flat Rates'!$A$1:$A$3880,0),MATCH("Night Unit Rate",'Flat Rates'!$A$1:$M$1,0)))*100)+H114),""))</f>
        <v/>
      </c>
      <c r="AT114" s="148" t="str">
        <f>IF($AN114=FALSE,"",IFERROR(IF(INDEX('Flat Rates'!$A$1:$M$3880,MATCH($AM114,'Flat Rates'!$A$1:$A$3880,0),MATCH("Evening and Weekend Rate",'Flat Rates'!$A$1:$M$1,0))=0,"",((INDEX('Flat Rates'!$A$1:$M$3880,MATCH($AM114,'Flat Rates'!$A$1:$A$3880,0),MATCH("Evening and Weekend Rate",'Flat Rates'!$A$1:$M$1,0)))*100)+H114),""))</f>
        <v/>
      </c>
      <c r="AU114" s="152" t="str">
        <f t="shared" si="47"/>
        <v/>
      </c>
      <c r="AV114" s="152" t="str">
        <f t="shared" si="48"/>
        <v/>
      </c>
      <c r="AW114" s="152" t="str">
        <f t="shared" si="49"/>
        <v/>
      </c>
    </row>
    <row r="115" spans="2:49" ht="15" thickBot="1" x14ac:dyDescent="0.35">
      <c r="B115" s="138" t="str">
        <f t="shared" si="26"/>
        <v/>
      </c>
      <c r="C115" s="137"/>
      <c r="D115" s="139"/>
      <c r="E115" s="140"/>
      <c r="F115" s="140"/>
      <c r="G115" s="139"/>
      <c r="H115" s="151"/>
      <c r="I115" s="139"/>
      <c r="J115" s="138"/>
      <c r="K115" s="139"/>
      <c r="L115" s="141"/>
      <c r="M115" s="133" t="str">
        <f t="shared" si="27"/>
        <v/>
      </c>
      <c r="N115" s="133" t="str">
        <f t="shared" si="28"/>
        <v/>
      </c>
      <c r="O115" s="133" t="str">
        <f t="shared" si="29"/>
        <v/>
      </c>
      <c r="P115" s="133" t="str">
        <f t="shared" si="30"/>
        <v/>
      </c>
      <c r="Q115" s="133" t="str">
        <f t="shared" si="31"/>
        <v/>
      </c>
      <c r="R115" s="133" t="str">
        <f t="shared" si="32"/>
        <v/>
      </c>
      <c r="S115" s="133" t="str">
        <f t="shared" si="33"/>
        <v/>
      </c>
      <c r="T115" s="133" t="str">
        <f>IFERROR(IF($U115="ERROR","ERROR",IF($N115="00",IF(J115="1-Rate","HH 1RATE",IF(J115="2-Rate","HH 2RATE","")),IFERROR(VLOOKUP(CONCATENATE(N115,Q115,O115,P115),Lookups!$A$2:$E$4557,5,0),VLOOKUP(CONCATENATE(N115,Q115,O115),Lookups!$A$2:$E$4557,5,0)))),"ERROR")</f>
        <v>ERROR</v>
      </c>
      <c r="U115" s="133" t="str">
        <f>IFERROR(IF(NOT($N115="00"),"",VLOOKUP(CONCATENATE(Q115,P115,LOOKUP(2,1/(Lookups!$I$2:$I$11&lt;=E115)/(Lookups!$J$2:$J$11&gt;=Tool!$C$14),Lookups!$K$2:$K$11)),'HH LLFs'!$A$2:$K$500,3,0)),"ERROR")</f>
        <v/>
      </c>
      <c r="V115" s="132">
        <f>Calcs!$I$2</f>
        <v>44377</v>
      </c>
      <c r="W115" s="132">
        <f>Calcs!$I$4</f>
        <v>44592</v>
      </c>
      <c r="X115" s="153" t="str">
        <f>IF(NOT(N115="00"),"",(VLOOKUP(CONCATENATE(Q115,P115,LOOKUP(2,1/(Lookups!$I$2:$I$11&lt;=Multisite!E115)/(Lookups!$J$2:$J$11&gt;=E115),Lookups!$K$2:$K$11)),'HH LLFs'!$A$2:$F$282,6,0)*365)/12)</f>
        <v/>
      </c>
      <c r="Y115" s="153">
        <f t="shared" si="34"/>
        <v>0</v>
      </c>
      <c r="Z115" s="153" t="str">
        <f t="shared" si="43"/>
        <v/>
      </c>
      <c r="AA115" s="153" t="str">
        <f t="shared" si="35"/>
        <v/>
      </c>
      <c r="AB115" s="153" t="str">
        <f t="shared" si="44"/>
        <v/>
      </c>
      <c r="AC115" s="153" t="str">
        <f t="shared" si="36"/>
        <v/>
      </c>
      <c r="AD115" s="153" t="str">
        <f t="shared" si="37"/>
        <v/>
      </c>
      <c r="AE115" s="153" t="str">
        <f t="shared" si="38"/>
        <v/>
      </c>
      <c r="AF115" s="155" t="e">
        <f>LOOKUP(2,1/(Lookups!$I$2:$I$11&lt;=E115)/(Lookups!$J$2:$J$11&gt;=E115),Lookups!$L$2:$L$11)</f>
        <v>#N/A</v>
      </c>
      <c r="AG115" s="142" t="str">
        <f t="shared" si="39"/>
        <v/>
      </c>
      <c r="AH115" s="142" t="str">
        <f t="shared" si="40"/>
        <v/>
      </c>
      <c r="AI115" s="143" t="b">
        <f t="shared" si="45"/>
        <v>0</v>
      </c>
      <c r="AJ115" s="143" t="str">
        <f t="shared" si="41"/>
        <v>Level 1</v>
      </c>
      <c r="AK115" s="142">
        <f t="shared" si="42"/>
        <v>0</v>
      </c>
      <c r="AL115" s="157" t="str">
        <f t="shared" si="50"/>
        <v/>
      </c>
      <c r="AM115" s="144" t="str">
        <f t="shared" si="51"/>
        <v>--FALSE-0</v>
      </c>
      <c r="AN115" s="158" t="str">
        <f t="shared" si="46"/>
        <v/>
      </c>
      <c r="AO115" s="145"/>
      <c r="AP115" s="159" t="str">
        <f>IF($AN115=FALSE,"",IFERROR(INDEX('Flat Rates'!$A$1:$M$3880,MATCH($AM115,'Flat Rates'!$A$1:$A$3880,0),MATCH("Standing Charge",'Flat Rates'!$A$1:$M$1,0))*100,""))</f>
        <v/>
      </c>
      <c r="AQ115" s="148" t="str">
        <f>IF($AN115=FALSE,"",IFERROR((IF(NOT(T115="Unrestricted"),"",INDEX('Flat Rates'!$A$1:$M$3880,MATCH($AM115,'Flat Rates'!$A$1:$A$3880,0),MATCH("Uni/Day Rate",'Flat Rates'!$A$1:$M$1,0)))*100)+H115,""))</f>
        <v/>
      </c>
      <c r="AR115" s="148" t="str">
        <f>IF($AN115=FALSE,"",IFERROR((IF(T115="Unrestricted","",INDEX('Flat Rates'!$A$1:$M$3880,MATCH($AM115,'Flat Rates'!$A$1:$A$3880,0),MATCH("Uni/Day Rate",'Flat Rates'!$A$1:$M$1,0)))*100)+H115,""))</f>
        <v/>
      </c>
      <c r="AS115" s="148" t="str">
        <f>IF($AN115=FALSE,"",IFERROR(IF(INDEX('Flat Rates'!$A$1:$M$3880,MATCH($AM115,'Flat Rates'!$A$1:$A$3880,0),MATCH("Night Unit Rate",'Flat Rates'!$A$1:$M$1,0))=0,"",((INDEX('Flat Rates'!$A$1:$M$3880,MATCH($AM115,'Flat Rates'!$A$1:$A$3880,0),MATCH("Night Unit Rate",'Flat Rates'!$A$1:$M$1,0)))*100)+H115),""))</f>
        <v/>
      </c>
      <c r="AT115" s="148" t="str">
        <f>IF($AN115=FALSE,"",IFERROR(IF(INDEX('Flat Rates'!$A$1:$M$3880,MATCH($AM115,'Flat Rates'!$A$1:$A$3880,0),MATCH("Evening and Weekend Rate",'Flat Rates'!$A$1:$M$1,0))=0,"",((INDEX('Flat Rates'!$A$1:$M$3880,MATCH($AM115,'Flat Rates'!$A$1:$A$3880,0),MATCH("Evening and Weekend Rate",'Flat Rates'!$A$1:$M$1,0)))*100)+H115),""))</f>
        <v/>
      </c>
      <c r="AU115" s="152" t="str">
        <f t="shared" si="47"/>
        <v/>
      </c>
      <c r="AV115" s="152" t="str">
        <f t="shared" si="48"/>
        <v/>
      </c>
      <c r="AW115" s="152" t="str">
        <f t="shared" si="49"/>
        <v/>
      </c>
    </row>
    <row r="116" spans="2:49" ht="15" thickBot="1" x14ac:dyDescent="0.35">
      <c r="B116" s="138" t="str">
        <f t="shared" si="26"/>
        <v/>
      </c>
      <c r="C116" s="137"/>
      <c r="D116" s="139"/>
      <c r="E116" s="140"/>
      <c r="F116" s="140"/>
      <c r="G116" s="139"/>
      <c r="H116" s="151"/>
      <c r="I116" s="139"/>
      <c r="J116" s="137"/>
      <c r="K116" s="139"/>
      <c r="L116" s="141"/>
      <c r="M116" s="133" t="str">
        <f t="shared" si="27"/>
        <v/>
      </c>
      <c r="N116" s="133" t="str">
        <f t="shared" si="28"/>
        <v/>
      </c>
      <c r="O116" s="133" t="str">
        <f t="shared" si="29"/>
        <v/>
      </c>
      <c r="P116" s="133" t="str">
        <f t="shared" si="30"/>
        <v/>
      </c>
      <c r="Q116" s="133" t="str">
        <f t="shared" si="31"/>
        <v/>
      </c>
      <c r="R116" s="133" t="str">
        <f t="shared" si="32"/>
        <v/>
      </c>
      <c r="S116" s="133" t="str">
        <f t="shared" si="33"/>
        <v/>
      </c>
      <c r="T116" s="133" t="str">
        <f>IFERROR(IF($U116="ERROR","ERROR",IF($N116="00",IF(J116="1-Rate","HH 1RATE",IF(J116="2-Rate","HH 2RATE","")),IFERROR(VLOOKUP(CONCATENATE(N116,Q116,O116,P116),Lookups!$A$2:$E$4557,5,0),VLOOKUP(CONCATENATE(N116,Q116,O116),Lookups!$A$2:$E$4557,5,0)))),"ERROR")</f>
        <v>ERROR</v>
      </c>
      <c r="U116" s="133" t="str">
        <f>IFERROR(IF(NOT($N116="00"),"",VLOOKUP(CONCATENATE(Q116,P116,LOOKUP(2,1/(Lookups!$I$2:$I$11&lt;=E116)/(Lookups!$J$2:$J$11&gt;=Tool!$C$14),Lookups!$K$2:$K$11)),'HH LLFs'!$A$2:$K$500,3,0)),"ERROR")</f>
        <v/>
      </c>
      <c r="V116" s="132">
        <f>Calcs!$I$2</f>
        <v>44377</v>
      </c>
      <c r="W116" s="132">
        <f>Calcs!$I$4</f>
        <v>44592</v>
      </c>
      <c r="X116" s="153" t="str">
        <f>IF(NOT(N116="00"),"",(VLOOKUP(CONCATENATE(Q116,P116,LOOKUP(2,1/(Lookups!$I$2:$I$11&lt;=Multisite!E116)/(Lookups!$J$2:$J$11&gt;=E116),Lookups!$K$2:$K$11)),'HH LLFs'!$A$2:$F$282,6,0)*365)/12)</f>
        <v/>
      </c>
      <c r="Y116" s="153">
        <f t="shared" si="34"/>
        <v>0</v>
      </c>
      <c r="Z116" s="153" t="str">
        <f t="shared" si="43"/>
        <v/>
      </c>
      <c r="AA116" s="153" t="str">
        <f t="shared" si="35"/>
        <v/>
      </c>
      <c r="AB116" s="153" t="str">
        <f t="shared" si="44"/>
        <v/>
      </c>
      <c r="AC116" s="153" t="str">
        <f t="shared" si="36"/>
        <v/>
      </c>
      <c r="AD116" s="153" t="str">
        <f t="shared" si="37"/>
        <v/>
      </c>
      <c r="AE116" s="153" t="str">
        <f t="shared" si="38"/>
        <v/>
      </c>
      <c r="AF116" s="155" t="e">
        <f>LOOKUP(2,1/(Lookups!$I$2:$I$11&lt;=E116)/(Lookups!$J$2:$J$11&gt;=E116),Lookups!$L$2:$L$11)</f>
        <v>#N/A</v>
      </c>
      <c r="AG116" s="142" t="str">
        <f t="shared" si="39"/>
        <v/>
      </c>
      <c r="AH116" s="142" t="str">
        <f t="shared" si="40"/>
        <v/>
      </c>
      <c r="AI116" s="143" t="b">
        <f t="shared" si="45"/>
        <v>0</v>
      </c>
      <c r="AJ116" s="143" t="str">
        <f t="shared" si="41"/>
        <v>Level 1</v>
      </c>
      <c r="AK116" s="142">
        <f t="shared" si="42"/>
        <v>0</v>
      </c>
      <c r="AL116" s="157" t="str">
        <f t="shared" si="50"/>
        <v/>
      </c>
      <c r="AM116" s="144" t="str">
        <f t="shared" si="51"/>
        <v>--FALSE-0</v>
      </c>
      <c r="AN116" s="158" t="str">
        <f t="shared" si="46"/>
        <v/>
      </c>
      <c r="AO116" s="145"/>
      <c r="AP116" s="159" t="str">
        <f>IF($AN116=FALSE,"",IFERROR(INDEX('Flat Rates'!$A$1:$M$3880,MATCH($AM116,'Flat Rates'!$A$1:$A$3880,0),MATCH("Standing Charge",'Flat Rates'!$A$1:$M$1,0))*100,""))</f>
        <v/>
      </c>
      <c r="AQ116" s="148" t="str">
        <f>IF($AN116=FALSE,"",IFERROR((IF(NOT(T116="Unrestricted"),"",INDEX('Flat Rates'!$A$1:$M$3880,MATCH($AM116,'Flat Rates'!$A$1:$A$3880,0),MATCH("Uni/Day Rate",'Flat Rates'!$A$1:$M$1,0)))*100)+H116,""))</f>
        <v/>
      </c>
      <c r="AR116" s="148" t="str">
        <f>IF($AN116=FALSE,"",IFERROR((IF(T116="Unrestricted","",INDEX('Flat Rates'!$A$1:$M$3880,MATCH($AM116,'Flat Rates'!$A$1:$A$3880,0),MATCH("Uni/Day Rate",'Flat Rates'!$A$1:$M$1,0)))*100)+H116,""))</f>
        <v/>
      </c>
      <c r="AS116" s="148" t="str">
        <f>IF($AN116=FALSE,"",IFERROR(IF(INDEX('Flat Rates'!$A$1:$M$3880,MATCH($AM116,'Flat Rates'!$A$1:$A$3880,0),MATCH("Night Unit Rate",'Flat Rates'!$A$1:$M$1,0))=0,"",((INDEX('Flat Rates'!$A$1:$M$3880,MATCH($AM116,'Flat Rates'!$A$1:$A$3880,0),MATCH("Night Unit Rate",'Flat Rates'!$A$1:$M$1,0)))*100)+H116),""))</f>
        <v/>
      </c>
      <c r="AT116" s="148" t="str">
        <f>IF($AN116=FALSE,"",IFERROR(IF(INDEX('Flat Rates'!$A$1:$M$3880,MATCH($AM116,'Flat Rates'!$A$1:$A$3880,0),MATCH("Evening and Weekend Rate",'Flat Rates'!$A$1:$M$1,0))=0,"",((INDEX('Flat Rates'!$A$1:$M$3880,MATCH($AM116,'Flat Rates'!$A$1:$A$3880,0),MATCH("Evening and Weekend Rate",'Flat Rates'!$A$1:$M$1,0)))*100)+H116),""))</f>
        <v/>
      </c>
      <c r="AU116" s="152" t="str">
        <f t="shared" si="47"/>
        <v/>
      </c>
      <c r="AV116" s="152" t="str">
        <f t="shared" si="48"/>
        <v/>
      </c>
      <c r="AW116" s="152" t="str">
        <f t="shared" si="49"/>
        <v/>
      </c>
    </row>
    <row r="117" spans="2:49" ht="15" thickBot="1" x14ac:dyDescent="0.35">
      <c r="B117" s="138" t="str">
        <f t="shared" si="26"/>
        <v/>
      </c>
      <c r="C117" s="137"/>
      <c r="D117" s="139"/>
      <c r="E117" s="140"/>
      <c r="F117" s="140"/>
      <c r="G117" s="139"/>
      <c r="H117" s="151"/>
      <c r="I117" s="139"/>
      <c r="J117" s="138"/>
      <c r="K117" s="139"/>
      <c r="L117" s="141"/>
      <c r="M117" s="133" t="str">
        <f t="shared" si="27"/>
        <v/>
      </c>
      <c r="N117" s="133" t="str">
        <f t="shared" si="28"/>
        <v/>
      </c>
      <c r="O117" s="133" t="str">
        <f t="shared" si="29"/>
        <v/>
      </c>
      <c r="P117" s="133" t="str">
        <f t="shared" si="30"/>
        <v/>
      </c>
      <c r="Q117" s="133" t="str">
        <f t="shared" si="31"/>
        <v/>
      </c>
      <c r="R117" s="133" t="str">
        <f t="shared" si="32"/>
        <v/>
      </c>
      <c r="S117" s="133" t="str">
        <f t="shared" si="33"/>
        <v/>
      </c>
      <c r="T117" s="133" t="str">
        <f>IFERROR(IF($U117="ERROR","ERROR",IF($N117="00",IF(J117="1-Rate","HH 1RATE",IF(J117="2-Rate","HH 2RATE","")),IFERROR(VLOOKUP(CONCATENATE(N117,Q117,O117,P117),Lookups!$A$2:$E$4557,5,0),VLOOKUP(CONCATENATE(N117,Q117,O117),Lookups!$A$2:$E$4557,5,0)))),"ERROR")</f>
        <v>ERROR</v>
      </c>
      <c r="U117" s="133" t="str">
        <f>IFERROR(IF(NOT($N117="00"),"",VLOOKUP(CONCATENATE(Q117,P117,LOOKUP(2,1/(Lookups!$I$2:$I$11&lt;=E117)/(Lookups!$J$2:$J$11&gt;=Tool!$C$14),Lookups!$K$2:$K$11)),'HH LLFs'!$A$2:$K$500,3,0)),"ERROR")</f>
        <v/>
      </c>
      <c r="V117" s="132">
        <f>Calcs!$I$2</f>
        <v>44377</v>
      </c>
      <c r="W117" s="132">
        <f>Calcs!$I$4</f>
        <v>44592</v>
      </c>
      <c r="X117" s="153" t="str">
        <f>IF(NOT(N117="00"),"",(VLOOKUP(CONCATENATE(Q117,P117,LOOKUP(2,1/(Lookups!$I$2:$I$11&lt;=Multisite!E117)/(Lookups!$J$2:$J$11&gt;=E117),Lookups!$K$2:$K$11)),'HH LLFs'!$A$2:$F$282,6,0)*365)/12)</f>
        <v/>
      </c>
      <c r="Y117" s="153">
        <f t="shared" si="34"/>
        <v>0</v>
      </c>
      <c r="Z117" s="153" t="str">
        <f t="shared" si="43"/>
        <v/>
      </c>
      <c r="AA117" s="153" t="str">
        <f t="shared" si="35"/>
        <v/>
      </c>
      <c r="AB117" s="153" t="str">
        <f t="shared" si="44"/>
        <v/>
      </c>
      <c r="AC117" s="153" t="str">
        <f t="shared" si="36"/>
        <v/>
      </c>
      <c r="AD117" s="153" t="str">
        <f t="shared" si="37"/>
        <v/>
      </c>
      <c r="AE117" s="153" t="str">
        <f t="shared" si="38"/>
        <v/>
      </c>
      <c r="AF117" s="155" t="e">
        <f>LOOKUP(2,1/(Lookups!$I$2:$I$11&lt;=E117)/(Lookups!$J$2:$J$11&gt;=E117),Lookups!$L$2:$L$11)</f>
        <v>#N/A</v>
      </c>
      <c r="AG117" s="142" t="str">
        <f t="shared" si="39"/>
        <v/>
      </c>
      <c r="AH117" s="142" t="str">
        <f t="shared" si="40"/>
        <v/>
      </c>
      <c r="AI117" s="143" t="b">
        <f t="shared" si="45"/>
        <v>0</v>
      </c>
      <c r="AJ117" s="143" t="str">
        <f t="shared" si="41"/>
        <v>Level 1</v>
      </c>
      <c r="AK117" s="142">
        <f t="shared" si="42"/>
        <v>0</v>
      </c>
      <c r="AL117" s="157" t="str">
        <f t="shared" si="50"/>
        <v/>
      </c>
      <c r="AM117" s="144" t="str">
        <f t="shared" si="51"/>
        <v>--FALSE-0</v>
      </c>
      <c r="AN117" s="158" t="str">
        <f t="shared" si="46"/>
        <v/>
      </c>
      <c r="AO117" s="145"/>
      <c r="AP117" s="159" t="str">
        <f>IF($AN117=FALSE,"",IFERROR(INDEX('Flat Rates'!$A$1:$M$3880,MATCH($AM117,'Flat Rates'!$A$1:$A$3880,0),MATCH("Standing Charge",'Flat Rates'!$A$1:$M$1,0))*100,""))</f>
        <v/>
      </c>
      <c r="AQ117" s="148" t="str">
        <f>IF($AN117=FALSE,"",IFERROR((IF(NOT(T117="Unrestricted"),"",INDEX('Flat Rates'!$A$1:$M$3880,MATCH($AM117,'Flat Rates'!$A$1:$A$3880,0),MATCH("Uni/Day Rate",'Flat Rates'!$A$1:$M$1,0)))*100)+H117,""))</f>
        <v/>
      </c>
      <c r="AR117" s="148" t="str">
        <f>IF($AN117=FALSE,"",IFERROR((IF(T117="Unrestricted","",INDEX('Flat Rates'!$A$1:$M$3880,MATCH($AM117,'Flat Rates'!$A$1:$A$3880,0),MATCH("Uni/Day Rate",'Flat Rates'!$A$1:$M$1,0)))*100)+H117,""))</f>
        <v/>
      </c>
      <c r="AS117" s="148" t="str">
        <f>IF($AN117=FALSE,"",IFERROR(IF(INDEX('Flat Rates'!$A$1:$M$3880,MATCH($AM117,'Flat Rates'!$A$1:$A$3880,0),MATCH("Night Unit Rate",'Flat Rates'!$A$1:$M$1,0))=0,"",((INDEX('Flat Rates'!$A$1:$M$3880,MATCH($AM117,'Flat Rates'!$A$1:$A$3880,0),MATCH("Night Unit Rate",'Flat Rates'!$A$1:$M$1,0)))*100)+H117),""))</f>
        <v/>
      </c>
      <c r="AT117" s="148" t="str">
        <f>IF($AN117=FALSE,"",IFERROR(IF(INDEX('Flat Rates'!$A$1:$M$3880,MATCH($AM117,'Flat Rates'!$A$1:$A$3880,0),MATCH("Evening and Weekend Rate",'Flat Rates'!$A$1:$M$1,0))=0,"",((INDEX('Flat Rates'!$A$1:$M$3880,MATCH($AM117,'Flat Rates'!$A$1:$A$3880,0),MATCH("Evening and Weekend Rate",'Flat Rates'!$A$1:$M$1,0)))*100)+H117),""))</f>
        <v/>
      </c>
      <c r="AU117" s="152" t="str">
        <f t="shared" si="47"/>
        <v/>
      </c>
      <c r="AV117" s="152" t="str">
        <f t="shared" si="48"/>
        <v/>
      </c>
      <c r="AW117" s="152" t="str">
        <f t="shared" si="49"/>
        <v/>
      </c>
    </row>
    <row r="118" spans="2:49" ht="15" thickBot="1" x14ac:dyDescent="0.35">
      <c r="B118" s="138" t="str">
        <f t="shared" si="26"/>
        <v/>
      </c>
      <c r="C118" s="137"/>
      <c r="D118" s="139"/>
      <c r="E118" s="140"/>
      <c r="F118" s="140"/>
      <c r="G118" s="139"/>
      <c r="H118" s="151"/>
      <c r="I118" s="139"/>
      <c r="J118" s="137"/>
      <c r="K118" s="139"/>
      <c r="L118" s="141"/>
      <c r="M118" s="133" t="str">
        <f t="shared" si="27"/>
        <v/>
      </c>
      <c r="N118" s="133" t="str">
        <f t="shared" si="28"/>
        <v/>
      </c>
      <c r="O118" s="133" t="str">
        <f t="shared" si="29"/>
        <v/>
      </c>
      <c r="P118" s="133" t="str">
        <f t="shared" si="30"/>
        <v/>
      </c>
      <c r="Q118" s="133" t="str">
        <f t="shared" si="31"/>
        <v/>
      </c>
      <c r="R118" s="133" t="str">
        <f t="shared" si="32"/>
        <v/>
      </c>
      <c r="S118" s="133" t="str">
        <f t="shared" si="33"/>
        <v/>
      </c>
      <c r="T118" s="133" t="str">
        <f>IFERROR(IF($U118="ERROR","ERROR",IF($N118="00",IF(J118="1-Rate","HH 1RATE",IF(J118="2-Rate","HH 2RATE","")),IFERROR(VLOOKUP(CONCATENATE(N118,Q118,O118,P118),Lookups!$A$2:$E$4557,5,0),VLOOKUP(CONCATENATE(N118,Q118,O118),Lookups!$A$2:$E$4557,5,0)))),"ERROR")</f>
        <v>ERROR</v>
      </c>
      <c r="U118" s="133" t="str">
        <f>IFERROR(IF(NOT($N118="00"),"",VLOOKUP(CONCATENATE(Q118,P118,LOOKUP(2,1/(Lookups!$I$2:$I$11&lt;=E118)/(Lookups!$J$2:$J$11&gt;=Tool!$C$14),Lookups!$K$2:$K$11)),'HH LLFs'!$A$2:$K$500,3,0)),"ERROR")</f>
        <v/>
      </c>
      <c r="V118" s="132">
        <f>Calcs!$I$2</f>
        <v>44377</v>
      </c>
      <c r="W118" s="132">
        <f>Calcs!$I$4</f>
        <v>44592</v>
      </c>
      <c r="X118" s="153" t="str">
        <f>IF(NOT(N118="00"),"",(VLOOKUP(CONCATENATE(Q118,P118,LOOKUP(2,1/(Lookups!$I$2:$I$11&lt;=Multisite!E118)/(Lookups!$J$2:$J$11&gt;=E118),Lookups!$K$2:$K$11)),'HH LLFs'!$A$2:$F$282,6,0)*365)/12)</f>
        <v/>
      </c>
      <c r="Y118" s="153">
        <f t="shared" si="34"/>
        <v>0</v>
      </c>
      <c r="Z118" s="153" t="str">
        <f t="shared" si="43"/>
        <v/>
      </c>
      <c r="AA118" s="153" t="str">
        <f t="shared" si="35"/>
        <v/>
      </c>
      <c r="AB118" s="153" t="str">
        <f t="shared" si="44"/>
        <v/>
      </c>
      <c r="AC118" s="153" t="str">
        <f t="shared" si="36"/>
        <v/>
      </c>
      <c r="AD118" s="153" t="str">
        <f t="shared" si="37"/>
        <v/>
      </c>
      <c r="AE118" s="153" t="str">
        <f t="shared" si="38"/>
        <v/>
      </c>
      <c r="AF118" s="155" t="e">
        <f>LOOKUP(2,1/(Lookups!$I$2:$I$11&lt;=E118)/(Lookups!$J$2:$J$11&gt;=E118),Lookups!$L$2:$L$11)</f>
        <v>#N/A</v>
      </c>
      <c r="AG118" s="142" t="str">
        <f t="shared" si="39"/>
        <v/>
      </c>
      <c r="AH118" s="142" t="str">
        <f t="shared" si="40"/>
        <v/>
      </c>
      <c r="AI118" s="143" t="b">
        <f t="shared" si="45"/>
        <v>0</v>
      </c>
      <c r="AJ118" s="143" t="str">
        <f t="shared" si="41"/>
        <v>Level 1</v>
      </c>
      <c r="AK118" s="142">
        <f t="shared" si="42"/>
        <v>0</v>
      </c>
      <c r="AL118" s="157" t="str">
        <f t="shared" si="50"/>
        <v/>
      </c>
      <c r="AM118" s="144" t="str">
        <f t="shared" si="51"/>
        <v>--FALSE-0</v>
      </c>
      <c r="AN118" s="158" t="str">
        <f t="shared" si="46"/>
        <v/>
      </c>
      <c r="AO118" s="145"/>
      <c r="AP118" s="159" t="str">
        <f>IF($AN118=FALSE,"",IFERROR(INDEX('Flat Rates'!$A$1:$M$3880,MATCH($AM118,'Flat Rates'!$A$1:$A$3880,0),MATCH("Standing Charge",'Flat Rates'!$A$1:$M$1,0))*100,""))</f>
        <v/>
      </c>
      <c r="AQ118" s="148" t="str">
        <f>IF($AN118=FALSE,"",IFERROR((IF(NOT(T118="Unrestricted"),"",INDEX('Flat Rates'!$A$1:$M$3880,MATCH($AM118,'Flat Rates'!$A$1:$A$3880,0),MATCH("Uni/Day Rate",'Flat Rates'!$A$1:$M$1,0)))*100)+H118,""))</f>
        <v/>
      </c>
      <c r="AR118" s="148" t="str">
        <f>IF($AN118=FALSE,"",IFERROR((IF(T118="Unrestricted","",INDEX('Flat Rates'!$A$1:$M$3880,MATCH($AM118,'Flat Rates'!$A$1:$A$3880,0),MATCH("Uni/Day Rate",'Flat Rates'!$A$1:$M$1,0)))*100)+H118,""))</f>
        <v/>
      </c>
      <c r="AS118" s="148" t="str">
        <f>IF($AN118=FALSE,"",IFERROR(IF(INDEX('Flat Rates'!$A$1:$M$3880,MATCH($AM118,'Flat Rates'!$A$1:$A$3880,0),MATCH("Night Unit Rate",'Flat Rates'!$A$1:$M$1,0))=0,"",((INDEX('Flat Rates'!$A$1:$M$3880,MATCH($AM118,'Flat Rates'!$A$1:$A$3880,0),MATCH("Night Unit Rate",'Flat Rates'!$A$1:$M$1,0)))*100)+H118),""))</f>
        <v/>
      </c>
      <c r="AT118" s="148" t="str">
        <f>IF($AN118=FALSE,"",IFERROR(IF(INDEX('Flat Rates'!$A$1:$M$3880,MATCH($AM118,'Flat Rates'!$A$1:$A$3880,0),MATCH("Evening and Weekend Rate",'Flat Rates'!$A$1:$M$1,0))=0,"",((INDEX('Flat Rates'!$A$1:$M$3880,MATCH($AM118,'Flat Rates'!$A$1:$A$3880,0),MATCH("Evening and Weekend Rate",'Flat Rates'!$A$1:$M$1,0)))*100)+H118),""))</f>
        <v/>
      </c>
      <c r="AU118" s="152" t="str">
        <f t="shared" si="47"/>
        <v/>
      </c>
      <c r="AV118" s="152" t="str">
        <f t="shared" si="48"/>
        <v/>
      </c>
      <c r="AW118" s="152" t="str">
        <f t="shared" si="49"/>
        <v/>
      </c>
    </row>
    <row r="119" spans="2:49" ht="15" thickBot="1" x14ac:dyDescent="0.35">
      <c r="B119" s="138" t="str">
        <f t="shared" si="26"/>
        <v/>
      </c>
      <c r="C119" s="137"/>
      <c r="D119" s="139"/>
      <c r="E119" s="140"/>
      <c r="F119" s="140"/>
      <c r="G119" s="139"/>
      <c r="H119" s="151"/>
      <c r="I119" s="139"/>
      <c r="J119" s="138"/>
      <c r="K119" s="139"/>
      <c r="L119" s="141"/>
      <c r="M119" s="133" t="str">
        <f t="shared" si="27"/>
        <v/>
      </c>
      <c r="N119" s="133" t="str">
        <f t="shared" si="28"/>
        <v/>
      </c>
      <c r="O119" s="133" t="str">
        <f t="shared" si="29"/>
        <v/>
      </c>
      <c r="P119" s="133" t="str">
        <f t="shared" si="30"/>
        <v/>
      </c>
      <c r="Q119" s="133" t="str">
        <f t="shared" si="31"/>
        <v/>
      </c>
      <c r="R119" s="133" t="str">
        <f t="shared" si="32"/>
        <v/>
      </c>
      <c r="S119" s="133" t="str">
        <f t="shared" si="33"/>
        <v/>
      </c>
      <c r="T119" s="133" t="str">
        <f>IFERROR(IF($U119="ERROR","ERROR",IF($N119="00",IF(J119="1-Rate","HH 1RATE",IF(J119="2-Rate","HH 2RATE","")),IFERROR(VLOOKUP(CONCATENATE(N119,Q119,O119,P119),Lookups!$A$2:$E$4557,5,0),VLOOKUP(CONCATENATE(N119,Q119,O119),Lookups!$A$2:$E$4557,5,0)))),"ERROR")</f>
        <v>ERROR</v>
      </c>
      <c r="U119" s="133" t="str">
        <f>IFERROR(IF(NOT($N119="00"),"",VLOOKUP(CONCATENATE(Q119,P119,LOOKUP(2,1/(Lookups!$I$2:$I$11&lt;=E119)/(Lookups!$J$2:$J$11&gt;=Tool!$C$14),Lookups!$K$2:$K$11)),'HH LLFs'!$A$2:$K$500,3,0)),"ERROR")</f>
        <v/>
      </c>
      <c r="V119" s="132">
        <f>Calcs!$I$2</f>
        <v>44377</v>
      </c>
      <c r="W119" s="132">
        <f>Calcs!$I$4</f>
        <v>44592</v>
      </c>
      <c r="X119" s="153" t="str">
        <f>IF(NOT(N119="00"),"",(VLOOKUP(CONCATENATE(Q119,P119,LOOKUP(2,1/(Lookups!$I$2:$I$11&lt;=Multisite!E119)/(Lookups!$J$2:$J$11&gt;=E119),Lookups!$K$2:$K$11)),'HH LLFs'!$A$2:$F$282,6,0)*365)/12)</f>
        <v/>
      </c>
      <c r="Y119" s="153">
        <f t="shared" si="34"/>
        <v>0</v>
      </c>
      <c r="Z119" s="153" t="str">
        <f t="shared" si="43"/>
        <v/>
      </c>
      <c r="AA119" s="153" t="str">
        <f t="shared" si="35"/>
        <v/>
      </c>
      <c r="AB119" s="153" t="str">
        <f t="shared" si="44"/>
        <v/>
      </c>
      <c r="AC119" s="153" t="str">
        <f t="shared" si="36"/>
        <v/>
      </c>
      <c r="AD119" s="153" t="str">
        <f t="shared" si="37"/>
        <v/>
      </c>
      <c r="AE119" s="153" t="str">
        <f t="shared" si="38"/>
        <v/>
      </c>
      <c r="AF119" s="155" t="e">
        <f>LOOKUP(2,1/(Lookups!$I$2:$I$11&lt;=E119)/(Lookups!$J$2:$J$11&gt;=E119),Lookups!$L$2:$L$11)</f>
        <v>#N/A</v>
      </c>
      <c r="AG119" s="142" t="str">
        <f t="shared" si="39"/>
        <v/>
      </c>
      <c r="AH119" s="142" t="str">
        <f t="shared" si="40"/>
        <v/>
      </c>
      <c r="AI119" s="143" t="b">
        <f t="shared" si="45"/>
        <v>0</v>
      </c>
      <c r="AJ119" s="143" t="str">
        <f t="shared" si="41"/>
        <v>Level 1</v>
      </c>
      <c r="AK119" s="142">
        <f t="shared" si="42"/>
        <v>0</v>
      </c>
      <c r="AL119" s="157" t="str">
        <f t="shared" si="50"/>
        <v/>
      </c>
      <c r="AM119" s="144" t="str">
        <f t="shared" si="51"/>
        <v>--FALSE-0</v>
      </c>
      <c r="AN119" s="158" t="str">
        <f t="shared" si="46"/>
        <v/>
      </c>
      <c r="AO119" s="145"/>
      <c r="AP119" s="159" t="str">
        <f>IF($AN119=FALSE,"",IFERROR(INDEX('Flat Rates'!$A$1:$M$3880,MATCH($AM119,'Flat Rates'!$A$1:$A$3880,0),MATCH("Standing Charge",'Flat Rates'!$A$1:$M$1,0))*100,""))</f>
        <v/>
      </c>
      <c r="AQ119" s="148" t="str">
        <f>IF($AN119=FALSE,"",IFERROR((IF(NOT(T119="Unrestricted"),"",INDEX('Flat Rates'!$A$1:$M$3880,MATCH($AM119,'Flat Rates'!$A$1:$A$3880,0),MATCH("Uni/Day Rate",'Flat Rates'!$A$1:$M$1,0)))*100)+H119,""))</f>
        <v/>
      </c>
      <c r="AR119" s="148" t="str">
        <f>IF($AN119=FALSE,"",IFERROR((IF(T119="Unrestricted","",INDEX('Flat Rates'!$A$1:$M$3880,MATCH($AM119,'Flat Rates'!$A$1:$A$3880,0),MATCH("Uni/Day Rate",'Flat Rates'!$A$1:$M$1,0)))*100)+H119,""))</f>
        <v/>
      </c>
      <c r="AS119" s="148" t="str">
        <f>IF($AN119=FALSE,"",IFERROR(IF(INDEX('Flat Rates'!$A$1:$M$3880,MATCH($AM119,'Flat Rates'!$A$1:$A$3880,0),MATCH("Night Unit Rate",'Flat Rates'!$A$1:$M$1,0))=0,"",((INDEX('Flat Rates'!$A$1:$M$3880,MATCH($AM119,'Flat Rates'!$A$1:$A$3880,0),MATCH("Night Unit Rate",'Flat Rates'!$A$1:$M$1,0)))*100)+H119),""))</f>
        <v/>
      </c>
      <c r="AT119" s="148" t="str">
        <f>IF($AN119=FALSE,"",IFERROR(IF(INDEX('Flat Rates'!$A$1:$M$3880,MATCH($AM119,'Flat Rates'!$A$1:$A$3880,0),MATCH("Evening and Weekend Rate",'Flat Rates'!$A$1:$M$1,0))=0,"",((INDEX('Flat Rates'!$A$1:$M$3880,MATCH($AM119,'Flat Rates'!$A$1:$A$3880,0),MATCH("Evening and Weekend Rate",'Flat Rates'!$A$1:$M$1,0)))*100)+H119),""))</f>
        <v/>
      </c>
      <c r="AU119" s="152" t="str">
        <f t="shared" si="47"/>
        <v/>
      </c>
      <c r="AV119" s="152" t="str">
        <f t="shared" si="48"/>
        <v/>
      </c>
      <c r="AW119" s="152" t="str">
        <f t="shared" si="49"/>
        <v/>
      </c>
    </row>
    <row r="120" spans="2:49" ht="15" thickBot="1" x14ac:dyDescent="0.35">
      <c r="B120" s="138" t="str">
        <f t="shared" si="26"/>
        <v/>
      </c>
      <c r="C120" s="137"/>
      <c r="D120" s="139"/>
      <c r="E120" s="140"/>
      <c r="F120" s="140"/>
      <c r="G120" s="139"/>
      <c r="H120" s="151"/>
      <c r="I120" s="139"/>
      <c r="J120" s="137"/>
      <c r="K120" s="139"/>
      <c r="L120" s="141"/>
      <c r="M120" s="133" t="str">
        <f t="shared" si="27"/>
        <v/>
      </c>
      <c r="N120" s="133" t="str">
        <f t="shared" si="28"/>
        <v/>
      </c>
      <c r="O120" s="133" t="str">
        <f t="shared" si="29"/>
        <v/>
      </c>
      <c r="P120" s="133" t="str">
        <f t="shared" si="30"/>
        <v/>
      </c>
      <c r="Q120" s="133" t="str">
        <f t="shared" si="31"/>
        <v/>
      </c>
      <c r="R120" s="133" t="str">
        <f t="shared" si="32"/>
        <v/>
      </c>
      <c r="S120" s="133" t="str">
        <f t="shared" si="33"/>
        <v/>
      </c>
      <c r="T120" s="133" t="str">
        <f>IFERROR(IF($U120="ERROR","ERROR",IF($N120="00",IF(J120="1-Rate","HH 1RATE",IF(J120="2-Rate","HH 2RATE","")),IFERROR(VLOOKUP(CONCATENATE(N120,Q120,O120,P120),Lookups!$A$2:$E$4557,5,0),VLOOKUP(CONCATENATE(N120,Q120,O120),Lookups!$A$2:$E$4557,5,0)))),"ERROR")</f>
        <v>ERROR</v>
      </c>
      <c r="U120" s="133" t="str">
        <f>IFERROR(IF(NOT($N120="00"),"",VLOOKUP(CONCATENATE(Q120,P120,LOOKUP(2,1/(Lookups!$I$2:$I$11&lt;=E120)/(Lookups!$J$2:$J$11&gt;=Tool!$C$14),Lookups!$K$2:$K$11)),'HH LLFs'!$A$2:$K$500,3,0)),"ERROR")</f>
        <v/>
      </c>
      <c r="V120" s="132">
        <f>Calcs!$I$2</f>
        <v>44377</v>
      </c>
      <c r="W120" s="132">
        <f>Calcs!$I$4</f>
        <v>44592</v>
      </c>
      <c r="X120" s="153" t="str">
        <f>IF(NOT(N120="00"),"",(VLOOKUP(CONCATENATE(Q120,P120,LOOKUP(2,1/(Lookups!$I$2:$I$11&lt;=Multisite!E120)/(Lookups!$J$2:$J$11&gt;=E120),Lookups!$K$2:$K$11)),'HH LLFs'!$A$2:$F$282,6,0)*365)/12)</f>
        <v/>
      </c>
      <c r="Y120" s="153">
        <f t="shared" si="34"/>
        <v>0</v>
      </c>
      <c r="Z120" s="153" t="str">
        <f t="shared" si="43"/>
        <v/>
      </c>
      <c r="AA120" s="153" t="str">
        <f t="shared" si="35"/>
        <v/>
      </c>
      <c r="AB120" s="153" t="str">
        <f t="shared" si="44"/>
        <v/>
      </c>
      <c r="AC120" s="153" t="str">
        <f t="shared" si="36"/>
        <v/>
      </c>
      <c r="AD120" s="153" t="str">
        <f t="shared" si="37"/>
        <v/>
      </c>
      <c r="AE120" s="153" t="str">
        <f t="shared" si="38"/>
        <v/>
      </c>
      <c r="AF120" s="155" t="e">
        <f>LOOKUP(2,1/(Lookups!$I$2:$I$11&lt;=E120)/(Lookups!$J$2:$J$11&gt;=E120),Lookups!$L$2:$L$11)</f>
        <v>#N/A</v>
      </c>
      <c r="AG120" s="142" t="str">
        <f t="shared" si="39"/>
        <v/>
      </c>
      <c r="AH120" s="142" t="str">
        <f t="shared" si="40"/>
        <v/>
      </c>
      <c r="AI120" s="143" t="b">
        <f t="shared" si="45"/>
        <v>0</v>
      </c>
      <c r="AJ120" s="143" t="str">
        <f t="shared" si="41"/>
        <v>Level 1</v>
      </c>
      <c r="AK120" s="142">
        <f t="shared" si="42"/>
        <v>0</v>
      </c>
      <c r="AL120" s="157" t="str">
        <f t="shared" si="50"/>
        <v/>
      </c>
      <c r="AM120" s="144" t="str">
        <f t="shared" si="51"/>
        <v>--FALSE-0</v>
      </c>
      <c r="AN120" s="158" t="str">
        <f t="shared" si="46"/>
        <v/>
      </c>
      <c r="AO120" s="145"/>
      <c r="AP120" s="159" t="str">
        <f>IF($AN120=FALSE,"",IFERROR(INDEX('Flat Rates'!$A$1:$M$3880,MATCH($AM120,'Flat Rates'!$A$1:$A$3880,0),MATCH("Standing Charge",'Flat Rates'!$A$1:$M$1,0))*100,""))</f>
        <v/>
      </c>
      <c r="AQ120" s="148" t="str">
        <f>IF($AN120=FALSE,"",IFERROR((IF(NOT(T120="Unrestricted"),"",INDEX('Flat Rates'!$A$1:$M$3880,MATCH($AM120,'Flat Rates'!$A$1:$A$3880,0),MATCH("Uni/Day Rate",'Flat Rates'!$A$1:$M$1,0)))*100)+H120,""))</f>
        <v/>
      </c>
      <c r="AR120" s="148" t="str">
        <f>IF($AN120=FALSE,"",IFERROR((IF(T120="Unrestricted","",INDEX('Flat Rates'!$A$1:$M$3880,MATCH($AM120,'Flat Rates'!$A$1:$A$3880,0),MATCH("Uni/Day Rate",'Flat Rates'!$A$1:$M$1,0)))*100)+H120,""))</f>
        <v/>
      </c>
      <c r="AS120" s="148" t="str">
        <f>IF($AN120=FALSE,"",IFERROR(IF(INDEX('Flat Rates'!$A$1:$M$3880,MATCH($AM120,'Flat Rates'!$A$1:$A$3880,0),MATCH("Night Unit Rate",'Flat Rates'!$A$1:$M$1,0))=0,"",((INDEX('Flat Rates'!$A$1:$M$3880,MATCH($AM120,'Flat Rates'!$A$1:$A$3880,0),MATCH("Night Unit Rate",'Flat Rates'!$A$1:$M$1,0)))*100)+H120),""))</f>
        <v/>
      </c>
      <c r="AT120" s="148" t="str">
        <f>IF($AN120=FALSE,"",IFERROR(IF(INDEX('Flat Rates'!$A$1:$M$3880,MATCH($AM120,'Flat Rates'!$A$1:$A$3880,0),MATCH("Evening and Weekend Rate",'Flat Rates'!$A$1:$M$1,0))=0,"",((INDEX('Flat Rates'!$A$1:$M$3880,MATCH($AM120,'Flat Rates'!$A$1:$A$3880,0),MATCH("Evening and Weekend Rate",'Flat Rates'!$A$1:$M$1,0)))*100)+H120),""))</f>
        <v/>
      </c>
      <c r="AU120" s="152" t="str">
        <f t="shared" si="47"/>
        <v/>
      </c>
      <c r="AV120" s="152" t="str">
        <f t="shared" si="48"/>
        <v/>
      </c>
      <c r="AW120" s="152" t="str">
        <f t="shared" si="49"/>
        <v/>
      </c>
    </row>
    <row r="121" spans="2:49" ht="15" thickBot="1" x14ac:dyDescent="0.35">
      <c r="B121" s="138" t="str">
        <f t="shared" si="26"/>
        <v/>
      </c>
      <c r="C121" s="137"/>
      <c r="D121" s="139"/>
      <c r="E121" s="140"/>
      <c r="F121" s="140"/>
      <c r="G121" s="139"/>
      <c r="H121" s="151"/>
      <c r="I121" s="139"/>
      <c r="J121" s="138"/>
      <c r="K121" s="139"/>
      <c r="L121" s="141"/>
      <c r="M121" s="133" t="str">
        <f t="shared" si="27"/>
        <v/>
      </c>
      <c r="N121" s="133" t="str">
        <f t="shared" si="28"/>
        <v/>
      </c>
      <c r="O121" s="133" t="str">
        <f t="shared" si="29"/>
        <v/>
      </c>
      <c r="P121" s="133" t="str">
        <f t="shared" si="30"/>
        <v/>
      </c>
      <c r="Q121" s="133" t="str">
        <f t="shared" si="31"/>
        <v/>
      </c>
      <c r="R121" s="133" t="str">
        <f t="shared" si="32"/>
        <v/>
      </c>
      <c r="S121" s="133" t="str">
        <f t="shared" si="33"/>
        <v/>
      </c>
      <c r="T121" s="133" t="str">
        <f>IFERROR(IF($U121="ERROR","ERROR",IF($N121="00",IF(J121="1-Rate","HH 1RATE",IF(J121="2-Rate","HH 2RATE","")),IFERROR(VLOOKUP(CONCATENATE(N121,Q121,O121,P121),Lookups!$A$2:$E$4557,5,0),VLOOKUP(CONCATENATE(N121,Q121,O121),Lookups!$A$2:$E$4557,5,0)))),"ERROR")</f>
        <v>ERROR</v>
      </c>
      <c r="U121" s="133" t="str">
        <f>IFERROR(IF(NOT($N121="00"),"",VLOOKUP(CONCATENATE(Q121,P121,LOOKUP(2,1/(Lookups!$I$2:$I$11&lt;=E121)/(Lookups!$J$2:$J$11&gt;=Tool!$C$14),Lookups!$K$2:$K$11)),'HH LLFs'!$A$2:$K$500,3,0)),"ERROR")</f>
        <v/>
      </c>
      <c r="V121" s="132">
        <f>Calcs!$I$2</f>
        <v>44377</v>
      </c>
      <c r="W121" s="132">
        <f>Calcs!$I$4</f>
        <v>44592</v>
      </c>
      <c r="X121" s="153" t="str">
        <f>IF(NOT(N121="00"),"",(VLOOKUP(CONCATENATE(Q121,P121,LOOKUP(2,1/(Lookups!$I$2:$I$11&lt;=Multisite!E121)/(Lookups!$J$2:$J$11&gt;=E121),Lookups!$K$2:$K$11)),'HH LLFs'!$A$2:$F$282,6,0)*365)/12)</f>
        <v/>
      </c>
      <c r="Y121" s="153">
        <f t="shared" si="34"/>
        <v>0</v>
      </c>
      <c r="Z121" s="153" t="str">
        <f t="shared" si="43"/>
        <v/>
      </c>
      <c r="AA121" s="153" t="str">
        <f t="shared" si="35"/>
        <v/>
      </c>
      <c r="AB121" s="153" t="str">
        <f t="shared" si="44"/>
        <v/>
      </c>
      <c r="AC121" s="153" t="str">
        <f t="shared" si="36"/>
        <v/>
      </c>
      <c r="AD121" s="153" t="str">
        <f t="shared" si="37"/>
        <v/>
      </c>
      <c r="AE121" s="153" t="str">
        <f t="shared" si="38"/>
        <v/>
      </c>
      <c r="AF121" s="155" t="e">
        <f>LOOKUP(2,1/(Lookups!$I$2:$I$11&lt;=E121)/(Lookups!$J$2:$J$11&gt;=E121),Lookups!$L$2:$L$11)</f>
        <v>#N/A</v>
      </c>
      <c r="AG121" s="142" t="str">
        <f t="shared" si="39"/>
        <v/>
      </c>
      <c r="AH121" s="142" t="str">
        <f t="shared" si="40"/>
        <v/>
      </c>
      <c r="AI121" s="143" t="b">
        <f t="shared" si="45"/>
        <v>0</v>
      </c>
      <c r="AJ121" s="143" t="str">
        <f t="shared" si="41"/>
        <v>Level 1</v>
      </c>
      <c r="AK121" s="142">
        <f t="shared" si="42"/>
        <v>0</v>
      </c>
      <c r="AL121" s="157" t="str">
        <f t="shared" si="50"/>
        <v/>
      </c>
      <c r="AM121" s="144" t="str">
        <f t="shared" si="51"/>
        <v>--FALSE-0</v>
      </c>
      <c r="AN121" s="158" t="str">
        <f t="shared" si="46"/>
        <v/>
      </c>
      <c r="AO121" s="145"/>
      <c r="AP121" s="159" t="str">
        <f>IF($AN121=FALSE,"",IFERROR(INDEX('Flat Rates'!$A$1:$M$3880,MATCH($AM121,'Flat Rates'!$A$1:$A$3880,0),MATCH("Standing Charge",'Flat Rates'!$A$1:$M$1,0))*100,""))</f>
        <v/>
      </c>
      <c r="AQ121" s="148" t="str">
        <f>IF($AN121=FALSE,"",IFERROR((IF(NOT(T121="Unrestricted"),"",INDEX('Flat Rates'!$A$1:$M$3880,MATCH($AM121,'Flat Rates'!$A$1:$A$3880,0),MATCH("Uni/Day Rate",'Flat Rates'!$A$1:$M$1,0)))*100)+H121,""))</f>
        <v/>
      </c>
      <c r="AR121" s="148" t="str">
        <f>IF($AN121=FALSE,"",IFERROR((IF(T121="Unrestricted","",INDEX('Flat Rates'!$A$1:$M$3880,MATCH($AM121,'Flat Rates'!$A$1:$A$3880,0),MATCH("Uni/Day Rate",'Flat Rates'!$A$1:$M$1,0)))*100)+H121,""))</f>
        <v/>
      </c>
      <c r="AS121" s="148" t="str">
        <f>IF($AN121=FALSE,"",IFERROR(IF(INDEX('Flat Rates'!$A$1:$M$3880,MATCH($AM121,'Flat Rates'!$A$1:$A$3880,0),MATCH("Night Unit Rate",'Flat Rates'!$A$1:$M$1,0))=0,"",((INDEX('Flat Rates'!$A$1:$M$3880,MATCH($AM121,'Flat Rates'!$A$1:$A$3880,0),MATCH("Night Unit Rate",'Flat Rates'!$A$1:$M$1,0)))*100)+H121),""))</f>
        <v/>
      </c>
      <c r="AT121" s="148" t="str">
        <f>IF($AN121=FALSE,"",IFERROR(IF(INDEX('Flat Rates'!$A$1:$M$3880,MATCH($AM121,'Flat Rates'!$A$1:$A$3880,0),MATCH("Evening and Weekend Rate",'Flat Rates'!$A$1:$M$1,0))=0,"",((INDEX('Flat Rates'!$A$1:$M$3880,MATCH($AM121,'Flat Rates'!$A$1:$A$3880,0),MATCH("Evening and Weekend Rate",'Flat Rates'!$A$1:$M$1,0)))*100)+H121),""))</f>
        <v/>
      </c>
      <c r="AU121" s="152" t="str">
        <f t="shared" si="47"/>
        <v/>
      </c>
      <c r="AV121" s="152" t="str">
        <f t="shared" si="48"/>
        <v/>
      </c>
      <c r="AW121" s="152" t="str">
        <f t="shared" si="49"/>
        <v/>
      </c>
    </row>
    <row r="122" spans="2:49" ht="15" thickBot="1" x14ac:dyDescent="0.35">
      <c r="B122" s="138" t="str">
        <f t="shared" si="26"/>
        <v/>
      </c>
      <c r="C122" s="137"/>
      <c r="D122" s="139"/>
      <c r="E122" s="140"/>
      <c r="F122" s="140"/>
      <c r="G122" s="139"/>
      <c r="H122" s="151"/>
      <c r="I122" s="139"/>
      <c r="J122" s="137"/>
      <c r="K122" s="139"/>
      <c r="L122" s="141"/>
      <c r="M122" s="133" t="str">
        <f t="shared" si="27"/>
        <v/>
      </c>
      <c r="N122" s="133" t="str">
        <f t="shared" si="28"/>
        <v/>
      </c>
      <c r="O122" s="133" t="str">
        <f t="shared" si="29"/>
        <v/>
      </c>
      <c r="P122" s="133" t="str">
        <f t="shared" si="30"/>
        <v/>
      </c>
      <c r="Q122" s="133" t="str">
        <f t="shared" si="31"/>
        <v/>
      </c>
      <c r="R122" s="133" t="str">
        <f t="shared" si="32"/>
        <v/>
      </c>
      <c r="S122" s="133" t="str">
        <f t="shared" si="33"/>
        <v/>
      </c>
      <c r="T122" s="133" t="str">
        <f>IFERROR(IF($U122="ERROR","ERROR",IF($N122="00",IF(J122="1-Rate","HH 1RATE",IF(J122="2-Rate","HH 2RATE","")),IFERROR(VLOOKUP(CONCATENATE(N122,Q122,O122,P122),Lookups!$A$2:$E$4557,5,0),VLOOKUP(CONCATENATE(N122,Q122,O122),Lookups!$A$2:$E$4557,5,0)))),"ERROR")</f>
        <v>ERROR</v>
      </c>
      <c r="U122" s="133" t="str">
        <f>IFERROR(IF(NOT($N122="00"),"",VLOOKUP(CONCATENATE(Q122,P122,LOOKUP(2,1/(Lookups!$I$2:$I$11&lt;=E122)/(Lookups!$J$2:$J$11&gt;=Tool!$C$14),Lookups!$K$2:$K$11)),'HH LLFs'!$A$2:$K$500,3,0)),"ERROR")</f>
        <v/>
      </c>
      <c r="V122" s="132">
        <f>Calcs!$I$2</f>
        <v>44377</v>
      </c>
      <c r="W122" s="132">
        <f>Calcs!$I$4</f>
        <v>44592</v>
      </c>
      <c r="X122" s="153" t="str">
        <f>IF(NOT(N122="00"),"",(VLOOKUP(CONCATENATE(Q122,P122,LOOKUP(2,1/(Lookups!$I$2:$I$11&lt;=Multisite!E122)/(Lookups!$J$2:$J$11&gt;=E122),Lookups!$K$2:$K$11)),'HH LLFs'!$A$2:$F$282,6,0)*365)/12)</f>
        <v/>
      </c>
      <c r="Y122" s="153">
        <f t="shared" si="34"/>
        <v>0</v>
      </c>
      <c r="Z122" s="153" t="str">
        <f t="shared" si="43"/>
        <v/>
      </c>
      <c r="AA122" s="153" t="str">
        <f t="shared" si="35"/>
        <v/>
      </c>
      <c r="AB122" s="153" t="str">
        <f t="shared" si="44"/>
        <v/>
      </c>
      <c r="AC122" s="153" t="str">
        <f t="shared" si="36"/>
        <v/>
      </c>
      <c r="AD122" s="153" t="str">
        <f t="shared" si="37"/>
        <v/>
      </c>
      <c r="AE122" s="153" t="str">
        <f t="shared" si="38"/>
        <v/>
      </c>
      <c r="AF122" s="155" t="e">
        <f>LOOKUP(2,1/(Lookups!$I$2:$I$11&lt;=E122)/(Lookups!$J$2:$J$11&gt;=E122),Lookups!$L$2:$L$11)</f>
        <v>#N/A</v>
      </c>
      <c r="AG122" s="142" t="str">
        <f t="shared" si="39"/>
        <v/>
      </c>
      <c r="AH122" s="142" t="str">
        <f t="shared" si="40"/>
        <v/>
      </c>
      <c r="AI122" s="143" t="b">
        <f t="shared" si="45"/>
        <v>0</v>
      </c>
      <c r="AJ122" s="143" t="str">
        <f t="shared" si="41"/>
        <v>Level 1</v>
      </c>
      <c r="AK122" s="142">
        <f t="shared" si="42"/>
        <v>0</v>
      </c>
      <c r="AL122" s="157" t="str">
        <f t="shared" si="50"/>
        <v/>
      </c>
      <c r="AM122" s="144" t="str">
        <f t="shared" si="51"/>
        <v>--FALSE-0</v>
      </c>
      <c r="AN122" s="158" t="str">
        <f t="shared" si="46"/>
        <v/>
      </c>
      <c r="AO122" s="145"/>
      <c r="AP122" s="159" t="str">
        <f>IF($AN122=FALSE,"",IFERROR(INDEX('Flat Rates'!$A$1:$M$3880,MATCH($AM122,'Flat Rates'!$A$1:$A$3880,0),MATCH("Standing Charge",'Flat Rates'!$A$1:$M$1,0))*100,""))</f>
        <v/>
      </c>
      <c r="AQ122" s="148" t="str">
        <f>IF($AN122=FALSE,"",IFERROR((IF(NOT(T122="Unrestricted"),"",INDEX('Flat Rates'!$A$1:$M$3880,MATCH($AM122,'Flat Rates'!$A$1:$A$3880,0),MATCH("Uni/Day Rate",'Flat Rates'!$A$1:$M$1,0)))*100)+H122,""))</f>
        <v/>
      </c>
      <c r="AR122" s="148" t="str">
        <f>IF($AN122=FALSE,"",IFERROR((IF(T122="Unrestricted","",INDEX('Flat Rates'!$A$1:$M$3880,MATCH($AM122,'Flat Rates'!$A$1:$A$3880,0),MATCH("Uni/Day Rate",'Flat Rates'!$A$1:$M$1,0)))*100)+H122,""))</f>
        <v/>
      </c>
      <c r="AS122" s="148" t="str">
        <f>IF($AN122=FALSE,"",IFERROR(IF(INDEX('Flat Rates'!$A$1:$M$3880,MATCH($AM122,'Flat Rates'!$A$1:$A$3880,0),MATCH("Night Unit Rate",'Flat Rates'!$A$1:$M$1,0))=0,"",((INDEX('Flat Rates'!$A$1:$M$3880,MATCH($AM122,'Flat Rates'!$A$1:$A$3880,0),MATCH("Night Unit Rate",'Flat Rates'!$A$1:$M$1,0)))*100)+H122),""))</f>
        <v/>
      </c>
      <c r="AT122" s="148" t="str">
        <f>IF($AN122=FALSE,"",IFERROR(IF(INDEX('Flat Rates'!$A$1:$M$3880,MATCH($AM122,'Flat Rates'!$A$1:$A$3880,0),MATCH("Evening and Weekend Rate",'Flat Rates'!$A$1:$M$1,0))=0,"",((INDEX('Flat Rates'!$A$1:$M$3880,MATCH($AM122,'Flat Rates'!$A$1:$A$3880,0),MATCH("Evening and Weekend Rate",'Flat Rates'!$A$1:$M$1,0)))*100)+H122),""))</f>
        <v/>
      </c>
      <c r="AU122" s="152" t="str">
        <f t="shared" si="47"/>
        <v/>
      </c>
      <c r="AV122" s="152" t="str">
        <f t="shared" si="48"/>
        <v/>
      </c>
      <c r="AW122" s="152" t="str">
        <f t="shared" si="49"/>
        <v/>
      </c>
    </row>
    <row r="123" spans="2:49" ht="15" thickBot="1" x14ac:dyDescent="0.35">
      <c r="B123" s="138" t="str">
        <f t="shared" si="26"/>
        <v/>
      </c>
      <c r="C123" s="137"/>
      <c r="D123" s="139"/>
      <c r="E123" s="140"/>
      <c r="F123" s="140"/>
      <c r="G123" s="139"/>
      <c r="H123" s="151"/>
      <c r="I123" s="139"/>
      <c r="J123" s="138"/>
      <c r="K123" s="139"/>
      <c r="L123" s="141"/>
      <c r="M123" s="133" t="str">
        <f t="shared" si="27"/>
        <v/>
      </c>
      <c r="N123" s="133" t="str">
        <f t="shared" si="28"/>
        <v/>
      </c>
      <c r="O123" s="133" t="str">
        <f t="shared" si="29"/>
        <v/>
      </c>
      <c r="P123" s="133" t="str">
        <f t="shared" si="30"/>
        <v/>
      </c>
      <c r="Q123" s="133" t="str">
        <f t="shared" si="31"/>
        <v/>
      </c>
      <c r="R123" s="133" t="str">
        <f t="shared" si="32"/>
        <v/>
      </c>
      <c r="S123" s="133" t="str">
        <f t="shared" si="33"/>
        <v/>
      </c>
      <c r="T123" s="133" t="str">
        <f>IFERROR(IF($U123="ERROR","ERROR",IF($N123="00",IF(J123="1-Rate","HH 1RATE",IF(J123="2-Rate","HH 2RATE","")),IFERROR(VLOOKUP(CONCATENATE(N123,Q123,O123,P123),Lookups!$A$2:$E$4557,5,0),VLOOKUP(CONCATENATE(N123,Q123,O123),Lookups!$A$2:$E$4557,5,0)))),"ERROR")</f>
        <v>ERROR</v>
      </c>
      <c r="U123" s="133" t="str">
        <f>IFERROR(IF(NOT($N123="00"),"",VLOOKUP(CONCATENATE(Q123,P123,LOOKUP(2,1/(Lookups!$I$2:$I$11&lt;=E123)/(Lookups!$J$2:$J$11&gt;=Tool!$C$14),Lookups!$K$2:$K$11)),'HH LLFs'!$A$2:$K$500,3,0)),"ERROR")</f>
        <v/>
      </c>
      <c r="V123" s="132">
        <f>Calcs!$I$2</f>
        <v>44377</v>
      </c>
      <c r="W123" s="132">
        <f>Calcs!$I$4</f>
        <v>44592</v>
      </c>
      <c r="X123" s="153" t="str">
        <f>IF(NOT(N123="00"),"",(VLOOKUP(CONCATENATE(Q123,P123,LOOKUP(2,1/(Lookups!$I$2:$I$11&lt;=Multisite!E123)/(Lookups!$J$2:$J$11&gt;=E123),Lookups!$K$2:$K$11)),'HH LLFs'!$A$2:$F$282,6,0)*365)/12)</f>
        <v/>
      </c>
      <c r="Y123" s="153">
        <f t="shared" si="34"/>
        <v>0</v>
      </c>
      <c r="Z123" s="153" t="str">
        <f t="shared" si="43"/>
        <v/>
      </c>
      <c r="AA123" s="153" t="str">
        <f t="shared" si="35"/>
        <v/>
      </c>
      <c r="AB123" s="153" t="str">
        <f t="shared" si="44"/>
        <v/>
      </c>
      <c r="AC123" s="153" t="str">
        <f t="shared" si="36"/>
        <v/>
      </c>
      <c r="AD123" s="153" t="str">
        <f t="shared" si="37"/>
        <v/>
      </c>
      <c r="AE123" s="153" t="str">
        <f t="shared" si="38"/>
        <v/>
      </c>
      <c r="AF123" s="155" t="e">
        <f>LOOKUP(2,1/(Lookups!$I$2:$I$11&lt;=E123)/(Lookups!$J$2:$J$11&gt;=E123),Lookups!$L$2:$L$11)</f>
        <v>#N/A</v>
      </c>
      <c r="AG123" s="142" t="str">
        <f t="shared" si="39"/>
        <v/>
      </c>
      <c r="AH123" s="142" t="str">
        <f t="shared" si="40"/>
        <v/>
      </c>
      <c r="AI123" s="143" t="b">
        <f t="shared" si="45"/>
        <v>0</v>
      </c>
      <c r="AJ123" s="143" t="str">
        <f t="shared" si="41"/>
        <v>Level 1</v>
      </c>
      <c r="AK123" s="142">
        <f t="shared" si="42"/>
        <v>0</v>
      </c>
      <c r="AL123" s="157" t="str">
        <f t="shared" si="50"/>
        <v/>
      </c>
      <c r="AM123" s="144" t="str">
        <f t="shared" si="51"/>
        <v>--FALSE-0</v>
      </c>
      <c r="AN123" s="158" t="str">
        <f t="shared" si="46"/>
        <v/>
      </c>
      <c r="AO123" s="145"/>
      <c r="AP123" s="159" t="str">
        <f>IF($AN123=FALSE,"",IFERROR(INDEX('Flat Rates'!$A$1:$M$3880,MATCH($AM123,'Flat Rates'!$A$1:$A$3880,0),MATCH("Standing Charge",'Flat Rates'!$A$1:$M$1,0))*100,""))</f>
        <v/>
      </c>
      <c r="AQ123" s="148" t="str">
        <f>IF($AN123=FALSE,"",IFERROR((IF(NOT(T123="Unrestricted"),"",INDEX('Flat Rates'!$A$1:$M$3880,MATCH($AM123,'Flat Rates'!$A$1:$A$3880,0),MATCH("Uni/Day Rate",'Flat Rates'!$A$1:$M$1,0)))*100)+H123,""))</f>
        <v/>
      </c>
      <c r="AR123" s="148" t="str">
        <f>IF($AN123=FALSE,"",IFERROR((IF(T123="Unrestricted","",INDEX('Flat Rates'!$A$1:$M$3880,MATCH($AM123,'Flat Rates'!$A$1:$A$3880,0),MATCH("Uni/Day Rate",'Flat Rates'!$A$1:$M$1,0)))*100)+H123,""))</f>
        <v/>
      </c>
      <c r="AS123" s="148" t="str">
        <f>IF($AN123=FALSE,"",IFERROR(IF(INDEX('Flat Rates'!$A$1:$M$3880,MATCH($AM123,'Flat Rates'!$A$1:$A$3880,0),MATCH("Night Unit Rate",'Flat Rates'!$A$1:$M$1,0))=0,"",((INDEX('Flat Rates'!$A$1:$M$3880,MATCH($AM123,'Flat Rates'!$A$1:$A$3880,0),MATCH("Night Unit Rate",'Flat Rates'!$A$1:$M$1,0)))*100)+H123),""))</f>
        <v/>
      </c>
      <c r="AT123" s="148" t="str">
        <f>IF($AN123=FALSE,"",IFERROR(IF(INDEX('Flat Rates'!$A$1:$M$3880,MATCH($AM123,'Flat Rates'!$A$1:$A$3880,0),MATCH("Evening and Weekend Rate",'Flat Rates'!$A$1:$M$1,0))=0,"",((INDEX('Flat Rates'!$A$1:$M$3880,MATCH($AM123,'Flat Rates'!$A$1:$A$3880,0),MATCH("Evening and Weekend Rate",'Flat Rates'!$A$1:$M$1,0)))*100)+H123),""))</f>
        <v/>
      </c>
      <c r="AU123" s="152" t="str">
        <f t="shared" si="47"/>
        <v/>
      </c>
      <c r="AV123" s="152" t="str">
        <f t="shared" si="48"/>
        <v/>
      </c>
      <c r="AW123" s="152" t="str">
        <f t="shared" si="49"/>
        <v/>
      </c>
    </row>
    <row r="124" spans="2:49" ht="15" thickBot="1" x14ac:dyDescent="0.35">
      <c r="B124" s="138" t="str">
        <f t="shared" si="26"/>
        <v/>
      </c>
      <c r="C124" s="137"/>
      <c r="D124" s="139"/>
      <c r="E124" s="140"/>
      <c r="F124" s="140"/>
      <c r="G124" s="139"/>
      <c r="H124" s="151"/>
      <c r="I124" s="139"/>
      <c r="J124" s="137"/>
      <c r="K124" s="139"/>
      <c r="L124" s="141"/>
      <c r="M124" s="133" t="str">
        <f t="shared" si="27"/>
        <v/>
      </c>
      <c r="N124" s="133" t="str">
        <f t="shared" si="28"/>
        <v/>
      </c>
      <c r="O124" s="133" t="str">
        <f t="shared" si="29"/>
        <v/>
      </c>
      <c r="P124" s="133" t="str">
        <f t="shared" si="30"/>
        <v/>
      </c>
      <c r="Q124" s="133" t="str">
        <f t="shared" si="31"/>
        <v/>
      </c>
      <c r="R124" s="133" t="str">
        <f t="shared" si="32"/>
        <v/>
      </c>
      <c r="S124" s="133" t="str">
        <f t="shared" si="33"/>
        <v/>
      </c>
      <c r="T124" s="133" t="str">
        <f>IFERROR(IF($U124="ERROR","ERROR",IF($N124="00",IF(J124="1-Rate","HH 1RATE",IF(J124="2-Rate","HH 2RATE","")),IFERROR(VLOOKUP(CONCATENATE(N124,Q124,O124,P124),Lookups!$A$2:$E$4557,5,0),VLOOKUP(CONCATENATE(N124,Q124,O124),Lookups!$A$2:$E$4557,5,0)))),"ERROR")</f>
        <v>ERROR</v>
      </c>
      <c r="U124" s="133" t="str">
        <f>IFERROR(IF(NOT($N124="00"),"",VLOOKUP(CONCATENATE(Q124,P124,LOOKUP(2,1/(Lookups!$I$2:$I$11&lt;=E124)/(Lookups!$J$2:$J$11&gt;=Tool!$C$14),Lookups!$K$2:$K$11)),'HH LLFs'!$A$2:$K$500,3,0)),"ERROR")</f>
        <v/>
      </c>
      <c r="V124" s="132">
        <f>Calcs!$I$2</f>
        <v>44377</v>
      </c>
      <c r="W124" s="132">
        <f>Calcs!$I$4</f>
        <v>44592</v>
      </c>
      <c r="X124" s="153" t="str">
        <f>IF(NOT(N124="00"),"",(VLOOKUP(CONCATENATE(Q124,P124,LOOKUP(2,1/(Lookups!$I$2:$I$11&lt;=Multisite!E124)/(Lookups!$J$2:$J$11&gt;=E124),Lookups!$K$2:$K$11)),'HH LLFs'!$A$2:$F$282,6,0)*365)/12)</f>
        <v/>
      </c>
      <c r="Y124" s="153">
        <f t="shared" si="34"/>
        <v>0</v>
      </c>
      <c r="Z124" s="153" t="str">
        <f t="shared" si="43"/>
        <v/>
      </c>
      <c r="AA124" s="153" t="str">
        <f t="shared" si="35"/>
        <v/>
      </c>
      <c r="AB124" s="153" t="str">
        <f t="shared" si="44"/>
        <v/>
      </c>
      <c r="AC124" s="153" t="str">
        <f t="shared" si="36"/>
        <v/>
      </c>
      <c r="AD124" s="153" t="str">
        <f t="shared" si="37"/>
        <v/>
      </c>
      <c r="AE124" s="153" t="str">
        <f t="shared" si="38"/>
        <v/>
      </c>
      <c r="AF124" s="155" t="e">
        <f>LOOKUP(2,1/(Lookups!$I$2:$I$11&lt;=E124)/(Lookups!$J$2:$J$11&gt;=E124),Lookups!$L$2:$L$11)</f>
        <v>#N/A</v>
      </c>
      <c r="AG124" s="142" t="str">
        <f t="shared" si="39"/>
        <v/>
      </c>
      <c r="AH124" s="142" t="str">
        <f t="shared" si="40"/>
        <v/>
      </c>
      <c r="AI124" s="143" t="b">
        <f t="shared" si="45"/>
        <v>0</v>
      </c>
      <c r="AJ124" s="143" t="str">
        <f t="shared" si="41"/>
        <v>Level 1</v>
      </c>
      <c r="AK124" s="142">
        <f t="shared" si="42"/>
        <v>0</v>
      </c>
      <c r="AL124" s="157" t="str">
        <f t="shared" si="50"/>
        <v/>
      </c>
      <c r="AM124" s="144" t="str">
        <f t="shared" si="51"/>
        <v>--FALSE-0</v>
      </c>
      <c r="AN124" s="158" t="str">
        <f t="shared" si="46"/>
        <v/>
      </c>
      <c r="AO124" s="145"/>
      <c r="AP124" s="159" t="str">
        <f>IF($AN124=FALSE,"",IFERROR(INDEX('Flat Rates'!$A$1:$M$3880,MATCH($AM124,'Flat Rates'!$A$1:$A$3880,0),MATCH("Standing Charge",'Flat Rates'!$A$1:$M$1,0))*100,""))</f>
        <v/>
      </c>
      <c r="AQ124" s="148" t="str">
        <f>IF($AN124=FALSE,"",IFERROR((IF(NOT(T124="Unrestricted"),"",INDEX('Flat Rates'!$A$1:$M$3880,MATCH($AM124,'Flat Rates'!$A$1:$A$3880,0),MATCH("Uni/Day Rate",'Flat Rates'!$A$1:$M$1,0)))*100)+H124,""))</f>
        <v/>
      </c>
      <c r="AR124" s="148" t="str">
        <f>IF($AN124=FALSE,"",IFERROR((IF(T124="Unrestricted","",INDEX('Flat Rates'!$A$1:$M$3880,MATCH($AM124,'Flat Rates'!$A$1:$A$3880,0),MATCH("Uni/Day Rate",'Flat Rates'!$A$1:$M$1,0)))*100)+H124,""))</f>
        <v/>
      </c>
      <c r="AS124" s="148" t="str">
        <f>IF($AN124=FALSE,"",IFERROR(IF(INDEX('Flat Rates'!$A$1:$M$3880,MATCH($AM124,'Flat Rates'!$A$1:$A$3880,0),MATCH("Night Unit Rate",'Flat Rates'!$A$1:$M$1,0))=0,"",((INDEX('Flat Rates'!$A$1:$M$3880,MATCH($AM124,'Flat Rates'!$A$1:$A$3880,0),MATCH("Night Unit Rate",'Flat Rates'!$A$1:$M$1,0)))*100)+H124),""))</f>
        <v/>
      </c>
      <c r="AT124" s="148" t="str">
        <f>IF($AN124=FALSE,"",IFERROR(IF(INDEX('Flat Rates'!$A$1:$M$3880,MATCH($AM124,'Flat Rates'!$A$1:$A$3880,0),MATCH("Evening and Weekend Rate",'Flat Rates'!$A$1:$M$1,0))=0,"",((INDEX('Flat Rates'!$A$1:$M$3880,MATCH($AM124,'Flat Rates'!$A$1:$A$3880,0),MATCH("Evening and Weekend Rate",'Flat Rates'!$A$1:$M$1,0)))*100)+H124),""))</f>
        <v/>
      </c>
      <c r="AU124" s="152" t="str">
        <f t="shared" si="47"/>
        <v/>
      </c>
      <c r="AV124" s="152" t="str">
        <f t="shared" si="48"/>
        <v/>
      </c>
      <c r="AW124" s="152" t="str">
        <f t="shared" si="49"/>
        <v/>
      </c>
    </row>
    <row r="125" spans="2:49" ht="15" thickBot="1" x14ac:dyDescent="0.35">
      <c r="B125" s="138" t="str">
        <f t="shared" si="26"/>
        <v/>
      </c>
      <c r="C125" s="137"/>
      <c r="D125" s="139"/>
      <c r="E125" s="140"/>
      <c r="F125" s="140"/>
      <c r="G125" s="139"/>
      <c r="H125" s="151"/>
      <c r="I125" s="139"/>
      <c r="J125" s="138"/>
      <c r="K125" s="139"/>
      <c r="L125" s="141"/>
      <c r="M125" s="133" t="str">
        <f t="shared" si="27"/>
        <v/>
      </c>
      <c r="N125" s="133" t="str">
        <f t="shared" si="28"/>
        <v/>
      </c>
      <c r="O125" s="133" t="str">
        <f t="shared" si="29"/>
        <v/>
      </c>
      <c r="P125" s="133" t="str">
        <f t="shared" si="30"/>
        <v/>
      </c>
      <c r="Q125" s="133" t="str">
        <f t="shared" si="31"/>
        <v/>
      </c>
      <c r="R125" s="133" t="str">
        <f t="shared" si="32"/>
        <v/>
      </c>
      <c r="S125" s="133" t="str">
        <f t="shared" si="33"/>
        <v/>
      </c>
      <c r="T125" s="133" t="str">
        <f>IFERROR(IF($U125="ERROR","ERROR",IF($N125="00",IF(J125="1-Rate","HH 1RATE",IF(J125="2-Rate","HH 2RATE","")),IFERROR(VLOOKUP(CONCATENATE(N125,Q125,O125,P125),Lookups!$A$2:$E$4557,5,0),VLOOKUP(CONCATENATE(N125,Q125,O125),Lookups!$A$2:$E$4557,5,0)))),"ERROR")</f>
        <v>ERROR</v>
      </c>
      <c r="U125" s="133" t="str">
        <f>IFERROR(IF(NOT($N125="00"),"",VLOOKUP(CONCATENATE(Q125,P125,LOOKUP(2,1/(Lookups!$I$2:$I$11&lt;=E125)/(Lookups!$J$2:$J$11&gt;=Tool!$C$14),Lookups!$K$2:$K$11)),'HH LLFs'!$A$2:$K$500,3,0)),"ERROR")</f>
        <v/>
      </c>
      <c r="V125" s="132">
        <f>Calcs!$I$2</f>
        <v>44377</v>
      </c>
      <c r="W125" s="132">
        <f>Calcs!$I$4</f>
        <v>44592</v>
      </c>
      <c r="X125" s="153" t="str">
        <f>IF(NOT(N125="00"),"",(VLOOKUP(CONCATENATE(Q125,P125,LOOKUP(2,1/(Lookups!$I$2:$I$11&lt;=Multisite!E125)/(Lookups!$J$2:$J$11&gt;=E125),Lookups!$K$2:$K$11)),'HH LLFs'!$A$2:$F$282,6,0)*365)/12)</f>
        <v/>
      </c>
      <c r="Y125" s="153">
        <f t="shared" si="34"/>
        <v>0</v>
      </c>
      <c r="Z125" s="153" t="str">
        <f t="shared" si="43"/>
        <v/>
      </c>
      <c r="AA125" s="153" t="str">
        <f t="shared" si="35"/>
        <v/>
      </c>
      <c r="AB125" s="153" t="str">
        <f t="shared" si="44"/>
        <v/>
      </c>
      <c r="AC125" s="153" t="str">
        <f t="shared" si="36"/>
        <v/>
      </c>
      <c r="AD125" s="153" t="str">
        <f t="shared" si="37"/>
        <v/>
      </c>
      <c r="AE125" s="153" t="str">
        <f t="shared" si="38"/>
        <v/>
      </c>
      <c r="AF125" s="155" t="e">
        <f>LOOKUP(2,1/(Lookups!$I$2:$I$11&lt;=E125)/(Lookups!$J$2:$J$11&gt;=E125),Lookups!$L$2:$L$11)</f>
        <v>#N/A</v>
      </c>
      <c r="AG125" s="142" t="str">
        <f t="shared" si="39"/>
        <v/>
      </c>
      <c r="AH125" s="142" t="str">
        <f t="shared" si="40"/>
        <v/>
      </c>
      <c r="AI125" s="143" t="b">
        <f t="shared" si="45"/>
        <v>0</v>
      </c>
      <c r="AJ125" s="143" t="str">
        <f t="shared" si="41"/>
        <v>Level 1</v>
      </c>
      <c r="AK125" s="142">
        <f t="shared" si="42"/>
        <v>0</v>
      </c>
      <c r="AL125" s="157" t="str">
        <f t="shared" si="50"/>
        <v/>
      </c>
      <c r="AM125" s="144" t="str">
        <f t="shared" si="51"/>
        <v>--FALSE-0</v>
      </c>
      <c r="AN125" s="158" t="str">
        <f t="shared" si="46"/>
        <v/>
      </c>
      <c r="AO125" s="145"/>
      <c r="AP125" s="159" t="str">
        <f>IF($AN125=FALSE,"",IFERROR(INDEX('Flat Rates'!$A$1:$M$3880,MATCH($AM125,'Flat Rates'!$A$1:$A$3880,0),MATCH("Standing Charge",'Flat Rates'!$A$1:$M$1,0))*100,""))</f>
        <v/>
      </c>
      <c r="AQ125" s="148" t="str">
        <f>IF($AN125=FALSE,"",IFERROR((IF(NOT(T125="Unrestricted"),"",INDEX('Flat Rates'!$A$1:$M$3880,MATCH($AM125,'Flat Rates'!$A$1:$A$3880,0),MATCH("Uni/Day Rate",'Flat Rates'!$A$1:$M$1,0)))*100)+H125,""))</f>
        <v/>
      </c>
      <c r="AR125" s="148" t="str">
        <f>IF($AN125=FALSE,"",IFERROR((IF(T125="Unrestricted","",INDEX('Flat Rates'!$A$1:$M$3880,MATCH($AM125,'Flat Rates'!$A$1:$A$3880,0),MATCH("Uni/Day Rate",'Flat Rates'!$A$1:$M$1,0)))*100)+H125,""))</f>
        <v/>
      </c>
      <c r="AS125" s="148" t="str">
        <f>IF($AN125=FALSE,"",IFERROR(IF(INDEX('Flat Rates'!$A$1:$M$3880,MATCH($AM125,'Flat Rates'!$A$1:$A$3880,0),MATCH("Night Unit Rate",'Flat Rates'!$A$1:$M$1,0))=0,"",((INDEX('Flat Rates'!$A$1:$M$3880,MATCH($AM125,'Flat Rates'!$A$1:$A$3880,0),MATCH("Night Unit Rate",'Flat Rates'!$A$1:$M$1,0)))*100)+H125),""))</f>
        <v/>
      </c>
      <c r="AT125" s="148" t="str">
        <f>IF($AN125=FALSE,"",IFERROR(IF(INDEX('Flat Rates'!$A$1:$M$3880,MATCH($AM125,'Flat Rates'!$A$1:$A$3880,0),MATCH("Evening and Weekend Rate",'Flat Rates'!$A$1:$M$1,0))=0,"",((INDEX('Flat Rates'!$A$1:$M$3880,MATCH($AM125,'Flat Rates'!$A$1:$A$3880,0),MATCH("Evening and Weekend Rate",'Flat Rates'!$A$1:$M$1,0)))*100)+H125),""))</f>
        <v/>
      </c>
      <c r="AU125" s="152" t="str">
        <f t="shared" si="47"/>
        <v/>
      </c>
      <c r="AV125" s="152" t="str">
        <f t="shared" si="48"/>
        <v/>
      </c>
      <c r="AW125" s="152" t="str">
        <f t="shared" si="49"/>
        <v/>
      </c>
    </row>
    <row r="126" spans="2:49" ht="15" thickBot="1" x14ac:dyDescent="0.35">
      <c r="B126" s="138" t="str">
        <f t="shared" si="26"/>
        <v/>
      </c>
      <c r="C126" s="137"/>
      <c r="D126" s="139"/>
      <c r="E126" s="140"/>
      <c r="F126" s="140"/>
      <c r="G126" s="139"/>
      <c r="H126" s="151"/>
      <c r="I126" s="139"/>
      <c r="J126" s="137"/>
      <c r="K126" s="139"/>
      <c r="L126" s="141"/>
      <c r="M126" s="133" t="str">
        <f t="shared" si="27"/>
        <v/>
      </c>
      <c r="N126" s="133" t="str">
        <f t="shared" si="28"/>
        <v/>
      </c>
      <c r="O126" s="133" t="str">
        <f t="shared" si="29"/>
        <v/>
      </c>
      <c r="P126" s="133" t="str">
        <f t="shared" si="30"/>
        <v/>
      </c>
      <c r="Q126" s="133" t="str">
        <f t="shared" si="31"/>
        <v/>
      </c>
      <c r="R126" s="133" t="str">
        <f t="shared" si="32"/>
        <v/>
      </c>
      <c r="S126" s="133" t="str">
        <f t="shared" si="33"/>
        <v/>
      </c>
      <c r="T126" s="133" t="str">
        <f>IFERROR(IF($U126="ERROR","ERROR",IF($N126="00",IF(J126="1-Rate","HH 1RATE",IF(J126="2-Rate","HH 2RATE","")),IFERROR(VLOOKUP(CONCATENATE(N126,Q126,O126,P126),Lookups!$A$2:$E$4557,5,0),VLOOKUP(CONCATENATE(N126,Q126,O126),Lookups!$A$2:$E$4557,5,0)))),"ERROR")</f>
        <v>ERROR</v>
      </c>
      <c r="U126" s="133" t="str">
        <f>IFERROR(IF(NOT($N126="00"),"",VLOOKUP(CONCATENATE(Q126,P126,LOOKUP(2,1/(Lookups!$I$2:$I$11&lt;=E126)/(Lookups!$J$2:$J$11&gt;=Tool!$C$14),Lookups!$K$2:$K$11)),'HH LLFs'!$A$2:$K$500,3,0)),"ERROR")</f>
        <v/>
      </c>
      <c r="V126" s="132">
        <f>Calcs!$I$2</f>
        <v>44377</v>
      </c>
      <c r="W126" s="132">
        <f>Calcs!$I$4</f>
        <v>44592</v>
      </c>
      <c r="X126" s="153" t="str">
        <f>IF(NOT(N126="00"),"",(VLOOKUP(CONCATENATE(Q126,P126,LOOKUP(2,1/(Lookups!$I$2:$I$11&lt;=Multisite!E126)/(Lookups!$J$2:$J$11&gt;=E126),Lookups!$K$2:$K$11)),'HH LLFs'!$A$2:$F$282,6,0)*365)/12)</f>
        <v/>
      </c>
      <c r="Y126" s="153">
        <f t="shared" si="34"/>
        <v>0</v>
      </c>
      <c r="Z126" s="153" t="str">
        <f t="shared" si="43"/>
        <v/>
      </c>
      <c r="AA126" s="153" t="str">
        <f t="shared" si="35"/>
        <v/>
      </c>
      <c r="AB126" s="153" t="str">
        <f t="shared" si="44"/>
        <v/>
      </c>
      <c r="AC126" s="153" t="str">
        <f t="shared" si="36"/>
        <v/>
      </c>
      <c r="AD126" s="153" t="str">
        <f t="shared" si="37"/>
        <v/>
      </c>
      <c r="AE126" s="153" t="str">
        <f t="shared" si="38"/>
        <v/>
      </c>
      <c r="AF126" s="155" t="e">
        <f>LOOKUP(2,1/(Lookups!$I$2:$I$11&lt;=E126)/(Lookups!$J$2:$J$11&gt;=E126),Lookups!$L$2:$L$11)</f>
        <v>#N/A</v>
      </c>
      <c r="AG126" s="142" t="str">
        <f t="shared" si="39"/>
        <v/>
      </c>
      <c r="AH126" s="142" t="str">
        <f t="shared" si="40"/>
        <v/>
      </c>
      <c r="AI126" s="143" t="b">
        <f t="shared" si="45"/>
        <v>0</v>
      </c>
      <c r="AJ126" s="143" t="str">
        <f t="shared" si="41"/>
        <v>Level 1</v>
      </c>
      <c r="AK126" s="142">
        <f t="shared" si="42"/>
        <v>0</v>
      </c>
      <c r="AL126" s="157" t="str">
        <f t="shared" si="50"/>
        <v/>
      </c>
      <c r="AM126" s="144" t="str">
        <f t="shared" si="51"/>
        <v>--FALSE-0</v>
      </c>
      <c r="AN126" s="158" t="str">
        <f t="shared" si="46"/>
        <v/>
      </c>
      <c r="AO126" s="145"/>
      <c r="AP126" s="159" t="str">
        <f>IF($AN126=FALSE,"",IFERROR(INDEX('Flat Rates'!$A$1:$M$3880,MATCH($AM126,'Flat Rates'!$A$1:$A$3880,0),MATCH("Standing Charge",'Flat Rates'!$A$1:$M$1,0))*100,""))</f>
        <v/>
      </c>
      <c r="AQ126" s="148" t="str">
        <f>IF($AN126=FALSE,"",IFERROR((IF(NOT(T126="Unrestricted"),"",INDEX('Flat Rates'!$A$1:$M$3880,MATCH($AM126,'Flat Rates'!$A$1:$A$3880,0),MATCH("Uni/Day Rate",'Flat Rates'!$A$1:$M$1,0)))*100)+H126,""))</f>
        <v/>
      </c>
      <c r="AR126" s="148" t="str">
        <f>IF($AN126=FALSE,"",IFERROR((IF(T126="Unrestricted","",INDEX('Flat Rates'!$A$1:$M$3880,MATCH($AM126,'Flat Rates'!$A$1:$A$3880,0),MATCH("Uni/Day Rate",'Flat Rates'!$A$1:$M$1,0)))*100)+H126,""))</f>
        <v/>
      </c>
      <c r="AS126" s="148" t="str">
        <f>IF($AN126=FALSE,"",IFERROR(IF(INDEX('Flat Rates'!$A$1:$M$3880,MATCH($AM126,'Flat Rates'!$A$1:$A$3880,0),MATCH("Night Unit Rate",'Flat Rates'!$A$1:$M$1,0))=0,"",((INDEX('Flat Rates'!$A$1:$M$3880,MATCH($AM126,'Flat Rates'!$A$1:$A$3880,0),MATCH("Night Unit Rate",'Flat Rates'!$A$1:$M$1,0)))*100)+H126),""))</f>
        <v/>
      </c>
      <c r="AT126" s="148" t="str">
        <f>IF($AN126=FALSE,"",IFERROR(IF(INDEX('Flat Rates'!$A$1:$M$3880,MATCH($AM126,'Flat Rates'!$A$1:$A$3880,0),MATCH("Evening and Weekend Rate",'Flat Rates'!$A$1:$M$1,0))=0,"",((INDEX('Flat Rates'!$A$1:$M$3880,MATCH($AM126,'Flat Rates'!$A$1:$A$3880,0),MATCH("Evening and Weekend Rate",'Flat Rates'!$A$1:$M$1,0)))*100)+H126),""))</f>
        <v/>
      </c>
      <c r="AU126" s="152" t="str">
        <f t="shared" si="47"/>
        <v/>
      </c>
      <c r="AV126" s="152" t="str">
        <f t="shared" si="48"/>
        <v/>
      </c>
      <c r="AW126" s="152" t="str">
        <f t="shared" si="49"/>
        <v/>
      </c>
    </row>
    <row r="127" spans="2:49" ht="15" thickBot="1" x14ac:dyDescent="0.35">
      <c r="B127" s="138" t="str">
        <f t="shared" si="26"/>
        <v/>
      </c>
      <c r="C127" s="137"/>
      <c r="D127" s="139"/>
      <c r="E127" s="140"/>
      <c r="F127" s="140"/>
      <c r="G127" s="139"/>
      <c r="H127" s="151"/>
      <c r="I127" s="139"/>
      <c r="J127" s="138"/>
      <c r="K127" s="139"/>
      <c r="L127" s="141"/>
      <c r="M127" s="133" t="str">
        <f t="shared" si="27"/>
        <v/>
      </c>
      <c r="N127" s="133" t="str">
        <f t="shared" si="28"/>
        <v/>
      </c>
      <c r="O127" s="133" t="str">
        <f t="shared" si="29"/>
        <v/>
      </c>
      <c r="P127" s="133" t="str">
        <f t="shared" si="30"/>
        <v/>
      </c>
      <c r="Q127" s="133" t="str">
        <f t="shared" si="31"/>
        <v/>
      </c>
      <c r="R127" s="133" t="str">
        <f t="shared" si="32"/>
        <v/>
      </c>
      <c r="S127" s="133" t="str">
        <f t="shared" si="33"/>
        <v/>
      </c>
      <c r="T127" s="133" t="str">
        <f>IFERROR(IF($U127="ERROR","ERROR",IF($N127="00",IF(J127="1-Rate","HH 1RATE",IF(J127="2-Rate","HH 2RATE","")),IFERROR(VLOOKUP(CONCATENATE(N127,Q127,O127,P127),Lookups!$A$2:$E$4557,5,0),VLOOKUP(CONCATENATE(N127,Q127,O127),Lookups!$A$2:$E$4557,5,0)))),"ERROR")</f>
        <v>ERROR</v>
      </c>
      <c r="U127" s="133" t="str">
        <f>IFERROR(IF(NOT($N127="00"),"",VLOOKUP(CONCATENATE(Q127,P127,LOOKUP(2,1/(Lookups!$I$2:$I$11&lt;=E127)/(Lookups!$J$2:$J$11&gt;=Tool!$C$14),Lookups!$K$2:$K$11)),'HH LLFs'!$A$2:$K$500,3,0)),"ERROR")</f>
        <v/>
      </c>
      <c r="V127" s="132">
        <f>Calcs!$I$2</f>
        <v>44377</v>
      </c>
      <c r="W127" s="132">
        <f>Calcs!$I$4</f>
        <v>44592</v>
      </c>
      <c r="X127" s="153" t="str">
        <f>IF(NOT(N127="00"),"",(VLOOKUP(CONCATENATE(Q127,P127,LOOKUP(2,1/(Lookups!$I$2:$I$11&lt;=Multisite!E127)/(Lookups!$J$2:$J$11&gt;=E127),Lookups!$K$2:$K$11)),'HH LLFs'!$A$2:$F$282,6,0)*365)/12)</f>
        <v/>
      </c>
      <c r="Y127" s="153">
        <f t="shared" si="34"/>
        <v>0</v>
      </c>
      <c r="Z127" s="153" t="str">
        <f t="shared" si="43"/>
        <v/>
      </c>
      <c r="AA127" s="153" t="str">
        <f t="shared" si="35"/>
        <v/>
      </c>
      <c r="AB127" s="153" t="str">
        <f t="shared" si="44"/>
        <v/>
      </c>
      <c r="AC127" s="153" t="str">
        <f t="shared" si="36"/>
        <v/>
      </c>
      <c r="AD127" s="153" t="str">
        <f t="shared" si="37"/>
        <v/>
      </c>
      <c r="AE127" s="153" t="str">
        <f t="shared" si="38"/>
        <v/>
      </c>
      <c r="AF127" s="155" t="e">
        <f>LOOKUP(2,1/(Lookups!$I$2:$I$11&lt;=E127)/(Lookups!$J$2:$J$11&gt;=E127),Lookups!$L$2:$L$11)</f>
        <v>#N/A</v>
      </c>
      <c r="AG127" s="142" t="str">
        <f t="shared" si="39"/>
        <v/>
      </c>
      <c r="AH127" s="142" t="str">
        <f t="shared" si="40"/>
        <v/>
      </c>
      <c r="AI127" s="143" t="b">
        <f t="shared" si="45"/>
        <v>0</v>
      </c>
      <c r="AJ127" s="143" t="str">
        <f t="shared" si="41"/>
        <v>Level 1</v>
      </c>
      <c r="AK127" s="142">
        <f t="shared" si="42"/>
        <v>0</v>
      </c>
      <c r="AL127" s="157" t="str">
        <f t="shared" si="50"/>
        <v/>
      </c>
      <c r="AM127" s="144" t="str">
        <f t="shared" si="51"/>
        <v>--FALSE-0</v>
      </c>
      <c r="AN127" s="158" t="str">
        <f t="shared" si="46"/>
        <v/>
      </c>
      <c r="AO127" s="145"/>
      <c r="AP127" s="159" t="str">
        <f>IF($AN127=FALSE,"",IFERROR(INDEX('Flat Rates'!$A$1:$M$3880,MATCH($AM127,'Flat Rates'!$A$1:$A$3880,0),MATCH("Standing Charge",'Flat Rates'!$A$1:$M$1,0))*100,""))</f>
        <v/>
      </c>
      <c r="AQ127" s="148" t="str">
        <f>IF($AN127=FALSE,"",IFERROR((IF(NOT(T127="Unrestricted"),"",INDEX('Flat Rates'!$A$1:$M$3880,MATCH($AM127,'Flat Rates'!$A$1:$A$3880,0),MATCH("Uni/Day Rate",'Flat Rates'!$A$1:$M$1,0)))*100)+H127,""))</f>
        <v/>
      </c>
      <c r="AR127" s="148" t="str">
        <f>IF($AN127=FALSE,"",IFERROR((IF(T127="Unrestricted","",INDEX('Flat Rates'!$A$1:$M$3880,MATCH($AM127,'Flat Rates'!$A$1:$A$3880,0),MATCH("Uni/Day Rate",'Flat Rates'!$A$1:$M$1,0)))*100)+H127,""))</f>
        <v/>
      </c>
      <c r="AS127" s="148" t="str">
        <f>IF($AN127=FALSE,"",IFERROR(IF(INDEX('Flat Rates'!$A$1:$M$3880,MATCH($AM127,'Flat Rates'!$A$1:$A$3880,0),MATCH("Night Unit Rate",'Flat Rates'!$A$1:$M$1,0))=0,"",((INDEX('Flat Rates'!$A$1:$M$3880,MATCH($AM127,'Flat Rates'!$A$1:$A$3880,0),MATCH("Night Unit Rate",'Flat Rates'!$A$1:$M$1,0)))*100)+H127),""))</f>
        <v/>
      </c>
      <c r="AT127" s="148" t="str">
        <f>IF($AN127=FALSE,"",IFERROR(IF(INDEX('Flat Rates'!$A$1:$M$3880,MATCH($AM127,'Flat Rates'!$A$1:$A$3880,0),MATCH("Evening and Weekend Rate",'Flat Rates'!$A$1:$M$1,0))=0,"",((INDEX('Flat Rates'!$A$1:$M$3880,MATCH($AM127,'Flat Rates'!$A$1:$A$3880,0),MATCH("Evening and Weekend Rate",'Flat Rates'!$A$1:$M$1,0)))*100)+H127),""))</f>
        <v/>
      </c>
      <c r="AU127" s="152" t="str">
        <f t="shared" si="47"/>
        <v/>
      </c>
      <c r="AV127" s="152" t="str">
        <f t="shared" si="48"/>
        <v/>
      </c>
      <c r="AW127" s="152" t="str">
        <f t="shared" si="49"/>
        <v/>
      </c>
    </row>
    <row r="128" spans="2:49" ht="15" thickBot="1" x14ac:dyDescent="0.35">
      <c r="B128" s="138" t="str">
        <f t="shared" si="26"/>
        <v/>
      </c>
      <c r="C128" s="137"/>
      <c r="D128" s="139"/>
      <c r="E128" s="140"/>
      <c r="F128" s="140"/>
      <c r="G128" s="139"/>
      <c r="H128" s="151"/>
      <c r="I128" s="139"/>
      <c r="J128" s="137"/>
      <c r="K128" s="139"/>
      <c r="L128" s="141"/>
      <c r="M128" s="133" t="str">
        <f t="shared" si="27"/>
        <v/>
      </c>
      <c r="N128" s="133" t="str">
        <f t="shared" si="28"/>
        <v/>
      </c>
      <c r="O128" s="133" t="str">
        <f t="shared" si="29"/>
        <v/>
      </c>
      <c r="P128" s="133" t="str">
        <f t="shared" si="30"/>
        <v/>
      </c>
      <c r="Q128" s="133" t="str">
        <f t="shared" si="31"/>
        <v/>
      </c>
      <c r="R128" s="133" t="str">
        <f t="shared" si="32"/>
        <v/>
      </c>
      <c r="S128" s="133" t="str">
        <f t="shared" si="33"/>
        <v/>
      </c>
      <c r="T128" s="133" t="str">
        <f>IFERROR(IF($U128="ERROR","ERROR",IF($N128="00",IF(J128="1-Rate","HH 1RATE",IF(J128="2-Rate","HH 2RATE","")),IFERROR(VLOOKUP(CONCATENATE(N128,Q128,O128,P128),Lookups!$A$2:$E$4557,5,0),VLOOKUP(CONCATENATE(N128,Q128,O128),Lookups!$A$2:$E$4557,5,0)))),"ERROR")</f>
        <v>ERROR</v>
      </c>
      <c r="U128" s="133" t="str">
        <f>IFERROR(IF(NOT($N128="00"),"",VLOOKUP(CONCATENATE(Q128,P128,LOOKUP(2,1/(Lookups!$I$2:$I$11&lt;=E128)/(Lookups!$J$2:$J$11&gt;=Tool!$C$14),Lookups!$K$2:$K$11)),'HH LLFs'!$A$2:$K$500,3,0)),"ERROR")</f>
        <v/>
      </c>
      <c r="V128" s="132">
        <f>Calcs!$I$2</f>
        <v>44377</v>
      </c>
      <c r="W128" s="132">
        <f>Calcs!$I$4</f>
        <v>44592</v>
      </c>
      <c r="X128" s="153" t="str">
        <f>IF(NOT(N128="00"),"",(VLOOKUP(CONCATENATE(Q128,P128,LOOKUP(2,1/(Lookups!$I$2:$I$11&lt;=Multisite!E128)/(Lookups!$J$2:$J$11&gt;=E128),Lookups!$K$2:$K$11)),'HH LLFs'!$A$2:$F$282,6,0)*365)/12)</f>
        <v/>
      </c>
      <c r="Y128" s="153">
        <f t="shared" si="34"/>
        <v>0</v>
      </c>
      <c r="Z128" s="153" t="str">
        <f t="shared" si="43"/>
        <v/>
      </c>
      <c r="AA128" s="153" t="str">
        <f t="shared" si="35"/>
        <v/>
      </c>
      <c r="AB128" s="153" t="str">
        <f t="shared" si="44"/>
        <v/>
      </c>
      <c r="AC128" s="153" t="str">
        <f t="shared" si="36"/>
        <v/>
      </c>
      <c r="AD128" s="153" t="str">
        <f t="shared" si="37"/>
        <v/>
      </c>
      <c r="AE128" s="153" t="str">
        <f t="shared" si="38"/>
        <v/>
      </c>
      <c r="AF128" s="155" t="e">
        <f>LOOKUP(2,1/(Lookups!$I$2:$I$11&lt;=E128)/(Lookups!$J$2:$J$11&gt;=E128),Lookups!$L$2:$L$11)</f>
        <v>#N/A</v>
      </c>
      <c r="AG128" s="142" t="str">
        <f t="shared" si="39"/>
        <v/>
      </c>
      <c r="AH128" s="142" t="str">
        <f t="shared" si="40"/>
        <v/>
      </c>
      <c r="AI128" s="143" t="b">
        <f t="shared" si="45"/>
        <v>0</v>
      </c>
      <c r="AJ128" s="143" t="str">
        <f t="shared" si="41"/>
        <v>Level 1</v>
      </c>
      <c r="AK128" s="142">
        <f t="shared" si="42"/>
        <v>0</v>
      </c>
      <c r="AL128" s="157" t="str">
        <f t="shared" si="50"/>
        <v/>
      </c>
      <c r="AM128" s="144" t="str">
        <f t="shared" si="51"/>
        <v>--FALSE-0</v>
      </c>
      <c r="AN128" s="158" t="str">
        <f t="shared" si="46"/>
        <v/>
      </c>
      <c r="AO128" s="145"/>
      <c r="AP128" s="159" t="str">
        <f>IF($AN128=FALSE,"",IFERROR(INDEX('Flat Rates'!$A$1:$M$3880,MATCH($AM128,'Flat Rates'!$A$1:$A$3880,0),MATCH("Standing Charge",'Flat Rates'!$A$1:$M$1,0))*100,""))</f>
        <v/>
      </c>
      <c r="AQ128" s="148" t="str">
        <f>IF($AN128=FALSE,"",IFERROR((IF(NOT(T128="Unrestricted"),"",INDEX('Flat Rates'!$A$1:$M$3880,MATCH($AM128,'Flat Rates'!$A$1:$A$3880,0),MATCH("Uni/Day Rate",'Flat Rates'!$A$1:$M$1,0)))*100)+H128,""))</f>
        <v/>
      </c>
      <c r="AR128" s="148" t="str">
        <f>IF($AN128=FALSE,"",IFERROR((IF(T128="Unrestricted","",INDEX('Flat Rates'!$A$1:$M$3880,MATCH($AM128,'Flat Rates'!$A$1:$A$3880,0),MATCH("Uni/Day Rate",'Flat Rates'!$A$1:$M$1,0)))*100)+H128,""))</f>
        <v/>
      </c>
      <c r="AS128" s="148" t="str">
        <f>IF($AN128=FALSE,"",IFERROR(IF(INDEX('Flat Rates'!$A$1:$M$3880,MATCH($AM128,'Flat Rates'!$A$1:$A$3880,0),MATCH("Night Unit Rate",'Flat Rates'!$A$1:$M$1,0))=0,"",((INDEX('Flat Rates'!$A$1:$M$3880,MATCH($AM128,'Flat Rates'!$A$1:$A$3880,0),MATCH("Night Unit Rate",'Flat Rates'!$A$1:$M$1,0)))*100)+H128),""))</f>
        <v/>
      </c>
      <c r="AT128" s="148" t="str">
        <f>IF($AN128=FALSE,"",IFERROR(IF(INDEX('Flat Rates'!$A$1:$M$3880,MATCH($AM128,'Flat Rates'!$A$1:$A$3880,0),MATCH("Evening and Weekend Rate",'Flat Rates'!$A$1:$M$1,0))=0,"",((INDEX('Flat Rates'!$A$1:$M$3880,MATCH($AM128,'Flat Rates'!$A$1:$A$3880,0),MATCH("Evening and Weekend Rate",'Flat Rates'!$A$1:$M$1,0)))*100)+H128),""))</f>
        <v/>
      </c>
      <c r="AU128" s="152" t="str">
        <f t="shared" si="47"/>
        <v/>
      </c>
      <c r="AV128" s="152" t="str">
        <f t="shared" si="48"/>
        <v/>
      </c>
      <c r="AW128" s="152" t="str">
        <f t="shared" si="49"/>
        <v/>
      </c>
    </row>
    <row r="129" spans="2:49" ht="15" thickBot="1" x14ac:dyDescent="0.35">
      <c r="B129" s="138" t="str">
        <f t="shared" si="26"/>
        <v/>
      </c>
      <c r="C129" s="137"/>
      <c r="D129" s="139"/>
      <c r="E129" s="140"/>
      <c r="F129" s="140"/>
      <c r="G129" s="139"/>
      <c r="H129" s="151"/>
      <c r="I129" s="139"/>
      <c r="J129" s="138"/>
      <c r="K129" s="139"/>
      <c r="L129" s="141"/>
      <c r="M129" s="133" t="str">
        <f t="shared" si="27"/>
        <v/>
      </c>
      <c r="N129" s="133" t="str">
        <f t="shared" si="28"/>
        <v/>
      </c>
      <c r="O129" s="133" t="str">
        <f t="shared" si="29"/>
        <v/>
      </c>
      <c r="P129" s="133" t="str">
        <f t="shared" si="30"/>
        <v/>
      </c>
      <c r="Q129" s="133" t="str">
        <f t="shared" si="31"/>
        <v/>
      </c>
      <c r="R129" s="133" t="str">
        <f t="shared" si="32"/>
        <v/>
      </c>
      <c r="S129" s="133" t="str">
        <f t="shared" si="33"/>
        <v/>
      </c>
      <c r="T129" s="133" t="str">
        <f>IFERROR(IF($U129="ERROR","ERROR",IF($N129="00",IF(J129="1-Rate","HH 1RATE",IF(J129="2-Rate","HH 2RATE","")),IFERROR(VLOOKUP(CONCATENATE(N129,Q129,O129,P129),Lookups!$A$2:$E$4557,5,0),VLOOKUP(CONCATENATE(N129,Q129,O129),Lookups!$A$2:$E$4557,5,0)))),"ERROR")</f>
        <v>ERROR</v>
      </c>
      <c r="U129" s="133" t="str">
        <f>IFERROR(IF(NOT($N129="00"),"",VLOOKUP(CONCATENATE(Q129,P129,LOOKUP(2,1/(Lookups!$I$2:$I$11&lt;=E129)/(Lookups!$J$2:$J$11&gt;=Tool!$C$14),Lookups!$K$2:$K$11)),'HH LLFs'!$A$2:$K$500,3,0)),"ERROR")</f>
        <v/>
      </c>
      <c r="V129" s="132">
        <f>Calcs!$I$2</f>
        <v>44377</v>
      </c>
      <c r="W129" s="132">
        <f>Calcs!$I$4</f>
        <v>44592</v>
      </c>
      <c r="X129" s="153" t="str">
        <f>IF(NOT(N129="00"),"",(VLOOKUP(CONCATENATE(Q129,P129,LOOKUP(2,1/(Lookups!$I$2:$I$11&lt;=Multisite!E129)/(Lookups!$J$2:$J$11&gt;=E129),Lookups!$K$2:$K$11)),'HH LLFs'!$A$2:$F$282,6,0)*365)/12)</f>
        <v/>
      </c>
      <c r="Y129" s="153">
        <f t="shared" si="34"/>
        <v>0</v>
      </c>
      <c r="Z129" s="153" t="str">
        <f t="shared" si="43"/>
        <v/>
      </c>
      <c r="AA129" s="153" t="str">
        <f t="shared" si="35"/>
        <v/>
      </c>
      <c r="AB129" s="153" t="str">
        <f t="shared" si="44"/>
        <v/>
      </c>
      <c r="AC129" s="153" t="str">
        <f t="shared" si="36"/>
        <v/>
      </c>
      <c r="AD129" s="153" t="str">
        <f t="shared" si="37"/>
        <v/>
      </c>
      <c r="AE129" s="153" t="str">
        <f t="shared" si="38"/>
        <v/>
      </c>
      <c r="AF129" s="155" t="e">
        <f>LOOKUP(2,1/(Lookups!$I$2:$I$11&lt;=E129)/(Lookups!$J$2:$J$11&gt;=E129),Lookups!$L$2:$L$11)</f>
        <v>#N/A</v>
      </c>
      <c r="AG129" s="142" t="str">
        <f t="shared" si="39"/>
        <v/>
      </c>
      <c r="AH129" s="142" t="str">
        <f t="shared" si="40"/>
        <v/>
      </c>
      <c r="AI129" s="143" t="b">
        <f t="shared" si="45"/>
        <v>0</v>
      </c>
      <c r="AJ129" s="143" t="str">
        <f t="shared" si="41"/>
        <v>Level 1</v>
      </c>
      <c r="AK129" s="142">
        <f t="shared" si="42"/>
        <v>0</v>
      </c>
      <c r="AL129" s="157" t="str">
        <f t="shared" si="50"/>
        <v/>
      </c>
      <c r="AM129" s="144" t="str">
        <f t="shared" si="51"/>
        <v>--FALSE-0</v>
      </c>
      <c r="AN129" s="158" t="str">
        <f t="shared" si="46"/>
        <v/>
      </c>
      <c r="AO129" s="145"/>
      <c r="AP129" s="159" t="str">
        <f>IF($AN129=FALSE,"",IFERROR(INDEX('Flat Rates'!$A$1:$M$3880,MATCH($AM129,'Flat Rates'!$A$1:$A$3880,0),MATCH("Standing Charge",'Flat Rates'!$A$1:$M$1,0))*100,""))</f>
        <v/>
      </c>
      <c r="AQ129" s="148" t="str">
        <f>IF($AN129=FALSE,"",IFERROR((IF(NOT(T129="Unrestricted"),"",INDEX('Flat Rates'!$A$1:$M$3880,MATCH($AM129,'Flat Rates'!$A$1:$A$3880,0),MATCH("Uni/Day Rate",'Flat Rates'!$A$1:$M$1,0)))*100)+H129,""))</f>
        <v/>
      </c>
      <c r="AR129" s="148" t="str">
        <f>IF($AN129=FALSE,"",IFERROR((IF(T129="Unrestricted","",INDEX('Flat Rates'!$A$1:$M$3880,MATCH($AM129,'Flat Rates'!$A$1:$A$3880,0),MATCH("Uni/Day Rate",'Flat Rates'!$A$1:$M$1,0)))*100)+H129,""))</f>
        <v/>
      </c>
      <c r="AS129" s="148" t="str">
        <f>IF($AN129=FALSE,"",IFERROR(IF(INDEX('Flat Rates'!$A$1:$M$3880,MATCH($AM129,'Flat Rates'!$A$1:$A$3880,0),MATCH("Night Unit Rate",'Flat Rates'!$A$1:$M$1,0))=0,"",((INDEX('Flat Rates'!$A$1:$M$3880,MATCH($AM129,'Flat Rates'!$A$1:$A$3880,0),MATCH("Night Unit Rate",'Flat Rates'!$A$1:$M$1,0)))*100)+H129),""))</f>
        <v/>
      </c>
      <c r="AT129" s="148" t="str">
        <f>IF($AN129=FALSE,"",IFERROR(IF(INDEX('Flat Rates'!$A$1:$M$3880,MATCH($AM129,'Flat Rates'!$A$1:$A$3880,0),MATCH("Evening and Weekend Rate",'Flat Rates'!$A$1:$M$1,0))=0,"",((INDEX('Flat Rates'!$A$1:$M$3880,MATCH($AM129,'Flat Rates'!$A$1:$A$3880,0),MATCH("Evening and Weekend Rate",'Flat Rates'!$A$1:$M$1,0)))*100)+H129),""))</f>
        <v/>
      </c>
      <c r="AU129" s="152" t="str">
        <f t="shared" si="47"/>
        <v/>
      </c>
      <c r="AV129" s="152" t="str">
        <f t="shared" si="48"/>
        <v/>
      </c>
      <c r="AW129" s="152" t="str">
        <f t="shared" si="49"/>
        <v/>
      </c>
    </row>
    <row r="130" spans="2:49" ht="15" thickBot="1" x14ac:dyDescent="0.35">
      <c r="B130" s="138" t="str">
        <f t="shared" si="26"/>
        <v/>
      </c>
      <c r="C130" s="137"/>
      <c r="D130" s="139"/>
      <c r="E130" s="140"/>
      <c r="F130" s="140"/>
      <c r="G130" s="139"/>
      <c r="H130" s="151"/>
      <c r="I130" s="139"/>
      <c r="J130" s="137"/>
      <c r="K130" s="139"/>
      <c r="L130" s="141"/>
      <c r="M130" s="133" t="str">
        <f t="shared" si="27"/>
        <v/>
      </c>
      <c r="N130" s="133" t="str">
        <f t="shared" si="28"/>
        <v/>
      </c>
      <c r="O130" s="133" t="str">
        <f t="shared" si="29"/>
        <v/>
      </c>
      <c r="P130" s="133" t="str">
        <f t="shared" si="30"/>
        <v/>
      </c>
      <c r="Q130" s="133" t="str">
        <f t="shared" si="31"/>
        <v/>
      </c>
      <c r="R130" s="133" t="str">
        <f t="shared" si="32"/>
        <v/>
      </c>
      <c r="S130" s="133" t="str">
        <f t="shared" si="33"/>
        <v/>
      </c>
      <c r="T130" s="133" t="str">
        <f>IFERROR(IF($U130="ERROR","ERROR",IF($N130="00",IF(J130="1-Rate","HH 1RATE",IF(J130="2-Rate","HH 2RATE","")),IFERROR(VLOOKUP(CONCATENATE(N130,Q130,O130,P130),Lookups!$A$2:$E$4557,5,0),VLOOKUP(CONCATENATE(N130,Q130,O130),Lookups!$A$2:$E$4557,5,0)))),"ERROR")</f>
        <v>ERROR</v>
      </c>
      <c r="U130" s="133" t="str">
        <f>IFERROR(IF(NOT($N130="00"),"",VLOOKUP(CONCATENATE(Q130,P130,LOOKUP(2,1/(Lookups!$I$2:$I$11&lt;=E130)/(Lookups!$J$2:$J$11&gt;=Tool!$C$14),Lookups!$K$2:$K$11)),'HH LLFs'!$A$2:$K$500,3,0)),"ERROR")</f>
        <v/>
      </c>
      <c r="V130" s="132">
        <f>Calcs!$I$2</f>
        <v>44377</v>
      </c>
      <c r="W130" s="132">
        <f>Calcs!$I$4</f>
        <v>44592</v>
      </c>
      <c r="X130" s="153" t="str">
        <f>IF(NOT(N130="00"),"",(VLOOKUP(CONCATENATE(Q130,P130,LOOKUP(2,1/(Lookups!$I$2:$I$11&lt;=Multisite!E130)/(Lookups!$J$2:$J$11&gt;=E130),Lookups!$K$2:$K$11)),'HH LLFs'!$A$2:$F$282,6,0)*365)/12)</f>
        <v/>
      </c>
      <c r="Y130" s="153">
        <f t="shared" si="34"/>
        <v>0</v>
      </c>
      <c r="Z130" s="153" t="str">
        <f t="shared" si="43"/>
        <v/>
      </c>
      <c r="AA130" s="153" t="str">
        <f t="shared" si="35"/>
        <v/>
      </c>
      <c r="AB130" s="153" t="str">
        <f t="shared" si="44"/>
        <v/>
      </c>
      <c r="AC130" s="153" t="str">
        <f t="shared" si="36"/>
        <v/>
      </c>
      <c r="AD130" s="153" t="str">
        <f t="shared" si="37"/>
        <v/>
      </c>
      <c r="AE130" s="153" t="str">
        <f t="shared" si="38"/>
        <v/>
      </c>
      <c r="AF130" s="155" t="e">
        <f>LOOKUP(2,1/(Lookups!$I$2:$I$11&lt;=E130)/(Lookups!$J$2:$J$11&gt;=E130),Lookups!$L$2:$L$11)</f>
        <v>#N/A</v>
      </c>
      <c r="AG130" s="142" t="str">
        <f t="shared" si="39"/>
        <v/>
      </c>
      <c r="AH130" s="142" t="str">
        <f t="shared" si="40"/>
        <v/>
      </c>
      <c r="AI130" s="143" t="b">
        <f t="shared" si="45"/>
        <v>0</v>
      </c>
      <c r="AJ130" s="143" t="str">
        <f t="shared" si="41"/>
        <v>Level 1</v>
      </c>
      <c r="AK130" s="142">
        <f t="shared" si="42"/>
        <v>0</v>
      </c>
      <c r="AL130" s="157" t="str">
        <f t="shared" si="50"/>
        <v/>
      </c>
      <c r="AM130" s="144" t="str">
        <f t="shared" si="51"/>
        <v>--FALSE-0</v>
      </c>
      <c r="AN130" s="158" t="str">
        <f t="shared" si="46"/>
        <v/>
      </c>
      <c r="AO130" s="145"/>
      <c r="AP130" s="159" t="str">
        <f>IF($AN130=FALSE,"",IFERROR(INDEX('Flat Rates'!$A$1:$M$3880,MATCH($AM130,'Flat Rates'!$A$1:$A$3880,0),MATCH("Standing Charge",'Flat Rates'!$A$1:$M$1,0))*100,""))</f>
        <v/>
      </c>
      <c r="AQ130" s="148" t="str">
        <f>IF($AN130=FALSE,"",IFERROR((IF(NOT(T130="Unrestricted"),"",INDEX('Flat Rates'!$A$1:$M$3880,MATCH($AM130,'Flat Rates'!$A$1:$A$3880,0),MATCH("Uni/Day Rate",'Flat Rates'!$A$1:$M$1,0)))*100)+H130,""))</f>
        <v/>
      </c>
      <c r="AR130" s="148" t="str">
        <f>IF($AN130=FALSE,"",IFERROR((IF(T130="Unrestricted","",INDEX('Flat Rates'!$A$1:$M$3880,MATCH($AM130,'Flat Rates'!$A$1:$A$3880,0),MATCH("Uni/Day Rate",'Flat Rates'!$A$1:$M$1,0)))*100)+H130,""))</f>
        <v/>
      </c>
      <c r="AS130" s="148" t="str">
        <f>IF($AN130=FALSE,"",IFERROR(IF(INDEX('Flat Rates'!$A$1:$M$3880,MATCH($AM130,'Flat Rates'!$A$1:$A$3880,0),MATCH("Night Unit Rate",'Flat Rates'!$A$1:$M$1,0))=0,"",((INDEX('Flat Rates'!$A$1:$M$3880,MATCH($AM130,'Flat Rates'!$A$1:$A$3880,0),MATCH("Night Unit Rate",'Flat Rates'!$A$1:$M$1,0)))*100)+H130),""))</f>
        <v/>
      </c>
      <c r="AT130" s="148" t="str">
        <f>IF($AN130=FALSE,"",IFERROR(IF(INDEX('Flat Rates'!$A$1:$M$3880,MATCH($AM130,'Flat Rates'!$A$1:$A$3880,0),MATCH("Evening and Weekend Rate",'Flat Rates'!$A$1:$M$1,0))=0,"",((INDEX('Flat Rates'!$A$1:$M$3880,MATCH($AM130,'Flat Rates'!$A$1:$A$3880,0),MATCH("Evening and Weekend Rate",'Flat Rates'!$A$1:$M$1,0)))*100)+H130),""))</f>
        <v/>
      </c>
      <c r="AU130" s="152" t="str">
        <f t="shared" si="47"/>
        <v/>
      </c>
      <c r="AV130" s="152" t="str">
        <f t="shared" si="48"/>
        <v/>
      </c>
      <c r="AW130" s="152" t="str">
        <f t="shared" si="49"/>
        <v/>
      </c>
    </row>
    <row r="131" spans="2:49" ht="15" thickBot="1" x14ac:dyDescent="0.35">
      <c r="B131" s="138" t="str">
        <f t="shared" si="26"/>
        <v/>
      </c>
      <c r="C131" s="137"/>
      <c r="D131" s="139"/>
      <c r="E131" s="140"/>
      <c r="F131" s="140"/>
      <c r="G131" s="139"/>
      <c r="H131" s="151"/>
      <c r="I131" s="139"/>
      <c r="J131" s="138"/>
      <c r="K131" s="139"/>
      <c r="L131" s="141"/>
      <c r="M131" s="133" t="str">
        <f t="shared" si="27"/>
        <v/>
      </c>
      <c r="N131" s="133" t="str">
        <f t="shared" si="28"/>
        <v/>
      </c>
      <c r="O131" s="133" t="str">
        <f t="shared" si="29"/>
        <v/>
      </c>
      <c r="P131" s="133" t="str">
        <f t="shared" si="30"/>
        <v/>
      </c>
      <c r="Q131" s="133" t="str">
        <f t="shared" si="31"/>
        <v/>
      </c>
      <c r="R131" s="133" t="str">
        <f t="shared" si="32"/>
        <v/>
      </c>
      <c r="S131" s="133" t="str">
        <f t="shared" si="33"/>
        <v/>
      </c>
      <c r="T131" s="133" t="str">
        <f>IFERROR(IF($U131="ERROR","ERROR",IF($N131="00",IF(J131="1-Rate","HH 1RATE",IF(J131="2-Rate","HH 2RATE","")),IFERROR(VLOOKUP(CONCATENATE(N131,Q131,O131,P131),Lookups!$A$2:$E$4557,5,0),VLOOKUP(CONCATENATE(N131,Q131,O131),Lookups!$A$2:$E$4557,5,0)))),"ERROR")</f>
        <v>ERROR</v>
      </c>
      <c r="U131" s="133" t="str">
        <f>IFERROR(IF(NOT($N131="00"),"",VLOOKUP(CONCATENATE(Q131,P131,LOOKUP(2,1/(Lookups!$I$2:$I$11&lt;=E131)/(Lookups!$J$2:$J$11&gt;=Tool!$C$14),Lookups!$K$2:$K$11)),'HH LLFs'!$A$2:$K$500,3,0)),"ERROR")</f>
        <v/>
      </c>
      <c r="V131" s="132">
        <f>Calcs!$I$2</f>
        <v>44377</v>
      </c>
      <c r="W131" s="132">
        <f>Calcs!$I$4</f>
        <v>44592</v>
      </c>
      <c r="X131" s="153" t="str">
        <f>IF(NOT(N131="00"),"",(VLOOKUP(CONCATENATE(Q131,P131,LOOKUP(2,1/(Lookups!$I$2:$I$11&lt;=Multisite!E131)/(Lookups!$J$2:$J$11&gt;=E131),Lookups!$K$2:$K$11)),'HH LLFs'!$A$2:$F$282,6,0)*365)/12)</f>
        <v/>
      </c>
      <c r="Y131" s="153">
        <f t="shared" si="34"/>
        <v>0</v>
      </c>
      <c r="Z131" s="153" t="str">
        <f t="shared" si="43"/>
        <v/>
      </c>
      <c r="AA131" s="153" t="str">
        <f t="shared" si="35"/>
        <v/>
      </c>
      <c r="AB131" s="153" t="str">
        <f t="shared" si="44"/>
        <v/>
      </c>
      <c r="AC131" s="153" t="str">
        <f t="shared" si="36"/>
        <v/>
      </c>
      <c r="AD131" s="153" t="str">
        <f t="shared" si="37"/>
        <v/>
      </c>
      <c r="AE131" s="153" t="str">
        <f t="shared" si="38"/>
        <v/>
      </c>
      <c r="AF131" s="155" t="e">
        <f>LOOKUP(2,1/(Lookups!$I$2:$I$11&lt;=E131)/(Lookups!$J$2:$J$11&gt;=E131),Lookups!$L$2:$L$11)</f>
        <v>#N/A</v>
      </c>
      <c r="AG131" s="142" t="str">
        <f t="shared" si="39"/>
        <v/>
      </c>
      <c r="AH131" s="142" t="str">
        <f t="shared" si="40"/>
        <v/>
      </c>
      <c r="AI131" s="143" t="b">
        <f t="shared" si="45"/>
        <v>0</v>
      </c>
      <c r="AJ131" s="143" t="str">
        <f t="shared" si="41"/>
        <v>Level 1</v>
      </c>
      <c r="AK131" s="142">
        <f t="shared" si="42"/>
        <v>0</v>
      </c>
      <c r="AL131" s="157" t="str">
        <f t="shared" si="50"/>
        <v/>
      </c>
      <c r="AM131" s="144" t="str">
        <f t="shared" si="51"/>
        <v>--FALSE-0</v>
      </c>
      <c r="AN131" s="158" t="str">
        <f t="shared" si="46"/>
        <v/>
      </c>
      <c r="AO131" s="145"/>
      <c r="AP131" s="159" t="str">
        <f>IF($AN131=FALSE,"",IFERROR(INDEX('Flat Rates'!$A$1:$M$3880,MATCH($AM131,'Flat Rates'!$A$1:$A$3880,0),MATCH("Standing Charge",'Flat Rates'!$A$1:$M$1,0))*100,""))</f>
        <v/>
      </c>
      <c r="AQ131" s="148" t="str">
        <f>IF($AN131=FALSE,"",IFERROR((IF(NOT(T131="Unrestricted"),"",INDEX('Flat Rates'!$A$1:$M$3880,MATCH($AM131,'Flat Rates'!$A$1:$A$3880,0),MATCH("Uni/Day Rate",'Flat Rates'!$A$1:$M$1,0)))*100)+H131,""))</f>
        <v/>
      </c>
      <c r="AR131" s="148" t="str">
        <f>IF($AN131=FALSE,"",IFERROR((IF(T131="Unrestricted","",INDEX('Flat Rates'!$A$1:$M$3880,MATCH($AM131,'Flat Rates'!$A$1:$A$3880,0),MATCH("Uni/Day Rate",'Flat Rates'!$A$1:$M$1,0)))*100)+H131,""))</f>
        <v/>
      </c>
      <c r="AS131" s="148" t="str">
        <f>IF($AN131=FALSE,"",IFERROR(IF(INDEX('Flat Rates'!$A$1:$M$3880,MATCH($AM131,'Flat Rates'!$A$1:$A$3880,0),MATCH("Night Unit Rate",'Flat Rates'!$A$1:$M$1,0))=0,"",((INDEX('Flat Rates'!$A$1:$M$3880,MATCH($AM131,'Flat Rates'!$A$1:$A$3880,0),MATCH("Night Unit Rate",'Flat Rates'!$A$1:$M$1,0)))*100)+H131),""))</f>
        <v/>
      </c>
      <c r="AT131" s="148" t="str">
        <f>IF($AN131=FALSE,"",IFERROR(IF(INDEX('Flat Rates'!$A$1:$M$3880,MATCH($AM131,'Flat Rates'!$A$1:$A$3880,0),MATCH("Evening and Weekend Rate",'Flat Rates'!$A$1:$M$1,0))=0,"",((INDEX('Flat Rates'!$A$1:$M$3880,MATCH($AM131,'Flat Rates'!$A$1:$A$3880,0),MATCH("Evening and Weekend Rate",'Flat Rates'!$A$1:$M$1,0)))*100)+H131),""))</f>
        <v/>
      </c>
      <c r="AU131" s="152" t="str">
        <f t="shared" si="47"/>
        <v/>
      </c>
      <c r="AV131" s="152" t="str">
        <f t="shared" si="48"/>
        <v/>
      </c>
      <c r="AW131" s="152" t="str">
        <f t="shared" si="49"/>
        <v/>
      </c>
    </row>
    <row r="132" spans="2:49" ht="15" thickBot="1" x14ac:dyDescent="0.35">
      <c r="B132" s="138" t="str">
        <f t="shared" si="26"/>
        <v/>
      </c>
      <c r="C132" s="137"/>
      <c r="D132" s="139"/>
      <c r="E132" s="140"/>
      <c r="F132" s="140"/>
      <c r="G132" s="139"/>
      <c r="H132" s="151"/>
      <c r="I132" s="139"/>
      <c r="J132" s="137"/>
      <c r="K132" s="139"/>
      <c r="L132" s="141"/>
      <c r="M132" s="133" t="str">
        <f t="shared" si="27"/>
        <v/>
      </c>
      <c r="N132" s="133" t="str">
        <f t="shared" si="28"/>
        <v/>
      </c>
      <c r="O132" s="133" t="str">
        <f t="shared" si="29"/>
        <v/>
      </c>
      <c r="P132" s="133" t="str">
        <f t="shared" si="30"/>
        <v/>
      </c>
      <c r="Q132" s="133" t="str">
        <f t="shared" si="31"/>
        <v/>
      </c>
      <c r="R132" s="133" t="str">
        <f t="shared" si="32"/>
        <v/>
      </c>
      <c r="S132" s="133" t="str">
        <f t="shared" si="33"/>
        <v/>
      </c>
      <c r="T132" s="133" t="str">
        <f>IFERROR(IF($U132="ERROR","ERROR",IF($N132="00",IF(J132="1-Rate","HH 1RATE",IF(J132="2-Rate","HH 2RATE","")),IFERROR(VLOOKUP(CONCATENATE(N132,Q132,O132,P132),Lookups!$A$2:$E$4557,5,0),VLOOKUP(CONCATENATE(N132,Q132,O132),Lookups!$A$2:$E$4557,5,0)))),"ERROR")</f>
        <v>ERROR</v>
      </c>
      <c r="U132" s="133" t="str">
        <f>IFERROR(IF(NOT($N132="00"),"",VLOOKUP(CONCATENATE(Q132,P132,LOOKUP(2,1/(Lookups!$I$2:$I$11&lt;=E132)/(Lookups!$J$2:$J$11&gt;=Tool!$C$14),Lookups!$K$2:$K$11)),'HH LLFs'!$A$2:$K$500,3,0)),"ERROR")</f>
        <v/>
      </c>
      <c r="V132" s="132">
        <f>Calcs!$I$2</f>
        <v>44377</v>
      </c>
      <c r="W132" s="132">
        <f>Calcs!$I$4</f>
        <v>44592</v>
      </c>
      <c r="X132" s="153" t="str">
        <f>IF(NOT(N132="00"),"",(VLOOKUP(CONCATENATE(Q132,P132,LOOKUP(2,1/(Lookups!$I$2:$I$11&lt;=Multisite!E132)/(Lookups!$J$2:$J$11&gt;=E132),Lookups!$K$2:$K$11)),'HH LLFs'!$A$2:$F$282,6,0)*365)/12)</f>
        <v/>
      </c>
      <c r="Y132" s="153">
        <f t="shared" si="34"/>
        <v>0</v>
      </c>
      <c r="Z132" s="153" t="str">
        <f t="shared" si="43"/>
        <v/>
      </c>
      <c r="AA132" s="153" t="str">
        <f t="shared" si="35"/>
        <v/>
      </c>
      <c r="AB132" s="153" t="str">
        <f t="shared" si="44"/>
        <v/>
      </c>
      <c r="AC132" s="153" t="str">
        <f t="shared" si="36"/>
        <v/>
      </c>
      <c r="AD132" s="153" t="str">
        <f t="shared" si="37"/>
        <v/>
      </c>
      <c r="AE132" s="153" t="str">
        <f t="shared" si="38"/>
        <v/>
      </c>
      <c r="AF132" s="155" t="e">
        <f>LOOKUP(2,1/(Lookups!$I$2:$I$11&lt;=E132)/(Lookups!$J$2:$J$11&gt;=E132),Lookups!$L$2:$L$11)</f>
        <v>#N/A</v>
      </c>
      <c r="AG132" s="142" t="str">
        <f t="shared" si="39"/>
        <v/>
      </c>
      <c r="AH132" s="142" t="str">
        <f t="shared" si="40"/>
        <v/>
      </c>
      <c r="AI132" s="143" t="b">
        <f t="shared" si="45"/>
        <v>0</v>
      </c>
      <c r="AJ132" s="143" t="str">
        <f t="shared" si="41"/>
        <v>Level 1</v>
      </c>
      <c r="AK132" s="142">
        <f t="shared" si="42"/>
        <v>0</v>
      </c>
      <c r="AL132" s="157" t="str">
        <f t="shared" si="50"/>
        <v/>
      </c>
      <c r="AM132" s="144" t="str">
        <f t="shared" si="51"/>
        <v>--FALSE-0</v>
      </c>
      <c r="AN132" s="158" t="str">
        <f t="shared" si="46"/>
        <v/>
      </c>
      <c r="AO132" s="145"/>
      <c r="AP132" s="159" t="str">
        <f>IF($AN132=FALSE,"",IFERROR(INDEX('Flat Rates'!$A$1:$M$3880,MATCH($AM132,'Flat Rates'!$A$1:$A$3880,0),MATCH("Standing Charge",'Flat Rates'!$A$1:$M$1,0))*100,""))</f>
        <v/>
      </c>
      <c r="AQ132" s="148" t="str">
        <f>IF($AN132=FALSE,"",IFERROR((IF(NOT(T132="Unrestricted"),"",INDEX('Flat Rates'!$A$1:$M$3880,MATCH($AM132,'Flat Rates'!$A$1:$A$3880,0),MATCH("Uni/Day Rate",'Flat Rates'!$A$1:$M$1,0)))*100)+H132,""))</f>
        <v/>
      </c>
      <c r="AR132" s="148" t="str">
        <f>IF($AN132=FALSE,"",IFERROR((IF(T132="Unrestricted","",INDEX('Flat Rates'!$A$1:$M$3880,MATCH($AM132,'Flat Rates'!$A$1:$A$3880,0),MATCH("Uni/Day Rate",'Flat Rates'!$A$1:$M$1,0)))*100)+H132,""))</f>
        <v/>
      </c>
      <c r="AS132" s="148" t="str">
        <f>IF($AN132=FALSE,"",IFERROR(IF(INDEX('Flat Rates'!$A$1:$M$3880,MATCH($AM132,'Flat Rates'!$A$1:$A$3880,0),MATCH("Night Unit Rate",'Flat Rates'!$A$1:$M$1,0))=0,"",((INDEX('Flat Rates'!$A$1:$M$3880,MATCH($AM132,'Flat Rates'!$A$1:$A$3880,0),MATCH("Night Unit Rate",'Flat Rates'!$A$1:$M$1,0)))*100)+H132),""))</f>
        <v/>
      </c>
      <c r="AT132" s="148" t="str">
        <f>IF($AN132=FALSE,"",IFERROR(IF(INDEX('Flat Rates'!$A$1:$M$3880,MATCH($AM132,'Flat Rates'!$A$1:$A$3880,0),MATCH("Evening and Weekend Rate",'Flat Rates'!$A$1:$M$1,0))=0,"",((INDEX('Flat Rates'!$A$1:$M$3880,MATCH($AM132,'Flat Rates'!$A$1:$A$3880,0),MATCH("Evening and Weekend Rate",'Flat Rates'!$A$1:$M$1,0)))*100)+H132),""))</f>
        <v/>
      </c>
      <c r="AU132" s="152" t="str">
        <f t="shared" si="47"/>
        <v/>
      </c>
      <c r="AV132" s="152" t="str">
        <f t="shared" si="48"/>
        <v/>
      </c>
      <c r="AW132" s="152" t="str">
        <f t="shared" si="49"/>
        <v/>
      </c>
    </row>
    <row r="133" spans="2:49" ht="15" thickBot="1" x14ac:dyDescent="0.35">
      <c r="B133" s="138" t="str">
        <f t="shared" si="26"/>
        <v/>
      </c>
      <c r="C133" s="137"/>
      <c r="D133" s="139"/>
      <c r="E133" s="140"/>
      <c r="F133" s="140"/>
      <c r="G133" s="139"/>
      <c r="H133" s="151"/>
      <c r="I133" s="139"/>
      <c r="J133" s="138"/>
      <c r="K133" s="139"/>
      <c r="L133" s="141"/>
      <c r="M133" s="133" t="str">
        <f t="shared" si="27"/>
        <v/>
      </c>
      <c r="N133" s="133" t="str">
        <f t="shared" si="28"/>
        <v/>
      </c>
      <c r="O133" s="133" t="str">
        <f t="shared" si="29"/>
        <v/>
      </c>
      <c r="P133" s="133" t="str">
        <f t="shared" si="30"/>
        <v/>
      </c>
      <c r="Q133" s="133" t="str">
        <f t="shared" si="31"/>
        <v/>
      </c>
      <c r="R133" s="133" t="str">
        <f t="shared" si="32"/>
        <v/>
      </c>
      <c r="S133" s="133" t="str">
        <f t="shared" si="33"/>
        <v/>
      </c>
      <c r="T133" s="133" t="str">
        <f>IFERROR(IF($U133="ERROR","ERROR",IF($N133="00",IF(J133="1-Rate","HH 1RATE",IF(J133="2-Rate","HH 2RATE","")),IFERROR(VLOOKUP(CONCATENATE(N133,Q133,O133,P133),Lookups!$A$2:$E$4557,5,0),VLOOKUP(CONCATENATE(N133,Q133,O133),Lookups!$A$2:$E$4557,5,0)))),"ERROR")</f>
        <v>ERROR</v>
      </c>
      <c r="U133" s="133" t="str">
        <f>IFERROR(IF(NOT($N133="00"),"",VLOOKUP(CONCATENATE(Q133,P133,LOOKUP(2,1/(Lookups!$I$2:$I$11&lt;=E133)/(Lookups!$J$2:$J$11&gt;=Tool!$C$14),Lookups!$K$2:$K$11)),'HH LLFs'!$A$2:$K$500,3,0)),"ERROR")</f>
        <v/>
      </c>
      <c r="V133" s="132">
        <f>Calcs!$I$2</f>
        <v>44377</v>
      </c>
      <c r="W133" s="132">
        <f>Calcs!$I$4</f>
        <v>44592</v>
      </c>
      <c r="X133" s="153" t="str">
        <f>IF(NOT(N133="00"),"",(VLOOKUP(CONCATENATE(Q133,P133,LOOKUP(2,1/(Lookups!$I$2:$I$11&lt;=Multisite!E133)/(Lookups!$J$2:$J$11&gt;=E133),Lookups!$K$2:$K$11)),'HH LLFs'!$A$2:$F$282,6,0)*365)/12)</f>
        <v/>
      </c>
      <c r="Y133" s="153">
        <f t="shared" si="34"/>
        <v>0</v>
      </c>
      <c r="Z133" s="153" t="str">
        <f t="shared" si="43"/>
        <v/>
      </c>
      <c r="AA133" s="153" t="str">
        <f t="shared" si="35"/>
        <v/>
      </c>
      <c r="AB133" s="153" t="str">
        <f t="shared" si="44"/>
        <v/>
      </c>
      <c r="AC133" s="153" t="str">
        <f t="shared" si="36"/>
        <v/>
      </c>
      <c r="AD133" s="153" t="str">
        <f t="shared" si="37"/>
        <v/>
      </c>
      <c r="AE133" s="153" t="str">
        <f t="shared" si="38"/>
        <v/>
      </c>
      <c r="AF133" s="155" t="e">
        <f>LOOKUP(2,1/(Lookups!$I$2:$I$11&lt;=E133)/(Lookups!$J$2:$J$11&gt;=E133),Lookups!$L$2:$L$11)</f>
        <v>#N/A</v>
      </c>
      <c r="AG133" s="142" t="str">
        <f t="shared" si="39"/>
        <v/>
      </c>
      <c r="AH133" s="142" t="str">
        <f t="shared" si="40"/>
        <v/>
      </c>
      <c r="AI133" s="143" t="b">
        <f t="shared" si="45"/>
        <v>0</v>
      </c>
      <c r="AJ133" s="143" t="str">
        <f t="shared" si="41"/>
        <v>Level 1</v>
      </c>
      <c r="AK133" s="142">
        <f t="shared" si="42"/>
        <v>0</v>
      </c>
      <c r="AL133" s="157" t="str">
        <f t="shared" si="50"/>
        <v/>
      </c>
      <c r="AM133" s="144" t="str">
        <f t="shared" si="51"/>
        <v>--FALSE-0</v>
      </c>
      <c r="AN133" s="158" t="str">
        <f t="shared" si="46"/>
        <v/>
      </c>
      <c r="AO133" s="145"/>
      <c r="AP133" s="159" t="str">
        <f>IF($AN133=FALSE,"",IFERROR(INDEX('Flat Rates'!$A$1:$M$3880,MATCH($AM133,'Flat Rates'!$A$1:$A$3880,0),MATCH("Standing Charge",'Flat Rates'!$A$1:$M$1,0))*100,""))</f>
        <v/>
      </c>
      <c r="AQ133" s="148" t="str">
        <f>IF($AN133=FALSE,"",IFERROR((IF(NOT(T133="Unrestricted"),"",INDEX('Flat Rates'!$A$1:$M$3880,MATCH($AM133,'Flat Rates'!$A$1:$A$3880,0),MATCH("Uni/Day Rate",'Flat Rates'!$A$1:$M$1,0)))*100)+H133,""))</f>
        <v/>
      </c>
      <c r="AR133" s="148" t="str">
        <f>IF($AN133=FALSE,"",IFERROR((IF(T133="Unrestricted","",INDEX('Flat Rates'!$A$1:$M$3880,MATCH($AM133,'Flat Rates'!$A$1:$A$3880,0),MATCH("Uni/Day Rate",'Flat Rates'!$A$1:$M$1,0)))*100)+H133,""))</f>
        <v/>
      </c>
      <c r="AS133" s="148" t="str">
        <f>IF($AN133=FALSE,"",IFERROR(IF(INDEX('Flat Rates'!$A$1:$M$3880,MATCH($AM133,'Flat Rates'!$A$1:$A$3880,0),MATCH("Night Unit Rate",'Flat Rates'!$A$1:$M$1,0))=0,"",((INDEX('Flat Rates'!$A$1:$M$3880,MATCH($AM133,'Flat Rates'!$A$1:$A$3880,0),MATCH("Night Unit Rate",'Flat Rates'!$A$1:$M$1,0)))*100)+H133),""))</f>
        <v/>
      </c>
      <c r="AT133" s="148" t="str">
        <f>IF($AN133=FALSE,"",IFERROR(IF(INDEX('Flat Rates'!$A$1:$M$3880,MATCH($AM133,'Flat Rates'!$A$1:$A$3880,0),MATCH("Evening and Weekend Rate",'Flat Rates'!$A$1:$M$1,0))=0,"",((INDEX('Flat Rates'!$A$1:$M$3880,MATCH($AM133,'Flat Rates'!$A$1:$A$3880,0),MATCH("Evening and Weekend Rate",'Flat Rates'!$A$1:$M$1,0)))*100)+H133),""))</f>
        <v/>
      </c>
      <c r="AU133" s="152" t="str">
        <f t="shared" si="47"/>
        <v/>
      </c>
      <c r="AV133" s="152" t="str">
        <f t="shared" si="48"/>
        <v/>
      </c>
      <c r="AW133" s="152" t="str">
        <f t="shared" si="49"/>
        <v/>
      </c>
    </row>
    <row r="134" spans="2:49" ht="15" thickBot="1" x14ac:dyDescent="0.35">
      <c r="B134" s="138" t="str">
        <f t="shared" si="26"/>
        <v/>
      </c>
      <c r="C134" s="137"/>
      <c r="D134" s="139"/>
      <c r="E134" s="140"/>
      <c r="F134" s="140"/>
      <c r="G134" s="139"/>
      <c r="H134" s="151"/>
      <c r="I134" s="139"/>
      <c r="J134" s="137"/>
      <c r="K134" s="139"/>
      <c r="L134" s="141"/>
      <c r="M134" s="133" t="str">
        <f t="shared" si="27"/>
        <v/>
      </c>
      <c r="N134" s="133" t="str">
        <f t="shared" si="28"/>
        <v/>
      </c>
      <c r="O134" s="133" t="str">
        <f t="shared" si="29"/>
        <v/>
      </c>
      <c r="P134" s="133" t="str">
        <f t="shared" si="30"/>
        <v/>
      </c>
      <c r="Q134" s="133" t="str">
        <f t="shared" si="31"/>
        <v/>
      </c>
      <c r="R134" s="133" t="str">
        <f t="shared" si="32"/>
        <v/>
      </c>
      <c r="S134" s="133" t="str">
        <f t="shared" si="33"/>
        <v/>
      </c>
      <c r="T134" s="133" t="str">
        <f>IFERROR(IF($U134="ERROR","ERROR",IF($N134="00",IF(J134="1-Rate","HH 1RATE",IF(J134="2-Rate","HH 2RATE","")),IFERROR(VLOOKUP(CONCATENATE(N134,Q134,O134,P134),Lookups!$A$2:$E$4557,5,0),VLOOKUP(CONCATENATE(N134,Q134,O134),Lookups!$A$2:$E$4557,5,0)))),"ERROR")</f>
        <v>ERROR</v>
      </c>
      <c r="U134" s="133" t="str">
        <f>IFERROR(IF(NOT($N134="00"),"",VLOOKUP(CONCATENATE(Q134,P134,LOOKUP(2,1/(Lookups!$I$2:$I$11&lt;=E134)/(Lookups!$J$2:$J$11&gt;=Tool!$C$14),Lookups!$K$2:$K$11)),'HH LLFs'!$A$2:$K$500,3,0)),"ERROR")</f>
        <v/>
      </c>
      <c r="V134" s="132">
        <f>Calcs!$I$2</f>
        <v>44377</v>
      </c>
      <c r="W134" s="132">
        <f>Calcs!$I$4</f>
        <v>44592</v>
      </c>
      <c r="X134" s="153" t="str">
        <f>IF(NOT(N134="00"),"",(VLOOKUP(CONCATENATE(Q134,P134,LOOKUP(2,1/(Lookups!$I$2:$I$11&lt;=Multisite!E134)/(Lookups!$J$2:$J$11&gt;=E134),Lookups!$K$2:$K$11)),'HH LLFs'!$A$2:$F$282,6,0)*365)/12)</f>
        <v/>
      </c>
      <c r="Y134" s="153">
        <f t="shared" si="34"/>
        <v>0</v>
      </c>
      <c r="Z134" s="153" t="str">
        <f t="shared" si="43"/>
        <v/>
      </c>
      <c r="AA134" s="153" t="str">
        <f t="shared" si="35"/>
        <v/>
      </c>
      <c r="AB134" s="153" t="str">
        <f t="shared" si="44"/>
        <v/>
      </c>
      <c r="AC134" s="153" t="str">
        <f t="shared" si="36"/>
        <v/>
      </c>
      <c r="AD134" s="153" t="str">
        <f t="shared" si="37"/>
        <v/>
      </c>
      <c r="AE134" s="153" t="str">
        <f t="shared" si="38"/>
        <v/>
      </c>
      <c r="AF134" s="155" t="e">
        <f>LOOKUP(2,1/(Lookups!$I$2:$I$11&lt;=E134)/(Lookups!$J$2:$J$11&gt;=E134),Lookups!$L$2:$L$11)</f>
        <v>#N/A</v>
      </c>
      <c r="AG134" s="142" t="str">
        <f t="shared" si="39"/>
        <v/>
      </c>
      <c r="AH134" s="142" t="str">
        <f t="shared" si="40"/>
        <v/>
      </c>
      <c r="AI134" s="143" t="b">
        <f t="shared" si="45"/>
        <v>0</v>
      </c>
      <c r="AJ134" s="143" t="str">
        <f t="shared" si="41"/>
        <v>Level 1</v>
      </c>
      <c r="AK134" s="142">
        <f t="shared" si="42"/>
        <v>0</v>
      </c>
      <c r="AL134" s="157" t="str">
        <f t="shared" si="50"/>
        <v/>
      </c>
      <c r="AM134" s="144" t="str">
        <f t="shared" si="51"/>
        <v>--FALSE-0</v>
      </c>
      <c r="AN134" s="158" t="str">
        <f t="shared" si="46"/>
        <v/>
      </c>
      <c r="AO134" s="145"/>
      <c r="AP134" s="159" t="str">
        <f>IF($AN134=FALSE,"",IFERROR(INDEX('Flat Rates'!$A$1:$M$3880,MATCH($AM134,'Flat Rates'!$A$1:$A$3880,0),MATCH("Standing Charge",'Flat Rates'!$A$1:$M$1,0))*100,""))</f>
        <v/>
      </c>
      <c r="AQ134" s="148" t="str">
        <f>IF($AN134=FALSE,"",IFERROR((IF(NOT(T134="Unrestricted"),"",INDEX('Flat Rates'!$A$1:$M$3880,MATCH($AM134,'Flat Rates'!$A$1:$A$3880,0),MATCH("Uni/Day Rate",'Flat Rates'!$A$1:$M$1,0)))*100)+H134,""))</f>
        <v/>
      </c>
      <c r="AR134" s="148" t="str">
        <f>IF($AN134=FALSE,"",IFERROR((IF(T134="Unrestricted","",INDEX('Flat Rates'!$A$1:$M$3880,MATCH($AM134,'Flat Rates'!$A$1:$A$3880,0),MATCH("Uni/Day Rate",'Flat Rates'!$A$1:$M$1,0)))*100)+H134,""))</f>
        <v/>
      </c>
      <c r="AS134" s="148" t="str">
        <f>IF($AN134=FALSE,"",IFERROR(IF(INDEX('Flat Rates'!$A$1:$M$3880,MATCH($AM134,'Flat Rates'!$A$1:$A$3880,0),MATCH("Night Unit Rate",'Flat Rates'!$A$1:$M$1,0))=0,"",((INDEX('Flat Rates'!$A$1:$M$3880,MATCH($AM134,'Flat Rates'!$A$1:$A$3880,0),MATCH("Night Unit Rate",'Flat Rates'!$A$1:$M$1,0)))*100)+H134),""))</f>
        <v/>
      </c>
      <c r="AT134" s="148" t="str">
        <f>IF($AN134=FALSE,"",IFERROR(IF(INDEX('Flat Rates'!$A$1:$M$3880,MATCH($AM134,'Flat Rates'!$A$1:$A$3880,0),MATCH("Evening and Weekend Rate",'Flat Rates'!$A$1:$M$1,0))=0,"",((INDEX('Flat Rates'!$A$1:$M$3880,MATCH($AM134,'Flat Rates'!$A$1:$A$3880,0),MATCH("Evening and Weekend Rate",'Flat Rates'!$A$1:$M$1,0)))*100)+H134),""))</f>
        <v/>
      </c>
      <c r="AU134" s="152" t="str">
        <f t="shared" si="47"/>
        <v/>
      </c>
      <c r="AV134" s="152" t="str">
        <f t="shared" si="48"/>
        <v/>
      </c>
      <c r="AW134" s="152" t="str">
        <f t="shared" si="49"/>
        <v/>
      </c>
    </row>
    <row r="135" spans="2:49" ht="15" thickBot="1" x14ac:dyDescent="0.35">
      <c r="B135" s="138" t="str">
        <f t="shared" si="26"/>
        <v/>
      </c>
      <c r="C135" s="137"/>
      <c r="D135" s="139"/>
      <c r="E135" s="140"/>
      <c r="F135" s="140"/>
      <c r="G135" s="139"/>
      <c r="H135" s="151"/>
      <c r="I135" s="139"/>
      <c r="J135" s="138"/>
      <c r="K135" s="139"/>
      <c r="L135" s="141"/>
      <c r="M135" s="133" t="str">
        <f t="shared" si="27"/>
        <v/>
      </c>
      <c r="N135" s="133" t="str">
        <f t="shared" si="28"/>
        <v/>
      </c>
      <c r="O135" s="133" t="str">
        <f t="shared" si="29"/>
        <v/>
      </c>
      <c r="P135" s="133" t="str">
        <f t="shared" si="30"/>
        <v/>
      </c>
      <c r="Q135" s="133" t="str">
        <f t="shared" si="31"/>
        <v/>
      </c>
      <c r="R135" s="133" t="str">
        <f t="shared" si="32"/>
        <v/>
      </c>
      <c r="S135" s="133" t="str">
        <f t="shared" si="33"/>
        <v/>
      </c>
      <c r="T135" s="133" t="str">
        <f>IFERROR(IF($U135="ERROR","ERROR",IF($N135="00",IF(J135="1-Rate","HH 1RATE",IF(J135="2-Rate","HH 2RATE","")),IFERROR(VLOOKUP(CONCATENATE(N135,Q135,O135,P135),Lookups!$A$2:$E$4557,5,0),VLOOKUP(CONCATENATE(N135,Q135,O135),Lookups!$A$2:$E$4557,5,0)))),"ERROR")</f>
        <v>ERROR</v>
      </c>
      <c r="U135" s="133" t="str">
        <f>IFERROR(IF(NOT($N135="00"),"",VLOOKUP(CONCATENATE(Q135,P135,LOOKUP(2,1/(Lookups!$I$2:$I$11&lt;=E135)/(Lookups!$J$2:$J$11&gt;=Tool!$C$14),Lookups!$K$2:$K$11)),'HH LLFs'!$A$2:$K$500,3,0)),"ERROR")</f>
        <v/>
      </c>
      <c r="V135" s="132">
        <f>Calcs!$I$2</f>
        <v>44377</v>
      </c>
      <c r="W135" s="132">
        <f>Calcs!$I$4</f>
        <v>44592</v>
      </c>
      <c r="X135" s="153" t="str">
        <f>IF(NOT(N135="00"),"",(VLOOKUP(CONCATENATE(Q135,P135,LOOKUP(2,1/(Lookups!$I$2:$I$11&lt;=Multisite!E135)/(Lookups!$J$2:$J$11&gt;=E135),Lookups!$K$2:$K$11)),'HH LLFs'!$A$2:$F$282,6,0)*365)/12)</f>
        <v/>
      </c>
      <c r="Y135" s="153">
        <f t="shared" si="34"/>
        <v>0</v>
      </c>
      <c r="Z135" s="153" t="str">
        <f t="shared" si="43"/>
        <v/>
      </c>
      <c r="AA135" s="153" t="str">
        <f t="shared" si="35"/>
        <v/>
      </c>
      <c r="AB135" s="153" t="str">
        <f t="shared" si="44"/>
        <v/>
      </c>
      <c r="AC135" s="153" t="str">
        <f t="shared" si="36"/>
        <v/>
      </c>
      <c r="AD135" s="153" t="str">
        <f t="shared" si="37"/>
        <v/>
      </c>
      <c r="AE135" s="153" t="str">
        <f t="shared" si="38"/>
        <v/>
      </c>
      <c r="AF135" s="155" t="e">
        <f>LOOKUP(2,1/(Lookups!$I$2:$I$11&lt;=E135)/(Lookups!$J$2:$J$11&gt;=E135),Lookups!$L$2:$L$11)</f>
        <v>#N/A</v>
      </c>
      <c r="AG135" s="142" t="str">
        <f t="shared" si="39"/>
        <v/>
      </c>
      <c r="AH135" s="142" t="str">
        <f t="shared" si="40"/>
        <v/>
      </c>
      <c r="AI135" s="143" t="b">
        <f t="shared" si="45"/>
        <v>0</v>
      </c>
      <c r="AJ135" s="143" t="str">
        <f t="shared" si="41"/>
        <v>Level 1</v>
      </c>
      <c r="AK135" s="142">
        <f t="shared" si="42"/>
        <v>0</v>
      </c>
      <c r="AL135" s="157" t="str">
        <f t="shared" si="50"/>
        <v/>
      </c>
      <c r="AM135" s="144" t="str">
        <f t="shared" si="51"/>
        <v>--FALSE-0</v>
      </c>
      <c r="AN135" s="158" t="str">
        <f t="shared" si="46"/>
        <v/>
      </c>
      <c r="AO135" s="145"/>
      <c r="AP135" s="159" t="str">
        <f>IF($AN135=FALSE,"",IFERROR(INDEX('Flat Rates'!$A$1:$M$3880,MATCH($AM135,'Flat Rates'!$A$1:$A$3880,0),MATCH("Standing Charge",'Flat Rates'!$A$1:$M$1,0))*100,""))</f>
        <v/>
      </c>
      <c r="AQ135" s="148" t="str">
        <f>IF($AN135=FALSE,"",IFERROR((IF(NOT(T135="Unrestricted"),"",INDEX('Flat Rates'!$A$1:$M$3880,MATCH($AM135,'Flat Rates'!$A$1:$A$3880,0),MATCH("Uni/Day Rate",'Flat Rates'!$A$1:$M$1,0)))*100)+H135,""))</f>
        <v/>
      </c>
      <c r="AR135" s="148" t="str">
        <f>IF($AN135=FALSE,"",IFERROR((IF(T135="Unrestricted","",INDEX('Flat Rates'!$A$1:$M$3880,MATCH($AM135,'Flat Rates'!$A$1:$A$3880,0),MATCH("Uni/Day Rate",'Flat Rates'!$A$1:$M$1,0)))*100)+H135,""))</f>
        <v/>
      </c>
      <c r="AS135" s="148" t="str">
        <f>IF($AN135=FALSE,"",IFERROR(IF(INDEX('Flat Rates'!$A$1:$M$3880,MATCH($AM135,'Flat Rates'!$A$1:$A$3880,0),MATCH("Night Unit Rate",'Flat Rates'!$A$1:$M$1,0))=0,"",((INDEX('Flat Rates'!$A$1:$M$3880,MATCH($AM135,'Flat Rates'!$A$1:$A$3880,0),MATCH("Night Unit Rate",'Flat Rates'!$A$1:$M$1,0)))*100)+H135),""))</f>
        <v/>
      </c>
      <c r="AT135" s="148" t="str">
        <f>IF($AN135=FALSE,"",IFERROR(IF(INDEX('Flat Rates'!$A$1:$M$3880,MATCH($AM135,'Flat Rates'!$A$1:$A$3880,0),MATCH("Evening and Weekend Rate",'Flat Rates'!$A$1:$M$1,0))=0,"",((INDEX('Flat Rates'!$A$1:$M$3880,MATCH($AM135,'Flat Rates'!$A$1:$A$3880,0),MATCH("Evening and Weekend Rate",'Flat Rates'!$A$1:$M$1,0)))*100)+H135),""))</f>
        <v/>
      </c>
      <c r="AU135" s="152" t="str">
        <f t="shared" si="47"/>
        <v/>
      </c>
      <c r="AV135" s="152" t="str">
        <f t="shared" si="48"/>
        <v/>
      </c>
      <c r="AW135" s="152" t="str">
        <f t="shared" si="49"/>
        <v/>
      </c>
    </row>
    <row r="136" spans="2:49" ht="15" thickBot="1" x14ac:dyDescent="0.35">
      <c r="B136" s="138" t="str">
        <f t="shared" si="26"/>
        <v/>
      </c>
      <c r="C136" s="137"/>
      <c r="D136" s="139"/>
      <c r="E136" s="140"/>
      <c r="F136" s="140"/>
      <c r="G136" s="139"/>
      <c r="H136" s="151"/>
      <c r="I136" s="139"/>
      <c r="J136" s="137"/>
      <c r="K136" s="139"/>
      <c r="L136" s="141"/>
      <c r="M136" s="133" t="str">
        <f t="shared" si="27"/>
        <v/>
      </c>
      <c r="N136" s="133" t="str">
        <f t="shared" si="28"/>
        <v/>
      </c>
      <c r="O136" s="133" t="str">
        <f t="shared" si="29"/>
        <v/>
      </c>
      <c r="P136" s="133" t="str">
        <f t="shared" si="30"/>
        <v/>
      </c>
      <c r="Q136" s="133" t="str">
        <f t="shared" si="31"/>
        <v/>
      </c>
      <c r="R136" s="133" t="str">
        <f t="shared" si="32"/>
        <v/>
      </c>
      <c r="S136" s="133" t="str">
        <f t="shared" si="33"/>
        <v/>
      </c>
      <c r="T136" s="133" t="str">
        <f>IFERROR(IF($U136="ERROR","ERROR",IF($N136="00",IF(J136="1-Rate","HH 1RATE",IF(J136="2-Rate","HH 2RATE","")),IFERROR(VLOOKUP(CONCATENATE(N136,Q136,O136,P136),Lookups!$A$2:$E$4557,5,0),VLOOKUP(CONCATENATE(N136,Q136,O136),Lookups!$A$2:$E$4557,5,0)))),"ERROR")</f>
        <v>ERROR</v>
      </c>
      <c r="U136" s="133" t="str">
        <f>IFERROR(IF(NOT($N136="00"),"",VLOOKUP(CONCATENATE(Q136,P136,LOOKUP(2,1/(Lookups!$I$2:$I$11&lt;=E136)/(Lookups!$J$2:$J$11&gt;=Tool!$C$14),Lookups!$K$2:$K$11)),'HH LLFs'!$A$2:$K$500,3,0)),"ERROR")</f>
        <v/>
      </c>
      <c r="V136" s="132">
        <f>Calcs!$I$2</f>
        <v>44377</v>
      </c>
      <c r="W136" s="132">
        <f>Calcs!$I$4</f>
        <v>44592</v>
      </c>
      <c r="X136" s="153" t="str">
        <f>IF(NOT(N136="00"),"",(VLOOKUP(CONCATENATE(Q136,P136,LOOKUP(2,1/(Lookups!$I$2:$I$11&lt;=Multisite!E136)/(Lookups!$J$2:$J$11&gt;=E136),Lookups!$K$2:$K$11)),'HH LLFs'!$A$2:$F$282,6,0)*365)/12)</f>
        <v/>
      </c>
      <c r="Y136" s="153">
        <f t="shared" si="34"/>
        <v>0</v>
      </c>
      <c r="Z136" s="153" t="str">
        <f t="shared" si="43"/>
        <v/>
      </c>
      <c r="AA136" s="153" t="str">
        <f t="shared" si="35"/>
        <v/>
      </c>
      <c r="AB136" s="153" t="str">
        <f t="shared" si="44"/>
        <v/>
      </c>
      <c r="AC136" s="153" t="str">
        <f t="shared" si="36"/>
        <v/>
      </c>
      <c r="AD136" s="153" t="str">
        <f t="shared" si="37"/>
        <v/>
      </c>
      <c r="AE136" s="153" t="str">
        <f t="shared" si="38"/>
        <v/>
      </c>
      <c r="AF136" s="155" t="e">
        <f>LOOKUP(2,1/(Lookups!$I$2:$I$11&lt;=E136)/(Lookups!$J$2:$J$11&gt;=E136),Lookups!$L$2:$L$11)</f>
        <v>#N/A</v>
      </c>
      <c r="AG136" s="142" t="str">
        <f t="shared" si="39"/>
        <v/>
      </c>
      <c r="AH136" s="142" t="str">
        <f t="shared" si="40"/>
        <v/>
      </c>
      <c r="AI136" s="143" t="b">
        <f t="shared" si="45"/>
        <v>0</v>
      </c>
      <c r="AJ136" s="143" t="str">
        <f t="shared" si="41"/>
        <v>Level 1</v>
      </c>
      <c r="AK136" s="142">
        <f t="shared" si="42"/>
        <v>0</v>
      </c>
      <c r="AL136" s="157" t="str">
        <f t="shared" si="50"/>
        <v/>
      </c>
      <c r="AM136" s="144" t="str">
        <f t="shared" si="51"/>
        <v>--FALSE-0</v>
      </c>
      <c r="AN136" s="158" t="str">
        <f t="shared" si="46"/>
        <v/>
      </c>
      <c r="AO136" s="145"/>
      <c r="AP136" s="159" t="str">
        <f>IF($AN136=FALSE,"",IFERROR(INDEX('Flat Rates'!$A$1:$M$3880,MATCH($AM136,'Flat Rates'!$A$1:$A$3880,0),MATCH("Standing Charge",'Flat Rates'!$A$1:$M$1,0))*100,""))</f>
        <v/>
      </c>
      <c r="AQ136" s="148" t="str">
        <f>IF($AN136=FALSE,"",IFERROR((IF(NOT(T136="Unrestricted"),"",INDEX('Flat Rates'!$A$1:$M$3880,MATCH($AM136,'Flat Rates'!$A$1:$A$3880,0),MATCH("Uni/Day Rate",'Flat Rates'!$A$1:$M$1,0)))*100)+H136,""))</f>
        <v/>
      </c>
      <c r="AR136" s="148" t="str">
        <f>IF($AN136=FALSE,"",IFERROR((IF(T136="Unrestricted","",INDEX('Flat Rates'!$A$1:$M$3880,MATCH($AM136,'Flat Rates'!$A$1:$A$3880,0),MATCH("Uni/Day Rate",'Flat Rates'!$A$1:$M$1,0)))*100)+H136,""))</f>
        <v/>
      </c>
      <c r="AS136" s="148" t="str">
        <f>IF($AN136=FALSE,"",IFERROR(IF(INDEX('Flat Rates'!$A$1:$M$3880,MATCH($AM136,'Flat Rates'!$A$1:$A$3880,0),MATCH("Night Unit Rate",'Flat Rates'!$A$1:$M$1,0))=0,"",((INDEX('Flat Rates'!$A$1:$M$3880,MATCH($AM136,'Flat Rates'!$A$1:$A$3880,0),MATCH("Night Unit Rate",'Flat Rates'!$A$1:$M$1,0)))*100)+H136),""))</f>
        <v/>
      </c>
      <c r="AT136" s="148" t="str">
        <f>IF($AN136=FALSE,"",IFERROR(IF(INDEX('Flat Rates'!$A$1:$M$3880,MATCH($AM136,'Flat Rates'!$A$1:$A$3880,0),MATCH("Evening and Weekend Rate",'Flat Rates'!$A$1:$M$1,0))=0,"",((INDEX('Flat Rates'!$A$1:$M$3880,MATCH($AM136,'Flat Rates'!$A$1:$A$3880,0),MATCH("Evening and Weekend Rate",'Flat Rates'!$A$1:$M$1,0)))*100)+H136),""))</f>
        <v/>
      </c>
      <c r="AU136" s="152" t="str">
        <f t="shared" si="47"/>
        <v/>
      </c>
      <c r="AV136" s="152" t="str">
        <f t="shared" si="48"/>
        <v/>
      </c>
      <c r="AW136" s="152" t="str">
        <f t="shared" si="49"/>
        <v/>
      </c>
    </row>
    <row r="137" spans="2:49" ht="15" thickBot="1" x14ac:dyDescent="0.35">
      <c r="B137" s="138" t="str">
        <f t="shared" si="26"/>
        <v/>
      </c>
      <c r="C137" s="137"/>
      <c r="D137" s="139"/>
      <c r="E137" s="140"/>
      <c r="F137" s="140"/>
      <c r="G137" s="139"/>
      <c r="H137" s="151"/>
      <c r="I137" s="139"/>
      <c r="J137" s="138"/>
      <c r="K137" s="139"/>
      <c r="L137" s="141"/>
      <c r="M137" s="133" t="str">
        <f t="shared" si="27"/>
        <v/>
      </c>
      <c r="N137" s="133" t="str">
        <f t="shared" si="28"/>
        <v/>
      </c>
      <c r="O137" s="133" t="str">
        <f t="shared" si="29"/>
        <v/>
      </c>
      <c r="P137" s="133" t="str">
        <f t="shared" si="30"/>
        <v/>
      </c>
      <c r="Q137" s="133" t="str">
        <f t="shared" si="31"/>
        <v/>
      </c>
      <c r="R137" s="133" t="str">
        <f t="shared" si="32"/>
        <v/>
      </c>
      <c r="S137" s="133" t="str">
        <f t="shared" si="33"/>
        <v/>
      </c>
      <c r="T137" s="133" t="str">
        <f>IFERROR(IF($U137="ERROR","ERROR",IF($N137="00",IF(J137="1-Rate","HH 1RATE",IF(J137="2-Rate","HH 2RATE","")),IFERROR(VLOOKUP(CONCATENATE(N137,Q137,O137,P137),Lookups!$A$2:$E$4557,5,0),VLOOKUP(CONCATENATE(N137,Q137,O137),Lookups!$A$2:$E$4557,5,0)))),"ERROR")</f>
        <v>ERROR</v>
      </c>
      <c r="U137" s="133" t="str">
        <f>IFERROR(IF(NOT($N137="00"),"",VLOOKUP(CONCATENATE(Q137,P137,LOOKUP(2,1/(Lookups!$I$2:$I$11&lt;=E137)/(Lookups!$J$2:$J$11&gt;=Tool!$C$14),Lookups!$K$2:$K$11)),'HH LLFs'!$A$2:$K$500,3,0)),"ERROR")</f>
        <v/>
      </c>
      <c r="V137" s="132">
        <f>Calcs!$I$2</f>
        <v>44377</v>
      </c>
      <c r="W137" s="132">
        <f>Calcs!$I$4</f>
        <v>44592</v>
      </c>
      <c r="X137" s="153" t="str">
        <f>IF(NOT(N137="00"),"",(VLOOKUP(CONCATENATE(Q137,P137,LOOKUP(2,1/(Lookups!$I$2:$I$11&lt;=Multisite!E137)/(Lookups!$J$2:$J$11&gt;=E137),Lookups!$K$2:$K$11)),'HH LLFs'!$A$2:$F$282,6,0)*365)/12)</f>
        <v/>
      </c>
      <c r="Y137" s="153">
        <f t="shared" si="34"/>
        <v>0</v>
      </c>
      <c r="Z137" s="153" t="str">
        <f t="shared" si="43"/>
        <v/>
      </c>
      <c r="AA137" s="153" t="str">
        <f t="shared" si="35"/>
        <v/>
      </c>
      <c r="AB137" s="153" t="str">
        <f t="shared" si="44"/>
        <v/>
      </c>
      <c r="AC137" s="153" t="str">
        <f t="shared" si="36"/>
        <v/>
      </c>
      <c r="AD137" s="153" t="str">
        <f t="shared" si="37"/>
        <v/>
      </c>
      <c r="AE137" s="153" t="str">
        <f t="shared" si="38"/>
        <v/>
      </c>
      <c r="AF137" s="155" t="e">
        <f>LOOKUP(2,1/(Lookups!$I$2:$I$11&lt;=E137)/(Lookups!$J$2:$J$11&gt;=E137),Lookups!$L$2:$L$11)</f>
        <v>#N/A</v>
      </c>
      <c r="AG137" s="142" t="str">
        <f t="shared" si="39"/>
        <v/>
      </c>
      <c r="AH137" s="142" t="str">
        <f t="shared" si="40"/>
        <v/>
      </c>
      <c r="AI137" s="143" t="b">
        <f t="shared" si="45"/>
        <v>0</v>
      </c>
      <c r="AJ137" s="143" t="str">
        <f t="shared" si="41"/>
        <v>Level 1</v>
      </c>
      <c r="AK137" s="142">
        <f t="shared" si="42"/>
        <v>0</v>
      </c>
      <c r="AL137" s="157" t="str">
        <f t="shared" si="50"/>
        <v/>
      </c>
      <c r="AM137" s="144" t="str">
        <f t="shared" si="51"/>
        <v>--FALSE-0</v>
      </c>
      <c r="AN137" s="158" t="str">
        <f t="shared" si="46"/>
        <v/>
      </c>
      <c r="AO137" s="145"/>
      <c r="AP137" s="159" t="str">
        <f>IF($AN137=FALSE,"",IFERROR(INDEX('Flat Rates'!$A$1:$M$3880,MATCH($AM137,'Flat Rates'!$A$1:$A$3880,0),MATCH("Standing Charge",'Flat Rates'!$A$1:$M$1,0))*100,""))</f>
        <v/>
      </c>
      <c r="AQ137" s="148" t="str">
        <f>IF($AN137=FALSE,"",IFERROR((IF(NOT(T137="Unrestricted"),"",INDEX('Flat Rates'!$A$1:$M$3880,MATCH($AM137,'Flat Rates'!$A$1:$A$3880,0),MATCH("Uni/Day Rate",'Flat Rates'!$A$1:$M$1,0)))*100)+H137,""))</f>
        <v/>
      </c>
      <c r="AR137" s="148" t="str">
        <f>IF($AN137=FALSE,"",IFERROR((IF(T137="Unrestricted","",INDEX('Flat Rates'!$A$1:$M$3880,MATCH($AM137,'Flat Rates'!$A$1:$A$3880,0),MATCH("Uni/Day Rate",'Flat Rates'!$A$1:$M$1,0)))*100)+H137,""))</f>
        <v/>
      </c>
      <c r="AS137" s="148" t="str">
        <f>IF($AN137=FALSE,"",IFERROR(IF(INDEX('Flat Rates'!$A$1:$M$3880,MATCH($AM137,'Flat Rates'!$A$1:$A$3880,0),MATCH("Night Unit Rate",'Flat Rates'!$A$1:$M$1,0))=0,"",((INDEX('Flat Rates'!$A$1:$M$3880,MATCH($AM137,'Flat Rates'!$A$1:$A$3880,0),MATCH("Night Unit Rate",'Flat Rates'!$A$1:$M$1,0)))*100)+H137),""))</f>
        <v/>
      </c>
      <c r="AT137" s="148" t="str">
        <f>IF($AN137=FALSE,"",IFERROR(IF(INDEX('Flat Rates'!$A$1:$M$3880,MATCH($AM137,'Flat Rates'!$A$1:$A$3880,0),MATCH("Evening and Weekend Rate",'Flat Rates'!$A$1:$M$1,0))=0,"",((INDEX('Flat Rates'!$A$1:$M$3880,MATCH($AM137,'Flat Rates'!$A$1:$A$3880,0),MATCH("Evening and Weekend Rate",'Flat Rates'!$A$1:$M$1,0)))*100)+H137),""))</f>
        <v/>
      </c>
      <c r="AU137" s="152" t="str">
        <f t="shared" si="47"/>
        <v/>
      </c>
      <c r="AV137" s="152" t="str">
        <f t="shared" si="48"/>
        <v/>
      </c>
      <c r="AW137" s="152" t="str">
        <f t="shared" si="49"/>
        <v/>
      </c>
    </row>
    <row r="138" spans="2:49" ht="15" thickBot="1" x14ac:dyDescent="0.35">
      <c r="B138" s="138" t="str">
        <f t="shared" si="26"/>
        <v/>
      </c>
      <c r="C138" s="137"/>
      <c r="D138" s="139"/>
      <c r="E138" s="140"/>
      <c r="F138" s="140"/>
      <c r="G138" s="139"/>
      <c r="H138" s="151"/>
      <c r="I138" s="139"/>
      <c r="J138" s="137"/>
      <c r="K138" s="139"/>
      <c r="L138" s="141"/>
      <c r="M138" s="133" t="str">
        <f t="shared" si="27"/>
        <v/>
      </c>
      <c r="N138" s="133" t="str">
        <f t="shared" si="28"/>
        <v/>
      </c>
      <c r="O138" s="133" t="str">
        <f t="shared" si="29"/>
        <v/>
      </c>
      <c r="P138" s="133" t="str">
        <f t="shared" si="30"/>
        <v/>
      </c>
      <c r="Q138" s="133" t="str">
        <f t="shared" si="31"/>
        <v/>
      </c>
      <c r="R138" s="133" t="str">
        <f t="shared" si="32"/>
        <v/>
      </c>
      <c r="S138" s="133" t="str">
        <f t="shared" si="33"/>
        <v/>
      </c>
      <c r="T138" s="133" t="str">
        <f>IFERROR(IF($U138="ERROR","ERROR",IF($N138="00",IF(J138="1-Rate","HH 1RATE",IF(J138="2-Rate","HH 2RATE","")),IFERROR(VLOOKUP(CONCATENATE(N138,Q138,O138,P138),Lookups!$A$2:$E$4557,5,0),VLOOKUP(CONCATENATE(N138,Q138,O138),Lookups!$A$2:$E$4557,5,0)))),"ERROR")</f>
        <v>ERROR</v>
      </c>
      <c r="U138" s="133" t="str">
        <f>IFERROR(IF(NOT($N138="00"),"",VLOOKUP(CONCATENATE(Q138,P138,LOOKUP(2,1/(Lookups!$I$2:$I$11&lt;=E138)/(Lookups!$J$2:$J$11&gt;=Tool!$C$14),Lookups!$K$2:$K$11)),'HH LLFs'!$A$2:$K$500,3,0)),"ERROR")</f>
        <v/>
      </c>
      <c r="V138" s="132">
        <f>Calcs!$I$2</f>
        <v>44377</v>
      </c>
      <c r="W138" s="132">
        <f>Calcs!$I$4</f>
        <v>44592</v>
      </c>
      <c r="X138" s="153" t="str">
        <f>IF(NOT(N138="00"),"",(VLOOKUP(CONCATENATE(Q138,P138,LOOKUP(2,1/(Lookups!$I$2:$I$11&lt;=Multisite!E138)/(Lookups!$J$2:$J$11&gt;=E138),Lookups!$K$2:$K$11)),'HH LLFs'!$A$2:$F$282,6,0)*365)/12)</f>
        <v/>
      </c>
      <c r="Y138" s="153">
        <f t="shared" si="34"/>
        <v>0</v>
      </c>
      <c r="Z138" s="153" t="str">
        <f t="shared" si="43"/>
        <v/>
      </c>
      <c r="AA138" s="153" t="str">
        <f t="shared" si="35"/>
        <v/>
      </c>
      <c r="AB138" s="153" t="str">
        <f t="shared" si="44"/>
        <v/>
      </c>
      <c r="AC138" s="153" t="str">
        <f t="shared" si="36"/>
        <v/>
      </c>
      <c r="AD138" s="153" t="str">
        <f t="shared" si="37"/>
        <v/>
      </c>
      <c r="AE138" s="153" t="str">
        <f t="shared" si="38"/>
        <v/>
      </c>
      <c r="AF138" s="155" t="e">
        <f>LOOKUP(2,1/(Lookups!$I$2:$I$11&lt;=E138)/(Lookups!$J$2:$J$11&gt;=E138),Lookups!$L$2:$L$11)</f>
        <v>#N/A</v>
      </c>
      <c r="AG138" s="142" t="str">
        <f t="shared" si="39"/>
        <v/>
      </c>
      <c r="AH138" s="142" t="str">
        <f t="shared" si="40"/>
        <v/>
      </c>
      <c r="AI138" s="143" t="b">
        <f t="shared" si="45"/>
        <v>0</v>
      </c>
      <c r="AJ138" s="143" t="str">
        <f t="shared" si="41"/>
        <v>Level 1</v>
      </c>
      <c r="AK138" s="142">
        <f t="shared" si="42"/>
        <v>0</v>
      </c>
      <c r="AL138" s="157" t="str">
        <f t="shared" si="50"/>
        <v/>
      </c>
      <c r="AM138" s="144" t="str">
        <f t="shared" si="51"/>
        <v>--FALSE-0</v>
      </c>
      <c r="AN138" s="158" t="str">
        <f t="shared" si="46"/>
        <v/>
      </c>
      <c r="AO138" s="145"/>
      <c r="AP138" s="159" t="str">
        <f>IF($AN138=FALSE,"",IFERROR(INDEX('Flat Rates'!$A$1:$M$3880,MATCH($AM138,'Flat Rates'!$A$1:$A$3880,0),MATCH("Standing Charge",'Flat Rates'!$A$1:$M$1,0))*100,""))</f>
        <v/>
      </c>
      <c r="AQ138" s="148" t="str">
        <f>IF($AN138=FALSE,"",IFERROR((IF(NOT(T138="Unrestricted"),"",INDEX('Flat Rates'!$A$1:$M$3880,MATCH($AM138,'Flat Rates'!$A$1:$A$3880,0),MATCH("Uni/Day Rate",'Flat Rates'!$A$1:$M$1,0)))*100)+H138,""))</f>
        <v/>
      </c>
      <c r="AR138" s="148" t="str">
        <f>IF($AN138=FALSE,"",IFERROR((IF(T138="Unrestricted","",INDEX('Flat Rates'!$A$1:$M$3880,MATCH($AM138,'Flat Rates'!$A$1:$A$3880,0),MATCH("Uni/Day Rate",'Flat Rates'!$A$1:$M$1,0)))*100)+H138,""))</f>
        <v/>
      </c>
      <c r="AS138" s="148" t="str">
        <f>IF($AN138=FALSE,"",IFERROR(IF(INDEX('Flat Rates'!$A$1:$M$3880,MATCH($AM138,'Flat Rates'!$A$1:$A$3880,0),MATCH("Night Unit Rate",'Flat Rates'!$A$1:$M$1,0))=0,"",((INDEX('Flat Rates'!$A$1:$M$3880,MATCH($AM138,'Flat Rates'!$A$1:$A$3880,0),MATCH("Night Unit Rate",'Flat Rates'!$A$1:$M$1,0)))*100)+H138),""))</f>
        <v/>
      </c>
      <c r="AT138" s="148" t="str">
        <f>IF($AN138=FALSE,"",IFERROR(IF(INDEX('Flat Rates'!$A$1:$M$3880,MATCH($AM138,'Flat Rates'!$A$1:$A$3880,0),MATCH("Evening and Weekend Rate",'Flat Rates'!$A$1:$M$1,0))=0,"",((INDEX('Flat Rates'!$A$1:$M$3880,MATCH($AM138,'Flat Rates'!$A$1:$A$3880,0),MATCH("Evening and Weekend Rate",'Flat Rates'!$A$1:$M$1,0)))*100)+H138),""))</f>
        <v/>
      </c>
      <c r="AU138" s="152" t="str">
        <f t="shared" si="47"/>
        <v/>
      </c>
      <c r="AV138" s="152" t="str">
        <f t="shared" si="48"/>
        <v/>
      </c>
      <c r="AW138" s="152" t="str">
        <f t="shared" si="49"/>
        <v/>
      </c>
    </row>
    <row r="139" spans="2:49" ht="15" thickBot="1" x14ac:dyDescent="0.35">
      <c r="B139" s="138" t="str">
        <f t="shared" si="26"/>
        <v/>
      </c>
      <c r="C139" s="137"/>
      <c r="D139" s="139"/>
      <c r="E139" s="140"/>
      <c r="F139" s="140"/>
      <c r="G139" s="139"/>
      <c r="H139" s="151"/>
      <c r="I139" s="139"/>
      <c r="J139" s="138"/>
      <c r="K139" s="139"/>
      <c r="L139" s="141"/>
      <c r="M139" s="133" t="str">
        <f t="shared" si="27"/>
        <v/>
      </c>
      <c r="N139" s="133" t="str">
        <f t="shared" si="28"/>
        <v/>
      </c>
      <c r="O139" s="133" t="str">
        <f t="shared" si="29"/>
        <v/>
      </c>
      <c r="P139" s="133" t="str">
        <f t="shared" si="30"/>
        <v/>
      </c>
      <c r="Q139" s="133" t="str">
        <f t="shared" si="31"/>
        <v/>
      </c>
      <c r="R139" s="133" t="str">
        <f t="shared" si="32"/>
        <v/>
      </c>
      <c r="S139" s="133" t="str">
        <f t="shared" si="33"/>
        <v/>
      </c>
      <c r="T139" s="133" t="str">
        <f>IFERROR(IF($U139="ERROR","ERROR",IF($N139="00",IF(J139="1-Rate","HH 1RATE",IF(J139="2-Rate","HH 2RATE","")),IFERROR(VLOOKUP(CONCATENATE(N139,Q139,O139,P139),Lookups!$A$2:$E$4557,5,0),VLOOKUP(CONCATENATE(N139,Q139,O139),Lookups!$A$2:$E$4557,5,0)))),"ERROR")</f>
        <v>ERROR</v>
      </c>
      <c r="U139" s="133" t="str">
        <f>IFERROR(IF(NOT($N139="00"),"",VLOOKUP(CONCATENATE(Q139,P139,LOOKUP(2,1/(Lookups!$I$2:$I$11&lt;=E139)/(Lookups!$J$2:$J$11&gt;=Tool!$C$14),Lookups!$K$2:$K$11)),'HH LLFs'!$A$2:$K$500,3,0)),"ERROR")</f>
        <v/>
      </c>
      <c r="V139" s="132">
        <f>Calcs!$I$2</f>
        <v>44377</v>
      </c>
      <c r="W139" s="132">
        <f>Calcs!$I$4</f>
        <v>44592</v>
      </c>
      <c r="X139" s="153" t="str">
        <f>IF(NOT(N139="00"),"",(VLOOKUP(CONCATENATE(Q139,P139,LOOKUP(2,1/(Lookups!$I$2:$I$11&lt;=Multisite!E139)/(Lookups!$J$2:$J$11&gt;=E139),Lookups!$K$2:$K$11)),'HH LLFs'!$A$2:$F$282,6,0)*365)/12)</f>
        <v/>
      </c>
      <c r="Y139" s="153">
        <f t="shared" si="34"/>
        <v>0</v>
      </c>
      <c r="Z139" s="153" t="str">
        <f t="shared" si="43"/>
        <v/>
      </c>
      <c r="AA139" s="153" t="str">
        <f t="shared" si="35"/>
        <v/>
      </c>
      <c r="AB139" s="153" t="str">
        <f t="shared" si="44"/>
        <v/>
      </c>
      <c r="AC139" s="153" t="str">
        <f t="shared" si="36"/>
        <v/>
      </c>
      <c r="AD139" s="153" t="str">
        <f t="shared" si="37"/>
        <v/>
      </c>
      <c r="AE139" s="153" t="str">
        <f t="shared" si="38"/>
        <v/>
      </c>
      <c r="AF139" s="155" t="e">
        <f>LOOKUP(2,1/(Lookups!$I$2:$I$11&lt;=E139)/(Lookups!$J$2:$J$11&gt;=E139),Lookups!$L$2:$L$11)</f>
        <v>#N/A</v>
      </c>
      <c r="AG139" s="142" t="str">
        <f t="shared" si="39"/>
        <v/>
      </c>
      <c r="AH139" s="142" t="str">
        <f t="shared" si="40"/>
        <v/>
      </c>
      <c r="AI139" s="143" t="b">
        <f t="shared" si="45"/>
        <v>0</v>
      </c>
      <c r="AJ139" s="143" t="str">
        <f t="shared" si="41"/>
        <v>Level 1</v>
      </c>
      <c r="AK139" s="142">
        <f t="shared" si="42"/>
        <v>0</v>
      </c>
      <c r="AL139" s="157" t="str">
        <f t="shared" si="50"/>
        <v/>
      </c>
      <c r="AM139" s="144" t="str">
        <f t="shared" si="51"/>
        <v>--FALSE-0</v>
      </c>
      <c r="AN139" s="158" t="str">
        <f t="shared" si="46"/>
        <v/>
      </c>
      <c r="AO139" s="145"/>
      <c r="AP139" s="159" t="str">
        <f>IF($AN139=FALSE,"",IFERROR(INDEX('Flat Rates'!$A$1:$M$3880,MATCH($AM139,'Flat Rates'!$A$1:$A$3880,0),MATCH("Standing Charge",'Flat Rates'!$A$1:$M$1,0))*100,""))</f>
        <v/>
      </c>
      <c r="AQ139" s="148" t="str">
        <f>IF($AN139=FALSE,"",IFERROR((IF(NOT(T139="Unrestricted"),"",INDEX('Flat Rates'!$A$1:$M$3880,MATCH($AM139,'Flat Rates'!$A$1:$A$3880,0),MATCH("Uni/Day Rate",'Flat Rates'!$A$1:$M$1,0)))*100)+H139,""))</f>
        <v/>
      </c>
      <c r="AR139" s="148" t="str">
        <f>IF($AN139=FALSE,"",IFERROR((IF(T139="Unrestricted","",INDEX('Flat Rates'!$A$1:$M$3880,MATCH($AM139,'Flat Rates'!$A$1:$A$3880,0),MATCH("Uni/Day Rate",'Flat Rates'!$A$1:$M$1,0)))*100)+H139,""))</f>
        <v/>
      </c>
      <c r="AS139" s="148" t="str">
        <f>IF($AN139=FALSE,"",IFERROR(IF(INDEX('Flat Rates'!$A$1:$M$3880,MATCH($AM139,'Flat Rates'!$A$1:$A$3880,0),MATCH("Night Unit Rate",'Flat Rates'!$A$1:$M$1,0))=0,"",((INDEX('Flat Rates'!$A$1:$M$3880,MATCH($AM139,'Flat Rates'!$A$1:$A$3880,0),MATCH("Night Unit Rate",'Flat Rates'!$A$1:$M$1,0)))*100)+H139),""))</f>
        <v/>
      </c>
      <c r="AT139" s="148" t="str">
        <f>IF($AN139=FALSE,"",IFERROR(IF(INDEX('Flat Rates'!$A$1:$M$3880,MATCH($AM139,'Flat Rates'!$A$1:$A$3880,0),MATCH("Evening and Weekend Rate",'Flat Rates'!$A$1:$M$1,0))=0,"",((INDEX('Flat Rates'!$A$1:$M$3880,MATCH($AM139,'Flat Rates'!$A$1:$A$3880,0),MATCH("Evening and Weekend Rate",'Flat Rates'!$A$1:$M$1,0)))*100)+H139),""))</f>
        <v/>
      </c>
      <c r="AU139" s="152" t="str">
        <f t="shared" si="47"/>
        <v/>
      </c>
      <c r="AV139" s="152" t="str">
        <f t="shared" si="48"/>
        <v/>
      </c>
      <c r="AW139" s="152" t="str">
        <f t="shared" si="49"/>
        <v/>
      </c>
    </row>
    <row r="140" spans="2:49" ht="15" thickBot="1" x14ac:dyDescent="0.35">
      <c r="B140" s="138" t="str">
        <f t="shared" si="26"/>
        <v/>
      </c>
      <c r="C140" s="137"/>
      <c r="D140" s="139"/>
      <c r="E140" s="140"/>
      <c r="F140" s="140"/>
      <c r="G140" s="139"/>
      <c r="H140" s="151"/>
      <c r="I140" s="139"/>
      <c r="J140" s="137"/>
      <c r="K140" s="139"/>
      <c r="L140" s="141"/>
      <c r="M140" s="133" t="str">
        <f t="shared" si="27"/>
        <v/>
      </c>
      <c r="N140" s="133" t="str">
        <f t="shared" si="28"/>
        <v/>
      </c>
      <c r="O140" s="133" t="str">
        <f t="shared" si="29"/>
        <v/>
      </c>
      <c r="P140" s="133" t="str">
        <f t="shared" si="30"/>
        <v/>
      </c>
      <c r="Q140" s="133" t="str">
        <f t="shared" si="31"/>
        <v/>
      </c>
      <c r="R140" s="133" t="str">
        <f t="shared" si="32"/>
        <v/>
      </c>
      <c r="S140" s="133" t="str">
        <f t="shared" si="33"/>
        <v/>
      </c>
      <c r="T140" s="133" t="str">
        <f>IFERROR(IF($U140="ERROR","ERROR",IF($N140="00",IF(J140="1-Rate","HH 1RATE",IF(J140="2-Rate","HH 2RATE","")),IFERROR(VLOOKUP(CONCATENATE(N140,Q140,O140,P140),Lookups!$A$2:$E$4557,5,0),VLOOKUP(CONCATENATE(N140,Q140,O140),Lookups!$A$2:$E$4557,5,0)))),"ERROR")</f>
        <v>ERROR</v>
      </c>
      <c r="U140" s="133" t="str">
        <f>IFERROR(IF(NOT($N140="00"),"",VLOOKUP(CONCATENATE(Q140,P140,LOOKUP(2,1/(Lookups!$I$2:$I$11&lt;=E140)/(Lookups!$J$2:$J$11&gt;=Tool!$C$14),Lookups!$K$2:$K$11)),'HH LLFs'!$A$2:$K$500,3,0)),"ERROR")</f>
        <v/>
      </c>
      <c r="V140" s="132">
        <f>Calcs!$I$2</f>
        <v>44377</v>
      </c>
      <c r="W140" s="132">
        <f>Calcs!$I$4</f>
        <v>44592</v>
      </c>
      <c r="X140" s="153" t="str">
        <f>IF(NOT(N140="00"),"",(VLOOKUP(CONCATENATE(Q140,P140,LOOKUP(2,1/(Lookups!$I$2:$I$11&lt;=Multisite!E140)/(Lookups!$J$2:$J$11&gt;=E140),Lookups!$K$2:$K$11)),'HH LLFs'!$A$2:$F$282,6,0)*365)/12)</f>
        <v/>
      </c>
      <c r="Y140" s="153">
        <f t="shared" si="34"/>
        <v>0</v>
      </c>
      <c r="Z140" s="153" t="str">
        <f t="shared" si="43"/>
        <v/>
      </c>
      <c r="AA140" s="153" t="str">
        <f t="shared" si="35"/>
        <v/>
      </c>
      <c r="AB140" s="153" t="str">
        <f t="shared" si="44"/>
        <v/>
      </c>
      <c r="AC140" s="153" t="str">
        <f t="shared" si="36"/>
        <v/>
      </c>
      <c r="AD140" s="153" t="str">
        <f t="shared" si="37"/>
        <v/>
      </c>
      <c r="AE140" s="153" t="str">
        <f t="shared" si="38"/>
        <v/>
      </c>
      <c r="AF140" s="155" t="e">
        <f>LOOKUP(2,1/(Lookups!$I$2:$I$11&lt;=E140)/(Lookups!$J$2:$J$11&gt;=E140),Lookups!$L$2:$L$11)</f>
        <v>#N/A</v>
      </c>
      <c r="AG140" s="142" t="str">
        <f t="shared" si="39"/>
        <v/>
      </c>
      <c r="AH140" s="142" t="str">
        <f t="shared" si="40"/>
        <v/>
      </c>
      <c r="AI140" s="143" t="b">
        <f t="shared" si="45"/>
        <v>0</v>
      </c>
      <c r="AJ140" s="143" t="str">
        <f t="shared" si="41"/>
        <v>Level 1</v>
      </c>
      <c r="AK140" s="142">
        <f t="shared" si="42"/>
        <v>0</v>
      </c>
      <c r="AL140" s="157" t="str">
        <f t="shared" si="50"/>
        <v/>
      </c>
      <c r="AM140" s="144" t="str">
        <f t="shared" si="51"/>
        <v>--FALSE-0</v>
      </c>
      <c r="AN140" s="158" t="str">
        <f t="shared" si="46"/>
        <v/>
      </c>
      <c r="AO140" s="145"/>
      <c r="AP140" s="159" t="str">
        <f>IF($AN140=FALSE,"",IFERROR(INDEX('Flat Rates'!$A$1:$M$3880,MATCH($AM140,'Flat Rates'!$A$1:$A$3880,0),MATCH("Standing Charge",'Flat Rates'!$A$1:$M$1,0))*100,""))</f>
        <v/>
      </c>
      <c r="AQ140" s="148" t="str">
        <f>IF($AN140=FALSE,"",IFERROR((IF(NOT(T140="Unrestricted"),"",INDEX('Flat Rates'!$A$1:$M$3880,MATCH($AM140,'Flat Rates'!$A$1:$A$3880,0),MATCH("Uni/Day Rate",'Flat Rates'!$A$1:$M$1,0)))*100)+H140,""))</f>
        <v/>
      </c>
      <c r="AR140" s="148" t="str">
        <f>IF($AN140=FALSE,"",IFERROR((IF(T140="Unrestricted","",INDEX('Flat Rates'!$A$1:$M$3880,MATCH($AM140,'Flat Rates'!$A$1:$A$3880,0),MATCH("Uni/Day Rate",'Flat Rates'!$A$1:$M$1,0)))*100)+H140,""))</f>
        <v/>
      </c>
      <c r="AS140" s="148" t="str">
        <f>IF($AN140=FALSE,"",IFERROR(IF(INDEX('Flat Rates'!$A$1:$M$3880,MATCH($AM140,'Flat Rates'!$A$1:$A$3880,0),MATCH("Night Unit Rate",'Flat Rates'!$A$1:$M$1,0))=0,"",((INDEX('Flat Rates'!$A$1:$M$3880,MATCH($AM140,'Flat Rates'!$A$1:$A$3880,0),MATCH("Night Unit Rate",'Flat Rates'!$A$1:$M$1,0)))*100)+H140),""))</f>
        <v/>
      </c>
      <c r="AT140" s="148" t="str">
        <f>IF($AN140=FALSE,"",IFERROR(IF(INDEX('Flat Rates'!$A$1:$M$3880,MATCH($AM140,'Flat Rates'!$A$1:$A$3880,0),MATCH("Evening and Weekend Rate",'Flat Rates'!$A$1:$M$1,0))=0,"",((INDEX('Flat Rates'!$A$1:$M$3880,MATCH($AM140,'Flat Rates'!$A$1:$A$3880,0),MATCH("Evening and Weekend Rate",'Flat Rates'!$A$1:$M$1,0)))*100)+H140),""))</f>
        <v/>
      </c>
      <c r="AU140" s="152" t="str">
        <f t="shared" si="47"/>
        <v/>
      </c>
      <c r="AV140" s="152" t="str">
        <f t="shared" si="48"/>
        <v/>
      </c>
      <c r="AW140" s="152" t="str">
        <f t="shared" si="49"/>
        <v/>
      </c>
    </row>
    <row r="141" spans="2:49" ht="15" thickBot="1" x14ac:dyDescent="0.35">
      <c r="B141" s="138" t="str">
        <f t="shared" si="26"/>
        <v/>
      </c>
      <c r="C141" s="137"/>
      <c r="D141" s="139"/>
      <c r="E141" s="140"/>
      <c r="F141" s="140"/>
      <c r="G141" s="139"/>
      <c r="H141" s="151"/>
      <c r="I141" s="139"/>
      <c r="J141" s="138"/>
      <c r="K141" s="139"/>
      <c r="L141" s="141"/>
      <c r="M141" s="133" t="str">
        <f t="shared" si="27"/>
        <v/>
      </c>
      <c r="N141" s="133" t="str">
        <f t="shared" si="28"/>
        <v/>
      </c>
      <c r="O141" s="133" t="str">
        <f t="shared" si="29"/>
        <v/>
      </c>
      <c r="P141" s="133" t="str">
        <f t="shared" si="30"/>
        <v/>
      </c>
      <c r="Q141" s="133" t="str">
        <f t="shared" si="31"/>
        <v/>
      </c>
      <c r="R141" s="133" t="str">
        <f t="shared" si="32"/>
        <v/>
      </c>
      <c r="S141" s="133" t="str">
        <f t="shared" si="33"/>
        <v/>
      </c>
      <c r="T141" s="133" t="str">
        <f>IFERROR(IF($U141="ERROR","ERROR",IF($N141="00",IF(J141="1-Rate","HH 1RATE",IF(J141="2-Rate","HH 2RATE","")),IFERROR(VLOOKUP(CONCATENATE(N141,Q141,O141,P141),Lookups!$A$2:$E$4557,5,0),VLOOKUP(CONCATENATE(N141,Q141,O141),Lookups!$A$2:$E$4557,5,0)))),"ERROR")</f>
        <v>ERROR</v>
      </c>
      <c r="U141" s="133" t="str">
        <f>IFERROR(IF(NOT($N141="00"),"",VLOOKUP(CONCATENATE(Q141,P141,LOOKUP(2,1/(Lookups!$I$2:$I$11&lt;=E141)/(Lookups!$J$2:$J$11&gt;=Tool!$C$14),Lookups!$K$2:$K$11)),'HH LLFs'!$A$2:$K$500,3,0)),"ERROR")</f>
        <v/>
      </c>
      <c r="V141" s="132">
        <f>Calcs!$I$2</f>
        <v>44377</v>
      </c>
      <c r="W141" s="132">
        <f>Calcs!$I$4</f>
        <v>44592</v>
      </c>
      <c r="X141" s="153" t="str">
        <f>IF(NOT(N141="00"),"",(VLOOKUP(CONCATENATE(Q141,P141,LOOKUP(2,1/(Lookups!$I$2:$I$11&lt;=Multisite!E141)/(Lookups!$J$2:$J$11&gt;=E141),Lookups!$K$2:$K$11)),'HH LLFs'!$A$2:$F$282,6,0)*365)/12)</f>
        <v/>
      </c>
      <c r="Y141" s="153">
        <f t="shared" si="34"/>
        <v>0</v>
      </c>
      <c r="Z141" s="153" t="str">
        <f t="shared" si="43"/>
        <v/>
      </c>
      <c r="AA141" s="153" t="str">
        <f t="shared" si="35"/>
        <v/>
      </c>
      <c r="AB141" s="153" t="str">
        <f t="shared" si="44"/>
        <v/>
      </c>
      <c r="AC141" s="153" t="str">
        <f t="shared" si="36"/>
        <v/>
      </c>
      <c r="AD141" s="153" t="str">
        <f t="shared" si="37"/>
        <v/>
      </c>
      <c r="AE141" s="153" t="str">
        <f t="shared" si="38"/>
        <v/>
      </c>
      <c r="AF141" s="155" t="e">
        <f>LOOKUP(2,1/(Lookups!$I$2:$I$11&lt;=E141)/(Lookups!$J$2:$J$11&gt;=E141),Lookups!$L$2:$L$11)</f>
        <v>#N/A</v>
      </c>
      <c r="AG141" s="142" t="str">
        <f t="shared" si="39"/>
        <v/>
      </c>
      <c r="AH141" s="142" t="str">
        <f t="shared" si="40"/>
        <v/>
      </c>
      <c r="AI141" s="143" t="b">
        <f t="shared" si="45"/>
        <v>0</v>
      </c>
      <c r="AJ141" s="143" t="str">
        <f t="shared" si="41"/>
        <v>Level 1</v>
      </c>
      <c r="AK141" s="142">
        <f t="shared" si="42"/>
        <v>0</v>
      </c>
      <c r="AL141" s="157" t="str">
        <f t="shared" si="50"/>
        <v/>
      </c>
      <c r="AM141" s="144" t="str">
        <f t="shared" si="51"/>
        <v>--FALSE-0</v>
      </c>
      <c r="AN141" s="158" t="str">
        <f t="shared" si="46"/>
        <v/>
      </c>
      <c r="AO141" s="145"/>
      <c r="AP141" s="159" t="str">
        <f>IF($AN141=FALSE,"",IFERROR(INDEX('Flat Rates'!$A$1:$M$3880,MATCH($AM141,'Flat Rates'!$A$1:$A$3880,0),MATCH("Standing Charge",'Flat Rates'!$A$1:$M$1,0))*100,""))</f>
        <v/>
      </c>
      <c r="AQ141" s="148" t="str">
        <f>IF($AN141=FALSE,"",IFERROR((IF(NOT(T141="Unrestricted"),"",INDEX('Flat Rates'!$A$1:$M$3880,MATCH($AM141,'Flat Rates'!$A$1:$A$3880,0),MATCH("Uni/Day Rate",'Flat Rates'!$A$1:$M$1,0)))*100)+H141,""))</f>
        <v/>
      </c>
      <c r="AR141" s="148" t="str">
        <f>IF($AN141=FALSE,"",IFERROR((IF(T141="Unrestricted","",INDEX('Flat Rates'!$A$1:$M$3880,MATCH($AM141,'Flat Rates'!$A$1:$A$3880,0),MATCH("Uni/Day Rate",'Flat Rates'!$A$1:$M$1,0)))*100)+H141,""))</f>
        <v/>
      </c>
      <c r="AS141" s="148" t="str">
        <f>IF($AN141=FALSE,"",IFERROR(IF(INDEX('Flat Rates'!$A$1:$M$3880,MATCH($AM141,'Flat Rates'!$A$1:$A$3880,0),MATCH("Night Unit Rate",'Flat Rates'!$A$1:$M$1,0))=0,"",((INDEX('Flat Rates'!$A$1:$M$3880,MATCH($AM141,'Flat Rates'!$A$1:$A$3880,0),MATCH("Night Unit Rate",'Flat Rates'!$A$1:$M$1,0)))*100)+H141),""))</f>
        <v/>
      </c>
      <c r="AT141" s="148" t="str">
        <f>IF($AN141=FALSE,"",IFERROR(IF(INDEX('Flat Rates'!$A$1:$M$3880,MATCH($AM141,'Flat Rates'!$A$1:$A$3880,0),MATCH("Evening and Weekend Rate",'Flat Rates'!$A$1:$M$1,0))=0,"",((INDEX('Flat Rates'!$A$1:$M$3880,MATCH($AM141,'Flat Rates'!$A$1:$A$3880,0),MATCH("Evening and Weekend Rate",'Flat Rates'!$A$1:$M$1,0)))*100)+H141),""))</f>
        <v/>
      </c>
      <c r="AU141" s="152" t="str">
        <f t="shared" si="47"/>
        <v/>
      </c>
      <c r="AV141" s="152" t="str">
        <f t="shared" si="48"/>
        <v/>
      </c>
      <c r="AW141" s="152" t="str">
        <f t="shared" si="49"/>
        <v/>
      </c>
    </row>
    <row r="142" spans="2:49" ht="15" thickBot="1" x14ac:dyDescent="0.35">
      <c r="B142" s="138" t="str">
        <f t="shared" si="26"/>
        <v/>
      </c>
      <c r="C142" s="137"/>
      <c r="D142" s="139"/>
      <c r="E142" s="140"/>
      <c r="F142" s="140"/>
      <c r="G142" s="139"/>
      <c r="H142" s="151"/>
      <c r="I142" s="139"/>
      <c r="J142" s="137"/>
      <c r="K142" s="139"/>
      <c r="L142" s="141"/>
      <c r="M142" s="133" t="str">
        <f t="shared" si="27"/>
        <v/>
      </c>
      <c r="N142" s="133" t="str">
        <f t="shared" si="28"/>
        <v/>
      </c>
      <c r="O142" s="133" t="str">
        <f t="shared" si="29"/>
        <v/>
      </c>
      <c r="P142" s="133" t="str">
        <f t="shared" si="30"/>
        <v/>
      </c>
      <c r="Q142" s="133" t="str">
        <f t="shared" si="31"/>
        <v/>
      </c>
      <c r="R142" s="133" t="str">
        <f t="shared" si="32"/>
        <v/>
      </c>
      <c r="S142" s="133" t="str">
        <f t="shared" si="33"/>
        <v/>
      </c>
      <c r="T142" s="133" t="str">
        <f>IFERROR(IF($U142="ERROR","ERROR",IF($N142="00",IF(J142="1-Rate","HH 1RATE",IF(J142="2-Rate","HH 2RATE","")),IFERROR(VLOOKUP(CONCATENATE(N142,Q142,O142,P142),Lookups!$A$2:$E$4557,5,0),VLOOKUP(CONCATENATE(N142,Q142,O142),Lookups!$A$2:$E$4557,5,0)))),"ERROR")</f>
        <v>ERROR</v>
      </c>
      <c r="U142" s="133" t="str">
        <f>IFERROR(IF(NOT($N142="00"),"",VLOOKUP(CONCATENATE(Q142,P142,LOOKUP(2,1/(Lookups!$I$2:$I$11&lt;=E142)/(Lookups!$J$2:$J$11&gt;=Tool!$C$14),Lookups!$K$2:$K$11)),'HH LLFs'!$A$2:$K$500,3,0)),"ERROR")</f>
        <v/>
      </c>
      <c r="V142" s="132">
        <f>Calcs!$I$2</f>
        <v>44377</v>
      </c>
      <c r="W142" s="132">
        <f>Calcs!$I$4</f>
        <v>44592</v>
      </c>
      <c r="X142" s="153" t="str">
        <f>IF(NOT(N142="00"),"",(VLOOKUP(CONCATENATE(Q142,P142,LOOKUP(2,1/(Lookups!$I$2:$I$11&lt;=Multisite!E142)/(Lookups!$J$2:$J$11&gt;=E142),Lookups!$K$2:$K$11)),'HH LLFs'!$A$2:$F$282,6,0)*365)/12)</f>
        <v/>
      </c>
      <c r="Y142" s="153">
        <f t="shared" si="34"/>
        <v>0</v>
      </c>
      <c r="Z142" s="153" t="str">
        <f t="shared" si="43"/>
        <v/>
      </c>
      <c r="AA142" s="153" t="str">
        <f t="shared" si="35"/>
        <v/>
      </c>
      <c r="AB142" s="153" t="str">
        <f t="shared" si="44"/>
        <v/>
      </c>
      <c r="AC142" s="153" t="str">
        <f t="shared" si="36"/>
        <v/>
      </c>
      <c r="AD142" s="153" t="str">
        <f t="shared" si="37"/>
        <v/>
      </c>
      <c r="AE142" s="153" t="str">
        <f t="shared" si="38"/>
        <v/>
      </c>
      <c r="AF142" s="155" t="e">
        <f>LOOKUP(2,1/(Lookups!$I$2:$I$11&lt;=E142)/(Lookups!$J$2:$J$11&gt;=E142),Lookups!$L$2:$L$11)</f>
        <v>#N/A</v>
      </c>
      <c r="AG142" s="142" t="str">
        <f t="shared" si="39"/>
        <v/>
      </c>
      <c r="AH142" s="142" t="str">
        <f t="shared" si="40"/>
        <v/>
      </c>
      <c r="AI142" s="143" t="b">
        <f t="shared" si="45"/>
        <v>0</v>
      </c>
      <c r="AJ142" s="143" t="str">
        <f t="shared" si="41"/>
        <v>Level 1</v>
      </c>
      <c r="AK142" s="142">
        <f t="shared" si="42"/>
        <v>0</v>
      </c>
      <c r="AL142" s="157" t="str">
        <f t="shared" si="50"/>
        <v/>
      </c>
      <c r="AM142" s="144" t="str">
        <f t="shared" si="51"/>
        <v>--FALSE-0</v>
      </c>
      <c r="AN142" s="158" t="str">
        <f t="shared" si="46"/>
        <v/>
      </c>
      <c r="AO142" s="145"/>
      <c r="AP142" s="159" t="str">
        <f>IF($AN142=FALSE,"",IFERROR(INDEX('Flat Rates'!$A$1:$M$3880,MATCH($AM142,'Flat Rates'!$A$1:$A$3880,0),MATCH("Standing Charge",'Flat Rates'!$A$1:$M$1,0))*100,""))</f>
        <v/>
      </c>
      <c r="AQ142" s="148" t="str">
        <f>IF($AN142=FALSE,"",IFERROR((IF(NOT(T142="Unrestricted"),"",INDEX('Flat Rates'!$A$1:$M$3880,MATCH($AM142,'Flat Rates'!$A$1:$A$3880,0),MATCH("Uni/Day Rate",'Flat Rates'!$A$1:$M$1,0)))*100)+H142,""))</f>
        <v/>
      </c>
      <c r="AR142" s="148" t="str">
        <f>IF($AN142=FALSE,"",IFERROR((IF(T142="Unrestricted","",INDEX('Flat Rates'!$A$1:$M$3880,MATCH($AM142,'Flat Rates'!$A$1:$A$3880,0),MATCH("Uni/Day Rate",'Flat Rates'!$A$1:$M$1,0)))*100)+H142,""))</f>
        <v/>
      </c>
      <c r="AS142" s="148" t="str">
        <f>IF($AN142=FALSE,"",IFERROR(IF(INDEX('Flat Rates'!$A$1:$M$3880,MATCH($AM142,'Flat Rates'!$A$1:$A$3880,0),MATCH("Night Unit Rate",'Flat Rates'!$A$1:$M$1,0))=0,"",((INDEX('Flat Rates'!$A$1:$M$3880,MATCH($AM142,'Flat Rates'!$A$1:$A$3880,0),MATCH("Night Unit Rate",'Flat Rates'!$A$1:$M$1,0)))*100)+H142),""))</f>
        <v/>
      </c>
      <c r="AT142" s="148" t="str">
        <f>IF($AN142=FALSE,"",IFERROR(IF(INDEX('Flat Rates'!$A$1:$M$3880,MATCH($AM142,'Flat Rates'!$A$1:$A$3880,0),MATCH("Evening and Weekend Rate",'Flat Rates'!$A$1:$M$1,0))=0,"",((INDEX('Flat Rates'!$A$1:$M$3880,MATCH($AM142,'Flat Rates'!$A$1:$A$3880,0),MATCH("Evening and Weekend Rate",'Flat Rates'!$A$1:$M$1,0)))*100)+H142),""))</f>
        <v/>
      </c>
      <c r="AU142" s="152" t="str">
        <f t="shared" si="47"/>
        <v/>
      </c>
      <c r="AV142" s="152" t="str">
        <f t="shared" si="48"/>
        <v/>
      </c>
      <c r="AW142" s="152" t="str">
        <f t="shared" si="49"/>
        <v/>
      </c>
    </row>
    <row r="143" spans="2:49" ht="15" thickBot="1" x14ac:dyDescent="0.35">
      <c r="B143" s="138" t="str">
        <f t="shared" si="26"/>
        <v/>
      </c>
      <c r="C143" s="137"/>
      <c r="D143" s="139"/>
      <c r="E143" s="140"/>
      <c r="F143" s="140"/>
      <c r="G143" s="139"/>
      <c r="H143" s="151"/>
      <c r="I143" s="139"/>
      <c r="J143" s="138"/>
      <c r="K143" s="139"/>
      <c r="L143" s="141"/>
      <c r="M143" s="133" t="str">
        <f t="shared" si="27"/>
        <v/>
      </c>
      <c r="N143" s="133" t="str">
        <f t="shared" si="28"/>
        <v/>
      </c>
      <c r="O143" s="133" t="str">
        <f t="shared" si="29"/>
        <v/>
      </c>
      <c r="P143" s="133" t="str">
        <f t="shared" si="30"/>
        <v/>
      </c>
      <c r="Q143" s="133" t="str">
        <f t="shared" si="31"/>
        <v/>
      </c>
      <c r="R143" s="133" t="str">
        <f t="shared" si="32"/>
        <v/>
      </c>
      <c r="S143" s="133" t="str">
        <f t="shared" si="33"/>
        <v/>
      </c>
      <c r="T143" s="133" t="str">
        <f>IFERROR(IF($U143="ERROR","ERROR",IF($N143="00",IF(J143="1-Rate","HH 1RATE",IF(J143="2-Rate","HH 2RATE","")),IFERROR(VLOOKUP(CONCATENATE(N143,Q143,O143,P143),Lookups!$A$2:$E$4557,5,0),VLOOKUP(CONCATENATE(N143,Q143,O143),Lookups!$A$2:$E$4557,5,0)))),"ERROR")</f>
        <v>ERROR</v>
      </c>
      <c r="U143" s="133" t="str">
        <f>IFERROR(IF(NOT($N143="00"),"",VLOOKUP(CONCATENATE(Q143,P143,LOOKUP(2,1/(Lookups!$I$2:$I$11&lt;=E143)/(Lookups!$J$2:$J$11&gt;=Tool!$C$14),Lookups!$K$2:$K$11)),'HH LLFs'!$A$2:$K$500,3,0)),"ERROR")</f>
        <v/>
      </c>
      <c r="V143" s="132">
        <f>Calcs!$I$2</f>
        <v>44377</v>
      </c>
      <c r="W143" s="132">
        <f>Calcs!$I$4</f>
        <v>44592</v>
      </c>
      <c r="X143" s="153" t="str">
        <f>IF(NOT(N143="00"),"",(VLOOKUP(CONCATENATE(Q143,P143,LOOKUP(2,1/(Lookups!$I$2:$I$11&lt;=Multisite!E143)/(Lookups!$J$2:$J$11&gt;=E143),Lookups!$K$2:$K$11)),'HH LLFs'!$A$2:$F$282,6,0)*365)/12)</f>
        <v/>
      </c>
      <c r="Y143" s="153">
        <f t="shared" si="34"/>
        <v>0</v>
      </c>
      <c r="Z143" s="153" t="str">
        <f t="shared" si="43"/>
        <v/>
      </c>
      <c r="AA143" s="153" t="str">
        <f t="shared" si="35"/>
        <v/>
      </c>
      <c r="AB143" s="153" t="str">
        <f t="shared" si="44"/>
        <v/>
      </c>
      <c r="AC143" s="153" t="str">
        <f t="shared" si="36"/>
        <v/>
      </c>
      <c r="AD143" s="153" t="str">
        <f t="shared" si="37"/>
        <v/>
      </c>
      <c r="AE143" s="153" t="str">
        <f t="shared" si="38"/>
        <v/>
      </c>
      <c r="AF143" s="155" t="e">
        <f>LOOKUP(2,1/(Lookups!$I$2:$I$11&lt;=E143)/(Lookups!$J$2:$J$11&gt;=E143),Lookups!$L$2:$L$11)</f>
        <v>#N/A</v>
      </c>
      <c r="AG143" s="142" t="str">
        <f t="shared" si="39"/>
        <v/>
      </c>
      <c r="AH143" s="142" t="str">
        <f t="shared" si="40"/>
        <v/>
      </c>
      <c r="AI143" s="143" t="b">
        <f t="shared" si="45"/>
        <v>0</v>
      </c>
      <c r="AJ143" s="143" t="str">
        <f t="shared" si="41"/>
        <v>Level 1</v>
      </c>
      <c r="AK143" s="142">
        <f t="shared" si="42"/>
        <v>0</v>
      </c>
      <c r="AL143" s="157" t="str">
        <f t="shared" si="50"/>
        <v/>
      </c>
      <c r="AM143" s="144" t="str">
        <f t="shared" si="51"/>
        <v>--FALSE-0</v>
      </c>
      <c r="AN143" s="158" t="str">
        <f t="shared" si="46"/>
        <v/>
      </c>
      <c r="AO143" s="145"/>
      <c r="AP143" s="159" t="str">
        <f>IF($AN143=FALSE,"",IFERROR(INDEX('Flat Rates'!$A$1:$M$3880,MATCH($AM143,'Flat Rates'!$A$1:$A$3880,0),MATCH("Standing Charge",'Flat Rates'!$A$1:$M$1,0))*100,""))</f>
        <v/>
      </c>
      <c r="AQ143" s="148" t="str">
        <f>IF($AN143=FALSE,"",IFERROR((IF(NOT(T143="Unrestricted"),"",INDEX('Flat Rates'!$A$1:$M$3880,MATCH($AM143,'Flat Rates'!$A$1:$A$3880,0),MATCH("Uni/Day Rate",'Flat Rates'!$A$1:$M$1,0)))*100)+H143,""))</f>
        <v/>
      </c>
      <c r="AR143" s="148" t="str">
        <f>IF($AN143=FALSE,"",IFERROR((IF(T143="Unrestricted","",INDEX('Flat Rates'!$A$1:$M$3880,MATCH($AM143,'Flat Rates'!$A$1:$A$3880,0),MATCH("Uni/Day Rate",'Flat Rates'!$A$1:$M$1,0)))*100)+H143,""))</f>
        <v/>
      </c>
      <c r="AS143" s="148" t="str">
        <f>IF($AN143=FALSE,"",IFERROR(IF(INDEX('Flat Rates'!$A$1:$M$3880,MATCH($AM143,'Flat Rates'!$A$1:$A$3880,0),MATCH("Night Unit Rate",'Flat Rates'!$A$1:$M$1,0))=0,"",((INDEX('Flat Rates'!$A$1:$M$3880,MATCH($AM143,'Flat Rates'!$A$1:$A$3880,0),MATCH("Night Unit Rate",'Flat Rates'!$A$1:$M$1,0)))*100)+H143),""))</f>
        <v/>
      </c>
      <c r="AT143" s="148" t="str">
        <f>IF($AN143=FALSE,"",IFERROR(IF(INDEX('Flat Rates'!$A$1:$M$3880,MATCH($AM143,'Flat Rates'!$A$1:$A$3880,0),MATCH("Evening and Weekend Rate",'Flat Rates'!$A$1:$M$1,0))=0,"",((INDEX('Flat Rates'!$A$1:$M$3880,MATCH($AM143,'Flat Rates'!$A$1:$A$3880,0),MATCH("Evening and Weekend Rate",'Flat Rates'!$A$1:$M$1,0)))*100)+H143),""))</f>
        <v/>
      </c>
      <c r="AU143" s="152" t="str">
        <f t="shared" si="47"/>
        <v/>
      </c>
      <c r="AV143" s="152" t="str">
        <f t="shared" si="48"/>
        <v/>
      </c>
      <c r="AW143" s="152" t="str">
        <f t="shared" si="49"/>
        <v/>
      </c>
    </row>
    <row r="144" spans="2:49" ht="15" thickBot="1" x14ac:dyDescent="0.35">
      <c r="B144" s="138" t="str">
        <f t="shared" si="26"/>
        <v/>
      </c>
      <c r="C144" s="137"/>
      <c r="D144" s="139"/>
      <c r="E144" s="140"/>
      <c r="F144" s="140"/>
      <c r="G144" s="139"/>
      <c r="H144" s="151"/>
      <c r="I144" s="139"/>
      <c r="J144" s="137"/>
      <c r="K144" s="139"/>
      <c r="L144" s="141"/>
      <c r="M144" s="133" t="str">
        <f t="shared" si="27"/>
        <v/>
      </c>
      <c r="N144" s="133" t="str">
        <f t="shared" si="28"/>
        <v/>
      </c>
      <c r="O144" s="133" t="str">
        <f t="shared" si="29"/>
        <v/>
      </c>
      <c r="P144" s="133" t="str">
        <f t="shared" si="30"/>
        <v/>
      </c>
      <c r="Q144" s="133" t="str">
        <f t="shared" si="31"/>
        <v/>
      </c>
      <c r="R144" s="133" t="str">
        <f t="shared" si="32"/>
        <v/>
      </c>
      <c r="S144" s="133" t="str">
        <f t="shared" si="33"/>
        <v/>
      </c>
      <c r="T144" s="133" t="str">
        <f>IFERROR(IF($U144="ERROR","ERROR",IF($N144="00",IF(J144="1-Rate","HH 1RATE",IF(J144="2-Rate","HH 2RATE","")),IFERROR(VLOOKUP(CONCATENATE(N144,Q144,O144,P144),Lookups!$A$2:$E$4557,5,0),VLOOKUP(CONCATENATE(N144,Q144,O144),Lookups!$A$2:$E$4557,5,0)))),"ERROR")</f>
        <v>ERROR</v>
      </c>
      <c r="U144" s="133" t="str">
        <f>IFERROR(IF(NOT($N144="00"),"",VLOOKUP(CONCATENATE(Q144,P144,LOOKUP(2,1/(Lookups!$I$2:$I$11&lt;=E144)/(Lookups!$J$2:$J$11&gt;=Tool!$C$14),Lookups!$K$2:$K$11)),'HH LLFs'!$A$2:$K$500,3,0)),"ERROR")</f>
        <v/>
      </c>
      <c r="V144" s="132">
        <f>Calcs!$I$2</f>
        <v>44377</v>
      </c>
      <c r="W144" s="132">
        <f>Calcs!$I$4</f>
        <v>44592</v>
      </c>
      <c r="X144" s="153" t="str">
        <f>IF(NOT(N144="00"),"",(VLOOKUP(CONCATENATE(Q144,P144,LOOKUP(2,1/(Lookups!$I$2:$I$11&lt;=Multisite!E144)/(Lookups!$J$2:$J$11&gt;=E144),Lookups!$K$2:$K$11)),'HH LLFs'!$A$2:$F$282,6,0)*365)/12)</f>
        <v/>
      </c>
      <c r="Y144" s="153">
        <f t="shared" si="34"/>
        <v>0</v>
      </c>
      <c r="Z144" s="153" t="str">
        <f t="shared" si="43"/>
        <v/>
      </c>
      <c r="AA144" s="153" t="str">
        <f t="shared" si="35"/>
        <v/>
      </c>
      <c r="AB144" s="153" t="str">
        <f t="shared" si="44"/>
        <v/>
      </c>
      <c r="AC144" s="153" t="str">
        <f t="shared" si="36"/>
        <v/>
      </c>
      <c r="AD144" s="153" t="str">
        <f t="shared" si="37"/>
        <v/>
      </c>
      <c r="AE144" s="153" t="str">
        <f t="shared" si="38"/>
        <v/>
      </c>
      <c r="AF144" s="155" t="e">
        <f>LOOKUP(2,1/(Lookups!$I$2:$I$11&lt;=E144)/(Lookups!$J$2:$J$11&gt;=E144),Lookups!$L$2:$L$11)</f>
        <v>#N/A</v>
      </c>
      <c r="AG144" s="142" t="str">
        <f t="shared" si="39"/>
        <v/>
      </c>
      <c r="AH144" s="142" t="str">
        <f t="shared" si="40"/>
        <v/>
      </c>
      <c r="AI144" s="143" t="b">
        <f t="shared" si="45"/>
        <v>0</v>
      </c>
      <c r="AJ144" s="143" t="str">
        <f t="shared" si="41"/>
        <v>Level 1</v>
      </c>
      <c r="AK144" s="142">
        <f t="shared" si="42"/>
        <v>0</v>
      </c>
      <c r="AL144" s="157" t="str">
        <f t="shared" si="50"/>
        <v/>
      </c>
      <c r="AM144" s="144" t="str">
        <f t="shared" si="51"/>
        <v>--FALSE-0</v>
      </c>
      <c r="AN144" s="158" t="str">
        <f t="shared" si="46"/>
        <v/>
      </c>
      <c r="AO144" s="145"/>
      <c r="AP144" s="159" t="str">
        <f>IF($AN144=FALSE,"",IFERROR(INDEX('Flat Rates'!$A$1:$M$3880,MATCH($AM144,'Flat Rates'!$A$1:$A$3880,0),MATCH("Standing Charge",'Flat Rates'!$A$1:$M$1,0))*100,""))</f>
        <v/>
      </c>
      <c r="AQ144" s="148" t="str">
        <f>IF($AN144=FALSE,"",IFERROR((IF(NOT(T144="Unrestricted"),"",INDEX('Flat Rates'!$A$1:$M$3880,MATCH($AM144,'Flat Rates'!$A$1:$A$3880,0),MATCH("Uni/Day Rate",'Flat Rates'!$A$1:$M$1,0)))*100)+H144,""))</f>
        <v/>
      </c>
      <c r="AR144" s="148" t="str">
        <f>IF($AN144=FALSE,"",IFERROR((IF(T144="Unrestricted","",INDEX('Flat Rates'!$A$1:$M$3880,MATCH($AM144,'Flat Rates'!$A$1:$A$3880,0),MATCH("Uni/Day Rate",'Flat Rates'!$A$1:$M$1,0)))*100)+H144,""))</f>
        <v/>
      </c>
      <c r="AS144" s="148" t="str">
        <f>IF($AN144=FALSE,"",IFERROR(IF(INDEX('Flat Rates'!$A$1:$M$3880,MATCH($AM144,'Flat Rates'!$A$1:$A$3880,0),MATCH("Night Unit Rate",'Flat Rates'!$A$1:$M$1,0))=0,"",((INDEX('Flat Rates'!$A$1:$M$3880,MATCH($AM144,'Flat Rates'!$A$1:$A$3880,0),MATCH("Night Unit Rate",'Flat Rates'!$A$1:$M$1,0)))*100)+H144),""))</f>
        <v/>
      </c>
      <c r="AT144" s="148" t="str">
        <f>IF($AN144=FALSE,"",IFERROR(IF(INDEX('Flat Rates'!$A$1:$M$3880,MATCH($AM144,'Flat Rates'!$A$1:$A$3880,0),MATCH("Evening and Weekend Rate",'Flat Rates'!$A$1:$M$1,0))=0,"",((INDEX('Flat Rates'!$A$1:$M$3880,MATCH($AM144,'Flat Rates'!$A$1:$A$3880,0),MATCH("Evening and Weekend Rate",'Flat Rates'!$A$1:$M$1,0)))*100)+H144),""))</f>
        <v/>
      </c>
      <c r="AU144" s="152" t="str">
        <f t="shared" si="47"/>
        <v/>
      </c>
      <c r="AV144" s="152" t="str">
        <f t="shared" si="48"/>
        <v/>
      </c>
      <c r="AW144" s="152" t="str">
        <f t="shared" si="49"/>
        <v/>
      </c>
    </row>
    <row r="145" spans="2:49" ht="15" thickBot="1" x14ac:dyDescent="0.35">
      <c r="B145" s="138" t="str">
        <f t="shared" si="26"/>
        <v/>
      </c>
      <c r="C145" s="137"/>
      <c r="D145" s="139"/>
      <c r="E145" s="140"/>
      <c r="F145" s="140"/>
      <c r="G145" s="139"/>
      <c r="H145" s="151"/>
      <c r="I145" s="139"/>
      <c r="J145" s="138"/>
      <c r="K145" s="139"/>
      <c r="L145" s="141"/>
      <c r="M145" s="133" t="str">
        <f t="shared" si="27"/>
        <v/>
      </c>
      <c r="N145" s="133" t="str">
        <f t="shared" si="28"/>
        <v/>
      </c>
      <c r="O145" s="133" t="str">
        <f t="shared" si="29"/>
        <v/>
      </c>
      <c r="P145" s="133" t="str">
        <f t="shared" si="30"/>
        <v/>
      </c>
      <c r="Q145" s="133" t="str">
        <f t="shared" si="31"/>
        <v/>
      </c>
      <c r="R145" s="133" t="str">
        <f t="shared" si="32"/>
        <v/>
      </c>
      <c r="S145" s="133" t="str">
        <f t="shared" si="33"/>
        <v/>
      </c>
      <c r="T145" s="133" t="str">
        <f>IFERROR(IF($U145="ERROR","ERROR",IF($N145="00",IF(J145="1-Rate","HH 1RATE",IF(J145="2-Rate","HH 2RATE","")),IFERROR(VLOOKUP(CONCATENATE(N145,Q145,O145,P145),Lookups!$A$2:$E$4557,5,0),VLOOKUP(CONCATENATE(N145,Q145,O145),Lookups!$A$2:$E$4557,5,0)))),"ERROR")</f>
        <v>ERROR</v>
      </c>
      <c r="U145" s="133" t="str">
        <f>IFERROR(IF(NOT($N145="00"),"",VLOOKUP(CONCATENATE(Q145,P145,LOOKUP(2,1/(Lookups!$I$2:$I$11&lt;=E145)/(Lookups!$J$2:$J$11&gt;=Tool!$C$14),Lookups!$K$2:$K$11)),'HH LLFs'!$A$2:$K$500,3,0)),"ERROR")</f>
        <v/>
      </c>
      <c r="V145" s="132">
        <f>Calcs!$I$2</f>
        <v>44377</v>
      </c>
      <c r="W145" s="132">
        <f>Calcs!$I$4</f>
        <v>44592</v>
      </c>
      <c r="X145" s="153" t="str">
        <f>IF(NOT(N145="00"),"",(VLOOKUP(CONCATENATE(Q145,P145,LOOKUP(2,1/(Lookups!$I$2:$I$11&lt;=Multisite!E145)/(Lookups!$J$2:$J$11&gt;=E145),Lookups!$K$2:$K$11)),'HH LLFs'!$A$2:$F$282,6,0)*365)/12)</f>
        <v/>
      </c>
      <c r="Y145" s="153">
        <f t="shared" si="34"/>
        <v>0</v>
      </c>
      <c r="Z145" s="153" t="str">
        <f t="shared" si="43"/>
        <v/>
      </c>
      <c r="AA145" s="153" t="str">
        <f t="shared" si="35"/>
        <v/>
      </c>
      <c r="AB145" s="153" t="str">
        <f t="shared" si="44"/>
        <v/>
      </c>
      <c r="AC145" s="153" t="str">
        <f t="shared" si="36"/>
        <v/>
      </c>
      <c r="AD145" s="153" t="str">
        <f t="shared" si="37"/>
        <v/>
      </c>
      <c r="AE145" s="153" t="str">
        <f t="shared" si="38"/>
        <v/>
      </c>
      <c r="AF145" s="155" t="e">
        <f>LOOKUP(2,1/(Lookups!$I$2:$I$11&lt;=E145)/(Lookups!$J$2:$J$11&gt;=E145),Lookups!$L$2:$L$11)</f>
        <v>#N/A</v>
      </c>
      <c r="AG145" s="142" t="str">
        <f t="shared" si="39"/>
        <v/>
      </c>
      <c r="AH145" s="142" t="str">
        <f t="shared" si="40"/>
        <v/>
      </c>
      <c r="AI145" s="143" t="b">
        <f t="shared" si="45"/>
        <v>0</v>
      </c>
      <c r="AJ145" s="143" t="str">
        <f t="shared" si="41"/>
        <v>Level 1</v>
      </c>
      <c r="AK145" s="142">
        <f t="shared" si="42"/>
        <v>0</v>
      </c>
      <c r="AL145" s="157" t="str">
        <f t="shared" si="50"/>
        <v/>
      </c>
      <c r="AM145" s="144" t="str">
        <f t="shared" si="51"/>
        <v>--FALSE-0</v>
      </c>
      <c r="AN145" s="158" t="str">
        <f t="shared" si="46"/>
        <v/>
      </c>
      <c r="AO145" s="145"/>
      <c r="AP145" s="159" t="str">
        <f>IF($AN145=FALSE,"",IFERROR(INDEX('Flat Rates'!$A$1:$M$3880,MATCH($AM145,'Flat Rates'!$A$1:$A$3880,0),MATCH("Standing Charge",'Flat Rates'!$A$1:$M$1,0))*100,""))</f>
        <v/>
      </c>
      <c r="AQ145" s="148" t="str">
        <f>IF($AN145=FALSE,"",IFERROR((IF(NOT(T145="Unrestricted"),"",INDEX('Flat Rates'!$A$1:$M$3880,MATCH($AM145,'Flat Rates'!$A$1:$A$3880,0),MATCH("Uni/Day Rate",'Flat Rates'!$A$1:$M$1,0)))*100)+H145,""))</f>
        <v/>
      </c>
      <c r="AR145" s="148" t="str">
        <f>IF($AN145=FALSE,"",IFERROR((IF(T145="Unrestricted","",INDEX('Flat Rates'!$A$1:$M$3880,MATCH($AM145,'Flat Rates'!$A$1:$A$3880,0),MATCH("Uni/Day Rate",'Flat Rates'!$A$1:$M$1,0)))*100)+H145,""))</f>
        <v/>
      </c>
      <c r="AS145" s="148" t="str">
        <f>IF($AN145=FALSE,"",IFERROR(IF(INDEX('Flat Rates'!$A$1:$M$3880,MATCH($AM145,'Flat Rates'!$A$1:$A$3880,0),MATCH("Night Unit Rate",'Flat Rates'!$A$1:$M$1,0))=0,"",((INDEX('Flat Rates'!$A$1:$M$3880,MATCH($AM145,'Flat Rates'!$A$1:$A$3880,0),MATCH("Night Unit Rate",'Flat Rates'!$A$1:$M$1,0)))*100)+H145),""))</f>
        <v/>
      </c>
      <c r="AT145" s="148" t="str">
        <f>IF($AN145=FALSE,"",IFERROR(IF(INDEX('Flat Rates'!$A$1:$M$3880,MATCH($AM145,'Flat Rates'!$A$1:$A$3880,0),MATCH("Evening and Weekend Rate",'Flat Rates'!$A$1:$M$1,0))=0,"",((INDEX('Flat Rates'!$A$1:$M$3880,MATCH($AM145,'Flat Rates'!$A$1:$A$3880,0),MATCH("Evening and Weekend Rate",'Flat Rates'!$A$1:$M$1,0)))*100)+H145),""))</f>
        <v/>
      </c>
      <c r="AU145" s="152" t="str">
        <f t="shared" si="47"/>
        <v/>
      </c>
      <c r="AV145" s="152" t="str">
        <f t="shared" si="48"/>
        <v/>
      </c>
      <c r="AW145" s="152" t="str">
        <f t="shared" si="49"/>
        <v/>
      </c>
    </row>
    <row r="146" spans="2:49" ht="15" thickBot="1" x14ac:dyDescent="0.35">
      <c r="B146" s="138" t="str">
        <f t="shared" si="26"/>
        <v/>
      </c>
      <c r="C146" s="137"/>
      <c r="D146" s="139"/>
      <c r="E146" s="140"/>
      <c r="F146" s="140"/>
      <c r="G146" s="139"/>
      <c r="H146" s="151"/>
      <c r="I146" s="139"/>
      <c r="J146" s="137"/>
      <c r="K146" s="139"/>
      <c r="L146" s="141"/>
      <c r="M146" s="133" t="str">
        <f t="shared" si="27"/>
        <v/>
      </c>
      <c r="N146" s="133" t="str">
        <f t="shared" si="28"/>
        <v/>
      </c>
      <c r="O146" s="133" t="str">
        <f t="shared" si="29"/>
        <v/>
      </c>
      <c r="P146" s="133" t="str">
        <f t="shared" si="30"/>
        <v/>
      </c>
      <c r="Q146" s="133" t="str">
        <f t="shared" si="31"/>
        <v/>
      </c>
      <c r="R146" s="133" t="str">
        <f t="shared" si="32"/>
        <v/>
      </c>
      <c r="S146" s="133" t="str">
        <f t="shared" si="33"/>
        <v/>
      </c>
      <c r="T146" s="133" t="str">
        <f>IFERROR(IF($U146="ERROR","ERROR",IF($N146="00",IF(J146="1-Rate","HH 1RATE",IF(J146="2-Rate","HH 2RATE","")),IFERROR(VLOOKUP(CONCATENATE(N146,Q146,O146,P146),Lookups!$A$2:$E$4557,5,0),VLOOKUP(CONCATENATE(N146,Q146,O146),Lookups!$A$2:$E$4557,5,0)))),"ERROR")</f>
        <v>ERROR</v>
      </c>
      <c r="U146" s="133" t="str">
        <f>IFERROR(IF(NOT($N146="00"),"",VLOOKUP(CONCATENATE(Q146,P146,LOOKUP(2,1/(Lookups!$I$2:$I$11&lt;=E146)/(Lookups!$J$2:$J$11&gt;=Tool!$C$14),Lookups!$K$2:$K$11)),'HH LLFs'!$A$2:$K$500,3,0)),"ERROR")</f>
        <v/>
      </c>
      <c r="V146" s="132">
        <f>Calcs!$I$2</f>
        <v>44377</v>
      </c>
      <c r="W146" s="132">
        <f>Calcs!$I$4</f>
        <v>44592</v>
      </c>
      <c r="X146" s="153" t="str">
        <f>IF(NOT(N146="00"),"",(VLOOKUP(CONCATENATE(Q146,P146,LOOKUP(2,1/(Lookups!$I$2:$I$11&lt;=Multisite!E146)/(Lookups!$J$2:$J$11&gt;=E146),Lookups!$K$2:$K$11)),'HH LLFs'!$A$2:$F$282,6,0)*365)/12)</f>
        <v/>
      </c>
      <c r="Y146" s="153">
        <f t="shared" si="34"/>
        <v>0</v>
      </c>
      <c r="Z146" s="153" t="str">
        <f t="shared" si="43"/>
        <v/>
      </c>
      <c r="AA146" s="153" t="str">
        <f t="shared" si="35"/>
        <v/>
      </c>
      <c r="AB146" s="153" t="str">
        <f t="shared" si="44"/>
        <v/>
      </c>
      <c r="AC146" s="153" t="str">
        <f t="shared" si="36"/>
        <v/>
      </c>
      <c r="AD146" s="153" t="str">
        <f t="shared" si="37"/>
        <v/>
      </c>
      <c r="AE146" s="153" t="str">
        <f t="shared" si="38"/>
        <v/>
      </c>
      <c r="AF146" s="155" t="e">
        <f>LOOKUP(2,1/(Lookups!$I$2:$I$11&lt;=E146)/(Lookups!$J$2:$J$11&gt;=E146),Lookups!$L$2:$L$11)</f>
        <v>#N/A</v>
      </c>
      <c r="AG146" s="142" t="str">
        <f t="shared" si="39"/>
        <v/>
      </c>
      <c r="AH146" s="142" t="str">
        <f t="shared" si="40"/>
        <v/>
      </c>
      <c r="AI146" s="143" t="b">
        <f t="shared" si="45"/>
        <v>0</v>
      </c>
      <c r="AJ146" s="143" t="str">
        <f t="shared" si="41"/>
        <v>Level 1</v>
      </c>
      <c r="AK146" s="142">
        <f t="shared" si="42"/>
        <v>0</v>
      </c>
      <c r="AL146" s="157" t="str">
        <f t="shared" si="50"/>
        <v/>
      </c>
      <c r="AM146" s="144" t="str">
        <f t="shared" si="51"/>
        <v>--FALSE-0</v>
      </c>
      <c r="AN146" s="158" t="str">
        <f t="shared" si="46"/>
        <v/>
      </c>
      <c r="AO146" s="145"/>
      <c r="AP146" s="159" t="str">
        <f>IF($AN146=FALSE,"",IFERROR(INDEX('Flat Rates'!$A$1:$M$3880,MATCH($AM146,'Flat Rates'!$A$1:$A$3880,0),MATCH("Standing Charge",'Flat Rates'!$A$1:$M$1,0))*100,""))</f>
        <v/>
      </c>
      <c r="AQ146" s="148" t="str">
        <f>IF($AN146=FALSE,"",IFERROR((IF(NOT(T146="Unrestricted"),"",INDEX('Flat Rates'!$A$1:$M$3880,MATCH($AM146,'Flat Rates'!$A$1:$A$3880,0),MATCH("Uni/Day Rate",'Flat Rates'!$A$1:$M$1,0)))*100)+H146,""))</f>
        <v/>
      </c>
      <c r="AR146" s="148" t="str">
        <f>IF($AN146=FALSE,"",IFERROR((IF(T146="Unrestricted","",INDEX('Flat Rates'!$A$1:$M$3880,MATCH($AM146,'Flat Rates'!$A$1:$A$3880,0),MATCH("Uni/Day Rate",'Flat Rates'!$A$1:$M$1,0)))*100)+H146,""))</f>
        <v/>
      </c>
      <c r="AS146" s="148" t="str">
        <f>IF($AN146=FALSE,"",IFERROR(IF(INDEX('Flat Rates'!$A$1:$M$3880,MATCH($AM146,'Flat Rates'!$A$1:$A$3880,0),MATCH("Night Unit Rate",'Flat Rates'!$A$1:$M$1,0))=0,"",((INDEX('Flat Rates'!$A$1:$M$3880,MATCH($AM146,'Flat Rates'!$A$1:$A$3880,0),MATCH("Night Unit Rate",'Flat Rates'!$A$1:$M$1,0)))*100)+H146),""))</f>
        <v/>
      </c>
      <c r="AT146" s="148" t="str">
        <f>IF($AN146=FALSE,"",IFERROR(IF(INDEX('Flat Rates'!$A$1:$M$3880,MATCH($AM146,'Flat Rates'!$A$1:$A$3880,0),MATCH("Evening and Weekend Rate",'Flat Rates'!$A$1:$M$1,0))=0,"",((INDEX('Flat Rates'!$A$1:$M$3880,MATCH($AM146,'Flat Rates'!$A$1:$A$3880,0),MATCH("Evening and Weekend Rate",'Flat Rates'!$A$1:$M$1,0)))*100)+H146),""))</f>
        <v/>
      </c>
      <c r="AU146" s="152" t="str">
        <f t="shared" si="47"/>
        <v/>
      </c>
      <c r="AV146" s="152" t="str">
        <f t="shared" si="48"/>
        <v/>
      </c>
      <c r="AW146" s="152" t="str">
        <f t="shared" si="49"/>
        <v/>
      </c>
    </row>
    <row r="147" spans="2:49" ht="15" thickBot="1" x14ac:dyDescent="0.35">
      <c r="B147" s="138" t="str">
        <f t="shared" ref="B147:B210" si="52">SUBSTITUTE(C147," ","")</f>
        <v/>
      </c>
      <c r="C147" s="137"/>
      <c r="D147" s="139"/>
      <c r="E147" s="140"/>
      <c r="F147" s="140"/>
      <c r="G147" s="139"/>
      <c r="H147" s="151"/>
      <c r="I147" s="139"/>
      <c r="J147" s="138"/>
      <c r="K147" s="139"/>
      <c r="L147" s="141"/>
      <c r="M147" s="133" t="str">
        <f t="shared" ref="M147:M210" si="53">CONCATENATE(LEFT(B147,2),LEFT(D147,2),MID(B147,3,3))</f>
        <v/>
      </c>
      <c r="N147" s="133" t="str">
        <f t="shared" ref="N147:N210" si="54">IF(LEFT(B147,2)="01","03",IF(LEFT(B147,2)="02","04",LEFT(B147,2)))</f>
        <v/>
      </c>
      <c r="O147" s="133" t="str">
        <f t="shared" ref="O147:O210" si="55">MID(B147,3,3)</f>
        <v/>
      </c>
      <c r="P147" s="133" t="str">
        <f t="shared" ref="P147:P210" si="56">RIGHT(B147,3)</f>
        <v/>
      </c>
      <c r="Q147" s="133" t="str">
        <f t="shared" ref="Q147:Q210" si="57">LEFT(D147,2)</f>
        <v/>
      </c>
      <c r="R147" s="133" t="str">
        <f t="shared" ref="R147:R210" si="58">MID(D147,3,8)</f>
        <v/>
      </c>
      <c r="S147" s="133" t="str">
        <f t="shared" ref="S147:S210" si="59">RIGHT(D147,3)</f>
        <v/>
      </c>
      <c r="T147" s="133" t="str">
        <f>IFERROR(IF($U147="ERROR","ERROR",IF($N147="00",IF(J147="1-Rate","HH 1RATE",IF(J147="2-Rate","HH 2RATE","")),IFERROR(VLOOKUP(CONCATENATE(N147,Q147,O147,P147),Lookups!$A$2:$E$4557,5,0),VLOOKUP(CONCATENATE(N147,Q147,O147),Lookups!$A$2:$E$4557,5,0)))),"ERROR")</f>
        <v>ERROR</v>
      </c>
      <c r="U147" s="133" t="str">
        <f>IFERROR(IF(NOT($N147="00"),"",VLOOKUP(CONCATENATE(Q147,P147,LOOKUP(2,1/(Lookups!$I$2:$I$11&lt;=E147)/(Lookups!$J$2:$J$11&gt;=Tool!$C$14),Lookups!$K$2:$K$11)),'HH LLFs'!$A$2:$K$500,3,0)),"ERROR")</f>
        <v/>
      </c>
      <c r="V147" s="132">
        <f>Calcs!$I$2</f>
        <v>44377</v>
      </c>
      <c r="W147" s="132">
        <f>Calcs!$I$4</f>
        <v>44592</v>
      </c>
      <c r="X147" s="153" t="str">
        <f>IF(NOT(N147="00"),"",(VLOOKUP(CONCATENATE(Q147,P147,LOOKUP(2,1/(Lookups!$I$2:$I$11&lt;=Multisite!E147)/(Lookups!$J$2:$J$11&gt;=E147),Lookups!$K$2:$K$11)),'HH LLFs'!$A$2:$F$282,6,0)*365)/12)</f>
        <v/>
      </c>
      <c r="Y147" s="153">
        <f t="shared" ref="Y147:Y210" si="60">K147</f>
        <v>0</v>
      </c>
      <c r="Z147" s="153" t="str">
        <f t="shared" si="43"/>
        <v/>
      </c>
      <c r="AA147" s="153" t="str">
        <f t="shared" ref="AA147:AA210" si="61">IFERROR(((AQ147*I147)/100),"")</f>
        <v/>
      </c>
      <c r="AB147" s="153" t="str">
        <f t="shared" si="44"/>
        <v/>
      </c>
      <c r="AC147" s="153" t="str">
        <f t="shared" ref="AC147:AC210" si="62">IFERROR((IF(T147="E7",((AS147*I147)*0.3),IF(T147="3-Rate",((AS147*I147)*0.2),IF(T147="HH 2RATE",((AS147*I147)*0.3),"")))/100),"")</f>
        <v/>
      </c>
      <c r="AD147" s="153" t="str">
        <f t="shared" ref="AD147:AD210" si="63">IFERROR((IF(T147="EW",((AT147*I147)*0.4),IF(T147="3-Rate",((AT147*I147)*0.2),""))/100),"")</f>
        <v/>
      </c>
      <c r="AE147" s="153" t="str">
        <f t="shared" ref="AE147:AE210" si="64">IF(Z147="","",IF(T147="3 Rate Half Hourly","",SUM(Z147:AD147,AW147)))</f>
        <v/>
      </c>
      <c r="AF147" s="155" t="e">
        <f>LOOKUP(2,1/(Lookups!$I$2:$I$11&lt;=E147)/(Lookups!$J$2:$J$11&gt;=E147),Lookups!$L$2:$L$11)</f>
        <v>#N/A</v>
      </c>
      <c r="AG147" s="142" t="str">
        <f t="shared" ref="AG147:AG210" si="65">Q147</f>
        <v/>
      </c>
      <c r="AH147" s="142" t="str">
        <f t="shared" ref="AH147:AH210" si="66">IF(E147&gt;W147,"",RIGHT(N147,1))</f>
        <v/>
      </c>
      <c r="AI147" s="143" t="b">
        <f t="shared" si="45"/>
        <v>0</v>
      </c>
      <c r="AJ147" s="143" t="str">
        <f t="shared" ref="AJ147:AJ210" si="67">IF($E147&lt;=$V147,"Level 1",IF($E147&lt;=$W147,"Level 2",""))</f>
        <v>Level 1</v>
      </c>
      <c r="AK147" s="142">
        <f t="shared" ref="AK147:AK210" si="68">IF($G147="SmartFIX – 1 Year","SmartFIX – 1 Year",IF($G147="SmartFIX – 2 Year","SmartFIX – 2 Year",IF($G147="SmartFIX – 3 Year","SmartFIX – 3 Year",IF($G147="SmartPAY12","SmartPAY12",IF($G147="SmartPAY24","SmartPAY24",IF($G147="SmartPAY36","SmartPAY36",IF($G147="SmartFIX – 5 Year","SmartFIX – 5 Year",IF($G147="SmartTRACKER","SmartTRACKER",IF($G147="SmartTRACKER","SmartTRACKER",)))))))))</f>
        <v>0</v>
      </c>
      <c r="AL147" s="157" t="str">
        <f t="shared" si="50"/>
        <v/>
      </c>
      <c r="AM147" s="144" t="str">
        <f t="shared" si="51"/>
        <v>--FALSE-0</v>
      </c>
      <c r="AN147" s="158" t="str">
        <f t="shared" si="46"/>
        <v/>
      </c>
      <c r="AO147" s="145"/>
      <c r="AP147" s="159" t="str">
        <f>IF($AN147=FALSE,"",IFERROR(INDEX('Flat Rates'!$A$1:$M$3880,MATCH($AM147,'Flat Rates'!$A$1:$A$3880,0),MATCH("Standing Charge",'Flat Rates'!$A$1:$M$1,0))*100,""))</f>
        <v/>
      </c>
      <c r="AQ147" s="148" t="str">
        <f>IF($AN147=FALSE,"",IFERROR((IF(NOT(T147="Unrestricted"),"",INDEX('Flat Rates'!$A$1:$M$3880,MATCH($AM147,'Flat Rates'!$A$1:$A$3880,0),MATCH("Uni/Day Rate",'Flat Rates'!$A$1:$M$1,0)))*100)+H147,""))</f>
        <v/>
      </c>
      <c r="AR147" s="148" t="str">
        <f>IF($AN147=FALSE,"",IFERROR((IF(T147="Unrestricted","",INDEX('Flat Rates'!$A$1:$M$3880,MATCH($AM147,'Flat Rates'!$A$1:$A$3880,0),MATCH("Uni/Day Rate",'Flat Rates'!$A$1:$M$1,0)))*100)+H147,""))</f>
        <v/>
      </c>
      <c r="AS147" s="148" t="str">
        <f>IF($AN147=FALSE,"",IFERROR(IF(INDEX('Flat Rates'!$A$1:$M$3880,MATCH($AM147,'Flat Rates'!$A$1:$A$3880,0),MATCH("Night Unit Rate",'Flat Rates'!$A$1:$M$1,0))=0,"",((INDEX('Flat Rates'!$A$1:$M$3880,MATCH($AM147,'Flat Rates'!$A$1:$A$3880,0),MATCH("Night Unit Rate",'Flat Rates'!$A$1:$M$1,0)))*100)+H147),""))</f>
        <v/>
      </c>
      <c r="AT147" s="148" t="str">
        <f>IF($AN147=FALSE,"",IFERROR(IF(INDEX('Flat Rates'!$A$1:$M$3880,MATCH($AM147,'Flat Rates'!$A$1:$A$3880,0),MATCH("Evening and Weekend Rate",'Flat Rates'!$A$1:$M$1,0))=0,"",((INDEX('Flat Rates'!$A$1:$M$3880,MATCH($AM147,'Flat Rates'!$A$1:$A$3880,0),MATCH("Evening and Weekend Rate",'Flat Rates'!$A$1:$M$1,0)))*100)+H147),""))</f>
        <v/>
      </c>
      <c r="AU147" s="152" t="str">
        <f t="shared" si="47"/>
        <v/>
      </c>
      <c r="AV147" s="152" t="str">
        <f t="shared" si="48"/>
        <v/>
      </c>
      <c r="AW147" s="152" t="str">
        <f t="shared" si="49"/>
        <v/>
      </c>
    </row>
    <row r="148" spans="2:49" ht="15" thickBot="1" x14ac:dyDescent="0.35">
      <c r="B148" s="138" t="str">
        <f t="shared" si="52"/>
        <v/>
      </c>
      <c r="C148" s="137"/>
      <c r="D148" s="139"/>
      <c r="E148" s="140"/>
      <c r="F148" s="140"/>
      <c r="G148" s="139"/>
      <c r="H148" s="151"/>
      <c r="I148" s="139"/>
      <c r="J148" s="137"/>
      <c r="K148" s="139"/>
      <c r="L148" s="141"/>
      <c r="M148" s="133" t="str">
        <f t="shared" si="53"/>
        <v/>
      </c>
      <c r="N148" s="133" t="str">
        <f t="shared" si="54"/>
        <v/>
      </c>
      <c r="O148" s="133" t="str">
        <f t="shared" si="55"/>
        <v/>
      </c>
      <c r="P148" s="133" t="str">
        <f t="shared" si="56"/>
        <v/>
      </c>
      <c r="Q148" s="133" t="str">
        <f t="shared" si="57"/>
        <v/>
      </c>
      <c r="R148" s="133" t="str">
        <f t="shared" si="58"/>
        <v/>
      </c>
      <c r="S148" s="133" t="str">
        <f t="shared" si="59"/>
        <v/>
      </c>
      <c r="T148" s="133" t="str">
        <f>IFERROR(IF($U148="ERROR","ERROR",IF($N148="00",IF(J148="1-Rate","HH 1RATE",IF(J148="2-Rate","HH 2RATE","")),IFERROR(VLOOKUP(CONCATENATE(N148,Q148,O148,P148),Lookups!$A$2:$E$4557,5,0),VLOOKUP(CONCATENATE(N148,Q148,O148),Lookups!$A$2:$E$4557,5,0)))),"ERROR")</f>
        <v>ERROR</v>
      </c>
      <c r="U148" s="133" t="str">
        <f>IFERROR(IF(NOT($N148="00"),"",VLOOKUP(CONCATENATE(Q148,P148,LOOKUP(2,1/(Lookups!$I$2:$I$11&lt;=E148)/(Lookups!$J$2:$J$11&gt;=Tool!$C$14),Lookups!$K$2:$K$11)),'HH LLFs'!$A$2:$K$500,3,0)),"ERROR")</f>
        <v/>
      </c>
      <c r="V148" s="132">
        <f>Calcs!$I$2</f>
        <v>44377</v>
      </c>
      <c r="W148" s="132">
        <f>Calcs!$I$4</f>
        <v>44592</v>
      </c>
      <c r="X148" s="153" t="str">
        <f>IF(NOT(N148="00"),"",(VLOOKUP(CONCATENATE(Q148,P148,LOOKUP(2,1/(Lookups!$I$2:$I$11&lt;=Multisite!E148)/(Lookups!$J$2:$J$11&gt;=E148),Lookups!$K$2:$K$11)),'HH LLFs'!$A$2:$F$282,6,0)*365)/12)</f>
        <v/>
      </c>
      <c r="Y148" s="153">
        <f t="shared" si="60"/>
        <v>0</v>
      </c>
      <c r="Z148" s="153" t="str">
        <f t="shared" ref="Z148:Z211" si="69">IFERROR(((IF(I148="3 `Rate Half Hourly","",AP148*365)/100)),"")</f>
        <v/>
      </c>
      <c r="AA148" s="153" t="str">
        <f t="shared" si="61"/>
        <v/>
      </c>
      <c r="AB148" s="153" t="str">
        <f t="shared" ref="AB148:AB211" si="70">IFERROR((IF(T148="E7",((AR148*I148)*0.7),IF(T148="EW",((AR148*I148)*0.6),IF(T148="3-Rate",((AR148*I148)*0.6),IF(T148="HH 2RATE",((AR148*I148)*0.7),IF(T148="HH 1RATE",(AR148*I148),"")))))/100),"")</f>
        <v/>
      </c>
      <c r="AC148" s="153" t="str">
        <f t="shared" si="62"/>
        <v/>
      </c>
      <c r="AD148" s="153" t="str">
        <f t="shared" si="63"/>
        <v/>
      </c>
      <c r="AE148" s="153" t="str">
        <f t="shared" si="64"/>
        <v/>
      </c>
      <c r="AF148" s="155" t="e">
        <f>LOOKUP(2,1/(Lookups!$I$2:$I$11&lt;=E148)/(Lookups!$J$2:$J$11&gt;=E148),Lookups!$L$2:$L$11)</f>
        <v>#N/A</v>
      </c>
      <c r="AG148" s="142" t="str">
        <f t="shared" si="65"/>
        <v/>
      </c>
      <c r="AH148" s="142" t="str">
        <f t="shared" si="66"/>
        <v/>
      </c>
      <c r="AI148" s="143" t="b">
        <f t="shared" ref="AI148:AI211" si="71">IF(T148="Unrestricted","U",IF(T148="E7","E7",IF(T148="EW","EW",IF(T148="3-Rate","3RATE",IF(T148="3 Rate Half Hourly","TOU",IF(T148="HH 2RATE",CONCATENATE("HH 2RATE ",U148),IF(T148="HH 1RATE",CONCATENATE("HH 1RATE ",U148))))))))</f>
        <v>0</v>
      </c>
      <c r="AJ148" s="143" t="str">
        <f t="shared" si="67"/>
        <v>Level 1</v>
      </c>
      <c r="AK148" s="142">
        <f t="shared" si="68"/>
        <v>0</v>
      </c>
      <c r="AL148" s="157" t="str">
        <f t="shared" si="50"/>
        <v/>
      </c>
      <c r="AM148" s="144" t="str">
        <f t="shared" si="51"/>
        <v>--FALSE-0</v>
      </c>
      <c r="AN148" s="158" t="str">
        <f t="shared" ref="AN148:AN211" si="72">IFERROR(CHOOSE(IF(OR(F148="Acquisition",F148="Renewal"),1,0)+IF(OR(F148="Smartpay",F148="Smartpay_Renewal"),2,0),IF(OR(ISNUMBER(SEARCH("fix",G148)),ISNUMBER(SEARCH("Tracker",G148))),TRUE,FALSE),IF(ISNUMBER(SEARCH("pay",G148)),TRUE,FALSE)),"")</f>
        <v/>
      </c>
      <c r="AO148" s="145"/>
      <c r="AP148" s="159" t="str">
        <f>IF($AN148=FALSE,"",IFERROR(INDEX('Flat Rates'!$A$1:$M$3880,MATCH($AM148,'Flat Rates'!$A$1:$A$3880,0),MATCH("Standing Charge",'Flat Rates'!$A$1:$M$1,0))*100,""))</f>
        <v/>
      </c>
      <c r="AQ148" s="148" t="str">
        <f>IF($AN148=FALSE,"",IFERROR((IF(NOT(T148="Unrestricted"),"",INDEX('Flat Rates'!$A$1:$M$3880,MATCH($AM148,'Flat Rates'!$A$1:$A$3880,0),MATCH("Uni/Day Rate",'Flat Rates'!$A$1:$M$1,0)))*100)+H148,""))</f>
        <v/>
      </c>
      <c r="AR148" s="148" t="str">
        <f>IF($AN148=FALSE,"",IFERROR((IF(T148="Unrestricted","",INDEX('Flat Rates'!$A$1:$M$3880,MATCH($AM148,'Flat Rates'!$A$1:$A$3880,0),MATCH("Uni/Day Rate",'Flat Rates'!$A$1:$M$1,0)))*100)+H148,""))</f>
        <v/>
      </c>
      <c r="AS148" s="148" t="str">
        <f>IF($AN148=FALSE,"",IFERROR(IF(INDEX('Flat Rates'!$A$1:$M$3880,MATCH($AM148,'Flat Rates'!$A$1:$A$3880,0),MATCH("Night Unit Rate",'Flat Rates'!$A$1:$M$1,0))=0,"",((INDEX('Flat Rates'!$A$1:$M$3880,MATCH($AM148,'Flat Rates'!$A$1:$A$3880,0),MATCH("Night Unit Rate",'Flat Rates'!$A$1:$M$1,0)))*100)+H148),""))</f>
        <v/>
      </c>
      <c r="AT148" s="148" t="str">
        <f>IF($AN148=FALSE,"",IFERROR(IF(INDEX('Flat Rates'!$A$1:$M$3880,MATCH($AM148,'Flat Rates'!$A$1:$A$3880,0),MATCH("Evening and Weekend Rate",'Flat Rates'!$A$1:$M$1,0))=0,"",((INDEX('Flat Rates'!$A$1:$M$3880,MATCH($AM148,'Flat Rates'!$A$1:$A$3880,0),MATCH("Evening and Weekend Rate",'Flat Rates'!$A$1:$M$1,0)))*100)+H148),""))</f>
        <v/>
      </c>
      <c r="AU148" s="152" t="str">
        <f t="shared" ref="AU148:AU211" si="73">IF($AN148=FALSE,"",IF(I148="","",AE148))</f>
        <v/>
      </c>
      <c r="AV148" s="152" t="str">
        <f t="shared" ref="AV148:AV211" si="74">IF($AN148=FALSE,"",IF(AU148="","",IF(I148&lt;12000,((AE148*1.05)/12),(((I148*AF148)+AE148)*1.2)/12)))</f>
        <v/>
      </c>
      <c r="AW148" s="152" t="str">
        <f t="shared" ref="AW148:AW211" si="75">IF($AN148=FALSE,"",IF(NOT(N148="00"),"",IFERROR(((X148/100)*Y148)*12,"")))</f>
        <v/>
      </c>
    </row>
    <row r="149" spans="2:49" ht="15" thickBot="1" x14ac:dyDescent="0.35">
      <c r="B149" s="138" t="str">
        <f t="shared" si="52"/>
        <v/>
      </c>
      <c r="C149" s="137"/>
      <c r="D149" s="139"/>
      <c r="E149" s="140"/>
      <c r="F149" s="140"/>
      <c r="G149" s="139"/>
      <c r="H149" s="151"/>
      <c r="I149" s="139"/>
      <c r="J149" s="138"/>
      <c r="K149" s="139"/>
      <c r="L149" s="141"/>
      <c r="M149" s="133" t="str">
        <f t="shared" si="53"/>
        <v/>
      </c>
      <c r="N149" s="133" t="str">
        <f t="shared" si="54"/>
        <v/>
      </c>
      <c r="O149" s="133" t="str">
        <f t="shared" si="55"/>
        <v/>
      </c>
      <c r="P149" s="133" t="str">
        <f t="shared" si="56"/>
        <v/>
      </c>
      <c r="Q149" s="133" t="str">
        <f t="shared" si="57"/>
        <v/>
      </c>
      <c r="R149" s="133" t="str">
        <f t="shared" si="58"/>
        <v/>
      </c>
      <c r="S149" s="133" t="str">
        <f t="shared" si="59"/>
        <v/>
      </c>
      <c r="T149" s="133" t="str">
        <f>IFERROR(IF($U149="ERROR","ERROR",IF($N149="00",IF(J149="1-Rate","HH 1RATE",IF(J149="2-Rate","HH 2RATE","")),IFERROR(VLOOKUP(CONCATENATE(N149,Q149,O149,P149),Lookups!$A$2:$E$4557,5,0),VLOOKUP(CONCATENATE(N149,Q149,O149),Lookups!$A$2:$E$4557,5,0)))),"ERROR")</f>
        <v>ERROR</v>
      </c>
      <c r="U149" s="133" t="str">
        <f>IFERROR(IF(NOT($N149="00"),"",VLOOKUP(CONCATENATE(Q149,P149,LOOKUP(2,1/(Lookups!$I$2:$I$11&lt;=E149)/(Lookups!$J$2:$J$11&gt;=Tool!$C$14),Lookups!$K$2:$K$11)),'HH LLFs'!$A$2:$K$500,3,0)),"ERROR")</f>
        <v/>
      </c>
      <c r="V149" s="132">
        <f>Calcs!$I$2</f>
        <v>44377</v>
      </c>
      <c r="W149" s="132">
        <f>Calcs!$I$4</f>
        <v>44592</v>
      </c>
      <c r="X149" s="153" t="str">
        <f>IF(NOT(N149="00"),"",(VLOOKUP(CONCATENATE(Q149,P149,LOOKUP(2,1/(Lookups!$I$2:$I$11&lt;=Multisite!E149)/(Lookups!$J$2:$J$11&gt;=E149),Lookups!$K$2:$K$11)),'HH LLFs'!$A$2:$F$282,6,0)*365)/12)</f>
        <v/>
      </c>
      <c r="Y149" s="153">
        <f t="shared" si="60"/>
        <v>0</v>
      </c>
      <c r="Z149" s="153" t="str">
        <f t="shared" si="69"/>
        <v/>
      </c>
      <c r="AA149" s="153" t="str">
        <f t="shared" si="61"/>
        <v/>
      </c>
      <c r="AB149" s="153" t="str">
        <f t="shared" si="70"/>
        <v/>
      </c>
      <c r="AC149" s="153" t="str">
        <f t="shared" si="62"/>
        <v/>
      </c>
      <c r="AD149" s="153" t="str">
        <f t="shared" si="63"/>
        <v/>
      </c>
      <c r="AE149" s="153" t="str">
        <f t="shared" si="64"/>
        <v/>
      </c>
      <c r="AF149" s="155" t="e">
        <f>LOOKUP(2,1/(Lookups!$I$2:$I$11&lt;=E149)/(Lookups!$J$2:$J$11&gt;=E149),Lookups!$L$2:$L$11)</f>
        <v>#N/A</v>
      </c>
      <c r="AG149" s="142" t="str">
        <f t="shared" si="65"/>
        <v/>
      </c>
      <c r="AH149" s="142" t="str">
        <f t="shared" si="66"/>
        <v/>
      </c>
      <c r="AI149" s="143" t="b">
        <f t="shared" si="71"/>
        <v>0</v>
      </c>
      <c r="AJ149" s="143" t="str">
        <f t="shared" si="67"/>
        <v>Level 1</v>
      </c>
      <c r="AK149" s="142">
        <f t="shared" si="68"/>
        <v>0</v>
      </c>
      <c r="AL149" s="157" t="str">
        <f t="shared" ref="AL149:AL212" si="76">IF(F149="Renewal"," Renewal",IF(F149="Smartpay_Renewal","_Renewal",""))</f>
        <v/>
      </c>
      <c r="AM149" s="144" t="str">
        <f t="shared" ref="AM149:AM212" si="77">IF(NOT($AI149="TOU"),CONCATENATE($AG149,"-",$AH149,"-",$AI149,"-",$AK149,$AL149,IF(AJ149="Level 2",CONCATENATE(" (",AJ149,")"),"")),CONCATENATE($AG149,"-",$AH149,"-",$AI149,"-",$AK149,$AL149,IF(AJ149="Level 2",CONCATENATE(" (",AJ149,")"),"")))</f>
        <v>--FALSE-0</v>
      </c>
      <c r="AN149" s="158" t="str">
        <f t="shared" si="72"/>
        <v/>
      </c>
      <c r="AO149" s="145"/>
      <c r="AP149" s="159" t="str">
        <f>IF($AN149=FALSE,"",IFERROR(INDEX('Flat Rates'!$A$1:$M$3880,MATCH($AM149,'Flat Rates'!$A$1:$A$3880,0),MATCH("Standing Charge",'Flat Rates'!$A$1:$M$1,0))*100,""))</f>
        <v/>
      </c>
      <c r="AQ149" s="148" t="str">
        <f>IF($AN149=FALSE,"",IFERROR((IF(NOT(T149="Unrestricted"),"",INDEX('Flat Rates'!$A$1:$M$3880,MATCH($AM149,'Flat Rates'!$A$1:$A$3880,0),MATCH("Uni/Day Rate",'Flat Rates'!$A$1:$M$1,0)))*100)+H149,""))</f>
        <v/>
      </c>
      <c r="AR149" s="148" t="str">
        <f>IF($AN149=FALSE,"",IFERROR((IF(T149="Unrestricted","",INDEX('Flat Rates'!$A$1:$M$3880,MATCH($AM149,'Flat Rates'!$A$1:$A$3880,0),MATCH("Uni/Day Rate",'Flat Rates'!$A$1:$M$1,0)))*100)+H149,""))</f>
        <v/>
      </c>
      <c r="AS149" s="148" t="str">
        <f>IF($AN149=FALSE,"",IFERROR(IF(INDEX('Flat Rates'!$A$1:$M$3880,MATCH($AM149,'Flat Rates'!$A$1:$A$3880,0),MATCH("Night Unit Rate",'Flat Rates'!$A$1:$M$1,0))=0,"",((INDEX('Flat Rates'!$A$1:$M$3880,MATCH($AM149,'Flat Rates'!$A$1:$A$3880,0),MATCH("Night Unit Rate",'Flat Rates'!$A$1:$M$1,0)))*100)+H149),""))</f>
        <v/>
      </c>
      <c r="AT149" s="148" t="str">
        <f>IF($AN149=FALSE,"",IFERROR(IF(INDEX('Flat Rates'!$A$1:$M$3880,MATCH($AM149,'Flat Rates'!$A$1:$A$3880,0),MATCH("Evening and Weekend Rate",'Flat Rates'!$A$1:$M$1,0))=0,"",((INDEX('Flat Rates'!$A$1:$M$3880,MATCH($AM149,'Flat Rates'!$A$1:$A$3880,0),MATCH("Evening and Weekend Rate",'Flat Rates'!$A$1:$M$1,0)))*100)+H149),""))</f>
        <v/>
      </c>
      <c r="AU149" s="152" t="str">
        <f t="shared" si="73"/>
        <v/>
      </c>
      <c r="AV149" s="152" t="str">
        <f t="shared" si="74"/>
        <v/>
      </c>
      <c r="AW149" s="152" t="str">
        <f t="shared" si="75"/>
        <v/>
      </c>
    </row>
    <row r="150" spans="2:49" ht="15" thickBot="1" x14ac:dyDescent="0.35">
      <c r="B150" s="138" t="str">
        <f t="shared" si="52"/>
        <v/>
      </c>
      <c r="C150" s="137"/>
      <c r="D150" s="139"/>
      <c r="E150" s="140"/>
      <c r="F150" s="140"/>
      <c r="G150" s="139"/>
      <c r="H150" s="151"/>
      <c r="I150" s="139"/>
      <c r="J150" s="137"/>
      <c r="K150" s="139"/>
      <c r="L150" s="141"/>
      <c r="M150" s="133" t="str">
        <f t="shared" si="53"/>
        <v/>
      </c>
      <c r="N150" s="133" t="str">
        <f t="shared" si="54"/>
        <v/>
      </c>
      <c r="O150" s="133" t="str">
        <f t="shared" si="55"/>
        <v/>
      </c>
      <c r="P150" s="133" t="str">
        <f t="shared" si="56"/>
        <v/>
      </c>
      <c r="Q150" s="133" t="str">
        <f t="shared" si="57"/>
        <v/>
      </c>
      <c r="R150" s="133" t="str">
        <f t="shared" si="58"/>
        <v/>
      </c>
      <c r="S150" s="133" t="str">
        <f t="shared" si="59"/>
        <v/>
      </c>
      <c r="T150" s="133" t="str">
        <f>IFERROR(IF($U150="ERROR","ERROR",IF($N150="00",IF(J150="1-Rate","HH 1RATE",IF(J150="2-Rate","HH 2RATE","")),IFERROR(VLOOKUP(CONCATENATE(N150,Q150,O150,P150),Lookups!$A$2:$E$4557,5,0),VLOOKUP(CONCATENATE(N150,Q150,O150),Lookups!$A$2:$E$4557,5,0)))),"ERROR")</f>
        <v>ERROR</v>
      </c>
      <c r="U150" s="133" t="str">
        <f>IFERROR(IF(NOT($N150="00"),"",VLOOKUP(CONCATENATE(Q150,P150,LOOKUP(2,1/(Lookups!$I$2:$I$11&lt;=E150)/(Lookups!$J$2:$J$11&gt;=Tool!$C$14),Lookups!$K$2:$K$11)),'HH LLFs'!$A$2:$K$500,3,0)),"ERROR")</f>
        <v/>
      </c>
      <c r="V150" s="132">
        <f>Calcs!$I$2</f>
        <v>44377</v>
      </c>
      <c r="W150" s="132">
        <f>Calcs!$I$4</f>
        <v>44592</v>
      </c>
      <c r="X150" s="153" t="str">
        <f>IF(NOT(N150="00"),"",(VLOOKUP(CONCATENATE(Q150,P150,LOOKUP(2,1/(Lookups!$I$2:$I$11&lt;=Multisite!E150)/(Lookups!$J$2:$J$11&gt;=E150),Lookups!$K$2:$K$11)),'HH LLFs'!$A$2:$F$282,6,0)*365)/12)</f>
        <v/>
      </c>
      <c r="Y150" s="153">
        <f t="shared" si="60"/>
        <v>0</v>
      </c>
      <c r="Z150" s="153" t="str">
        <f t="shared" si="69"/>
        <v/>
      </c>
      <c r="AA150" s="153" t="str">
        <f t="shared" si="61"/>
        <v/>
      </c>
      <c r="AB150" s="153" t="str">
        <f t="shared" si="70"/>
        <v/>
      </c>
      <c r="AC150" s="153" t="str">
        <f t="shared" si="62"/>
        <v/>
      </c>
      <c r="AD150" s="153" t="str">
        <f t="shared" si="63"/>
        <v/>
      </c>
      <c r="AE150" s="153" t="str">
        <f t="shared" si="64"/>
        <v/>
      </c>
      <c r="AF150" s="155" t="e">
        <f>LOOKUP(2,1/(Lookups!$I$2:$I$11&lt;=E150)/(Lookups!$J$2:$J$11&gt;=E150),Lookups!$L$2:$L$11)</f>
        <v>#N/A</v>
      </c>
      <c r="AG150" s="142" t="str">
        <f t="shared" si="65"/>
        <v/>
      </c>
      <c r="AH150" s="142" t="str">
        <f t="shared" si="66"/>
        <v/>
      </c>
      <c r="AI150" s="143" t="b">
        <f t="shared" si="71"/>
        <v>0</v>
      </c>
      <c r="AJ150" s="143" t="str">
        <f t="shared" si="67"/>
        <v>Level 1</v>
      </c>
      <c r="AK150" s="142">
        <f t="shared" si="68"/>
        <v>0</v>
      </c>
      <c r="AL150" s="157" t="str">
        <f t="shared" si="76"/>
        <v/>
      </c>
      <c r="AM150" s="144" t="str">
        <f t="shared" si="77"/>
        <v>--FALSE-0</v>
      </c>
      <c r="AN150" s="158" t="str">
        <f t="shared" si="72"/>
        <v/>
      </c>
      <c r="AO150" s="145"/>
      <c r="AP150" s="159" t="str">
        <f>IF($AN150=FALSE,"",IFERROR(INDEX('Flat Rates'!$A$1:$M$3880,MATCH($AM150,'Flat Rates'!$A$1:$A$3880,0),MATCH("Standing Charge",'Flat Rates'!$A$1:$M$1,0))*100,""))</f>
        <v/>
      </c>
      <c r="AQ150" s="148" t="str">
        <f>IF($AN150=FALSE,"",IFERROR((IF(NOT(T150="Unrestricted"),"",INDEX('Flat Rates'!$A$1:$M$3880,MATCH($AM150,'Flat Rates'!$A$1:$A$3880,0),MATCH("Uni/Day Rate",'Flat Rates'!$A$1:$M$1,0)))*100)+H150,""))</f>
        <v/>
      </c>
      <c r="AR150" s="148" t="str">
        <f>IF($AN150=FALSE,"",IFERROR((IF(T150="Unrestricted","",INDEX('Flat Rates'!$A$1:$M$3880,MATCH($AM150,'Flat Rates'!$A$1:$A$3880,0),MATCH("Uni/Day Rate",'Flat Rates'!$A$1:$M$1,0)))*100)+H150,""))</f>
        <v/>
      </c>
      <c r="AS150" s="148" t="str">
        <f>IF($AN150=FALSE,"",IFERROR(IF(INDEX('Flat Rates'!$A$1:$M$3880,MATCH($AM150,'Flat Rates'!$A$1:$A$3880,0),MATCH("Night Unit Rate",'Flat Rates'!$A$1:$M$1,0))=0,"",((INDEX('Flat Rates'!$A$1:$M$3880,MATCH($AM150,'Flat Rates'!$A$1:$A$3880,0),MATCH("Night Unit Rate",'Flat Rates'!$A$1:$M$1,0)))*100)+H150),""))</f>
        <v/>
      </c>
      <c r="AT150" s="148" t="str">
        <f>IF($AN150=FALSE,"",IFERROR(IF(INDEX('Flat Rates'!$A$1:$M$3880,MATCH($AM150,'Flat Rates'!$A$1:$A$3880,0),MATCH("Evening and Weekend Rate",'Flat Rates'!$A$1:$M$1,0))=0,"",((INDEX('Flat Rates'!$A$1:$M$3880,MATCH($AM150,'Flat Rates'!$A$1:$A$3880,0),MATCH("Evening and Weekend Rate",'Flat Rates'!$A$1:$M$1,0)))*100)+H150),""))</f>
        <v/>
      </c>
      <c r="AU150" s="152" t="str">
        <f t="shared" si="73"/>
        <v/>
      </c>
      <c r="AV150" s="152" t="str">
        <f t="shared" si="74"/>
        <v/>
      </c>
      <c r="AW150" s="152" t="str">
        <f t="shared" si="75"/>
        <v/>
      </c>
    </row>
    <row r="151" spans="2:49" ht="15" thickBot="1" x14ac:dyDescent="0.35">
      <c r="B151" s="138" t="str">
        <f t="shared" si="52"/>
        <v/>
      </c>
      <c r="C151" s="137"/>
      <c r="D151" s="139"/>
      <c r="E151" s="140"/>
      <c r="F151" s="140"/>
      <c r="G151" s="139"/>
      <c r="H151" s="151"/>
      <c r="I151" s="139"/>
      <c r="J151" s="138"/>
      <c r="K151" s="139"/>
      <c r="L151" s="141"/>
      <c r="M151" s="133" t="str">
        <f t="shared" si="53"/>
        <v/>
      </c>
      <c r="N151" s="133" t="str">
        <f t="shared" si="54"/>
        <v/>
      </c>
      <c r="O151" s="133" t="str">
        <f t="shared" si="55"/>
        <v/>
      </c>
      <c r="P151" s="133" t="str">
        <f t="shared" si="56"/>
        <v/>
      </c>
      <c r="Q151" s="133" t="str">
        <f t="shared" si="57"/>
        <v/>
      </c>
      <c r="R151" s="133" t="str">
        <f t="shared" si="58"/>
        <v/>
      </c>
      <c r="S151" s="133" t="str">
        <f t="shared" si="59"/>
        <v/>
      </c>
      <c r="T151" s="133" t="str">
        <f>IFERROR(IF($U151="ERROR","ERROR",IF($N151="00",IF(J151="1-Rate","HH 1RATE",IF(J151="2-Rate","HH 2RATE","")),IFERROR(VLOOKUP(CONCATENATE(N151,Q151,O151,P151),Lookups!$A$2:$E$4557,5,0),VLOOKUP(CONCATENATE(N151,Q151,O151),Lookups!$A$2:$E$4557,5,0)))),"ERROR")</f>
        <v>ERROR</v>
      </c>
      <c r="U151" s="133" t="str">
        <f>IFERROR(IF(NOT($N151="00"),"",VLOOKUP(CONCATENATE(Q151,P151,LOOKUP(2,1/(Lookups!$I$2:$I$11&lt;=E151)/(Lookups!$J$2:$J$11&gt;=Tool!$C$14),Lookups!$K$2:$K$11)),'HH LLFs'!$A$2:$K$500,3,0)),"ERROR")</f>
        <v/>
      </c>
      <c r="V151" s="132">
        <f>Calcs!$I$2</f>
        <v>44377</v>
      </c>
      <c r="W151" s="132">
        <f>Calcs!$I$4</f>
        <v>44592</v>
      </c>
      <c r="X151" s="153" t="str">
        <f>IF(NOT(N151="00"),"",(VLOOKUP(CONCATENATE(Q151,P151,LOOKUP(2,1/(Lookups!$I$2:$I$11&lt;=Multisite!E151)/(Lookups!$J$2:$J$11&gt;=E151),Lookups!$K$2:$K$11)),'HH LLFs'!$A$2:$F$282,6,0)*365)/12)</f>
        <v/>
      </c>
      <c r="Y151" s="153">
        <f t="shared" si="60"/>
        <v>0</v>
      </c>
      <c r="Z151" s="153" t="str">
        <f t="shared" si="69"/>
        <v/>
      </c>
      <c r="AA151" s="153" t="str">
        <f t="shared" si="61"/>
        <v/>
      </c>
      <c r="AB151" s="153" t="str">
        <f t="shared" si="70"/>
        <v/>
      </c>
      <c r="AC151" s="153" t="str">
        <f t="shared" si="62"/>
        <v/>
      </c>
      <c r="AD151" s="153" t="str">
        <f t="shared" si="63"/>
        <v/>
      </c>
      <c r="AE151" s="153" t="str">
        <f t="shared" si="64"/>
        <v/>
      </c>
      <c r="AF151" s="155" t="e">
        <f>LOOKUP(2,1/(Lookups!$I$2:$I$11&lt;=E151)/(Lookups!$J$2:$J$11&gt;=E151),Lookups!$L$2:$L$11)</f>
        <v>#N/A</v>
      </c>
      <c r="AG151" s="142" t="str">
        <f t="shared" si="65"/>
        <v/>
      </c>
      <c r="AH151" s="142" t="str">
        <f t="shared" si="66"/>
        <v/>
      </c>
      <c r="AI151" s="143" t="b">
        <f t="shared" si="71"/>
        <v>0</v>
      </c>
      <c r="AJ151" s="143" t="str">
        <f t="shared" si="67"/>
        <v>Level 1</v>
      </c>
      <c r="AK151" s="142">
        <f t="shared" si="68"/>
        <v>0</v>
      </c>
      <c r="AL151" s="157" t="str">
        <f t="shared" si="76"/>
        <v/>
      </c>
      <c r="AM151" s="144" t="str">
        <f t="shared" si="77"/>
        <v>--FALSE-0</v>
      </c>
      <c r="AN151" s="158" t="str">
        <f t="shared" si="72"/>
        <v/>
      </c>
      <c r="AO151" s="145"/>
      <c r="AP151" s="159" t="str">
        <f>IF($AN151=FALSE,"",IFERROR(INDEX('Flat Rates'!$A$1:$M$3880,MATCH($AM151,'Flat Rates'!$A$1:$A$3880,0),MATCH("Standing Charge",'Flat Rates'!$A$1:$M$1,0))*100,""))</f>
        <v/>
      </c>
      <c r="AQ151" s="148" t="str">
        <f>IF($AN151=FALSE,"",IFERROR((IF(NOT(T151="Unrestricted"),"",INDEX('Flat Rates'!$A$1:$M$3880,MATCH($AM151,'Flat Rates'!$A$1:$A$3880,0),MATCH("Uni/Day Rate",'Flat Rates'!$A$1:$M$1,0)))*100)+H151,""))</f>
        <v/>
      </c>
      <c r="AR151" s="148" t="str">
        <f>IF($AN151=FALSE,"",IFERROR((IF(T151="Unrestricted","",INDEX('Flat Rates'!$A$1:$M$3880,MATCH($AM151,'Flat Rates'!$A$1:$A$3880,0),MATCH("Uni/Day Rate",'Flat Rates'!$A$1:$M$1,0)))*100)+H151,""))</f>
        <v/>
      </c>
      <c r="AS151" s="148" t="str">
        <f>IF($AN151=FALSE,"",IFERROR(IF(INDEX('Flat Rates'!$A$1:$M$3880,MATCH($AM151,'Flat Rates'!$A$1:$A$3880,0),MATCH("Night Unit Rate",'Flat Rates'!$A$1:$M$1,0))=0,"",((INDEX('Flat Rates'!$A$1:$M$3880,MATCH($AM151,'Flat Rates'!$A$1:$A$3880,0),MATCH("Night Unit Rate",'Flat Rates'!$A$1:$M$1,0)))*100)+H151),""))</f>
        <v/>
      </c>
      <c r="AT151" s="148" t="str">
        <f>IF($AN151=FALSE,"",IFERROR(IF(INDEX('Flat Rates'!$A$1:$M$3880,MATCH($AM151,'Flat Rates'!$A$1:$A$3880,0),MATCH("Evening and Weekend Rate",'Flat Rates'!$A$1:$M$1,0))=0,"",((INDEX('Flat Rates'!$A$1:$M$3880,MATCH($AM151,'Flat Rates'!$A$1:$A$3880,0),MATCH("Evening and Weekend Rate",'Flat Rates'!$A$1:$M$1,0)))*100)+H151),""))</f>
        <v/>
      </c>
      <c r="AU151" s="152" t="str">
        <f t="shared" si="73"/>
        <v/>
      </c>
      <c r="AV151" s="152" t="str">
        <f t="shared" si="74"/>
        <v/>
      </c>
      <c r="AW151" s="152" t="str">
        <f t="shared" si="75"/>
        <v/>
      </c>
    </row>
    <row r="152" spans="2:49" ht="15" thickBot="1" x14ac:dyDescent="0.35">
      <c r="B152" s="138" t="str">
        <f t="shared" si="52"/>
        <v/>
      </c>
      <c r="C152" s="137"/>
      <c r="D152" s="139"/>
      <c r="E152" s="140"/>
      <c r="F152" s="140"/>
      <c r="G152" s="139"/>
      <c r="H152" s="151"/>
      <c r="I152" s="139"/>
      <c r="J152" s="137"/>
      <c r="K152" s="139"/>
      <c r="L152" s="141"/>
      <c r="M152" s="133" t="str">
        <f t="shared" si="53"/>
        <v/>
      </c>
      <c r="N152" s="133" t="str">
        <f t="shared" si="54"/>
        <v/>
      </c>
      <c r="O152" s="133" t="str">
        <f t="shared" si="55"/>
        <v/>
      </c>
      <c r="P152" s="133" t="str">
        <f t="shared" si="56"/>
        <v/>
      </c>
      <c r="Q152" s="133" t="str">
        <f t="shared" si="57"/>
        <v/>
      </c>
      <c r="R152" s="133" t="str">
        <f t="shared" si="58"/>
        <v/>
      </c>
      <c r="S152" s="133" t="str">
        <f t="shared" si="59"/>
        <v/>
      </c>
      <c r="T152" s="133" t="str">
        <f>IFERROR(IF($U152="ERROR","ERROR",IF($N152="00",IF(J152="1-Rate","HH 1RATE",IF(J152="2-Rate","HH 2RATE","")),IFERROR(VLOOKUP(CONCATENATE(N152,Q152,O152,P152),Lookups!$A$2:$E$4557,5,0),VLOOKUP(CONCATENATE(N152,Q152,O152),Lookups!$A$2:$E$4557,5,0)))),"ERROR")</f>
        <v>ERROR</v>
      </c>
      <c r="U152" s="133" t="str">
        <f>IFERROR(IF(NOT($N152="00"),"",VLOOKUP(CONCATENATE(Q152,P152,LOOKUP(2,1/(Lookups!$I$2:$I$11&lt;=E152)/(Lookups!$J$2:$J$11&gt;=Tool!$C$14),Lookups!$K$2:$K$11)),'HH LLFs'!$A$2:$K$500,3,0)),"ERROR")</f>
        <v/>
      </c>
      <c r="V152" s="132">
        <f>Calcs!$I$2</f>
        <v>44377</v>
      </c>
      <c r="W152" s="132">
        <f>Calcs!$I$4</f>
        <v>44592</v>
      </c>
      <c r="X152" s="153" t="str">
        <f>IF(NOT(N152="00"),"",(VLOOKUP(CONCATENATE(Q152,P152,LOOKUP(2,1/(Lookups!$I$2:$I$11&lt;=Multisite!E152)/(Lookups!$J$2:$J$11&gt;=E152),Lookups!$K$2:$K$11)),'HH LLFs'!$A$2:$F$282,6,0)*365)/12)</f>
        <v/>
      </c>
      <c r="Y152" s="153">
        <f t="shared" si="60"/>
        <v>0</v>
      </c>
      <c r="Z152" s="153" t="str">
        <f t="shared" si="69"/>
        <v/>
      </c>
      <c r="AA152" s="153" t="str">
        <f t="shared" si="61"/>
        <v/>
      </c>
      <c r="AB152" s="153" t="str">
        <f t="shared" si="70"/>
        <v/>
      </c>
      <c r="AC152" s="153" t="str">
        <f t="shared" si="62"/>
        <v/>
      </c>
      <c r="AD152" s="153" t="str">
        <f t="shared" si="63"/>
        <v/>
      </c>
      <c r="AE152" s="153" t="str">
        <f t="shared" si="64"/>
        <v/>
      </c>
      <c r="AF152" s="155" t="e">
        <f>LOOKUP(2,1/(Lookups!$I$2:$I$11&lt;=E152)/(Lookups!$J$2:$J$11&gt;=E152),Lookups!$L$2:$L$11)</f>
        <v>#N/A</v>
      </c>
      <c r="AG152" s="142" t="str">
        <f t="shared" si="65"/>
        <v/>
      </c>
      <c r="AH152" s="142" t="str">
        <f t="shared" si="66"/>
        <v/>
      </c>
      <c r="AI152" s="143" t="b">
        <f t="shared" si="71"/>
        <v>0</v>
      </c>
      <c r="AJ152" s="143" t="str">
        <f t="shared" si="67"/>
        <v>Level 1</v>
      </c>
      <c r="AK152" s="142">
        <f t="shared" si="68"/>
        <v>0</v>
      </c>
      <c r="AL152" s="157" t="str">
        <f t="shared" si="76"/>
        <v/>
      </c>
      <c r="AM152" s="144" t="str">
        <f t="shared" si="77"/>
        <v>--FALSE-0</v>
      </c>
      <c r="AN152" s="158" t="str">
        <f t="shared" si="72"/>
        <v/>
      </c>
      <c r="AO152" s="145"/>
      <c r="AP152" s="159" t="str">
        <f>IF($AN152=FALSE,"",IFERROR(INDEX('Flat Rates'!$A$1:$M$3880,MATCH($AM152,'Flat Rates'!$A$1:$A$3880,0),MATCH("Standing Charge",'Flat Rates'!$A$1:$M$1,0))*100,""))</f>
        <v/>
      </c>
      <c r="AQ152" s="148" t="str">
        <f>IF($AN152=FALSE,"",IFERROR((IF(NOT(T152="Unrestricted"),"",INDEX('Flat Rates'!$A$1:$M$3880,MATCH($AM152,'Flat Rates'!$A$1:$A$3880,0),MATCH("Uni/Day Rate",'Flat Rates'!$A$1:$M$1,0)))*100)+H152,""))</f>
        <v/>
      </c>
      <c r="AR152" s="148" t="str">
        <f>IF($AN152=FALSE,"",IFERROR((IF(T152="Unrestricted","",INDEX('Flat Rates'!$A$1:$M$3880,MATCH($AM152,'Flat Rates'!$A$1:$A$3880,0),MATCH("Uni/Day Rate",'Flat Rates'!$A$1:$M$1,0)))*100)+H152,""))</f>
        <v/>
      </c>
      <c r="AS152" s="148" t="str">
        <f>IF($AN152=FALSE,"",IFERROR(IF(INDEX('Flat Rates'!$A$1:$M$3880,MATCH($AM152,'Flat Rates'!$A$1:$A$3880,0),MATCH("Night Unit Rate",'Flat Rates'!$A$1:$M$1,0))=0,"",((INDEX('Flat Rates'!$A$1:$M$3880,MATCH($AM152,'Flat Rates'!$A$1:$A$3880,0),MATCH("Night Unit Rate",'Flat Rates'!$A$1:$M$1,0)))*100)+H152),""))</f>
        <v/>
      </c>
      <c r="AT152" s="148" t="str">
        <f>IF($AN152=FALSE,"",IFERROR(IF(INDEX('Flat Rates'!$A$1:$M$3880,MATCH($AM152,'Flat Rates'!$A$1:$A$3880,0),MATCH("Evening and Weekend Rate",'Flat Rates'!$A$1:$M$1,0))=0,"",((INDEX('Flat Rates'!$A$1:$M$3880,MATCH($AM152,'Flat Rates'!$A$1:$A$3880,0),MATCH("Evening and Weekend Rate",'Flat Rates'!$A$1:$M$1,0)))*100)+H152),""))</f>
        <v/>
      </c>
      <c r="AU152" s="152" t="str">
        <f t="shared" si="73"/>
        <v/>
      </c>
      <c r="AV152" s="152" t="str">
        <f t="shared" si="74"/>
        <v/>
      </c>
      <c r="AW152" s="152" t="str">
        <f t="shared" si="75"/>
        <v/>
      </c>
    </row>
    <row r="153" spans="2:49" ht="15" thickBot="1" x14ac:dyDescent="0.35">
      <c r="B153" s="138" t="str">
        <f t="shared" si="52"/>
        <v/>
      </c>
      <c r="C153" s="137"/>
      <c r="D153" s="139"/>
      <c r="E153" s="140"/>
      <c r="F153" s="140"/>
      <c r="G153" s="139"/>
      <c r="H153" s="151"/>
      <c r="I153" s="139"/>
      <c r="J153" s="138"/>
      <c r="K153" s="139"/>
      <c r="L153" s="141"/>
      <c r="M153" s="133" t="str">
        <f t="shared" si="53"/>
        <v/>
      </c>
      <c r="N153" s="133" t="str">
        <f t="shared" si="54"/>
        <v/>
      </c>
      <c r="O153" s="133" t="str">
        <f t="shared" si="55"/>
        <v/>
      </c>
      <c r="P153" s="133" t="str">
        <f t="shared" si="56"/>
        <v/>
      </c>
      <c r="Q153" s="133" t="str">
        <f t="shared" si="57"/>
        <v/>
      </c>
      <c r="R153" s="133" t="str">
        <f t="shared" si="58"/>
        <v/>
      </c>
      <c r="S153" s="133" t="str">
        <f t="shared" si="59"/>
        <v/>
      </c>
      <c r="T153" s="133" t="str">
        <f>IFERROR(IF($U153="ERROR","ERROR",IF($N153="00",IF(J153="1-Rate","HH 1RATE",IF(J153="2-Rate","HH 2RATE","")),IFERROR(VLOOKUP(CONCATENATE(N153,Q153,O153,P153),Lookups!$A$2:$E$4557,5,0),VLOOKUP(CONCATENATE(N153,Q153,O153),Lookups!$A$2:$E$4557,5,0)))),"ERROR")</f>
        <v>ERROR</v>
      </c>
      <c r="U153" s="133" t="str">
        <f>IFERROR(IF(NOT($N153="00"),"",VLOOKUP(CONCATENATE(Q153,P153,LOOKUP(2,1/(Lookups!$I$2:$I$11&lt;=E153)/(Lookups!$J$2:$J$11&gt;=Tool!$C$14),Lookups!$K$2:$K$11)),'HH LLFs'!$A$2:$K$500,3,0)),"ERROR")</f>
        <v/>
      </c>
      <c r="V153" s="132">
        <f>Calcs!$I$2</f>
        <v>44377</v>
      </c>
      <c r="W153" s="132">
        <f>Calcs!$I$4</f>
        <v>44592</v>
      </c>
      <c r="X153" s="153" t="str">
        <f>IF(NOT(N153="00"),"",(VLOOKUP(CONCATENATE(Q153,P153,LOOKUP(2,1/(Lookups!$I$2:$I$11&lt;=Multisite!E153)/(Lookups!$J$2:$J$11&gt;=E153),Lookups!$K$2:$K$11)),'HH LLFs'!$A$2:$F$282,6,0)*365)/12)</f>
        <v/>
      </c>
      <c r="Y153" s="153">
        <f t="shared" si="60"/>
        <v>0</v>
      </c>
      <c r="Z153" s="153" t="str">
        <f t="shared" si="69"/>
        <v/>
      </c>
      <c r="AA153" s="153" t="str">
        <f t="shared" si="61"/>
        <v/>
      </c>
      <c r="AB153" s="153" t="str">
        <f t="shared" si="70"/>
        <v/>
      </c>
      <c r="AC153" s="153" t="str">
        <f t="shared" si="62"/>
        <v/>
      </c>
      <c r="AD153" s="153" t="str">
        <f t="shared" si="63"/>
        <v/>
      </c>
      <c r="AE153" s="153" t="str">
        <f t="shared" si="64"/>
        <v/>
      </c>
      <c r="AF153" s="155" t="e">
        <f>LOOKUP(2,1/(Lookups!$I$2:$I$11&lt;=E153)/(Lookups!$J$2:$J$11&gt;=E153),Lookups!$L$2:$L$11)</f>
        <v>#N/A</v>
      </c>
      <c r="AG153" s="142" t="str">
        <f t="shared" si="65"/>
        <v/>
      </c>
      <c r="AH153" s="142" t="str">
        <f t="shared" si="66"/>
        <v/>
      </c>
      <c r="AI153" s="143" t="b">
        <f t="shared" si="71"/>
        <v>0</v>
      </c>
      <c r="AJ153" s="143" t="str">
        <f t="shared" si="67"/>
        <v>Level 1</v>
      </c>
      <c r="AK153" s="142">
        <f t="shared" si="68"/>
        <v>0</v>
      </c>
      <c r="AL153" s="157" t="str">
        <f t="shared" si="76"/>
        <v/>
      </c>
      <c r="AM153" s="144" t="str">
        <f t="shared" si="77"/>
        <v>--FALSE-0</v>
      </c>
      <c r="AN153" s="158" t="str">
        <f t="shared" si="72"/>
        <v/>
      </c>
      <c r="AO153" s="145"/>
      <c r="AP153" s="159" t="str">
        <f>IF($AN153=FALSE,"",IFERROR(INDEX('Flat Rates'!$A$1:$M$3880,MATCH($AM153,'Flat Rates'!$A$1:$A$3880,0),MATCH("Standing Charge",'Flat Rates'!$A$1:$M$1,0))*100,""))</f>
        <v/>
      </c>
      <c r="AQ153" s="148" t="str">
        <f>IF($AN153=FALSE,"",IFERROR((IF(NOT(T153="Unrestricted"),"",INDEX('Flat Rates'!$A$1:$M$3880,MATCH($AM153,'Flat Rates'!$A$1:$A$3880,0),MATCH("Uni/Day Rate",'Flat Rates'!$A$1:$M$1,0)))*100)+H153,""))</f>
        <v/>
      </c>
      <c r="AR153" s="148" t="str">
        <f>IF($AN153=FALSE,"",IFERROR((IF(T153="Unrestricted","",INDEX('Flat Rates'!$A$1:$M$3880,MATCH($AM153,'Flat Rates'!$A$1:$A$3880,0),MATCH("Uni/Day Rate",'Flat Rates'!$A$1:$M$1,0)))*100)+H153,""))</f>
        <v/>
      </c>
      <c r="AS153" s="148" t="str">
        <f>IF($AN153=FALSE,"",IFERROR(IF(INDEX('Flat Rates'!$A$1:$M$3880,MATCH($AM153,'Flat Rates'!$A$1:$A$3880,0),MATCH("Night Unit Rate",'Flat Rates'!$A$1:$M$1,0))=0,"",((INDEX('Flat Rates'!$A$1:$M$3880,MATCH($AM153,'Flat Rates'!$A$1:$A$3880,0),MATCH("Night Unit Rate",'Flat Rates'!$A$1:$M$1,0)))*100)+H153),""))</f>
        <v/>
      </c>
      <c r="AT153" s="148" t="str">
        <f>IF($AN153=FALSE,"",IFERROR(IF(INDEX('Flat Rates'!$A$1:$M$3880,MATCH($AM153,'Flat Rates'!$A$1:$A$3880,0),MATCH("Evening and Weekend Rate",'Flat Rates'!$A$1:$M$1,0))=0,"",((INDEX('Flat Rates'!$A$1:$M$3880,MATCH($AM153,'Flat Rates'!$A$1:$A$3880,0),MATCH("Evening and Weekend Rate",'Flat Rates'!$A$1:$M$1,0)))*100)+H153),""))</f>
        <v/>
      </c>
      <c r="AU153" s="152" t="str">
        <f t="shared" si="73"/>
        <v/>
      </c>
      <c r="AV153" s="152" t="str">
        <f t="shared" si="74"/>
        <v/>
      </c>
      <c r="AW153" s="152" t="str">
        <f t="shared" si="75"/>
        <v/>
      </c>
    </row>
    <row r="154" spans="2:49" ht="15" thickBot="1" x14ac:dyDescent="0.35">
      <c r="B154" s="138" t="str">
        <f t="shared" si="52"/>
        <v/>
      </c>
      <c r="C154" s="137"/>
      <c r="D154" s="139"/>
      <c r="E154" s="140"/>
      <c r="F154" s="140"/>
      <c r="G154" s="139"/>
      <c r="H154" s="151"/>
      <c r="I154" s="139"/>
      <c r="J154" s="137"/>
      <c r="K154" s="139"/>
      <c r="L154" s="141"/>
      <c r="M154" s="133" t="str">
        <f t="shared" si="53"/>
        <v/>
      </c>
      <c r="N154" s="133" t="str">
        <f t="shared" si="54"/>
        <v/>
      </c>
      <c r="O154" s="133" t="str">
        <f t="shared" si="55"/>
        <v/>
      </c>
      <c r="P154" s="133" t="str">
        <f t="shared" si="56"/>
        <v/>
      </c>
      <c r="Q154" s="133" t="str">
        <f t="shared" si="57"/>
        <v/>
      </c>
      <c r="R154" s="133" t="str">
        <f t="shared" si="58"/>
        <v/>
      </c>
      <c r="S154" s="133" t="str">
        <f t="shared" si="59"/>
        <v/>
      </c>
      <c r="T154" s="133" t="str">
        <f>IFERROR(IF($U154="ERROR","ERROR",IF($N154="00",IF(J154="1-Rate","HH 1RATE",IF(J154="2-Rate","HH 2RATE","")),IFERROR(VLOOKUP(CONCATENATE(N154,Q154,O154,P154),Lookups!$A$2:$E$4557,5,0),VLOOKUP(CONCATENATE(N154,Q154,O154),Lookups!$A$2:$E$4557,5,0)))),"ERROR")</f>
        <v>ERROR</v>
      </c>
      <c r="U154" s="133" t="str">
        <f>IFERROR(IF(NOT($N154="00"),"",VLOOKUP(CONCATENATE(Q154,P154,LOOKUP(2,1/(Lookups!$I$2:$I$11&lt;=E154)/(Lookups!$J$2:$J$11&gt;=Tool!$C$14),Lookups!$K$2:$K$11)),'HH LLFs'!$A$2:$K$500,3,0)),"ERROR")</f>
        <v/>
      </c>
      <c r="V154" s="132">
        <f>Calcs!$I$2</f>
        <v>44377</v>
      </c>
      <c r="W154" s="132">
        <f>Calcs!$I$4</f>
        <v>44592</v>
      </c>
      <c r="X154" s="153" t="str">
        <f>IF(NOT(N154="00"),"",(VLOOKUP(CONCATENATE(Q154,P154,LOOKUP(2,1/(Lookups!$I$2:$I$11&lt;=Multisite!E154)/(Lookups!$J$2:$J$11&gt;=E154),Lookups!$K$2:$K$11)),'HH LLFs'!$A$2:$F$282,6,0)*365)/12)</f>
        <v/>
      </c>
      <c r="Y154" s="153">
        <f t="shared" si="60"/>
        <v>0</v>
      </c>
      <c r="Z154" s="153" t="str">
        <f t="shared" si="69"/>
        <v/>
      </c>
      <c r="AA154" s="153" t="str">
        <f t="shared" si="61"/>
        <v/>
      </c>
      <c r="AB154" s="153" t="str">
        <f t="shared" si="70"/>
        <v/>
      </c>
      <c r="AC154" s="153" t="str">
        <f t="shared" si="62"/>
        <v/>
      </c>
      <c r="AD154" s="153" t="str">
        <f t="shared" si="63"/>
        <v/>
      </c>
      <c r="AE154" s="153" t="str">
        <f t="shared" si="64"/>
        <v/>
      </c>
      <c r="AF154" s="155" t="e">
        <f>LOOKUP(2,1/(Lookups!$I$2:$I$11&lt;=E154)/(Lookups!$J$2:$J$11&gt;=E154),Lookups!$L$2:$L$11)</f>
        <v>#N/A</v>
      </c>
      <c r="AG154" s="142" t="str">
        <f t="shared" si="65"/>
        <v/>
      </c>
      <c r="AH154" s="142" t="str">
        <f t="shared" si="66"/>
        <v/>
      </c>
      <c r="AI154" s="143" t="b">
        <f t="shared" si="71"/>
        <v>0</v>
      </c>
      <c r="AJ154" s="143" t="str">
        <f t="shared" si="67"/>
        <v>Level 1</v>
      </c>
      <c r="AK154" s="142">
        <f t="shared" si="68"/>
        <v>0</v>
      </c>
      <c r="AL154" s="157" t="str">
        <f t="shared" si="76"/>
        <v/>
      </c>
      <c r="AM154" s="144" t="str">
        <f t="shared" si="77"/>
        <v>--FALSE-0</v>
      </c>
      <c r="AN154" s="158" t="str">
        <f t="shared" si="72"/>
        <v/>
      </c>
      <c r="AO154" s="145"/>
      <c r="AP154" s="159" t="str">
        <f>IF($AN154=FALSE,"",IFERROR(INDEX('Flat Rates'!$A$1:$M$3880,MATCH($AM154,'Flat Rates'!$A$1:$A$3880,0),MATCH("Standing Charge",'Flat Rates'!$A$1:$M$1,0))*100,""))</f>
        <v/>
      </c>
      <c r="AQ154" s="148" t="str">
        <f>IF($AN154=FALSE,"",IFERROR((IF(NOT(T154="Unrestricted"),"",INDEX('Flat Rates'!$A$1:$M$3880,MATCH($AM154,'Flat Rates'!$A$1:$A$3880,0),MATCH("Uni/Day Rate",'Flat Rates'!$A$1:$M$1,0)))*100)+H154,""))</f>
        <v/>
      </c>
      <c r="AR154" s="148" t="str">
        <f>IF($AN154=FALSE,"",IFERROR((IF(T154="Unrestricted","",INDEX('Flat Rates'!$A$1:$M$3880,MATCH($AM154,'Flat Rates'!$A$1:$A$3880,0),MATCH("Uni/Day Rate",'Flat Rates'!$A$1:$M$1,0)))*100)+H154,""))</f>
        <v/>
      </c>
      <c r="AS154" s="148" t="str">
        <f>IF($AN154=FALSE,"",IFERROR(IF(INDEX('Flat Rates'!$A$1:$M$3880,MATCH($AM154,'Flat Rates'!$A$1:$A$3880,0),MATCH("Night Unit Rate",'Flat Rates'!$A$1:$M$1,0))=0,"",((INDEX('Flat Rates'!$A$1:$M$3880,MATCH($AM154,'Flat Rates'!$A$1:$A$3880,0),MATCH("Night Unit Rate",'Flat Rates'!$A$1:$M$1,0)))*100)+H154),""))</f>
        <v/>
      </c>
      <c r="AT154" s="148" t="str">
        <f>IF($AN154=FALSE,"",IFERROR(IF(INDEX('Flat Rates'!$A$1:$M$3880,MATCH($AM154,'Flat Rates'!$A$1:$A$3880,0),MATCH("Evening and Weekend Rate",'Flat Rates'!$A$1:$M$1,0))=0,"",((INDEX('Flat Rates'!$A$1:$M$3880,MATCH($AM154,'Flat Rates'!$A$1:$A$3880,0),MATCH("Evening and Weekend Rate",'Flat Rates'!$A$1:$M$1,0)))*100)+H154),""))</f>
        <v/>
      </c>
      <c r="AU154" s="152" t="str">
        <f t="shared" si="73"/>
        <v/>
      </c>
      <c r="AV154" s="152" t="str">
        <f t="shared" si="74"/>
        <v/>
      </c>
      <c r="AW154" s="152" t="str">
        <f t="shared" si="75"/>
        <v/>
      </c>
    </row>
    <row r="155" spans="2:49" ht="15" thickBot="1" x14ac:dyDescent="0.35">
      <c r="B155" s="138" t="str">
        <f t="shared" si="52"/>
        <v/>
      </c>
      <c r="C155" s="137"/>
      <c r="D155" s="139"/>
      <c r="E155" s="140"/>
      <c r="F155" s="140"/>
      <c r="G155" s="139"/>
      <c r="H155" s="151"/>
      <c r="I155" s="139"/>
      <c r="J155" s="138"/>
      <c r="K155" s="139"/>
      <c r="L155" s="141"/>
      <c r="M155" s="133" t="str">
        <f t="shared" si="53"/>
        <v/>
      </c>
      <c r="N155" s="133" t="str">
        <f t="shared" si="54"/>
        <v/>
      </c>
      <c r="O155" s="133" t="str">
        <f t="shared" si="55"/>
        <v/>
      </c>
      <c r="P155" s="133" t="str">
        <f t="shared" si="56"/>
        <v/>
      </c>
      <c r="Q155" s="133" t="str">
        <f t="shared" si="57"/>
        <v/>
      </c>
      <c r="R155" s="133" t="str">
        <f t="shared" si="58"/>
        <v/>
      </c>
      <c r="S155" s="133" t="str">
        <f t="shared" si="59"/>
        <v/>
      </c>
      <c r="T155" s="133" t="str">
        <f>IFERROR(IF($U155="ERROR","ERROR",IF($N155="00",IF(J155="1-Rate","HH 1RATE",IF(J155="2-Rate","HH 2RATE","")),IFERROR(VLOOKUP(CONCATENATE(N155,Q155,O155,P155),Lookups!$A$2:$E$4557,5,0),VLOOKUP(CONCATENATE(N155,Q155,O155),Lookups!$A$2:$E$4557,5,0)))),"ERROR")</f>
        <v>ERROR</v>
      </c>
      <c r="U155" s="133" t="str">
        <f>IFERROR(IF(NOT($N155="00"),"",VLOOKUP(CONCATENATE(Q155,P155,LOOKUP(2,1/(Lookups!$I$2:$I$11&lt;=E155)/(Lookups!$J$2:$J$11&gt;=Tool!$C$14),Lookups!$K$2:$K$11)),'HH LLFs'!$A$2:$K$500,3,0)),"ERROR")</f>
        <v/>
      </c>
      <c r="V155" s="132">
        <f>Calcs!$I$2</f>
        <v>44377</v>
      </c>
      <c r="W155" s="132">
        <f>Calcs!$I$4</f>
        <v>44592</v>
      </c>
      <c r="X155" s="153" t="str">
        <f>IF(NOT(N155="00"),"",(VLOOKUP(CONCATENATE(Q155,P155,LOOKUP(2,1/(Lookups!$I$2:$I$11&lt;=Multisite!E155)/(Lookups!$J$2:$J$11&gt;=E155),Lookups!$K$2:$K$11)),'HH LLFs'!$A$2:$F$282,6,0)*365)/12)</f>
        <v/>
      </c>
      <c r="Y155" s="153">
        <f t="shared" si="60"/>
        <v>0</v>
      </c>
      <c r="Z155" s="153" t="str">
        <f t="shared" si="69"/>
        <v/>
      </c>
      <c r="AA155" s="153" t="str">
        <f t="shared" si="61"/>
        <v/>
      </c>
      <c r="AB155" s="153" t="str">
        <f t="shared" si="70"/>
        <v/>
      </c>
      <c r="AC155" s="153" t="str">
        <f t="shared" si="62"/>
        <v/>
      </c>
      <c r="AD155" s="153" t="str">
        <f t="shared" si="63"/>
        <v/>
      </c>
      <c r="AE155" s="153" t="str">
        <f t="shared" si="64"/>
        <v/>
      </c>
      <c r="AF155" s="155" t="e">
        <f>LOOKUP(2,1/(Lookups!$I$2:$I$11&lt;=E155)/(Lookups!$J$2:$J$11&gt;=E155),Lookups!$L$2:$L$11)</f>
        <v>#N/A</v>
      </c>
      <c r="AG155" s="142" t="str">
        <f t="shared" si="65"/>
        <v/>
      </c>
      <c r="AH155" s="142" t="str">
        <f t="shared" si="66"/>
        <v/>
      </c>
      <c r="AI155" s="143" t="b">
        <f t="shared" si="71"/>
        <v>0</v>
      </c>
      <c r="AJ155" s="143" t="str">
        <f t="shared" si="67"/>
        <v>Level 1</v>
      </c>
      <c r="AK155" s="142">
        <f t="shared" si="68"/>
        <v>0</v>
      </c>
      <c r="AL155" s="157" t="str">
        <f t="shared" si="76"/>
        <v/>
      </c>
      <c r="AM155" s="144" t="str">
        <f t="shared" si="77"/>
        <v>--FALSE-0</v>
      </c>
      <c r="AN155" s="158" t="str">
        <f t="shared" si="72"/>
        <v/>
      </c>
      <c r="AO155" s="145"/>
      <c r="AP155" s="159" t="str">
        <f>IF($AN155=FALSE,"",IFERROR(INDEX('Flat Rates'!$A$1:$M$3880,MATCH($AM155,'Flat Rates'!$A$1:$A$3880,0),MATCH("Standing Charge",'Flat Rates'!$A$1:$M$1,0))*100,""))</f>
        <v/>
      </c>
      <c r="AQ155" s="148" t="str">
        <f>IF($AN155=FALSE,"",IFERROR((IF(NOT(T155="Unrestricted"),"",INDEX('Flat Rates'!$A$1:$M$3880,MATCH($AM155,'Flat Rates'!$A$1:$A$3880,0),MATCH("Uni/Day Rate",'Flat Rates'!$A$1:$M$1,0)))*100)+H155,""))</f>
        <v/>
      </c>
      <c r="AR155" s="148" t="str">
        <f>IF($AN155=FALSE,"",IFERROR((IF(T155="Unrestricted","",INDEX('Flat Rates'!$A$1:$M$3880,MATCH($AM155,'Flat Rates'!$A$1:$A$3880,0),MATCH("Uni/Day Rate",'Flat Rates'!$A$1:$M$1,0)))*100)+H155,""))</f>
        <v/>
      </c>
      <c r="AS155" s="148" t="str">
        <f>IF($AN155=FALSE,"",IFERROR(IF(INDEX('Flat Rates'!$A$1:$M$3880,MATCH($AM155,'Flat Rates'!$A$1:$A$3880,0),MATCH("Night Unit Rate",'Flat Rates'!$A$1:$M$1,0))=0,"",((INDEX('Flat Rates'!$A$1:$M$3880,MATCH($AM155,'Flat Rates'!$A$1:$A$3880,0),MATCH("Night Unit Rate",'Flat Rates'!$A$1:$M$1,0)))*100)+H155),""))</f>
        <v/>
      </c>
      <c r="AT155" s="148" t="str">
        <f>IF($AN155=FALSE,"",IFERROR(IF(INDEX('Flat Rates'!$A$1:$M$3880,MATCH($AM155,'Flat Rates'!$A$1:$A$3880,0),MATCH("Evening and Weekend Rate",'Flat Rates'!$A$1:$M$1,0))=0,"",((INDEX('Flat Rates'!$A$1:$M$3880,MATCH($AM155,'Flat Rates'!$A$1:$A$3880,0),MATCH("Evening and Weekend Rate",'Flat Rates'!$A$1:$M$1,0)))*100)+H155),""))</f>
        <v/>
      </c>
      <c r="AU155" s="152" t="str">
        <f t="shared" si="73"/>
        <v/>
      </c>
      <c r="AV155" s="152" t="str">
        <f t="shared" si="74"/>
        <v/>
      </c>
      <c r="AW155" s="152" t="str">
        <f t="shared" si="75"/>
        <v/>
      </c>
    </row>
    <row r="156" spans="2:49" ht="15" thickBot="1" x14ac:dyDescent="0.35">
      <c r="B156" s="138" t="str">
        <f t="shared" si="52"/>
        <v/>
      </c>
      <c r="C156" s="146"/>
      <c r="D156" s="147"/>
      <c r="E156" s="140"/>
      <c r="F156" s="140"/>
      <c r="G156" s="139"/>
      <c r="H156" s="151"/>
      <c r="I156" s="139"/>
      <c r="J156" s="137"/>
      <c r="K156" s="139"/>
      <c r="L156" s="141"/>
      <c r="M156" s="133" t="str">
        <f t="shared" si="53"/>
        <v/>
      </c>
      <c r="N156" s="133" t="str">
        <f t="shared" si="54"/>
        <v/>
      </c>
      <c r="O156" s="133" t="str">
        <f t="shared" si="55"/>
        <v/>
      </c>
      <c r="P156" s="133" t="str">
        <f t="shared" si="56"/>
        <v/>
      </c>
      <c r="Q156" s="133" t="str">
        <f t="shared" si="57"/>
        <v/>
      </c>
      <c r="R156" s="133" t="str">
        <f t="shared" si="58"/>
        <v/>
      </c>
      <c r="S156" s="133" t="str">
        <f t="shared" si="59"/>
        <v/>
      </c>
      <c r="T156" s="133" t="str">
        <f>IFERROR(IF($U156="ERROR","ERROR",IF($N156="00",IF(J156="1-Rate","HH 1RATE",IF(J156="2-Rate","HH 2RATE","")),IFERROR(VLOOKUP(CONCATENATE(N156,Q156,O156,P156),Lookups!$A$2:$E$4557,5,0),VLOOKUP(CONCATENATE(N156,Q156,O156),Lookups!$A$2:$E$4557,5,0)))),"ERROR")</f>
        <v>ERROR</v>
      </c>
      <c r="U156" s="133" t="str">
        <f>IFERROR(IF(NOT($N156="00"),"",VLOOKUP(CONCATENATE(Q156,P156,LOOKUP(2,1/(Lookups!$I$2:$I$11&lt;=E156)/(Lookups!$J$2:$J$11&gt;=Tool!$C$14),Lookups!$K$2:$K$11)),'HH LLFs'!$A$2:$K$500,3,0)),"ERROR")</f>
        <v/>
      </c>
      <c r="V156" s="132">
        <f>Calcs!$I$2</f>
        <v>44377</v>
      </c>
      <c r="W156" s="132">
        <f>Calcs!$I$4</f>
        <v>44592</v>
      </c>
      <c r="X156" s="153" t="str">
        <f>IF(NOT(N156="00"),"",(VLOOKUP(CONCATENATE(Q156,P156,LOOKUP(2,1/(Lookups!$I$2:$I$11&lt;=Multisite!E156)/(Lookups!$J$2:$J$11&gt;=E156),Lookups!$K$2:$K$11)),'HH LLFs'!$A$2:$F$282,6,0)*365)/12)</f>
        <v/>
      </c>
      <c r="Y156" s="153">
        <f t="shared" si="60"/>
        <v>0</v>
      </c>
      <c r="Z156" s="153" t="str">
        <f t="shared" si="69"/>
        <v/>
      </c>
      <c r="AA156" s="153" t="str">
        <f t="shared" si="61"/>
        <v/>
      </c>
      <c r="AB156" s="153" t="str">
        <f t="shared" si="70"/>
        <v/>
      </c>
      <c r="AC156" s="153" t="str">
        <f t="shared" si="62"/>
        <v/>
      </c>
      <c r="AD156" s="153" t="str">
        <f t="shared" si="63"/>
        <v/>
      </c>
      <c r="AE156" s="153" t="str">
        <f t="shared" si="64"/>
        <v/>
      </c>
      <c r="AF156" s="155" t="e">
        <f>LOOKUP(2,1/(Lookups!$I$2:$I$11&lt;=E156)/(Lookups!$J$2:$J$11&gt;=E156),Lookups!$L$2:$L$11)</f>
        <v>#N/A</v>
      </c>
      <c r="AG156" s="142" t="str">
        <f t="shared" si="65"/>
        <v/>
      </c>
      <c r="AH156" s="142" t="str">
        <f t="shared" si="66"/>
        <v/>
      </c>
      <c r="AI156" s="143" t="b">
        <f t="shared" si="71"/>
        <v>0</v>
      </c>
      <c r="AJ156" s="143" t="str">
        <f t="shared" si="67"/>
        <v>Level 1</v>
      </c>
      <c r="AK156" s="142">
        <f t="shared" si="68"/>
        <v>0</v>
      </c>
      <c r="AL156" s="157" t="str">
        <f t="shared" si="76"/>
        <v/>
      </c>
      <c r="AM156" s="144" t="str">
        <f t="shared" si="77"/>
        <v>--FALSE-0</v>
      </c>
      <c r="AN156" s="158" t="str">
        <f t="shared" si="72"/>
        <v/>
      </c>
      <c r="AO156" s="145"/>
      <c r="AP156" s="159" t="str">
        <f>IF($AN156=FALSE,"",IFERROR(INDEX('Flat Rates'!$A$1:$M$3880,MATCH($AM156,'Flat Rates'!$A$1:$A$3880,0),MATCH("Standing Charge",'Flat Rates'!$A$1:$M$1,0))*100,""))</f>
        <v/>
      </c>
      <c r="AQ156" s="148" t="str">
        <f>IF($AN156=FALSE,"",IFERROR((IF(NOT(T156="Unrestricted"),"",INDEX('Flat Rates'!$A$1:$M$3880,MATCH($AM156,'Flat Rates'!$A$1:$A$3880,0),MATCH("Uni/Day Rate",'Flat Rates'!$A$1:$M$1,0)))*100)+H156,""))</f>
        <v/>
      </c>
      <c r="AR156" s="148" t="str">
        <f>IF($AN156=FALSE,"",IFERROR((IF(T156="Unrestricted","",INDEX('Flat Rates'!$A$1:$M$3880,MATCH($AM156,'Flat Rates'!$A$1:$A$3880,0),MATCH("Uni/Day Rate",'Flat Rates'!$A$1:$M$1,0)))*100)+H156,""))</f>
        <v/>
      </c>
      <c r="AS156" s="148" t="str">
        <f>IF($AN156=FALSE,"",IFERROR(IF(INDEX('Flat Rates'!$A$1:$M$3880,MATCH($AM156,'Flat Rates'!$A$1:$A$3880,0),MATCH("Night Unit Rate",'Flat Rates'!$A$1:$M$1,0))=0,"",((INDEX('Flat Rates'!$A$1:$M$3880,MATCH($AM156,'Flat Rates'!$A$1:$A$3880,0),MATCH("Night Unit Rate",'Flat Rates'!$A$1:$M$1,0)))*100)+H156),""))</f>
        <v/>
      </c>
      <c r="AT156" s="148" t="str">
        <f>IF($AN156=FALSE,"",IFERROR(IF(INDEX('Flat Rates'!$A$1:$M$3880,MATCH($AM156,'Flat Rates'!$A$1:$A$3880,0),MATCH("Evening and Weekend Rate",'Flat Rates'!$A$1:$M$1,0))=0,"",((INDEX('Flat Rates'!$A$1:$M$3880,MATCH($AM156,'Flat Rates'!$A$1:$A$3880,0),MATCH("Evening and Weekend Rate",'Flat Rates'!$A$1:$M$1,0)))*100)+H156),""))</f>
        <v/>
      </c>
      <c r="AU156" s="152" t="str">
        <f t="shared" si="73"/>
        <v/>
      </c>
      <c r="AV156" s="152" t="str">
        <f t="shared" si="74"/>
        <v/>
      </c>
      <c r="AW156" s="152" t="str">
        <f t="shared" si="75"/>
        <v/>
      </c>
    </row>
    <row r="157" spans="2:49" ht="15" thickBot="1" x14ac:dyDescent="0.35">
      <c r="B157" s="138" t="str">
        <f t="shared" si="52"/>
        <v/>
      </c>
      <c r="C157" s="137"/>
      <c r="D157" s="139"/>
      <c r="E157" s="140"/>
      <c r="F157" s="140"/>
      <c r="G157" s="139"/>
      <c r="H157" s="151"/>
      <c r="I157" s="139"/>
      <c r="J157" s="138"/>
      <c r="K157" s="139"/>
      <c r="L157" s="141"/>
      <c r="M157" s="133" t="str">
        <f t="shared" si="53"/>
        <v/>
      </c>
      <c r="N157" s="133" t="str">
        <f t="shared" si="54"/>
        <v/>
      </c>
      <c r="O157" s="133" t="str">
        <f t="shared" si="55"/>
        <v/>
      </c>
      <c r="P157" s="133" t="str">
        <f t="shared" si="56"/>
        <v/>
      </c>
      <c r="Q157" s="133" t="str">
        <f t="shared" si="57"/>
        <v/>
      </c>
      <c r="R157" s="133" t="str">
        <f t="shared" si="58"/>
        <v/>
      </c>
      <c r="S157" s="133" t="str">
        <f t="shared" si="59"/>
        <v/>
      </c>
      <c r="T157" s="133" t="str">
        <f>IFERROR(IF($U157="ERROR","ERROR",IF($N157="00",IF(J157="1-Rate","HH 1RATE",IF(J157="2-Rate","HH 2RATE","")),IFERROR(VLOOKUP(CONCATENATE(N157,Q157,O157,P157),Lookups!$A$2:$E$4557,5,0),VLOOKUP(CONCATENATE(N157,Q157,O157),Lookups!$A$2:$E$4557,5,0)))),"ERROR")</f>
        <v>ERROR</v>
      </c>
      <c r="U157" s="133" t="str">
        <f>IFERROR(IF(NOT($N157="00"),"",VLOOKUP(CONCATENATE(Q157,P157,LOOKUP(2,1/(Lookups!$I$2:$I$11&lt;=E157)/(Lookups!$J$2:$J$11&gt;=Tool!$C$14),Lookups!$K$2:$K$11)),'HH LLFs'!$A$2:$K$500,3,0)),"ERROR")</f>
        <v/>
      </c>
      <c r="V157" s="132">
        <f>Calcs!$I$2</f>
        <v>44377</v>
      </c>
      <c r="W157" s="132">
        <f>Calcs!$I$4</f>
        <v>44592</v>
      </c>
      <c r="X157" s="153" t="str">
        <f>IF(NOT(N157="00"),"",(VLOOKUP(CONCATENATE(Q157,P157,LOOKUP(2,1/(Lookups!$I$2:$I$11&lt;=Multisite!E157)/(Lookups!$J$2:$J$11&gt;=E157),Lookups!$K$2:$K$11)),'HH LLFs'!$A$2:$F$282,6,0)*365)/12)</f>
        <v/>
      </c>
      <c r="Y157" s="153">
        <f t="shared" si="60"/>
        <v>0</v>
      </c>
      <c r="Z157" s="153" t="str">
        <f t="shared" si="69"/>
        <v/>
      </c>
      <c r="AA157" s="153" t="str">
        <f t="shared" si="61"/>
        <v/>
      </c>
      <c r="AB157" s="153" t="str">
        <f t="shared" si="70"/>
        <v/>
      </c>
      <c r="AC157" s="153" t="str">
        <f t="shared" si="62"/>
        <v/>
      </c>
      <c r="AD157" s="153" t="str">
        <f t="shared" si="63"/>
        <v/>
      </c>
      <c r="AE157" s="153" t="str">
        <f t="shared" si="64"/>
        <v/>
      </c>
      <c r="AF157" s="155" t="e">
        <f>LOOKUP(2,1/(Lookups!$I$2:$I$11&lt;=E157)/(Lookups!$J$2:$J$11&gt;=E157),Lookups!$L$2:$L$11)</f>
        <v>#N/A</v>
      </c>
      <c r="AG157" s="142" t="str">
        <f t="shared" si="65"/>
        <v/>
      </c>
      <c r="AH157" s="142" t="str">
        <f t="shared" si="66"/>
        <v/>
      </c>
      <c r="AI157" s="143" t="b">
        <f t="shared" si="71"/>
        <v>0</v>
      </c>
      <c r="AJ157" s="143" t="str">
        <f t="shared" si="67"/>
        <v>Level 1</v>
      </c>
      <c r="AK157" s="142">
        <f t="shared" si="68"/>
        <v>0</v>
      </c>
      <c r="AL157" s="157" t="str">
        <f t="shared" si="76"/>
        <v/>
      </c>
      <c r="AM157" s="144" t="str">
        <f t="shared" si="77"/>
        <v>--FALSE-0</v>
      </c>
      <c r="AN157" s="158" t="str">
        <f t="shared" si="72"/>
        <v/>
      </c>
      <c r="AO157" s="145"/>
      <c r="AP157" s="159" t="str">
        <f>IF($AN157=FALSE,"",IFERROR(INDEX('Flat Rates'!$A$1:$M$3880,MATCH($AM157,'Flat Rates'!$A$1:$A$3880,0),MATCH("Standing Charge",'Flat Rates'!$A$1:$M$1,0))*100,""))</f>
        <v/>
      </c>
      <c r="AQ157" s="148" t="str">
        <f>IF($AN157=FALSE,"",IFERROR((IF(NOT(T157="Unrestricted"),"",INDEX('Flat Rates'!$A$1:$M$3880,MATCH($AM157,'Flat Rates'!$A$1:$A$3880,0),MATCH("Uni/Day Rate",'Flat Rates'!$A$1:$M$1,0)))*100)+H157,""))</f>
        <v/>
      </c>
      <c r="AR157" s="148" t="str">
        <f>IF($AN157=FALSE,"",IFERROR((IF(T157="Unrestricted","",INDEX('Flat Rates'!$A$1:$M$3880,MATCH($AM157,'Flat Rates'!$A$1:$A$3880,0),MATCH("Uni/Day Rate",'Flat Rates'!$A$1:$M$1,0)))*100)+H157,""))</f>
        <v/>
      </c>
      <c r="AS157" s="148" t="str">
        <f>IF($AN157=FALSE,"",IFERROR(IF(INDEX('Flat Rates'!$A$1:$M$3880,MATCH($AM157,'Flat Rates'!$A$1:$A$3880,0),MATCH("Night Unit Rate",'Flat Rates'!$A$1:$M$1,0))=0,"",((INDEX('Flat Rates'!$A$1:$M$3880,MATCH($AM157,'Flat Rates'!$A$1:$A$3880,0),MATCH("Night Unit Rate",'Flat Rates'!$A$1:$M$1,0)))*100)+H157),""))</f>
        <v/>
      </c>
      <c r="AT157" s="148" t="str">
        <f>IF($AN157=FALSE,"",IFERROR(IF(INDEX('Flat Rates'!$A$1:$M$3880,MATCH($AM157,'Flat Rates'!$A$1:$A$3880,0),MATCH("Evening and Weekend Rate",'Flat Rates'!$A$1:$M$1,0))=0,"",((INDEX('Flat Rates'!$A$1:$M$3880,MATCH($AM157,'Flat Rates'!$A$1:$A$3880,0),MATCH("Evening and Weekend Rate",'Flat Rates'!$A$1:$M$1,0)))*100)+H157),""))</f>
        <v/>
      </c>
      <c r="AU157" s="152" t="str">
        <f t="shared" si="73"/>
        <v/>
      </c>
      <c r="AV157" s="152" t="str">
        <f t="shared" si="74"/>
        <v/>
      </c>
      <c r="AW157" s="152" t="str">
        <f t="shared" si="75"/>
        <v/>
      </c>
    </row>
    <row r="158" spans="2:49" ht="15" thickBot="1" x14ac:dyDescent="0.35">
      <c r="B158" s="138" t="str">
        <f t="shared" si="52"/>
        <v/>
      </c>
      <c r="C158" s="146"/>
      <c r="D158" s="147"/>
      <c r="E158" s="140"/>
      <c r="F158" s="140"/>
      <c r="G158" s="139"/>
      <c r="H158" s="151"/>
      <c r="I158" s="139"/>
      <c r="J158" s="137"/>
      <c r="K158" s="139"/>
      <c r="L158" s="141"/>
      <c r="M158" s="133" t="str">
        <f t="shared" si="53"/>
        <v/>
      </c>
      <c r="N158" s="133" t="str">
        <f t="shared" si="54"/>
        <v/>
      </c>
      <c r="O158" s="133" t="str">
        <f t="shared" si="55"/>
        <v/>
      </c>
      <c r="P158" s="133" t="str">
        <f t="shared" si="56"/>
        <v/>
      </c>
      <c r="Q158" s="133" t="str">
        <f t="shared" si="57"/>
        <v/>
      </c>
      <c r="R158" s="133" t="str">
        <f t="shared" si="58"/>
        <v/>
      </c>
      <c r="S158" s="133" t="str">
        <f t="shared" si="59"/>
        <v/>
      </c>
      <c r="T158" s="133" t="str">
        <f>IFERROR(IF($U158="ERROR","ERROR",IF($N158="00",IF(J158="1-Rate","HH 1RATE",IF(J158="2-Rate","HH 2RATE","")),IFERROR(VLOOKUP(CONCATENATE(N158,Q158,O158,P158),Lookups!$A$2:$E$4557,5,0),VLOOKUP(CONCATENATE(N158,Q158,O158),Lookups!$A$2:$E$4557,5,0)))),"ERROR")</f>
        <v>ERROR</v>
      </c>
      <c r="U158" s="133" t="str">
        <f>IFERROR(IF(NOT($N158="00"),"",VLOOKUP(CONCATENATE(Q158,P158,LOOKUP(2,1/(Lookups!$I$2:$I$11&lt;=E158)/(Lookups!$J$2:$J$11&gt;=Tool!$C$14),Lookups!$K$2:$K$11)),'HH LLFs'!$A$2:$K$500,3,0)),"ERROR")</f>
        <v/>
      </c>
      <c r="V158" s="132">
        <f>Calcs!$I$2</f>
        <v>44377</v>
      </c>
      <c r="W158" s="132">
        <f>Calcs!$I$4</f>
        <v>44592</v>
      </c>
      <c r="X158" s="153" t="str">
        <f>IF(NOT(N158="00"),"",(VLOOKUP(CONCATENATE(Q158,P158,LOOKUP(2,1/(Lookups!$I$2:$I$11&lt;=Multisite!E158)/(Lookups!$J$2:$J$11&gt;=E158),Lookups!$K$2:$K$11)),'HH LLFs'!$A$2:$F$282,6,0)*365)/12)</f>
        <v/>
      </c>
      <c r="Y158" s="153">
        <f t="shared" si="60"/>
        <v>0</v>
      </c>
      <c r="Z158" s="153" t="str">
        <f t="shared" si="69"/>
        <v/>
      </c>
      <c r="AA158" s="153" t="str">
        <f t="shared" si="61"/>
        <v/>
      </c>
      <c r="AB158" s="153" t="str">
        <f t="shared" si="70"/>
        <v/>
      </c>
      <c r="AC158" s="153" t="str">
        <f t="shared" si="62"/>
        <v/>
      </c>
      <c r="AD158" s="153" t="str">
        <f t="shared" si="63"/>
        <v/>
      </c>
      <c r="AE158" s="153" t="str">
        <f t="shared" si="64"/>
        <v/>
      </c>
      <c r="AF158" s="155" t="e">
        <f>LOOKUP(2,1/(Lookups!$I$2:$I$11&lt;=E158)/(Lookups!$J$2:$J$11&gt;=E158),Lookups!$L$2:$L$11)</f>
        <v>#N/A</v>
      </c>
      <c r="AG158" s="142" t="str">
        <f t="shared" si="65"/>
        <v/>
      </c>
      <c r="AH158" s="142" t="str">
        <f t="shared" si="66"/>
        <v/>
      </c>
      <c r="AI158" s="143" t="b">
        <f t="shared" si="71"/>
        <v>0</v>
      </c>
      <c r="AJ158" s="143" t="str">
        <f t="shared" si="67"/>
        <v>Level 1</v>
      </c>
      <c r="AK158" s="142">
        <f t="shared" si="68"/>
        <v>0</v>
      </c>
      <c r="AL158" s="157" t="str">
        <f t="shared" si="76"/>
        <v/>
      </c>
      <c r="AM158" s="144" t="str">
        <f t="shared" si="77"/>
        <v>--FALSE-0</v>
      </c>
      <c r="AN158" s="158" t="str">
        <f t="shared" si="72"/>
        <v/>
      </c>
      <c r="AO158" s="145"/>
      <c r="AP158" s="159" t="str">
        <f>IF($AN158=FALSE,"",IFERROR(INDEX('Flat Rates'!$A$1:$M$3880,MATCH($AM158,'Flat Rates'!$A$1:$A$3880,0),MATCH("Standing Charge",'Flat Rates'!$A$1:$M$1,0))*100,""))</f>
        <v/>
      </c>
      <c r="AQ158" s="148" t="str">
        <f>IF($AN158=FALSE,"",IFERROR((IF(NOT(T158="Unrestricted"),"",INDEX('Flat Rates'!$A$1:$M$3880,MATCH($AM158,'Flat Rates'!$A$1:$A$3880,0),MATCH("Uni/Day Rate",'Flat Rates'!$A$1:$M$1,0)))*100)+H158,""))</f>
        <v/>
      </c>
      <c r="AR158" s="148" t="str">
        <f>IF($AN158=FALSE,"",IFERROR((IF(T158="Unrestricted","",INDEX('Flat Rates'!$A$1:$M$3880,MATCH($AM158,'Flat Rates'!$A$1:$A$3880,0),MATCH("Uni/Day Rate",'Flat Rates'!$A$1:$M$1,0)))*100)+H158,""))</f>
        <v/>
      </c>
      <c r="AS158" s="148" t="str">
        <f>IF($AN158=FALSE,"",IFERROR(IF(INDEX('Flat Rates'!$A$1:$M$3880,MATCH($AM158,'Flat Rates'!$A$1:$A$3880,0),MATCH("Night Unit Rate",'Flat Rates'!$A$1:$M$1,0))=0,"",((INDEX('Flat Rates'!$A$1:$M$3880,MATCH($AM158,'Flat Rates'!$A$1:$A$3880,0),MATCH("Night Unit Rate",'Flat Rates'!$A$1:$M$1,0)))*100)+H158),""))</f>
        <v/>
      </c>
      <c r="AT158" s="148" t="str">
        <f>IF($AN158=FALSE,"",IFERROR(IF(INDEX('Flat Rates'!$A$1:$M$3880,MATCH($AM158,'Flat Rates'!$A$1:$A$3880,0),MATCH("Evening and Weekend Rate",'Flat Rates'!$A$1:$M$1,0))=0,"",((INDEX('Flat Rates'!$A$1:$M$3880,MATCH($AM158,'Flat Rates'!$A$1:$A$3880,0),MATCH("Evening and Weekend Rate",'Flat Rates'!$A$1:$M$1,0)))*100)+H158),""))</f>
        <v/>
      </c>
      <c r="AU158" s="152" t="str">
        <f t="shared" si="73"/>
        <v/>
      </c>
      <c r="AV158" s="152" t="str">
        <f t="shared" si="74"/>
        <v/>
      </c>
      <c r="AW158" s="152" t="str">
        <f t="shared" si="75"/>
        <v/>
      </c>
    </row>
    <row r="159" spans="2:49" ht="15" thickBot="1" x14ac:dyDescent="0.35">
      <c r="B159" s="138" t="str">
        <f t="shared" si="52"/>
        <v/>
      </c>
      <c r="C159" s="137"/>
      <c r="D159" s="139"/>
      <c r="E159" s="140"/>
      <c r="F159" s="140"/>
      <c r="G159" s="139"/>
      <c r="H159" s="151"/>
      <c r="I159" s="139"/>
      <c r="J159" s="138"/>
      <c r="K159" s="139"/>
      <c r="L159" s="141"/>
      <c r="M159" s="133" t="str">
        <f t="shared" si="53"/>
        <v/>
      </c>
      <c r="N159" s="133" t="str">
        <f t="shared" si="54"/>
        <v/>
      </c>
      <c r="O159" s="133" t="str">
        <f t="shared" si="55"/>
        <v/>
      </c>
      <c r="P159" s="133" t="str">
        <f t="shared" si="56"/>
        <v/>
      </c>
      <c r="Q159" s="133" t="str">
        <f t="shared" si="57"/>
        <v/>
      </c>
      <c r="R159" s="133" t="str">
        <f t="shared" si="58"/>
        <v/>
      </c>
      <c r="S159" s="133" t="str">
        <f t="shared" si="59"/>
        <v/>
      </c>
      <c r="T159" s="133" t="str">
        <f>IFERROR(IF($U159="ERROR","ERROR",IF($N159="00",IF(J159="1-Rate","HH 1RATE",IF(J159="2-Rate","HH 2RATE","")),IFERROR(VLOOKUP(CONCATENATE(N159,Q159,O159,P159),Lookups!$A$2:$E$4557,5,0),VLOOKUP(CONCATENATE(N159,Q159,O159),Lookups!$A$2:$E$4557,5,0)))),"ERROR")</f>
        <v>ERROR</v>
      </c>
      <c r="U159" s="133" t="str">
        <f>IFERROR(IF(NOT($N159="00"),"",VLOOKUP(CONCATENATE(Q159,P159,LOOKUP(2,1/(Lookups!$I$2:$I$11&lt;=E159)/(Lookups!$J$2:$J$11&gt;=Tool!$C$14),Lookups!$K$2:$K$11)),'HH LLFs'!$A$2:$K$500,3,0)),"ERROR")</f>
        <v/>
      </c>
      <c r="V159" s="132">
        <f>Calcs!$I$2</f>
        <v>44377</v>
      </c>
      <c r="W159" s="132">
        <f>Calcs!$I$4</f>
        <v>44592</v>
      </c>
      <c r="X159" s="153" t="str">
        <f>IF(NOT(N159="00"),"",(VLOOKUP(CONCATENATE(Q159,P159,LOOKUP(2,1/(Lookups!$I$2:$I$11&lt;=Multisite!E159)/(Lookups!$J$2:$J$11&gt;=E159),Lookups!$K$2:$K$11)),'HH LLFs'!$A$2:$F$282,6,0)*365)/12)</f>
        <v/>
      </c>
      <c r="Y159" s="153">
        <f t="shared" si="60"/>
        <v>0</v>
      </c>
      <c r="Z159" s="153" t="str">
        <f t="shared" si="69"/>
        <v/>
      </c>
      <c r="AA159" s="153" t="str">
        <f t="shared" si="61"/>
        <v/>
      </c>
      <c r="AB159" s="153" t="str">
        <f t="shared" si="70"/>
        <v/>
      </c>
      <c r="AC159" s="153" t="str">
        <f t="shared" si="62"/>
        <v/>
      </c>
      <c r="AD159" s="153" t="str">
        <f t="shared" si="63"/>
        <v/>
      </c>
      <c r="AE159" s="153" t="str">
        <f t="shared" si="64"/>
        <v/>
      </c>
      <c r="AF159" s="155" t="e">
        <f>LOOKUP(2,1/(Lookups!$I$2:$I$11&lt;=E159)/(Lookups!$J$2:$J$11&gt;=E159),Lookups!$L$2:$L$11)</f>
        <v>#N/A</v>
      </c>
      <c r="AG159" s="142" t="str">
        <f t="shared" si="65"/>
        <v/>
      </c>
      <c r="AH159" s="142" t="str">
        <f t="shared" si="66"/>
        <v/>
      </c>
      <c r="AI159" s="143" t="b">
        <f t="shared" si="71"/>
        <v>0</v>
      </c>
      <c r="AJ159" s="143" t="str">
        <f t="shared" si="67"/>
        <v>Level 1</v>
      </c>
      <c r="AK159" s="142">
        <f t="shared" si="68"/>
        <v>0</v>
      </c>
      <c r="AL159" s="157" t="str">
        <f t="shared" si="76"/>
        <v/>
      </c>
      <c r="AM159" s="144" t="str">
        <f t="shared" si="77"/>
        <v>--FALSE-0</v>
      </c>
      <c r="AN159" s="158" t="str">
        <f t="shared" si="72"/>
        <v/>
      </c>
      <c r="AO159" s="145"/>
      <c r="AP159" s="159" t="str">
        <f>IF($AN159=FALSE,"",IFERROR(INDEX('Flat Rates'!$A$1:$M$3880,MATCH($AM159,'Flat Rates'!$A$1:$A$3880,0),MATCH("Standing Charge",'Flat Rates'!$A$1:$M$1,0))*100,""))</f>
        <v/>
      </c>
      <c r="AQ159" s="148" t="str">
        <f>IF($AN159=FALSE,"",IFERROR((IF(NOT(T159="Unrestricted"),"",INDEX('Flat Rates'!$A$1:$M$3880,MATCH($AM159,'Flat Rates'!$A$1:$A$3880,0),MATCH("Uni/Day Rate",'Flat Rates'!$A$1:$M$1,0)))*100)+H159,""))</f>
        <v/>
      </c>
      <c r="AR159" s="148" t="str">
        <f>IF($AN159=FALSE,"",IFERROR((IF(T159="Unrestricted","",INDEX('Flat Rates'!$A$1:$M$3880,MATCH($AM159,'Flat Rates'!$A$1:$A$3880,0),MATCH("Uni/Day Rate",'Flat Rates'!$A$1:$M$1,0)))*100)+H159,""))</f>
        <v/>
      </c>
      <c r="AS159" s="148" t="str">
        <f>IF($AN159=FALSE,"",IFERROR(IF(INDEX('Flat Rates'!$A$1:$M$3880,MATCH($AM159,'Flat Rates'!$A$1:$A$3880,0),MATCH("Night Unit Rate",'Flat Rates'!$A$1:$M$1,0))=0,"",((INDEX('Flat Rates'!$A$1:$M$3880,MATCH($AM159,'Flat Rates'!$A$1:$A$3880,0),MATCH("Night Unit Rate",'Flat Rates'!$A$1:$M$1,0)))*100)+H159),""))</f>
        <v/>
      </c>
      <c r="AT159" s="148" t="str">
        <f>IF($AN159=FALSE,"",IFERROR(IF(INDEX('Flat Rates'!$A$1:$M$3880,MATCH($AM159,'Flat Rates'!$A$1:$A$3880,0),MATCH("Evening and Weekend Rate",'Flat Rates'!$A$1:$M$1,0))=0,"",((INDEX('Flat Rates'!$A$1:$M$3880,MATCH($AM159,'Flat Rates'!$A$1:$A$3880,0),MATCH("Evening and Weekend Rate",'Flat Rates'!$A$1:$M$1,0)))*100)+H159),""))</f>
        <v/>
      </c>
      <c r="AU159" s="152" t="str">
        <f t="shared" si="73"/>
        <v/>
      </c>
      <c r="AV159" s="152" t="str">
        <f t="shared" si="74"/>
        <v/>
      </c>
      <c r="AW159" s="152" t="str">
        <f t="shared" si="75"/>
        <v/>
      </c>
    </row>
    <row r="160" spans="2:49" ht="15" thickBot="1" x14ac:dyDescent="0.35">
      <c r="B160" s="138" t="str">
        <f t="shared" si="52"/>
        <v/>
      </c>
      <c r="C160" s="146"/>
      <c r="D160" s="147"/>
      <c r="E160" s="140"/>
      <c r="F160" s="140"/>
      <c r="G160" s="139"/>
      <c r="H160" s="151"/>
      <c r="I160" s="139"/>
      <c r="J160" s="137"/>
      <c r="K160" s="139"/>
      <c r="L160" s="141"/>
      <c r="M160" s="133" t="str">
        <f t="shared" si="53"/>
        <v/>
      </c>
      <c r="N160" s="133" t="str">
        <f t="shared" si="54"/>
        <v/>
      </c>
      <c r="O160" s="133" t="str">
        <f t="shared" si="55"/>
        <v/>
      </c>
      <c r="P160" s="133" t="str">
        <f t="shared" si="56"/>
        <v/>
      </c>
      <c r="Q160" s="133" t="str">
        <f t="shared" si="57"/>
        <v/>
      </c>
      <c r="R160" s="133" t="str">
        <f t="shared" si="58"/>
        <v/>
      </c>
      <c r="S160" s="133" t="str">
        <f t="shared" si="59"/>
        <v/>
      </c>
      <c r="T160" s="133" t="str">
        <f>IFERROR(IF($U160="ERROR","ERROR",IF($N160="00",IF(J160="1-Rate","HH 1RATE",IF(J160="2-Rate","HH 2RATE","")),IFERROR(VLOOKUP(CONCATENATE(N160,Q160,O160,P160),Lookups!$A$2:$E$4557,5,0),VLOOKUP(CONCATENATE(N160,Q160,O160),Lookups!$A$2:$E$4557,5,0)))),"ERROR")</f>
        <v>ERROR</v>
      </c>
      <c r="U160" s="133" t="str">
        <f>IFERROR(IF(NOT($N160="00"),"",VLOOKUP(CONCATENATE(Q160,P160,LOOKUP(2,1/(Lookups!$I$2:$I$11&lt;=E160)/(Lookups!$J$2:$J$11&gt;=Tool!$C$14),Lookups!$K$2:$K$11)),'HH LLFs'!$A$2:$K$500,3,0)),"ERROR")</f>
        <v/>
      </c>
      <c r="V160" s="132">
        <f>Calcs!$I$2</f>
        <v>44377</v>
      </c>
      <c r="W160" s="132">
        <f>Calcs!$I$4</f>
        <v>44592</v>
      </c>
      <c r="X160" s="153" t="str">
        <f>IF(NOT(N160="00"),"",(VLOOKUP(CONCATENATE(Q160,P160,LOOKUP(2,1/(Lookups!$I$2:$I$11&lt;=Multisite!E160)/(Lookups!$J$2:$J$11&gt;=E160),Lookups!$K$2:$K$11)),'HH LLFs'!$A$2:$F$282,6,0)*365)/12)</f>
        <v/>
      </c>
      <c r="Y160" s="153">
        <f t="shared" si="60"/>
        <v>0</v>
      </c>
      <c r="Z160" s="153" t="str">
        <f t="shared" si="69"/>
        <v/>
      </c>
      <c r="AA160" s="153" t="str">
        <f t="shared" si="61"/>
        <v/>
      </c>
      <c r="AB160" s="153" t="str">
        <f t="shared" si="70"/>
        <v/>
      </c>
      <c r="AC160" s="153" t="str">
        <f t="shared" si="62"/>
        <v/>
      </c>
      <c r="AD160" s="153" t="str">
        <f t="shared" si="63"/>
        <v/>
      </c>
      <c r="AE160" s="153" t="str">
        <f t="shared" si="64"/>
        <v/>
      </c>
      <c r="AF160" s="155" t="e">
        <f>LOOKUP(2,1/(Lookups!$I$2:$I$11&lt;=E160)/(Lookups!$J$2:$J$11&gt;=E160),Lookups!$L$2:$L$11)</f>
        <v>#N/A</v>
      </c>
      <c r="AG160" s="142" t="str">
        <f t="shared" si="65"/>
        <v/>
      </c>
      <c r="AH160" s="142" t="str">
        <f t="shared" si="66"/>
        <v/>
      </c>
      <c r="AI160" s="143" t="b">
        <f t="shared" si="71"/>
        <v>0</v>
      </c>
      <c r="AJ160" s="143" t="str">
        <f t="shared" si="67"/>
        <v>Level 1</v>
      </c>
      <c r="AK160" s="142">
        <f t="shared" si="68"/>
        <v>0</v>
      </c>
      <c r="AL160" s="157" t="str">
        <f t="shared" si="76"/>
        <v/>
      </c>
      <c r="AM160" s="144" t="str">
        <f t="shared" si="77"/>
        <v>--FALSE-0</v>
      </c>
      <c r="AN160" s="158" t="str">
        <f t="shared" si="72"/>
        <v/>
      </c>
      <c r="AO160" s="145"/>
      <c r="AP160" s="159" t="str">
        <f>IF($AN160=FALSE,"",IFERROR(INDEX('Flat Rates'!$A$1:$M$3880,MATCH($AM160,'Flat Rates'!$A$1:$A$3880,0),MATCH("Standing Charge",'Flat Rates'!$A$1:$M$1,0))*100,""))</f>
        <v/>
      </c>
      <c r="AQ160" s="148" t="str">
        <f>IF($AN160=FALSE,"",IFERROR((IF(NOT(T160="Unrestricted"),"",INDEX('Flat Rates'!$A$1:$M$3880,MATCH($AM160,'Flat Rates'!$A$1:$A$3880,0),MATCH("Uni/Day Rate",'Flat Rates'!$A$1:$M$1,0)))*100)+H160,""))</f>
        <v/>
      </c>
      <c r="AR160" s="148" t="str">
        <f>IF($AN160=FALSE,"",IFERROR((IF(T160="Unrestricted","",INDEX('Flat Rates'!$A$1:$M$3880,MATCH($AM160,'Flat Rates'!$A$1:$A$3880,0),MATCH("Uni/Day Rate",'Flat Rates'!$A$1:$M$1,0)))*100)+H160,""))</f>
        <v/>
      </c>
      <c r="AS160" s="148" t="str">
        <f>IF($AN160=FALSE,"",IFERROR(IF(INDEX('Flat Rates'!$A$1:$M$3880,MATCH($AM160,'Flat Rates'!$A$1:$A$3880,0),MATCH("Night Unit Rate",'Flat Rates'!$A$1:$M$1,0))=0,"",((INDEX('Flat Rates'!$A$1:$M$3880,MATCH($AM160,'Flat Rates'!$A$1:$A$3880,0),MATCH("Night Unit Rate",'Flat Rates'!$A$1:$M$1,0)))*100)+H160),""))</f>
        <v/>
      </c>
      <c r="AT160" s="148" t="str">
        <f>IF($AN160=FALSE,"",IFERROR(IF(INDEX('Flat Rates'!$A$1:$M$3880,MATCH($AM160,'Flat Rates'!$A$1:$A$3880,0),MATCH("Evening and Weekend Rate",'Flat Rates'!$A$1:$M$1,0))=0,"",((INDEX('Flat Rates'!$A$1:$M$3880,MATCH($AM160,'Flat Rates'!$A$1:$A$3880,0),MATCH("Evening and Weekend Rate",'Flat Rates'!$A$1:$M$1,0)))*100)+H160),""))</f>
        <v/>
      </c>
      <c r="AU160" s="152" t="str">
        <f t="shared" si="73"/>
        <v/>
      </c>
      <c r="AV160" s="152" t="str">
        <f t="shared" si="74"/>
        <v/>
      </c>
      <c r="AW160" s="152" t="str">
        <f t="shared" si="75"/>
        <v/>
      </c>
    </row>
    <row r="161" spans="2:49" ht="15" thickBot="1" x14ac:dyDescent="0.35">
      <c r="B161" s="138" t="str">
        <f t="shared" si="52"/>
        <v/>
      </c>
      <c r="C161" s="137"/>
      <c r="D161" s="139"/>
      <c r="E161" s="140"/>
      <c r="F161" s="140"/>
      <c r="G161" s="139"/>
      <c r="H161" s="151"/>
      <c r="I161" s="139"/>
      <c r="J161" s="138"/>
      <c r="K161" s="139"/>
      <c r="L161" s="141"/>
      <c r="M161" s="133" t="str">
        <f t="shared" si="53"/>
        <v/>
      </c>
      <c r="N161" s="133" t="str">
        <f t="shared" si="54"/>
        <v/>
      </c>
      <c r="O161" s="133" t="str">
        <f t="shared" si="55"/>
        <v/>
      </c>
      <c r="P161" s="133" t="str">
        <f t="shared" si="56"/>
        <v/>
      </c>
      <c r="Q161" s="133" t="str">
        <f t="shared" si="57"/>
        <v/>
      </c>
      <c r="R161" s="133" t="str">
        <f t="shared" si="58"/>
        <v/>
      </c>
      <c r="S161" s="133" t="str">
        <f t="shared" si="59"/>
        <v/>
      </c>
      <c r="T161" s="133" t="str">
        <f>IFERROR(IF($U161="ERROR","ERROR",IF($N161="00",IF(J161="1-Rate","HH 1RATE",IF(J161="2-Rate","HH 2RATE","")),IFERROR(VLOOKUP(CONCATENATE(N161,Q161,O161,P161),Lookups!$A$2:$E$4557,5,0),VLOOKUP(CONCATENATE(N161,Q161,O161),Lookups!$A$2:$E$4557,5,0)))),"ERROR")</f>
        <v>ERROR</v>
      </c>
      <c r="U161" s="133" t="str">
        <f>IFERROR(IF(NOT($N161="00"),"",VLOOKUP(CONCATENATE(Q161,P161,LOOKUP(2,1/(Lookups!$I$2:$I$11&lt;=E161)/(Lookups!$J$2:$J$11&gt;=Tool!$C$14),Lookups!$K$2:$K$11)),'HH LLFs'!$A$2:$K$500,3,0)),"ERROR")</f>
        <v/>
      </c>
      <c r="V161" s="132">
        <f>Calcs!$I$2</f>
        <v>44377</v>
      </c>
      <c r="W161" s="132">
        <f>Calcs!$I$4</f>
        <v>44592</v>
      </c>
      <c r="X161" s="153" t="str">
        <f>IF(NOT(N161="00"),"",(VLOOKUP(CONCATENATE(Q161,P161,LOOKUP(2,1/(Lookups!$I$2:$I$11&lt;=Multisite!E161)/(Lookups!$J$2:$J$11&gt;=E161),Lookups!$K$2:$K$11)),'HH LLFs'!$A$2:$F$282,6,0)*365)/12)</f>
        <v/>
      </c>
      <c r="Y161" s="153">
        <f t="shared" si="60"/>
        <v>0</v>
      </c>
      <c r="Z161" s="153" t="str">
        <f t="shared" si="69"/>
        <v/>
      </c>
      <c r="AA161" s="153" t="str">
        <f t="shared" si="61"/>
        <v/>
      </c>
      <c r="AB161" s="153" t="str">
        <f t="shared" si="70"/>
        <v/>
      </c>
      <c r="AC161" s="153" t="str">
        <f t="shared" si="62"/>
        <v/>
      </c>
      <c r="AD161" s="153" t="str">
        <f t="shared" si="63"/>
        <v/>
      </c>
      <c r="AE161" s="153" t="str">
        <f t="shared" si="64"/>
        <v/>
      </c>
      <c r="AF161" s="155" t="e">
        <f>LOOKUP(2,1/(Lookups!$I$2:$I$11&lt;=E161)/(Lookups!$J$2:$J$11&gt;=E161),Lookups!$L$2:$L$11)</f>
        <v>#N/A</v>
      </c>
      <c r="AG161" s="142" t="str">
        <f t="shared" si="65"/>
        <v/>
      </c>
      <c r="AH161" s="142" t="str">
        <f t="shared" si="66"/>
        <v/>
      </c>
      <c r="AI161" s="143" t="b">
        <f t="shared" si="71"/>
        <v>0</v>
      </c>
      <c r="AJ161" s="143" t="str">
        <f t="shared" si="67"/>
        <v>Level 1</v>
      </c>
      <c r="AK161" s="142">
        <f t="shared" si="68"/>
        <v>0</v>
      </c>
      <c r="AL161" s="157" t="str">
        <f t="shared" si="76"/>
        <v/>
      </c>
      <c r="AM161" s="144" t="str">
        <f t="shared" si="77"/>
        <v>--FALSE-0</v>
      </c>
      <c r="AN161" s="158" t="str">
        <f t="shared" si="72"/>
        <v/>
      </c>
      <c r="AO161" s="145"/>
      <c r="AP161" s="159" t="str">
        <f>IF($AN161=FALSE,"",IFERROR(INDEX('Flat Rates'!$A$1:$M$3880,MATCH($AM161,'Flat Rates'!$A$1:$A$3880,0),MATCH("Standing Charge",'Flat Rates'!$A$1:$M$1,0))*100,""))</f>
        <v/>
      </c>
      <c r="AQ161" s="148" t="str">
        <f>IF($AN161=FALSE,"",IFERROR((IF(NOT(T161="Unrestricted"),"",INDEX('Flat Rates'!$A$1:$M$3880,MATCH($AM161,'Flat Rates'!$A$1:$A$3880,0),MATCH("Uni/Day Rate",'Flat Rates'!$A$1:$M$1,0)))*100)+H161,""))</f>
        <v/>
      </c>
      <c r="AR161" s="148" t="str">
        <f>IF($AN161=FALSE,"",IFERROR((IF(T161="Unrestricted","",INDEX('Flat Rates'!$A$1:$M$3880,MATCH($AM161,'Flat Rates'!$A$1:$A$3880,0),MATCH("Uni/Day Rate",'Flat Rates'!$A$1:$M$1,0)))*100)+H161,""))</f>
        <v/>
      </c>
      <c r="AS161" s="148" t="str">
        <f>IF($AN161=FALSE,"",IFERROR(IF(INDEX('Flat Rates'!$A$1:$M$3880,MATCH($AM161,'Flat Rates'!$A$1:$A$3880,0),MATCH("Night Unit Rate",'Flat Rates'!$A$1:$M$1,0))=0,"",((INDEX('Flat Rates'!$A$1:$M$3880,MATCH($AM161,'Flat Rates'!$A$1:$A$3880,0),MATCH("Night Unit Rate",'Flat Rates'!$A$1:$M$1,0)))*100)+H161),""))</f>
        <v/>
      </c>
      <c r="AT161" s="148" t="str">
        <f>IF($AN161=FALSE,"",IFERROR(IF(INDEX('Flat Rates'!$A$1:$M$3880,MATCH($AM161,'Flat Rates'!$A$1:$A$3880,0),MATCH("Evening and Weekend Rate",'Flat Rates'!$A$1:$M$1,0))=0,"",((INDEX('Flat Rates'!$A$1:$M$3880,MATCH($AM161,'Flat Rates'!$A$1:$A$3880,0),MATCH("Evening and Weekend Rate",'Flat Rates'!$A$1:$M$1,0)))*100)+H161),""))</f>
        <v/>
      </c>
      <c r="AU161" s="152" t="str">
        <f t="shared" si="73"/>
        <v/>
      </c>
      <c r="AV161" s="152" t="str">
        <f t="shared" si="74"/>
        <v/>
      </c>
      <c r="AW161" s="152" t="str">
        <f t="shared" si="75"/>
        <v/>
      </c>
    </row>
    <row r="162" spans="2:49" ht="15" thickBot="1" x14ac:dyDescent="0.35">
      <c r="B162" s="138" t="str">
        <f t="shared" si="52"/>
        <v/>
      </c>
      <c r="C162" s="146"/>
      <c r="D162" s="147"/>
      <c r="E162" s="140"/>
      <c r="F162" s="140"/>
      <c r="G162" s="139"/>
      <c r="H162" s="151"/>
      <c r="I162" s="139"/>
      <c r="J162" s="137"/>
      <c r="K162" s="139"/>
      <c r="L162" s="141"/>
      <c r="M162" s="133" t="str">
        <f t="shared" si="53"/>
        <v/>
      </c>
      <c r="N162" s="133" t="str">
        <f t="shared" si="54"/>
        <v/>
      </c>
      <c r="O162" s="133" t="str">
        <f t="shared" si="55"/>
        <v/>
      </c>
      <c r="P162" s="133" t="str">
        <f t="shared" si="56"/>
        <v/>
      </c>
      <c r="Q162" s="133" t="str">
        <f t="shared" si="57"/>
        <v/>
      </c>
      <c r="R162" s="133" t="str">
        <f t="shared" si="58"/>
        <v/>
      </c>
      <c r="S162" s="133" t="str">
        <f t="shared" si="59"/>
        <v/>
      </c>
      <c r="T162" s="133" t="str">
        <f>IFERROR(IF($U162="ERROR","ERROR",IF($N162="00",IF(J162="1-Rate","HH 1RATE",IF(J162="2-Rate","HH 2RATE","")),IFERROR(VLOOKUP(CONCATENATE(N162,Q162,O162,P162),Lookups!$A$2:$E$4557,5,0),VLOOKUP(CONCATENATE(N162,Q162,O162),Lookups!$A$2:$E$4557,5,0)))),"ERROR")</f>
        <v>ERROR</v>
      </c>
      <c r="U162" s="133" t="str">
        <f>IFERROR(IF(NOT($N162="00"),"",VLOOKUP(CONCATENATE(Q162,P162,LOOKUP(2,1/(Lookups!$I$2:$I$11&lt;=E162)/(Lookups!$J$2:$J$11&gt;=Tool!$C$14),Lookups!$K$2:$K$11)),'HH LLFs'!$A$2:$K$500,3,0)),"ERROR")</f>
        <v/>
      </c>
      <c r="V162" s="132">
        <f>Calcs!$I$2</f>
        <v>44377</v>
      </c>
      <c r="W162" s="132">
        <f>Calcs!$I$4</f>
        <v>44592</v>
      </c>
      <c r="X162" s="153" t="str">
        <f>IF(NOT(N162="00"),"",(VLOOKUP(CONCATENATE(Q162,P162,LOOKUP(2,1/(Lookups!$I$2:$I$11&lt;=Multisite!E162)/(Lookups!$J$2:$J$11&gt;=E162),Lookups!$K$2:$K$11)),'HH LLFs'!$A$2:$F$282,6,0)*365)/12)</f>
        <v/>
      </c>
      <c r="Y162" s="153">
        <f t="shared" si="60"/>
        <v>0</v>
      </c>
      <c r="Z162" s="153" t="str">
        <f t="shared" si="69"/>
        <v/>
      </c>
      <c r="AA162" s="153" t="str">
        <f t="shared" si="61"/>
        <v/>
      </c>
      <c r="AB162" s="153" t="str">
        <f t="shared" si="70"/>
        <v/>
      </c>
      <c r="AC162" s="153" t="str">
        <f t="shared" si="62"/>
        <v/>
      </c>
      <c r="AD162" s="153" t="str">
        <f t="shared" si="63"/>
        <v/>
      </c>
      <c r="AE162" s="153" t="str">
        <f t="shared" si="64"/>
        <v/>
      </c>
      <c r="AF162" s="155" t="e">
        <f>LOOKUP(2,1/(Lookups!$I$2:$I$11&lt;=E162)/(Lookups!$J$2:$J$11&gt;=E162),Lookups!$L$2:$L$11)</f>
        <v>#N/A</v>
      </c>
      <c r="AG162" s="142" t="str">
        <f t="shared" si="65"/>
        <v/>
      </c>
      <c r="AH162" s="142" t="str">
        <f t="shared" si="66"/>
        <v/>
      </c>
      <c r="AI162" s="143" t="b">
        <f t="shared" si="71"/>
        <v>0</v>
      </c>
      <c r="AJ162" s="143" t="str">
        <f t="shared" si="67"/>
        <v>Level 1</v>
      </c>
      <c r="AK162" s="142">
        <f t="shared" si="68"/>
        <v>0</v>
      </c>
      <c r="AL162" s="157" t="str">
        <f t="shared" si="76"/>
        <v/>
      </c>
      <c r="AM162" s="144" t="str">
        <f t="shared" si="77"/>
        <v>--FALSE-0</v>
      </c>
      <c r="AN162" s="158" t="str">
        <f t="shared" si="72"/>
        <v/>
      </c>
      <c r="AO162" s="145"/>
      <c r="AP162" s="159" t="str">
        <f>IF($AN162=FALSE,"",IFERROR(INDEX('Flat Rates'!$A$1:$M$3880,MATCH($AM162,'Flat Rates'!$A$1:$A$3880,0),MATCH("Standing Charge",'Flat Rates'!$A$1:$M$1,0))*100,""))</f>
        <v/>
      </c>
      <c r="AQ162" s="148" t="str">
        <f>IF($AN162=FALSE,"",IFERROR((IF(NOT(T162="Unrestricted"),"",INDEX('Flat Rates'!$A$1:$M$3880,MATCH($AM162,'Flat Rates'!$A$1:$A$3880,0),MATCH("Uni/Day Rate",'Flat Rates'!$A$1:$M$1,0)))*100)+H162,""))</f>
        <v/>
      </c>
      <c r="AR162" s="148" t="str">
        <f>IF($AN162=FALSE,"",IFERROR((IF(T162="Unrestricted","",INDEX('Flat Rates'!$A$1:$M$3880,MATCH($AM162,'Flat Rates'!$A$1:$A$3880,0),MATCH("Uni/Day Rate",'Flat Rates'!$A$1:$M$1,0)))*100)+H162,""))</f>
        <v/>
      </c>
      <c r="AS162" s="148" t="str">
        <f>IF($AN162=FALSE,"",IFERROR(IF(INDEX('Flat Rates'!$A$1:$M$3880,MATCH($AM162,'Flat Rates'!$A$1:$A$3880,0),MATCH("Night Unit Rate",'Flat Rates'!$A$1:$M$1,0))=0,"",((INDEX('Flat Rates'!$A$1:$M$3880,MATCH($AM162,'Flat Rates'!$A$1:$A$3880,0),MATCH("Night Unit Rate",'Flat Rates'!$A$1:$M$1,0)))*100)+H162),""))</f>
        <v/>
      </c>
      <c r="AT162" s="148" t="str">
        <f>IF($AN162=FALSE,"",IFERROR(IF(INDEX('Flat Rates'!$A$1:$M$3880,MATCH($AM162,'Flat Rates'!$A$1:$A$3880,0),MATCH("Evening and Weekend Rate",'Flat Rates'!$A$1:$M$1,0))=0,"",((INDEX('Flat Rates'!$A$1:$M$3880,MATCH($AM162,'Flat Rates'!$A$1:$A$3880,0),MATCH("Evening and Weekend Rate",'Flat Rates'!$A$1:$M$1,0)))*100)+H162),""))</f>
        <v/>
      </c>
      <c r="AU162" s="152" t="str">
        <f t="shared" si="73"/>
        <v/>
      </c>
      <c r="AV162" s="152" t="str">
        <f t="shared" si="74"/>
        <v/>
      </c>
      <c r="AW162" s="152" t="str">
        <f t="shared" si="75"/>
        <v/>
      </c>
    </row>
    <row r="163" spans="2:49" ht="15" thickBot="1" x14ac:dyDescent="0.35">
      <c r="B163" s="138" t="str">
        <f t="shared" si="52"/>
        <v/>
      </c>
      <c r="C163" s="137"/>
      <c r="D163" s="139"/>
      <c r="E163" s="140"/>
      <c r="F163" s="140"/>
      <c r="G163" s="139"/>
      <c r="H163" s="151"/>
      <c r="I163" s="139"/>
      <c r="J163" s="138"/>
      <c r="K163" s="139"/>
      <c r="L163" s="141"/>
      <c r="M163" s="133" t="str">
        <f t="shared" si="53"/>
        <v/>
      </c>
      <c r="N163" s="133" t="str">
        <f t="shared" si="54"/>
        <v/>
      </c>
      <c r="O163" s="133" t="str">
        <f t="shared" si="55"/>
        <v/>
      </c>
      <c r="P163" s="133" t="str">
        <f t="shared" si="56"/>
        <v/>
      </c>
      <c r="Q163" s="133" t="str">
        <f t="shared" si="57"/>
        <v/>
      </c>
      <c r="R163" s="133" t="str">
        <f t="shared" si="58"/>
        <v/>
      </c>
      <c r="S163" s="133" t="str">
        <f t="shared" si="59"/>
        <v/>
      </c>
      <c r="T163" s="133" t="str">
        <f>IFERROR(IF($U163="ERROR","ERROR",IF($N163="00",IF(J163="1-Rate","HH 1RATE",IF(J163="2-Rate","HH 2RATE","")),IFERROR(VLOOKUP(CONCATENATE(N163,Q163,O163,P163),Lookups!$A$2:$E$4557,5,0),VLOOKUP(CONCATENATE(N163,Q163,O163),Lookups!$A$2:$E$4557,5,0)))),"ERROR")</f>
        <v>ERROR</v>
      </c>
      <c r="U163" s="133" t="str">
        <f>IFERROR(IF(NOT($N163="00"),"",VLOOKUP(CONCATENATE(Q163,P163,LOOKUP(2,1/(Lookups!$I$2:$I$11&lt;=E163)/(Lookups!$J$2:$J$11&gt;=Tool!$C$14),Lookups!$K$2:$K$11)),'HH LLFs'!$A$2:$K$500,3,0)),"ERROR")</f>
        <v/>
      </c>
      <c r="V163" s="132">
        <f>Calcs!$I$2</f>
        <v>44377</v>
      </c>
      <c r="W163" s="132">
        <f>Calcs!$I$4</f>
        <v>44592</v>
      </c>
      <c r="X163" s="153" t="str">
        <f>IF(NOT(N163="00"),"",(VLOOKUP(CONCATENATE(Q163,P163,LOOKUP(2,1/(Lookups!$I$2:$I$11&lt;=Multisite!E163)/(Lookups!$J$2:$J$11&gt;=E163),Lookups!$K$2:$K$11)),'HH LLFs'!$A$2:$F$282,6,0)*365)/12)</f>
        <v/>
      </c>
      <c r="Y163" s="153">
        <f t="shared" si="60"/>
        <v>0</v>
      </c>
      <c r="Z163" s="153" t="str">
        <f t="shared" si="69"/>
        <v/>
      </c>
      <c r="AA163" s="153" t="str">
        <f t="shared" si="61"/>
        <v/>
      </c>
      <c r="AB163" s="153" t="str">
        <f t="shared" si="70"/>
        <v/>
      </c>
      <c r="AC163" s="153" t="str">
        <f t="shared" si="62"/>
        <v/>
      </c>
      <c r="AD163" s="153" t="str">
        <f t="shared" si="63"/>
        <v/>
      </c>
      <c r="AE163" s="153" t="str">
        <f t="shared" si="64"/>
        <v/>
      </c>
      <c r="AF163" s="155" t="e">
        <f>LOOKUP(2,1/(Lookups!$I$2:$I$11&lt;=E163)/(Lookups!$J$2:$J$11&gt;=E163),Lookups!$L$2:$L$11)</f>
        <v>#N/A</v>
      </c>
      <c r="AG163" s="142" t="str">
        <f t="shared" si="65"/>
        <v/>
      </c>
      <c r="AH163" s="142" t="str">
        <f t="shared" si="66"/>
        <v/>
      </c>
      <c r="AI163" s="143" t="b">
        <f t="shared" si="71"/>
        <v>0</v>
      </c>
      <c r="AJ163" s="143" t="str">
        <f t="shared" si="67"/>
        <v>Level 1</v>
      </c>
      <c r="AK163" s="142">
        <f t="shared" si="68"/>
        <v>0</v>
      </c>
      <c r="AL163" s="157" t="str">
        <f t="shared" si="76"/>
        <v/>
      </c>
      <c r="AM163" s="144" t="str">
        <f t="shared" si="77"/>
        <v>--FALSE-0</v>
      </c>
      <c r="AN163" s="158" t="str">
        <f t="shared" si="72"/>
        <v/>
      </c>
      <c r="AO163" s="145"/>
      <c r="AP163" s="159" t="str">
        <f>IF($AN163=FALSE,"",IFERROR(INDEX('Flat Rates'!$A$1:$M$3880,MATCH($AM163,'Flat Rates'!$A$1:$A$3880,0),MATCH("Standing Charge",'Flat Rates'!$A$1:$M$1,0))*100,""))</f>
        <v/>
      </c>
      <c r="AQ163" s="148" t="str">
        <f>IF($AN163=FALSE,"",IFERROR((IF(NOT(T163="Unrestricted"),"",INDEX('Flat Rates'!$A$1:$M$3880,MATCH($AM163,'Flat Rates'!$A$1:$A$3880,0),MATCH("Uni/Day Rate",'Flat Rates'!$A$1:$M$1,0)))*100)+H163,""))</f>
        <v/>
      </c>
      <c r="AR163" s="148" t="str">
        <f>IF($AN163=FALSE,"",IFERROR((IF(T163="Unrestricted","",INDEX('Flat Rates'!$A$1:$M$3880,MATCH($AM163,'Flat Rates'!$A$1:$A$3880,0),MATCH("Uni/Day Rate",'Flat Rates'!$A$1:$M$1,0)))*100)+H163,""))</f>
        <v/>
      </c>
      <c r="AS163" s="148" t="str">
        <f>IF($AN163=FALSE,"",IFERROR(IF(INDEX('Flat Rates'!$A$1:$M$3880,MATCH($AM163,'Flat Rates'!$A$1:$A$3880,0),MATCH("Night Unit Rate",'Flat Rates'!$A$1:$M$1,0))=0,"",((INDEX('Flat Rates'!$A$1:$M$3880,MATCH($AM163,'Flat Rates'!$A$1:$A$3880,0),MATCH("Night Unit Rate",'Flat Rates'!$A$1:$M$1,0)))*100)+H163),""))</f>
        <v/>
      </c>
      <c r="AT163" s="148" t="str">
        <f>IF($AN163=FALSE,"",IFERROR(IF(INDEX('Flat Rates'!$A$1:$M$3880,MATCH($AM163,'Flat Rates'!$A$1:$A$3880,0),MATCH("Evening and Weekend Rate",'Flat Rates'!$A$1:$M$1,0))=0,"",((INDEX('Flat Rates'!$A$1:$M$3880,MATCH($AM163,'Flat Rates'!$A$1:$A$3880,0),MATCH("Evening and Weekend Rate",'Flat Rates'!$A$1:$M$1,0)))*100)+H163),""))</f>
        <v/>
      </c>
      <c r="AU163" s="152" t="str">
        <f t="shared" si="73"/>
        <v/>
      </c>
      <c r="AV163" s="152" t="str">
        <f t="shared" si="74"/>
        <v/>
      </c>
      <c r="AW163" s="152" t="str">
        <f t="shared" si="75"/>
        <v/>
      </c>
    </row>
    <row r="164" spans="2:49" ht="15" thickBot="1" x14ac:dyDescent="0.35">
      <c r="B164" s="138" t="str">
        <f t="shared" si="52"/>
        <v/>
      </c>
      <c r="C164" s="146"/>
      <c r="D164" s="147"/>
      <c r="E164" s="140"/>
      <c r="F164" s="140"/>
      <c r="G164" s="139"/>
      <c r="H164" s="151"/>
      <c r="I164" s="139"/>
      <c r="J164" s="137"/>
      <c r="K164" s="139"/>
      <c r="L164" s="141"/>
      <c r="M164" s="133" t="str">
        <f t="shared" si="53"/>
        <v/>
      </c>
      <c r="N164" s="133" t="str">
        <f t="shared" si="54"/>
        <v/>
      </c>
      <c r="O164" s="133" t="str">
        <f t="shared" si="55"/>
        <v/>
      </c>
      <c r="P164" s="133" t="str">
        <f t="shared" si="56"/>
        <v/>
      </c>
      <c r="Q164" s="133" t="str">
        <f t="shared" si="57"/>
        <v/>
      </c>
      <c r="R164" s="133" t="str">
        <f t="shared" si="58"/>
        <v/>
      </c>
      <c r="S164" s="133" t="str">
        <f t="shared" si="59"/>
        <v/>
      </c>
      <c r="T164" s="133" t="str">
        <f>IFERROR(IF($U164="ERROR","ERROR",IF($N164="00",IF(J164="1-Rate","HH 1RATE",IF(J164="2-Rate","HH 2RATE","")),IFERROR(VLOOKUP(CONCATENATE(N164,Q164,O164,P164),Lookups!$A$2:$E$4557,5,0),VLOOKUP(CONCATENATE(N164,Q164,O164),Lookups!$A$2:$E$4557,5,0)))),"ERROR")</f>
        <v>ERROR</v>
      </c>
      <c r="U164" s="133" t="str">
        <f>IFERROR(IF(NOT($N164="00"),"",VLOOKUP(CONCATENATE(Q164,P164,LOOKUP(2,1/(Lookups!$I$2:$I$11&lt;=E164)/(Lookups!$J$2:$J$11&gt;=Tool!$C$14),Lookups!$K$2:$K$11)),'HH LLFs'!$A$2:$K$500,3,0)),"ERROR")</f>
        <v/>
      </c>
      <c r="V164" s="132">
        <f>Calcs!$I$2</f>
        <v>44377</v>
      </c>
      <c r="W164" s="132">
        <f>Calcs!$I$4</f>
        <v>44592</v>
      </c>
      <c r="X164" s="153" t="str">
        <f>IF(NOT(N164="00"),"",(VLOOKUP(CONCATENATE(Q164,P164,LOOKUP(2,1/(Lookups!$I$2:$I$11&lt;=Multisite!E164)/(Lookups!$J$2:$J$11&gt;=E164),Lookups!$K$2:$K$11)),'HH LLFs'!$A$2:$F$282,6,0)*365)/12)</f>
        <v/>
      </c>
      <c r="Y164" s="153">
        <f t="shared" si="60"/>
        <v>0</v>
      </c>
      <c r="Z164" s="153" t="str">
        <f t="shared" si="69"/>
        <v/>
      </c>
      <c r="AA164" s="153" t="str">
        <f t="shared" si="61"/>
        <v/>
      </c>
      <c r="AB164" s="153" t="str">
        <f t="shared" si="70"/>
        <v/>
      </c>
      <c r="AC164" s="153" t="str">
        <f t="shared" si="62"/>
        <v/>
      </c>
      <c r="AD164" s="153" t="str">
        <f t="shared" si="63"/>
        <v/>
      </c>
      <c r="AE164" s="153" t="str">
        <f t="shared" si="64"/>
        <v/>
      </c>
      <c r="AF164" s="155" t="e">
        <f>LOOKUP(2,1/(Lookups!$I$2:$I$11&lt;=E164)/(Lookups!$J$2:$J$11&gt;=E164),Lookups!$L$2:$L$11)</f>
        <v>#N/A</v>
      </c>
      <c r="AG164" s="142" t="str">
        <f t="shared" si="65"/>
        <v/>
      </c>
      <c r="AH164" s="142" t="str">
        <f t="shared" si="66"/>
        <v/>
      </c>
      <c r="AI164" s="143" t="b">
        <f t="shared" si="71"/>
        <v>0</v>
      </c>
      <c r="AJ164" s="143" t="str">
        <f t="shared" si="67"/>
        <v>Level 1</v>
      </c>
      <c r="AK164" s="142">
        <f t="shared" si="68"/>
        <v>0</v>
      </c>
      <c r="AL164" s="157" t="str">
        <f t="shared" si="76"/>
        <v/>
      </c>
      <c r="AM164" s="144" t="str">
        <f t="shared" si="77"/>
        <v>--FALSE-0</v>
      </c>
      <c r="AN164" s="158" t="str">
        <f t="shared" si="72"/>
        <v/>
      </c>
      <c r="AO164" s="145"/>
      <c r="AP164" s="159" t="str">
        <f>IF($AN164=FALSE,"",IFERROR(INDEX('Flat Rates'!$A$1:$M$3880,MATCH($AM164,'Flat Rates'!$A$1:$A$3880,0),MATCH("Standing Charge",'Flat Rates'!$A$1:$M$1,0))*100,""))</f>
        <v/>
      </c>
      <c r="AQ164" s="148" t="str">
        <f>IF($AN164=FALSE,"",IFERROR((IF(NOT(T164="Unrestricted"),"",INDEX('Flat Rates'!$A$1:$M$3880,MATCH($AM164,'Flat Rates'!$A$1:$A$3880,0),MATCH("Uni/Day Rate",'Flat Rates'!$A$1:$M$1,0)))*100)+H164,""))</f>
        <v/>
      </c>
      <c r="AR164" s="148" t="str">
        <f>IF($AN164=FALSE,"",IFERROR((IF(T164="Unrestricted","",INDEX('Flat Rates'!$A$1:$M$3880,MATCH($AM164,'Flat Rates'!$A$1:$A$3880,0),MATCH("Uni/Day Rate",'Flat Rates'!$A$1:$M$1,0)))*100)+H164,""))</f>
        <v/>
      </c>
      <c r="AS164" s="148" t="str">
        <f>IF($AN164=FALSE,"",IFERROR(IF(INDEX('Flat Rates'!$A$1:$M$3880,MATCH($AM164,'Flat Rates'!$A$1:$A$3880,0),MATCH("Night Unit Rate",'Flat Rates'!$A$1:$M$1,0))=0,"",((INDEX('Flat Rates'!$A$1:$M$3880,MATCH($AM164,'Flat Rates'!$A$1:$A$3880,0),MATCH("Night Unit Rate",'Flat Rates'!$A$1:$M$1,0)))*100)+H164),""))</f>
        <v/>
      </c>
      <c r="AT164" s="148" t="str">
        <f>IF($AN164=FALSE,"",IFERROR(IF(INDEX('Flat Rates'!$A$1:$M$3880,MATCH($AM164,'Flat Rates'!$A$1:$A$3880,0),MATCH("Evening and Weekend Rate",'Flat Rates'!$A$1:$M$1,0))=0,"",((INDEX('Flat Rates'!$A$1:$M$3880,MATCH($AM164,'Flat Rates'!$A$1:$A$3880,0),MATCH("Evening and Weekend Rate",'Flat Rates'!$A$1:$M$1,0)))*100)+H164),""))</f>
        <v/>
      </c>
      <c r="AU164" s="152" t="str">
        <f t="shared" si="73"/>
        <v/>
      </c>
      <c r="AV164" s="152" t="str">
        <f t="shared" si="74"/>
        <v/>
      </c>
      <c r="AW164" s="152" t="str">
        <f t="shared" si="75"/>
        <v/>
      </c>
    </row>
    <row r="165" spans="2:49" ht="15" thickBot="1" x14ac:dyDescent="0.35">
      <c r="B165" s="138" t="str">
        <f t="shared" si="52"/>
        <v/>
      </c>
      <c r="C165" s="137"/>
      <c r="D165" s="139"/>
      <c r="E165" s="140"/>
      <c r="F165" s="140"/>
      <c r="G165" s="139"/>
      <c r="H165" s="151"/>
      <c r="I165" s="139"/>
      <c r="J165" s="138"/>
      <c r="K165" s="139"/>
      <c r="L165" s="141"/>
      <c r="M165" s="133" t="str">
        <f t="shared" si="53"/>
        <v/>
      </c>
      <c r="N165" s="133" t="str">
        <f t="shared" si="54"/>
        <v/>
      </c>
      <c r="O165" s="133" t="str">
        <f t="shared" si="55"/>
        <v/>
      </c>
      <c r="P165" s="133" t="str">
        <f t="shared" si="56"/>
        <v/>
      </c>
      <c r="Q165" s="133" t="str">
        <f t="shared" si="57"/>
        <v/>
      </c>
      <c r="R165" s="133" t="str">
        <f t="shared" si="58"/>
        <v/>
      </c>
      <c r="S165" s="133" t="str">
        <f t="shared" si="59"/>
        <v/>
      </c>
      <c r="T165" s="133" t="str">
        <f>IFERROR(IF($U165="ERROR","ERROR",IF($N165="00",IF(J165="1-Rate","HH 1RATE",IF(J165="2-Rate","HH 2RATE","")),IFERROR(VLOOKUP(CONCATENATE(N165,Q165,O165,P165),Lookups!$A$2:$E$4557,5,0),VLOOKUP(CONCATENATE(N165,Q165,O165),Lookups!$A$2:$E$4557,5,0)))),"ERROR")</f>
        <v>ERROR</v>
      </c>
      <c r="U165" s="133" t="str">
        <f>IFERROR(IF(NOT($N165="00"),"",VLOOKUP(CONCATENATE(Q165,P165,LOOKUP(2,1/(Lookups!$I$2:$I$11&lt;=E165)/(Lookups!$J$2:$J$11&gt;=Tool!$C$14),Lookups!$K$2:$K$11)),'HH LLFs'!$A$2:$K$500,3,0)),"ERROR")</f>
        <v/>
      </c>
      <c r="V165" s="132">
        <f>Calcs!$I$2</f>
        <v>44377</v>
      </c>
      <c r="W165" s="132">
        <f>Calcs!$I$4</f>
        <v>44592</v>
      </c>
      <c r="X165" s="153" t="str">
        <f>IF(NOT(N165="00"),"",(VLOOKUP(CONCATENATE(Q165,P165,LOOKUP(2,1/(Lookups!$I$2:$I$11&lt;=Multisite!E165)/(Lookups!$J$2:$J$11&gt;=E165),Lookups!$K$2:$K$11)),'HH LLFs'!$A$2:$F$282,6,0)*365)/12)</f>
        <v/>
      </c>
      <c r="Y165" s="153">
        <f t="shared" si="60"/>
        <v>0</v>
      </c>
      <c r="Z165" s="153" t="str">
        <f t="shared" si="69"/>
        <v/>
      </c>
      <c r="AA165" s="153" t="str">
        <f t="shared" si="61"/>
        <v/>
      </c>
      <c r="AB165" s="153" t="str">
        <f t="shared" si="70"/>
        <v/>
      </c>
      <c r="AC165" s="153" t="str">
        <f t="shared" si="62"/>
        <v/>
      </c>
      <c r="AD165" s="153" t="str">
        <f t="shared" si="63"/>
        <v/>
      </c>
      <c r="AE165" s="153" t="str">
        <f t="shared" si="64"/>
        <v/>
      </c>
      <c r="AF165" s="155" t="e">
        <f>LOOKUP(2,1/(Lookups!$I$2:$I$11&lt;=E165)/(Lookups!$J$2:$J$11&gt;=E165),Lookups!$L$2:$L$11)</f>
        <v>#N/A</v>
      </c>
      <c r="AG165" s="142" t="str">
        <f t="shared" si="65"/>
        <v/>
      </c>
      <c r="AH165" s="142" t="str">
        <f t="shared" si="66"/>
        <v/>
      </c>
      <c r="AI165" s="143" t="b">
        <f t="shared" si="71"/>
        <v>0</v>
      </c>
      <c r="AJ165" s="143" t="str">
        <f t="shared" si="67"/>
        <v>Level 1</v>
      </c>
      <c r="AK165" s="142">
        <f t="shared" si="68"/>
        <v>0</v>
      </c>
      <c r="AL165" s="157" t="str">
        <f t="shared" si="76"/>
        <v/>
      </c>
      <c r="AM165" s="144" t="str">
        <f t="shared" si="77"/>
        <v>--FALSE-0</v>
      </c>
      <c r="AN165" s="158" t="str">
        <f t="shared" si="72"/>
        <v/>
      </c>
      <c r="AO165" s="145"/>
      <c r="AP165" s="159" t="str">
        <f>IF($AN165=FALSE,"",IFERROR(INDEX('Flat Rates'!$A$1:$M$3880,MATCH($AM165,'Flat Rates'!$A$1:$A$3880,0),MATCH("Standing Charge",'Flat Rates'!$A$1:$M$1,0))*100,""))</f>
        <v/>
      </c>
      <c r="AQ165" s="148" t="str">
        <f>IF($AN165=FALSE,"",IFERROR((IF(NOT(T165="Unrestricted"),"",INDEX('Flat Rates'!$A$1:$M$3880,MATCH($AM165,'Flat Rates'!$A$1:$A$3880,0),MATCH("Uni/Day Rate",'Flat Rates'!$A$1:$M$1,0)))*100)+H165,""))</f>
        <v/>
      </c>
      <c r="AR165" s="148" t="str">
        <f>IF($AN165=FALSE,"",IFERROR((IF(T165="Unrestricted","",INDEX('Flat Rates'!$A$1:$M$3880,MATCH($AM165,'Flat Rates'!$A$1:$A$3880,0),MATCH("Uni/Day Rate",'Flat Rates'!$A$1:$M$1,0)))*100)+H165,""))</f>
        <v/>
      </c>
      <c r="AS165" s="148" t="str">
        <f>IF($AN165=FALSE,"",IFERROR(IF(INDEX('Flat Rates'!$A$1:$M$3880,MATCH($AM165,'Flat Rates'!$A$1:$A$3880,0),MATCH("Night Unit Rate",'Flat Rates'!$A$1:$M$1,0))=0,"",((INDEX('Flat Rates'!$A$1:$M$3880,MATCH($AM165,'Flat Rates'!$A$1:$A$3880,0),MATCH("Night Unit Rate",'Flat Rates'!$A$1:$M$1,0)))*100)+H165),""))</f>
        <v/>
      </c>
      <c r="AT165" s="148" t="str">
        <f>IF($AN165=FALSE,"",IFERROR(IF(INDEX('Flat Rates'!$A$1:$M$3880,MATCH($AM165,'Flat Rates'!$A$1:$A$3880,0),MATCH("Evening and Weekend Rate",'Flat Rates'!$A$1:$M$1,0))=0,"",((INDEX('Flat Rates'!$A$1:$M$3880,MATCH($AM165,'Flat Rates'!$A$1:$A$3880,0),MATCH("Evening and Weekend Rate",'Flat Rates'!$A$1:$M$1,0)))*100)+H165),""))</f>
        <v/>
      </c>
      <c r="AU165" s="152" t="str">
        <f t="shared" si="73"/>
        <v/>
      </c>
      <c r="AV165" s="152" t="str">
        <f t="shared" si="74"/>
        <v/>
      </c>
      <c r="AW165" s="152" t="str">
        <f t="shared" si="75"/>
        <v/>
      </c>
    </row>
    <row r="166" spans="2:49" ht="15" thickBot="1" x14ac:dyDescent="0.35">
      <c r="B166" s="138" t="str">
        <f t="shared" si="52"/>
        <v/>
      </c>
      <c r="C166" s="146"/>
      <c r="D166" s="147"/>
      <c r="E166" s="140"/>
      <c r="F166" s="140"/>
      <c r="G166" s="139"/>
      <c r="H166" s="151"/>
      <c r="I166" s="139"/>
      <c r="J166" s="137"/>
      <c r="K166" s="139"/>
      <c r="L166" s="141"/>
      <c r="M166" s="133" t="str">
        <f t="shared" si="53"/>
        <v/>
      </c>
      <c r="N166" s="133" t="str">
        <f t="shared" si="54"/>
        <v/>
      </c>
      <c r="O166" s="133" t="str">
        <f t="shared" si="55"/>
        <v/>
      </c>
      <c r="P166" s="133" t="str">
        <f t="shared" si="56"/>
        <v/>
      </c>
      <c r="Q166" s="133" t="str">
        <f t="shared" si="57"/>
        <v/>
      </c>
      <c r="R166" s="133" t="str">
        <f t="shared" si="58"/>
        <v/>
      </c>
      <c r="S166" s="133" t="str">
        <f t="shared" si="59"/>
        <v/>
      </c>
      <c r="T166" s="133" t="str">
        <f>IFERROR(IF($U166="ERROR","ERROR",IF($N166="00",IF(J166="1-Rate","HH 1RATE",IF(J166="2-Rate","HH 2RATE","")),IFERROR(VLOOKUP(CONCATENATE(N166,Q166,O166,P166),Lookups!$A$2:$E$4557,5,0),VLOOKUP(CONCATENATE(N166,Q166,O166),Lookups!$A$2:$E$4557,5,0)))),"ERROR")</f>
        <v>ERROR</v>
      </c>
      <c r="U166" s="133" t="str">
        <f>IFERROR(IF(NOT($N166="00"),"",VLOOKUP(CONCATENATE(Q166,P166,LOOKUP(2,1/(Lookups!$I$2:$I$11&lt;=E166)/(Lookups!$J$2:$J$11&gt;=Tool!$C$14),Lookups!$K$2:$K$11)),'HH LLFs'!$A$2:$K$500,3,0)),"ERROR")</f>
        <v/>
      </c>
      <c r="V166" s="132">
        <f>Calcs!$I$2</f>
        <v>44377</v>
      </c>
      <c r="W166" s="132">
        <f>Calcs!$I$4</f>
        <v>44592</v>
      </c>
      <c r="X166" s="153" t="str">
        <f>IF(NOT(N166="00"),"",(VLOOKUP(CONCATENATE(Q166,P166,LOOKUP(2,1/(Lookups!$I$2:$I$11&lt;=Multisite!E166)/(Lookups!$J$2:$J$11&gt;=E166),Lookups!$K$2:$K$11)),'HH LLFs'!$A$2:$F$282,6,0)*365)/12)</f>
        <v/>
      </c>
      <c r="Y166" s="153">
        <f t="shared" si="60"/>
        <v>0</v>
      </c>
      <c r="Z166" s="153" t="str">
        <f t="shared" si="69"/>
        <v/>
      </c>
      <c r="AA166" s="153" t="str">
        <f t="shared" si="61"/>
        <v/>
      </c>
      <c r="AB166" s="153" t="str">
        <f t="shared" si="70"/>
        <v/>
      </c>
      <c r="AC166" s="153" t="str">
        <f t="shared" si="62"/>
        <v/>
      </c>
      <c r="AD166" s="153" t="str">
        <f t="shared" si="63"/>
        <v/>
      </c>
      <c r="AE166" s="153" t="str">
        <f t="shared" si="64"/>
        <v/>
      </c>
      <c r="AF166" s="155" t="e">
        <f>LOOKUP(2,1/(Lookups!$I$2:$I$11&lt;=E166)/(Lookups!$J$2:$J$11&gt;=E166),Lookups!$L$2:$L$11)</f>
        <v>#N/A</v>
      </c>
      <c r="AG166" s="142" t="str">
        <f t="shared" si="65"/>
        <v/>
      </c>
      <c r="AH166" s="142" t="str">
        <f t="shared" si="66"/>
        <v/>
      </c>
      <c r="AI166" s="143" t="b">
        <f t="shared" si="71"/>
        <v>0</v>
      </c>
      <c r="AJ166" s="143" t="str">
        <f t="shared" si="67"/>
        <v>Level 1</v>
      </c>
      <c r="AK166" s="142">
        <f t="shared" si="68"/>
        <v>0</v>
      </c>
      <c r="AL166" s="157" t="str">
        <f t="shared" si="76"/>
        <v/>
      </c>
      <c r="AM166" s="144" t="str">
        <f t="shared" si="77"/>
        <v>--FALSE-0</v>
      </c>
      <c r="AN166" s="158" t="str">
        <f t="shared" si="72"/>
        <v/>
      </c>
      <c r="AO166" s="145"/>
      <c r="AP166" s="159" t="str">
        <f>IF($AN166=FALSE,"",IFERROR(INDEX('Flat Rates'!$A$1:$M$3880,MATCH($AM166,'Flat Rates'!$A$1:$A$3880,0),MATCH("Standing Charge",'Flat Rates'!$A$1:$M$1,0))*100,""))</f>
        <v/>
      </c>
      <c r="AQ166" s="148" t="str">
        <f>IF($AN166=FALSE,"",IFERROR((IF(NOT(T166="Unrestricted"),"",INDEX('Flat Rates'!$A$1:$M$3880,MATCH($AM166,'Flat Rates'!$A$1:$A$3880,0),MATCH("Uni/Day Rate",'Flat Rates'!$A$1:$M$1,0)))*100)+H166,""))</f>
        <v/>
      </c>
      <c r="AR166" s="148" t="str">
        <f>IF($AN166=FALSE,"",IFERROR((IF(T166="Unrestricted","",INDEX('Flat Rates'!$A$1:$M$3880,MATCH($AM166,'Flat Rates'!$A$1:$A$3880,0),MATCH("Uni/Day Rate",'Flat Rates'!$A$1:$M$1,0)))*100)+H166,""))</f>
        <v/>
      </c>
      <c r="AS166" s="148" t="str">
        <f>IF($AN166=FALSE,"",IFERROR(IF(INDEX('Flat Rates'!$A$1:$M$3880,MATCH($AM166,'Flat Rates'!$A$1:$A$3880,0),MATCH("Night Unit Rate",'Flat Rates'!$A$1:$M$1,0))=0,"",((INDEX('Flat Rates'!$A$1:$M$3880,MATCH($AM166,'Flat Rates'!$A$1:$A$3880,0),MATCH("Night Unit Rate",'Flat Rates'!$A$1:$M$1,0)))*100)+H166),""))</f>
        <v/>
      </c>
      <c r="AT166" s="148" t="str">
        <f>IF($AN166=FALSE,"",IFERROR(IF(INDEX('Flat Rates'!$A$1:$M$3880,MATCH($AM166,'Flat Rates'!$A$1:$A$3880,0),MATCH("Evening and Weekend Rate",'Flat Rates'!$A$1:$M$1,0))=0,"",((INDEX('Flat Rates'!$A$1:$M$3880,MATCH($AM166,'Flat Rates'!$A$1:$A$3880,0),MATCH("Evening and Weekend Rate",'Flat Rates'!$A$1:$M$1,0)))*100)+H166),""))</f>
        <v/>
      </c>
      <c r="AU166" s="152" t="str">
        <f t="shared" si="73"/>
        <v/>
      </c>
      <c r="AV166" s="152" t="str">
        <f t="shared" si="74"/>
        <v/>
      </c>
      <c r="AW166" s="152" t="str">
        <f t="shared" si="75"/>
        <v/>
      </c>
    </row>
    <row r="167" spans="2:49" ht="15" thickBot="1" x14ac:dyDescent="0.35">
      <c r="B167" s="138" t="str">
        <f t="shared" si="52"/>
        <v/>
      </c>
      <c r="C167" s="137"/>
      <c r="D167" s="139"/>
      <c r="E167" s="140"/>
      <c r="F167" s="140"/>
      <c r="G167" s="139"/>
      <c r="H167" s="151"/>
      <c r="I167" s="139"/>
      <c r="J167" s="138"/>
      <c r="K167" s="139"/>
      <c r="L167" s="141"/>
      <c r="M167" s="133" t="str">
        <f t="shared" si="53"/>
        <v/>
      </c>
      <c r="N167" s="133" t="str">
        <f t="shared" si="54"/>
        <v/>
      </c>
      <c r="O167" s="133" t="str">
        <f t="shared" si="55"/>
        <v/>
      </c>
      <c r="P167" s="133" t="str">
        <f t="shared" si="56"/>
        <v/>
      </c>
      <c r="Q167" s="133" t="str">
        <f t="shared" si="57"/>
        <v/>
      </c>
      <c r="R167" s="133" t="str">
        <f t="shared" si="58"/>
        <v/>
      </c>
      <c r="S167" s="133" t="str">
        <f t="shared" si="59"/>
        <v/>
      </c>
      <c r="T167" s="133" t="str">
        <f>IFERROR(IF($U167="ERROR","ERROR",IF($N167="00",IF(J167="1-Rate","HH 1RATE",IF(J167="2-Rate","HH 2RATE","")),IFERROR(VLOOKUP(CONCATENATE(N167,Q167,O167,P167),Lookups!$A$2:$E$4557,5,0),VLOOKUP(CONCATENATE(N167,Q167,O167),Lookups!$A$2:$E$4557,5,0)))),"ERROR")</f>
        <v>ERROR</v>
      </c>
      <c r="U167" s="133" t="str">
        <f>IFERROR(IF(NOT($N167="00"),"",VLOOKUP(CONCATENATE(Q167,P167,LOOKUP(2,1/(Lookups!$I$2:$I$11&lt;=E167)/(Lookups!$J$2:$J$11&gt;=Tool!$C$14),Lookups!$K$2:$K$11)),'HH LLFs'!$A$2:$K$500,3,0)),"ERROR")</f>
        <v/>
      </c>
      <c r="V167" s="132">
        <f>Calcs!$I$2</f>
        <v>44377</v>
      </c>
      <c r="W167" s="132">
        <f>Calcs!$I$4</f>
        <v>44592</v>
      </c>
      <c r="X167" s="153" t="str">
        <f>IF(NOT(N167="00"),"",(VLOOKUP(CONCATENATE(Q167,P167,LOOKUP(2,1/(Lookups!$I$2:$I$11&lt;=Multisite!E167)/(Lookups!$J$2:$J$11&gt;=E167),Lookups!$K$2:$K$11)),'HH LLFs'!$A$2:$F$282,6,0)*365)/12)</f>
        <v/>
      </c>
      <c r="Y167" s="153">
        <f t="shared" si="60"/>
        <v>0</v>
      </c>
      <c r="Z167" s="153" t="str">
        <f t="shared" si="69"/>
        <v/>
      </c>
      <c r="AA167" s="153" t="str">
        <f t="shared" si="61"/>
        <v/>
      </c>
      <c r="AB167" s="153" t="str">
        <f t="shared" si="70"/>
        <v/>
      </c>
      <c r="AC167" s="153" t="str">
        <f t="shared" si="62"/>
        <v/>
      </c>
      <c r="AD167" s="153" t="str">
        <f t="shared" si="63"/>
        <v/>
      </c>
      <c r="AE167" s="153" t="str">
        <f t="shared" si="64"/>
        <v/>
      </c>
      <c r="AF167" s="155" t="e">
        <f>LOOKUP(2,1/(Lookups!$I$2:$I$11&lt;=E167)/(Lookups!$J$2:$J$11&gt;=E167),Lookups!$L$2:$L$11)</f>
        <v>#N/A</v>
      </c>
      <c r="AG167" s="142" t="str">
        <f t="shared" si="65"/>
        <v/>
      </c>
      <c r="AH167" s="142" t="str">
        <f t="shared" si="66"/>
        <v/>
      </c>
      <c r="AI167" s="143" t="b">
        <f t="shared" si="71"/>
        <v>0</v>
      </c>
      <c r="AJ167" s="143" t="str">
        <f t="shared" si="67"/>
        <v>Level 1</v>
      </c>
      <c r="AK167" s="142">
        <f t="shared" si="68"/>
        <v>0</v>
      </c>
      <c r="AL167" s="157" t="str">
        <f t="shared" si="76"/>
        <v/>
      </c>
      <c r="AM167" s="144" t="str">
        <f t="shared" si="77"/>
        <v>--FALSE-0</v>
      </c>
      <c r="AN167" s="158" t="str">
        <f t="shared" si="72"/>
        <v/>
      </c>
      <c r="AO167" s="145"/>
      <c r="AP167" s="159" t="str">
        <f>IF($AN167=FALSE,"",IFERROR(INDEX('Flat Rates'!$A$1:$M$3880,MATCH($AM167,'Flat Rates'!$A$1:$A$3880,0),MATCH("Standing Charge",'Flat Rates'!$A$1:$M$1,0))*100,""))</f>
        <v/>
      </c>
      <c r="AQ167" s="148" t="str">
        <f>IF($AN167=FALSE,"",IFERROR((IF(NOT(T167="Unrestricted"),"",INDEX('Flat Rates'!$A$1:$M$3880,MATCH($AM167,'Flat Rates'!$A$1:$A$3880,0),MATCH("Uni/Day Rate",'Flat Rates'!$A$1:$M$1,0)))*100)+H167,""))</f>
        <v/>
      </c>
      <c r="AR167" s="148" t="str">
        <f>IF($AN167=FALSE,"",IFERROR((IF(T167="Unrestricted","",INDEX('Flat Rates'!$A$1:$M$3880,MATCH($AM167,'Flat Rates'!$A$1:$A$3880,0),MATCH("Uni/Day Rate",'Flat Rates'!$A$1:$M$1,0)))*100)+H167,""))</f>
        <v/>
      </c>
      <c r="AS167" s="148" t="str">
        <f>IF($AN167=FALSE,"",IFERROR(IF(INDEX('Flat Rates'!$A$1:$M$3880,MATCH($AM167,'Flat Rates'!$A$1:$A$3880,0),MATCH("Night Unit Rate",'Flat Rates'!$A$1:$M$1,0))=0,"",((INDEX('Flat Rates'!$A$1:$M$3880,MATCH($AM167,'Flat Rates'!$A$1:$A$3880,0),MATCH("Night Unit Rate",'Flat Rates'!$A$1:$M$1,0)))*100)+H167),""))</f>
        <v/>
      </c>
      <c r="AT167" s="148" t="str">
        <f>IF($AN167=FALSE,"",IFERROR(IF(INDEX('Flat Rates'!$A$1:$M$3880,MATCH($AM167,'Flat Rates'!$A$1:$A$3880,0),MATCH("Evening and Weekend Rate",'Flat Rates'!$A$1:$M$1,0))=0,"",((INDEX('Flat Rates'!$A$1:$M$3880,MATCH($AM167,'Flat Rates'!$A$1:$A$3880,0),MATCH("Evening and Weekend Rate",'Flat Rates'!$A$1:$M$1,0)))*100)+H167),""))</f>
        <v/>
      </c>
      <c r="AU167" s="152" t="str">
        <f t="shared" si="73"/>
        <v/>
      </c>
      <c r="AV167" s="152" t="str">
        <f t="shared" si="74"/>
        <v/>
      </c>
      <c r="AW167" s="152" t="str">
        <f t="shared" si="75"/>
        <v/>
      </c>
    </row>
    <row r="168" spans="2:49" ht="15" thickBot="1" x14ac:dyDescent="0.35">
      <c r="B168" s="138" t="str">
        <f t="shared" si="52"/>
        <v/>
      </c>
      <c r="C168" s="146"/>
      <c r="D168" s="147"/>
      <c r="E168" s="140"/>
      <c r="F168" s="140"/>
      <c r="G168" s="139"/>
      <c r="H168" s="151"/>
      <c r="I168" s="139"/>
      <c r="J168" s="137"/>
      <c r="K168" s="139"/>
      <c r="L168" s="141"/>
      <c r="M168" s="133" t="str">
        <f t="shared" si="53"/>
        <v/>
      </c>
      <c r="N168" s="133" t="str">
        <f t="shared" si="54"/>
        <v/>
      </c>
      <c r="O168" s="133" t="str">
        <f t="shared" si="55"/>
        <v/>
      </c>
      <c r="P168" s="133" t="str">
        <f t="shared" si="56"/>
        <v/>
      </c>
      <c r="Q168" s="133" t="str">
        <f t="shared" si="57"/>
        <v/>
      </c>
      <c r="R168" s="133" t="str">
        <f t="shared" si="58"/>
        <v/>
      </c>
      <c r="S168" s="133" t="str">
        <f t="shared" si="59"/>
        <v/>
      </c>
      <c r="T168" s="133" t="str">
        <f>IFERROR(IF($U168="ERROR","ERROR",IF($N168="00",IF(J168="1-Rate","HH 1RATE",IF(J168="2-Rate","HH 2RATE","")),IFERROR(VLOOKUP(CONCATENATE(N168,Q168,O168,P168),Lookups!$A$2:$E$4557,5,0),VLOOKUP(CONCATENATE(N168,Q168,O168),Lookups!$A$2:$E$4557,5,0)))),"ERROR")</f>
        <v>ERROR</v>
      </c>
      <c r="U168" s="133" t="str">
        <f>IFERROR(IF(NOT($N168="00"),"",VLOOKUP(CONCATENATE(Q168,P168,LOOKUP(2,1/(Lookups!$I$2:$I$11&lt;=E168)/(Lookups!$J$2:$J$11&gt;=Tool!$C$14),Lookups!$K$2:$K$11)),'HH LLFs'!$A$2:$K$500,3,0)),"ERROR")</f>
        <v/>
      </c>
      <c r="V168" s="132">
        <f>Calcs!$I$2</f>
        <v>44377</v>
      </c>
      <c r="W168" s="132">
        <f>Calcs!$I$4</f>
        <v>44592</v>
      </c>
      <c r="X168" s="153" t="str">
        <f>IF(NOT(N168="00"),"",(VLOOKUP(CONCATENATE(Q168,P168,LOOKUP(2,1/(Lookups!$I$2:$I$11&lt;=Multisite!E168)/(Lookups!$J$2:$J$11&gt;=E168),Lookups!$K$2:$K$11)),'HH LLFs'!$A$2:$F$282,6,0)*365)/12)</f>
        <v/>
      </c>
      <c r="Y168" s="153">
        <f t="shared" si="60"/>
        <v>0</v>
      </c>
      <c r="Z168" s="153" t="str">
        <f t="shared" si="69"/>
        <v/>
      </c>
      <c r="AA168" s="153" t="str">
        <f t="shared" si="61"/>
        <v/>
      </c>
      <c r="AB168" s="153" t="str">
        <f t="shared" si="70"/>
        <v/>
      </c>
      <c r="AC168" s="153" t="str">
        <f t="shared" si="62"/>
        <v/>
      </c>
      <c r="AD168" s="153" t="str">
        <f t="shared" si="63"/>
        <v/>
      </c>
      <c r="AE168" s="153" t="str">
        <f t="shared" si="64"/>
        <v/>
      </c>
      <c r="AF168" s="155" t="e">
        <f>LOOKUP(2,1/(Lookups!$I$2:$I$11&lt;=E168)/(Lookups!$J$2:$J$11&gt;=E168),Lookups!$L$2:$L$11)</f>
        <v>#N/A</v>
      </c>
      <c r="AG168" s="142" t="str">
        <f t="shared" si="65"/>
        <v/>
      </c>
      <c r="AH168" s="142" t="str">
        <f t="shared" si="66"/>
        <v/>
      </c>
      <c r="AI168" s="143" t="b">
        <f t="shared" si="71"/>
        <v>0</v>
      </c>
      <c r="AJ168" s="143" t="str">
        <f t="shared" si="67"/>
        <v>Level 1</v>
      </c>
      <c r="AK168" s="142">
        <f t="shared" si="68"/>
        <v>0</v>
      </c>
      <c r="AL168" s="157" t="str">
        <f t="shared" si="76"/>
        <v/>
      </c>
      <c r="AM168" s="144" t="str">
        <f t="shared" si="77"/>
        <v>--FALSE-0</v>
      </c>
      <c r="AN168" s="158" t="str">
        <f t="shared" si="72"/>
        <v/>
      </c>
      <c r="AO168" s="145"/>
      <c r="AP168" s="159" t="str">
        <f>IF($AN168=FALSE,"",IFERROR(INDEX('Flat Rates'!$A$1:$M$3880,MATCH($AM168,'Flat Rates'!$A$1:$A$3880,0),MATCH("Standing Charge",'Flat Rates'!$A$1:$M$1,0))*100,""))</f>
        <v/>
      </c>
      <c r="AQ168" s="148" t="str">
        <f>IF($AN168=FALSE,"",IFERROR((IF(NOT(T168="Unrestricted"),"",INDEX('Flat Rates'!$A$1:$M$3880,MATCH($AM168,'Flat Rates'!$A$1:$A$3880,0),MATCH("Uni/Day Rate",'Flat Rates'!$A$1:$M$1,0)))*100)+H168,""))</f>
        <v/>
      </c>
      <c r="AR168" s="148" t="str">
        <f>IF($AN168=FALSE,"",IFERROR((IF(T168="Unrestricted","",INDEX('Flat Rates'!$A$1:$M$3880,MATCH($AM168,'Flat Rates'!$A$1:$A$3880,0),MATCH("Uni/Day Rate",'Flat Rates'!$A$1:$M$1,0)))*100)+H168,""))</f>
        <v/>
      </c>
      <c r="AS168" s="148" t="str">
        <f>IF($AN168=FALSE,"",IFERROR(IF(INDEX('Flat Rates'!$A$1:$M$3880,MATCH($AM168,'Flat Rates'!$A$1:$A$3880,0),MATCH("Night Unit Rate",'Flat Rates'!$A$1:$M$1,0))=0,"",((INDEX('Flat Rates'!$A$1:$M$3880,MATCH($AM168,'Flat Rates'!$A$1:$A$3880,0),MATCH("Night Unit Rate",'Flat Rates'!$A$1:$M$1,0)))*100)+H168),""))</f>
        <v/>
      </c>
      <c r="AT168" s="148" t="str">
        <f>IF($AN168=FALSE,"",IFERROR(IF(INDEX('Flat Rates'!$A$1:$M$3880,MATCH($AM168,'Flat Rates'!$A$1:$A$3880,0),MATCH("Evening and Weekend Rate",'Flat Rates'!$A$1:$M$1,0))=0,"",((INDEX('Flat Rates'!$A$1:$M$3880,MATCH($AM168,'Flat Rates'!$A$1:$A$3880,0),MATCH("Evening and Weekend Rate",'Flat Rates'!$A$1:$M$1,0)))*100)+H168),""))</f>
        <v/>
      </c>
      <c r="AU168" s="152" t="str">
        <f t="shared" si="73"/>
        <v/>
      </c>
      <c r="AV168" s="152" t="str">
        <f t="shared" si="74"/>
        <v/>
      </c>
      <c r="AW168" s="152" t="str">
        <f t="shared" si="75"/>
        <v/>
      </c>
    </row>
    <row r="169" spans="2:49" ht="15" thickBot="1" x14ac:dyDescent="0.35">
      <c r="B169" s="138" t="str">
        <f t="shared" si="52"/>
        <v/>
      </c>
      <c r="C169" s="137"/>
      <c r="D169" s="139"/>
      <c r="E169" s="140"/>
      <c r="F169" s="140"/>
      <c r="G169" s="139"/>
      <c r="H169" s="151"/>
      <c r="I169" s="139"/>
      <c r="J169" s="138"/>
      <c r="K169" s="139"/>
      <c r="L169" s="141"/>
      <c r="M169" s="133" t="str">
        <f t="shared" si="53"/>
        <v/>
      </c>
      <c r="N169" s="133" t="str">
        <f t="shared" si="54"/>
        <v/>
      </c>
      <c r="O169" s="133" t="str">
        <f t="shared" si="55"/>
        <v/>
      </c>
      <c r="P169" s="133" t="str">
        <f t="shared" si="56"/>
        <v/>
      </c>
      <c r="Q169" s="133" t="str">
        <f t="shared" si="57"/>
        <v/>
      </c>
      <c r="R169" s="133" t="str">
        <f t="shared" si="58"/>
        <v/>
      </c>
      <c r="S169" s="133" t="str">
        <f t="shared" si="59"/>
        <v/>
      </c>
      <c r="T169" s="133" t="str">
        <f>IFERROR(IF($U169="ERROR","ERROR",IF($N169="00",IF(J169="1-Rate","HH 1RATE",IF(J169="2-Rate","HH 2RATE","")),IFERROR(VLOOKUP(CONCATENATE(N169,Q169,O169,P169),Lookups!$A$2:$E$4557,5,0),VLOOKUP(CONCATENATE(N169,Q169,O169),Lookups!$A$2:$E$4557,5,0)))),"ERROR")</f>
        <v>ERROR</v>
      </c>
      <c r="U169" s="133" t="str">
        <f>IFERROR(IF(NOT($N169="00"),"",VLOOKUP(CONCATENATE(Q169,P169,LOOKUP(2,1/(Lookups!$I$2:$I$11&lt;=E169)/(Lookups!$J$2:$J$11&gt;=Tool!$C$14),Lookups!$K$2:$K$11)),'HH LLFs'!$A$2:$K$500,3,0)),"ERROR")</f>
        <v/>
      </c>
      <c r="V169" s="132">
        <f>Calcs!$I$2</f>
        <v>44377</v>
      </c>
      <c r="W169" s="132">
        <f>Calcs!$I$4</f>
        <v>44592</v>
      </c>
      <c r="X169" s="153" t="str">
        <f>IF(NOT(N169="00"),"",(VLOOKUP(CONCATENATE(Q169,P169,LOOKUP(2,1/(Lookups!$I$2:$I$11&lt;=Multisite!E169)/(Lookups!$J$2:$J$11&gt;=E169),Lookups!$K$2:$K$11)),'HH LLFs'!$A$2:$F$282,6,0)*365)/12)</f>
        <v/>
      </c>
      <c r="Y169" s="153">
        <f t="shared" si="60"/>
        <v>0</v>
      </c>
      <c r="Z169" s="153" t="str">
        <f t="shared" si="69"/>
        <v/>
      </c>
      <c r="AA169" s="153" t="str">
        <f t="shared" si="61"/>
        <v/>
      </c>
      <c r="AB169" s="153" t="str">
        <f t="shared" si="70"/>
        <v/>
      </c>
      <c r="AC169" s="153" t="str">
        <f t="shared" si="62"/>
        <v/>
      </c>
      <c r="AD169" s="153" t="str">
        <f t="shared" si="63"/>
        <v/>
      </c>
      <c r="AE169" s="153" t="str">
        <f t="shared" si="64"/>
        <v/>
      </c>
      <c r="AF169" s="155" t="e">
        <f>LOOKUP(2,1/(Lookups!$I$2:$I$11&lt;=E169)/(Lookups!$J$2:$J$11&gt;=E169),Lookups!$L$2:$L$11)</f>
        <v>#N/A</v>
      </c>
      <c r="AG169" s="142" t="str">
        <f t="shared" si="65"/>
        <v/>
      </c>
      <c r="AH169" s="142" t="str">
        <f t="shared" si="66"/>
        <v/>
      </c>
      <c r="AI169" s="143" t="b">
        <f t="shared" si="71"/>
        <v>0</v>
      </c>
      <c r="AJ169" s="143" t="str">
        <f t="shared" si="67"/>
        <v>Level 1</v>
      </c>
      <c r="AK169" s="142">
        <f t="shared" si="68"/>
        <v>0</v>
      </c>
      <c r="AL169" s="157" t="str">
        <f t="shared" si="76"/>
        <v/>
      </c>
      <c r="AM169" s="144" t="str">
        <f t="shared" si="77"/>
        <v>--FALSE-0</v>
      </c>
      <c r="AN169" s="158" t="str">
        <f t="shared" si="72"/>
        <v/>
      </c>
      <c r="AO169" s="145"/>
      <c r="AP169" s="159" t="str">
        <f>IF($AN169=FALSE,"",IFERROR(INDEX('Flat Rates'!$A$1:$M$3880,MATCH($AM169,'Flat Rates'!$A$1:$A$3880,0),MATCH("Standing Charge",'Flat Rates'!$A$1:$M$1,0))*100,""))</f>
        <v/>
      </c>
      <c r="AQ169" s="148" t="str">
        <f>IF($AN169=FALSE,"",IFERROR((IF(NOT(T169="Unrestricted"),"",INDEX('Flat Rates'!$A$1:$M$3880,MATCH($AM169,'Flat Rates'!$A$1:$A$3880,0),MATCH("Uni/Day Rate",'Flat Rates'!$A$1:$M$1,0)))*100)+H169,""))</f>
        <v/>
      </c>
      <c r="AR169" s="148" t="str">
        <f>IF($AN169=FALSE,"",IFERROR((IF(T169="Unrestricted","",INDEX('Flat Rates'!$A$1:$M$3880,MATCH($AM169,'Flat Rates'!$A$1:$A$3880,0),MATCH("Uni/Day Rate",'Flat Rates'!$A$1:$M$1,0)))*100)+H169,""))</f>
        <v/>
      </c>
      <c r="AS169" s="148" t="str">
        <f>IF($AN169=FALSE,"",IFERROR(IF(INDEX('Flat Rates'!$A$1:$M$3880,MATCH($AM169,'Flat Rates'!$A$1:$A$3880,0),MATCH("Night Unit Rate",'Flat Rates'!$A$1:$M$1,0))=0,"",((INDEX('Flat Rates'!$A$1:$M$3880,MATCH($AM169,'Flat Rates'!$A$1:$A$3880,0),MATCH("Night Unit Rate",'Flat Rates'!$A$1:$M$1,0)))*100)+H169),""))</f>
        <v/>
      </c>
      <c r="AT169" s="148" t="str">
        <f>IF($AN169=FALSE,"",IFERROR(IF(INDEX('Flat Rates'!$A$1:$M$3880,MATCH($AM169,'Flat Rates'!$A$1:$A$3880,0),MATCH("Evening and Weekend Rate",'Flat Rates'!$A$1:$M$1,0))=0,"",((INDEX('Flat Rates'!$A$1:$M$3880,MATCH($AM169,'Flat Rates'!$A$1:$A$3880,0),MATCH("Evening and Weekend Rate",'Flat Rates'!$A$1:$M$1,0)))*100)+H169),""))</f>
        <v/>
      </c>
      <c r="AU169" s="152" t="str">
        <f t="shared" si="73"/>
        <v/>
      </c>
      <c r="AV169" s="152" t="str">
        <f t="shared" si="74"/>
        <v/>
      </c>
      <c r="AW169" s="152" t="str">
        <f t="shared" si="75"/>
        <v/>
      </c>
    </row>
    <row r="170" spans="2:49" ht="15" thickBot="1" x14ac:dyDescent="0.35">
      <c r="B170" s="138" t="str">
        <f t="shared" si="52"/>
        <v/>
      </c>
      <c r="C170" s="146"/>
      <c r="D170" s="147"/>
      <c r="E170" s="140"/>
      <c r="F170" s="140"/>
      <c r="G170" s="139"/>
      <c r="H170" s="151"/>
      <c r="I170" s="139"/>
      <c r="J170" s="137"/>
      <c r="K170" s="139"/>
      <c r="L170" s="141"/>
      <c r="M170" s="133" t="str">
        <f t="shared" si="53"/>
        <v/>
      </c>
      <c r="N170" s="133" t="str">
        <f t="shared" si="54"/>
        <v/>
      </c>
      <c r="O170" s="133" t="str">
        <f t="shared" si="55"/>
        <v/>
      </c>
      <c r="P170" s="133" t="str">
        <f t="shared" si="56"/>
        <v/>
      </c>
      <c r="Q170" s="133" t="str">
        <f t="shared" si="57"/>
        <v/>
      </c>
      <c r="R170" s="133" t="str">
        <f t="shared" si="58"/>
        <v/>
      </c>
      <c r="S170" s="133" t="str">
        <f t="shared" si="59"/>
        <v/>
      </c>
      <c r="T170" s="133" t="str">
        <f>IFERROR(IF($U170="ERROR","ERROR",IF($N170="00",IF(J170="1-Rate","HH 1RATE",IF(J170="2-Rate","HH 2RATE","")),IFERROR(VLOOKUP(CONCATENATE(N170,Q170,O170,P170),Lookups!$A$2:$E$4557,5,0),VLOOKUP(CONCATENATE(N170,Q170,O170),Lookups!$A$2:$E$4557,5,0)))),"ERROR")</f>
        <v>ERROR</v>
      </c>
      <c r="U170" s="133" t="str">
        <f>IFERROR(IF(NOT($N170="00"),"",VLOOKUP(CONCATENATE(Q170,P170,LOOKUP(2,1/(Lookups!$I$2:$I$11&lt;=E170)/(Lookups!$J$2:$J$11&gt;=Tool!$C$14),Lookups!$K$2:$K$11)),'HH LLFs'!$A$2:$K$500,3,0)),"ERROR")</f>
        <v/>
      </c>
      <c r="V170" s="132">
        <f>Calcs!$I$2</f>
        <v>44377</v>
      </c>
      <c r="W170" s="132">
        <f>Calcs!$I$4</f>
        <v>44592</v>
      </c>
      <c r="X170" s="153" t="str">
        <f>IF(NOT(N170="00"),"",(VLOOKUP(CONCATENATE(Q170,P170,LOOKUP(2,1/(Lookups!$I$2:$I$11&lt;=Multisite!E170)/(Lookups!$J$2:$J$11&gt;=E170),Lookups!$K$2:$K$11)),'HH LLFs'!$A$2:$F$282,6,0)*365)/12)</f>
        <v/>
      </c>
      <c r="Y170" s="153">
        <f t="shared" si="60"/>
        <v>0</v>
      </c>
      <c r="Z170" s="153" t="str">
        <f t="shared" si="69"/>
        <v/>
      </c>
      <c r="AA170" s="153" t="str">
        <f t="shared" si="61"/>
        <v/>
      </c>
      <c r="AB170" s="153" t="str">
        <f t="shared" si="70"/>
        <v/>
      </c>
      <c r="AC170" s="153" t="str">
        <f t="shared" si="62"/>
        <v/>
      </c>
      <c r="AD170" s="153" t="str">
        <f t="shared" si="63"/>
        <v/>
      </c>
      <c r="AE170" s="153" t="str">
        <f t="shared" si="64"/>
        <v/>
      </c>
      <c r="AF170" s="155" t="e">
        <f>LOOKUP(2,1/(Lookups!$I$2:$I$11&lt;=E170)/(Lookups!$J$2:$J$11&gt;=E170),Lookups!$L$2:$L$11)</f>
        <v>#N/A</v>
      </c>
      <c r="AG170" s="142" t="str">
        <f t="shared" si="65"/>
        <v/>
      </c>
      <c r="AH170" s="142" t="str">
        <f t="shared" si="66"/>
        <v/>
      </c>
      <c r="AI170" s="143" t="b">
        <f t="shared" si="71"/>
        <v>0</v>
      </c>
      <c r="AJ170" s="143" t="str">
        <f t="shared" si="67"/>
        <v>Level 1</v>
      </c>
      <c r="AK170" s="142">
        <f t="shared" si="68"/>
        <v>0</v>
      </c>
      <c r="AL170" s="157" t="str">
        <f t="shared" si="76"/>
        <v/>
      </c>
      <c r="AM170" s="144" t="str">
        <f t="shared" si="77"/>
        <v>--FALSE-0</v>
      </c>
      <c r="AN170" s="158" t="str">
        <f t="shared" si="72"/>
        <v/>
      </c>
      <c r="AO170" s="145"/>
      <c r="AP170" s="159" t="str">
        <f>IF($AN170=FALSE,"",IFERROR(INDEX('Flat Rates'!$A$1:$M$3880,MATCH($AM170,'Flat Rates'!$A$1:$A$3880,0),MATCH("Standing Charge",'Flat Rates'!$A$1:$M$1,0))*100,""))</f>
        <v/>
      </c>
      <c r="AQ170" s="148" t="str">
        <f>IF($AN170=FALSE,"",IFERROR((IF(NOT(T170="Unrestricted"),"",INDEX('Flat Rates'!$A$1:$M$3880,MATCH($AM170,'Flat Rates'!$A$1:$A$3880,0),MATCH("Uni/Day Rate",'Flat Rates'!$A$1:$M$1,0)))*100)+H170,""))</f>
        <v/>
      </c>
      <c r="AR170" s="148" t="str">
        <f>IF($AN170=FALSE,"",IFERROR((IF(T170="Unrestricted","",INDEX('Flat Rates'!$A$1:$M$3880,MATCH($AM170,'Flat Rates'!$A$1:$A$3880,0),MATCH("Uni/Day Rate",'Flat Rates'!$A$1:$M$1,0)))*100)+H170,""))</f>
        <v/>
      </c>
      <c r="AS170" s="148" t="str">
        <f>IF($AN170=FALSE,"",IFERROR(IF(INDEX('Flat Rates'!$A$1:$M$3880,MATCH($AM170,'Flat Rates'!$A$1:$A$3880,0),MATCH("Night Unit Rate",'Flat Rates'!$A$1:$M$1,0))=0,"",((INDEX('Flat Rates'!$A$1:$M$3880,MATCH($AM170,'Flat Rates'!$A$1:$A$3880,0),MATCH("Night Unit Rate",'Flat Rates'!$A$1:$M$1,0)))*100)+H170),""))</f>
        <v/>
      </c>
      <c r="AT170" s="148" t="str">
        <f>IF($AN170=FALSE,"",IFERROR(IF(INDEX('Flat Rates'!$A$1:$M$3880,MATCH($AM170,'Flat Rates'!$A$1:$A$3880,0),MATCH("Evening and Weekend Rate",'Flat Rates'!$A$1:$M$1,0))=0,"",((INDEX('Flat Rates'!$A$1:$M$3880,MATCH($AM170,'Flat Rates'!$A$1:$A$3880,0),MATCH("Evening and Weekend Rate",'Flat Rates'!$A$1:$M$1,0)))*100)+H170),""))</f>
        <v/>
      </c>
      <c r="AU170" s="152" t="str">
        <f t="shared" si="73"/>
        <v/>
      </c>
      <c r="AV170" s="152" t="str">
        <f t="shared" si="74"/>
        <v/>
      </c>
      <c r="AW170" s="152" t="str">
        <f t="shared" si="75"/>
        <v/>
      </c>
    </row>
    <row r="171" spans="2:49" ht="15" thickBot="1" x14ac:dyDescent="0.35">
      <c r="B171" s="138" t="str">
        <f t="shared" si="52"/>
        <v/>
      </c>
      <c r="C171" s="137"/>
      <c r="D171" s="139"/>
      <c r="E171" s="140"/>
      <c r="F171" s="140"/>
      <c r="G171" s="139"/>
      <c r="H171" s="151"/>
      <c r="I171" s="139"/>
      <c r="J171" s="138"/>
      <c r="K171" s="139"/>
      <c r="L171" s="141"/>
      <c r="M171" s="133" t="str">
        <f t="shared" si="53"/>
        <v/>
      </c>
      <c r="N171" s="133" t="str">
        <f t="shared" si="54"/>
        <v/>
      </c>
      <c r="O171" s="133" t="str">
        <f t="shared" si="55"/>
        <v/>
      </c>
      <c r="P171" s="133" t="str">
        <f t="shared" si="56"/>
        <v/>
      </c>
      <c r="Q171" s="133" t="str">
        <f t="shared" si="57"/>
        <v/>
      </c>
      <c r="R171" s="133" t="str">
        <f t="shared" si="58"/>
        <v/>
      </c>
      <c r="S171" s="133" t="str">
        <f t="shared" si="59"/>
        <v/>
      </c>
      <c r="T171" s="133" t="str">
        <f>IFERROR(IF($U171="ERROR","ERROR",IF($N171="00",IF(J171="1-Rate","HH 1RATE",IF(J171="2-Rate","HH 2RATE","")),IFERROR(VLOOKUP(CONCATENATE(N171,Q171,O171,P171),Lookups!$A$2:$E$4557,5,0),VLOOKUP(CONCATENATE(N171,Q171,O171),Lookups!$A$2:$E$4557,5,0)))),"ERROR")</f>
        <v>ERROR</v>
      </c>
      <c r="U171" s="133" t="str">
        <f>IFERROR(IF(NOT($N171="00"),"",VLOOKUP(CONCATENATE(Q171,P171,LOOKUP(2,1/(Lookups!$I$2:$I$11&lt;=E171)/(Lookups!$J$2:$J$11&gt;=Tool!$C$14),Lookups!$K$2:$K$11)),'HH LLFs'!$A$2:$K$500,3,0)),"ERROR")</f>
        <v/>
      </c>
      <c r="V171" s="132">
        <f>Calcs!$I$2</f>
        <v>44377</v>
      </c>
      <c r="W171" s="132">
        <f>Calcs!$I$4</f>
        <v>44592</v>
      </c>
      <c r="X171" s="153" t="str">
        <f>IF(NOT(N171="00"),"",(VLOOKUP(CONCATENATE(Q171,P171,LOOKUP(2,1/(Lookups!$I$2:$I$11&lt;=Multisite!E171)/(Lookups!$J$2:$J$11&gt;=E171),Lookups!$K$2:$K$11)),'HH LLFs'!$A$2:$F$282,6,0)*365)/12)</f>
        <v/>
      </c>
      <c r="Y171" s="153">
        <f t="shared" si="60"/>
        <v>0</v>
      </c>
      <c r="Z171" s="153" t="str">
        <f t="shared" si="69"/>
        <v/>
      </c>
      <c r="AA171" s="153" t="str">
        <f t="shared" si="61"/>
        <v/>
      </c>
      <c r="AB171" s="153" t="str">
        <f t="shared" si="70"/>
        <v/>
      </c>
      <c r="AC171" s="153" t="str">
        <f t="shared" si="62"/>
        <v/>
      </c>
      <c r="AD171" s="153" t="str">
        <f t="shared" si="63"/>
        <v/>
      </c>
      <c r="AE171" s="153" t="str">
        <f t="shared" si="64"/>
        <v/>
      </c>
      <c r="AF171" s="155" t="e">
        <f>LOOKUP(2,1/(Lookups!$I$2:$I$11&lt;=E171)/(Lookups!$J$2:$J$11&gt;=E171),Lookups!$L$2:$L$11)</f>
        <v>#N/A</v>
      </c>
      <c r="AG171" s="142" t="str">
        <f t="shared" si="65"/>
        <v/>
      </c>
      <c r="AH171" s="142" t="str">
        <f t="shared" si="66"/>
        <v/>
      </c>
      <c r="AI171" s="143" t="b">
        <f t="shared" si="71"/>
        <v>0</v>
      </c>
      <c r="AJ171" s="143" t="str">
        <f t="shared" si="67"/>
        <v>Level 1</v>
      </c>
      <c r="AK171" s="142">
        <f t="shared" si="68"/>
        <v>0</v>
      </c>
      <c r="AL171" s="157" t="str">
        <f t="shared" si="76"/>
        <v/>
      </c>
      <c r="AM171" s="144" t="str">
        <f t="shared" si="77"/>
        <v>--FALSE-0</v>
      </c>
      <c r="AN171" s="158" t="str">
        <f t="shared" si="72"/>
        <v/>
      </c>
      <c r="AO171" s="145"/>
      <c r="AP171" s="159" t="str">
        <f>IF($AN171=FALSE,"",IFERROR(INDEX('Flat Rates'!$A$1:$M$3880,MATCH($AM171,'Flat Rates'!$A$1:$A$3880,0),MATCH("Standing Charge",'Flat Rates'!$A$1:$M$1,0))*100,""))</f>
        <v/>
      </c>
      <c r="AQ171" s="148" t="str">
        <f>IF($AN171=FALSE,"",IFERROR((IF(NOT(T171="Unrestricted"),"",INDEX('Flat Rates'!$A$1:$M$3880,MATCH($AM171,'Flat Rates'!$A$1:$A$3880,0),MATCH("Uni/Day Rate",'Flat Rates'!$A$1:$M$1,0)))*100)+H171,""))</f>
        <v/>
      </c>
      <c r="AR171" s="148" t="str">
        <f>IF($AN171=FALSE,"",IFERROR((IF(T171="Unrestricted","",INDEX('Flat Rates'!$A$1:$M$3880,MATCH($AM171,'Flat Rates'!$A$1:$A$3880,0),MATCH("Uni/Day Rate",'Flat Rates'!$A$1:$M$1,0)))*100)+H171,""))</f>
        <v/>
      </c>
      <c r="AS171" s="148" t="str">
        <f>IF($AN171=FALSE,"",IFERROR(IF(INDEX('Flat Rates'!$A$1:$M$3880,MATCH($AM171,'Flat Rates'!$A$1:$A$3880,0),MATCH("Night Unit Rate",'Flat Rates'!$A$1:$M$1,0))=0,"",((INDEX('Flat Rates'!$A$1:$M$3880,MATCH($AM171,'Flat Rates'!$A$1:$A$3880,0),MATCH("Night Unit Rate",'Flat Rates'!$A$1:$M$1,0)))*100)+H171),""))</f>
        <v/>
      </c>
      <c r="AT171" s="148" t="str">
        <f>IF($AN171=FALSE,"",IFERROR(IF(INDEX('Flat Rates'!$A$1:$M$3880,MATCH($AM171,'Flat Rates'!$A$1:$A$3880,0),MATCH("Evening and Weekend Rate",'Flat Rates'!$A$1:$M$1,0))=0,"",((INDEX('Flat Rates'!$A$1:$M$3880,MATCH($AM171,'Flat Rates'!$A$1:$A$3880,0),MATCH("Evening and Weekend Rate",'Flat Rates'!$A$1:$M$1,0)))*100)+H171),""))</f>
        <v/>
      </c>
      <c r="AU171" s="152" t="str">
        <f t="shared" si="73"/>
        <v/>
      </c>
      <c r="AV171" s="152" t="str">
        <f t="shared" si="74"/>
        <v/>
      </c>
      <c r="AW171" s="152" t="str">
        <f t="shared" si="75"/>
        <v/>
      </c>
    </row>
    <row r="172" spans="2:49" ht="15" thickBot="1" x14ac:dyDescent="0.35">
      <c r="B172" s="138" t="str">
        <f t="shared" si="52"/>
        <v/>
      </c>
      <c r="C172" s="146"/>
      <c r="D172" s="147"/>
      <c r="E172" s="140"/>
      <c r="F172" s="140"/>
      <c r="G172" s="139"/>
      <c r="H172" s="151"/>
      <c r="I172" s="139"/>
      <c r="J172" s="137"/>
      <c r="K172" s="139"/>
      <c r="L172" s="141"/>
      <c r="M172" s="133" t="str">
        <f t="shared" si="53"/>
        <v/>
      </c>
      <c r="N172" s="133" t="str">
        <f t="shared" si="54"/>
        <v/>
      </c>
      <c r="O172" s="133" t="str">
        <f t="shared" si="55"/>
        <v/>
      </c>
      <c r="P172" s="133" t="str">
        <f t="shared" si="56"/>
        <v/>
      </c>
      <c r="Q172" s="133" t="str">
        <f t="shared" si="57"/>
        <v/>
      </c>
      <c r="R172" s="133" t="str">
        <f t="shared" si="58"/>
        <v/>
      </c>
      <c r="S172" s="133" t="str">
        <f t="shared" si="59"/>
        <v/>
      </c>
      <c r="T172" s="133" t="str">
        <f>IFERROR(IF($U172="ERROR","ERROR",IF($N172="00",IF(J172="1-Rate","HH 1RATE",IF(J172="2-Rate","HH 2RATE","")),IFERROR(VLOOKUP(CONCATENATE(N172,Q172,O172,P172),Lookups!$A$2:$E$4557,5,0),VLOOKUP(CONCATENATE(N172,Q172,O172),Lookups!$A$2:$E$4557,5,0)))),"ERROR")</f>
        <v>ERROR</v>
      </c>
      <c r="U172" s="133" t="str">
        <f>IFERROR(IF(NOT($N172="00"),"",VLOOKUP(CONCATENATE(Q172,P172,LOOKUP(2,1/(Lookups!$I$2:$I$11&lt;=E172)/(Lookups!$J$2:$J$11&gt;=Tool!$C$14),Lookups!$K$2:$K$11)),'HH LLFs'!$A$2:$K$500,3,0)),"ERROR")</f>
        <v/>
      </c>
      <c r="V172" s="132">
        <f>Calcs!$I$2</f>
        <v>44377</v>
      </c>
      <c r="W172" s="132">
        <f>Calcs!$I$4</f>
        <v>44592</v>
      </c>
      <c r="X172" s="153" t="str">
        <f>IF(NOT(N172="00"),"",(VLOOKUP(CONCATENATE(Q172,P172,LOOKUP(2,1/(Lookups!$I$2:$I$11&lt;=Multisite!E172)/(Lookups!$J$2:$J$11&gt;=E172),Lookups!$K$2:$K$11)),'HH LLFs'!$A$2:$F$282,6,0)*365)/12)</f>
        <v/>
      </c>
      <c r="Y172" s="153">
        <f t="shared" si="60"/>
        <v>0</v>
      </c>
      <c r="Z172" s="153" t="str">
        <f t="shared" si="69"/>
        <v/>
      </c>
      <c r="AA172" s="153" t="str">
        <f t="shared" si="61"/>
        <v/>
      </c>
      <c r="AB172" s="153" t="str">
        <f t="shared" si="70"/>
        <v/>
      </c>
      <c r="AC172" s="153" t="str">
        <f t="shared" si="62"/>
        <v/>
      </c>
      <c r="AD172" s="153" t="str">
        <f t="shared" si="63"/>
        <v/>
      </c>
      <c r="AE172" s="153" t="str">
        <f t="shared" si="64"/>
        <v/>
      </c>
      <c r="AF172" s="155" t="e">
        <f>LOOKUP(2,1/(Lookups!$I$2:$I$11&lt;=E172)/(Lookups!$J$2:$J$11&gt;=E172),Lookups!$L$2:$L$11)</f>
        <v>#N/A</v>
      </c>
      <c r="AG172" s="142" t="str">
        <f t="shared" si="65"/>
        <v/>
      </c>
      <c r="AH172" s="142" t="str">
        <f t="shared" si="66"/>
        <v/>
      </c>
      <c r="AI172" s="143" t="b">
        <f t="shared" si="71"/>
        <v>0</v>
      </c>
      <c r="AJ172" s="143" t="str">
        <f t="shared" si="67"/>
        <v>Level 1</v>
      </c>
      <c r="AK172" s="142">
        <f t="shared" si="68"/>
        <v>0</v>
      </c>
      <c r="AL172" s="157" t="str">
        <f t="shared" si="76"/>
        <v/>
      </c>
      <c r="AM172" s="144" t="str">
        <f t="shared" si="77"/>
        <v>--FALSE-0</v>
      </c>
      <c r="AN172" s="158" t="str">
        <f t="shared" si="72"/>
        <v/>
      </c>
      <c r="AO172" s="145"/>
      <c r="AP172" s="159" t="str">
        <f>IF($AN172=FALSE,"",IFERROR(INDEX('Flat Rates'!$A$1:$M$3880,MATCH($AM172,'Flat Rates'!$A$1:$A$3880,0),MATCH("Standing Charge",'Flat Rates'!$A$1:$M$1,0))*100,""))</f>
        <v/>
      </c>
      <c r="AQ172" s="148" t="str">
        <f>IF($AN172=FALSE,"",IFERROR((IF(NOT(T172="Unrestricted"),"",INDEX('Flat Rates'!$A$1:$M$3880,MATCH($AM172,'Flat Rates'!$A$1:$A$3880,0),MATCH("Uni/Day Rate",'Flat Rates'!$A$1:$M$1,0)))*100)+H172,""))</f>
        <v/>
      </c>
      <c r="AR172" s="148" t="str">
        <f>IF($AN172=FALSE,"",IFERROR((IF(T172="Unrestricted","",INDEX('Flat Rates'!$A$1:$M$3880,MATCH($AM172,'Flat Rates'!$A$1:$A$3880,0),MATCH("Uni/Day Rate",'Flat Rates'!$A$1:$M$1,0)))*100)+H172,""))</f>
        <v/>
      </c>
      <c r="AS172" s="148" t="str">
        <f>IF($AN172=FALSE,"",IFERROR(IF(INDEX('Flat Rates'!$A$1:$M$3880,MATCH($AM172,'Flat Rates'!$A$1:$A$3880,0),MATCH("Night Unit Rate",'Flat Rates'!$A$1:$M$1,0))=0,"",((INDEX('Flat Rates'!$A$1:$M$3880,MATCH($AM172,'Flat Rates'!$A$1:$A$3880,0),MATCH("Night Unit Rate",'Flat Rates'!$A$1:$M$1,0)))*100)+H172),""))</f>
        <v/>
      </c>
      <c r="AT172" s="148" t="str">
        <f>IF($AN172=FALSE,"",IFERROR(IF(INDEX('Flat Rates'!$A$1:$M$3880,MATCH($AM172,'Flat Rates'!$A$1:$A$3880,0),MATCH("Evening and Weekend Rate",'Flat Rates'!$A$1:$M$1,0))=0,"",((INDEX('Flat Rates'!$A$1:$M$3880,MATCH($AM172,'Flat Rates'!$A$1:$A$3880,0),MATCH("Evening and Weekend Rate",'Flat Rates'!$A$1:$M$1,0)))*100)+H172),""))</f>
        <v/>
      </c>
      <c r="AU172" s="152" t="str">
        <f t="shared" si="73"/>
        <v/>
      </c>
      <c r="AV172" s="152" t="str">
        <f t="shared" si="74"/>
        <v/>
      </c>
      <c r="AW172" s="152" t="str">
        <f t="shared" si="75"/>
        <v/>
      </c>
    </row>
    <row r="173" spans="2:49" ht="15" thickBot="1" x14ac:dyDescent="0.35">
      <c r="B173" s="138" t="str">
        <f t="shared" si="52"/>
        <v/>
      </c>
      <c r="C173" s="137"/>
      <c r="D173" s="139"/>
      <c r="E173" s="140"/>
      <c r="F173" s="140"/>
      <c r="G173" s="139"/>
      <c r="H173" s="151"/>
      <c r="I173" s="139"/>
      <c r="J173" s="138"/>
      <c r="K173" s="139"/>
      <c r="L173" s="141"/>
      <c r="M173" s="133" t="str">
        <f t="shared" si="53"/>
        <v/>
      </c>
      <c r="N173" s="133" t="str">
        <f t="shared" si="54"/>
        <v/>
      </c>
      <c r="O173" s="133" t="str">
        <f t="shared" si="55"/>
        <v/>
      </c>
      <c r="P173" s="133" t="str">
        <f t="shared" si="56"/>
        <v/>
      </c>
      <c r="Q173" s="133" t="str">
        <f t="shared" si="57"/>
        <v/>
      </c>
      <c r="R173" s="133" t="str">
        <f t="shared" si="58"/>
        <v/>
      </c>
      <c r="S173" s="133" t="str">
        <f t="shared" si="59"/>
        <v/>
      </c>
      <c r="T173" s="133" t="str">
        <f>IFERROR(IF($U173="ERROR","ERROR",IF($N173="00",IF(J173="1-Rate","HH 1RATE",IF(J173="2-Rate","HH 2RATE","")),IFERROR(VLOOKUP(CONCATENATE(N173,Q173,O173,P173),Lookups!$A$2:$E$4557,5,0),VLOOKUP(CONCATENATE(N173,Q173,O173),Lookups!$A$2:$E$4557,5,0)))),"ERROR")</f>
        <v>ERROR</v>
      </c>
      <c r="U173" s="133" t="str">
        <f>IFERROR(IF(NOT($N173="00"),"",VLOOKUP(CONCATENATE(Q173,P173,LOOKUP(2,1/(Lookups!$I$2:$I$11&lt;=E173)/(Lookups!$J$2:$J$11&gt;=Tool!$C$14),Lookups!$K$2:$K$11)),'HH LLFs'!$A$2:$K$500,3,0)),"ERROR")</f>
        <v/>
      </c>
      <c r="V173" s="132">
        <f>Calcs!$I$2</f>
        <v>44377</v>
      </c>
      <c r="W173" s="132">
        <f>Calcs!$I$4</f>
        <v>44592</v>
      </c>
      <c r="X173" s="153" t="str">
        <f>IF(NOT(N173="00"),"",(VLOOKUP(CONCATENATE(Q173,P173,LOOKUP(2,1/(Lookups!$I$2:$I$11&lt;=Multisite!E173)/(Lookups!$J$2:$J$11&gt;=E173),Lookups!$K$2:$K$11)),'HH LLFs'!$A$2:$F$282,6,0)*365)/12)</f>
        <v/>
      </c>
      <c r="Y173" s="153">
        <f t="shared" si="60"/>
        <v>0</v>
      </c>
      <c r="Z173" s="153" t="str">
        <f t="shared" si="69"/>
        <v/>
      </c>
      <c r="AA173" s="153" t="str">
        <f t="shared" si="61"/>
        <v/>
      </c>
      <c r="AB173" s="153" t="str">
        <f t="shared" si="70"/>
        <v/>
      </c>
      <c r="AC173" s="153" t="str">
        <f t="shared" si="62"/>
        <v/>
      </c>
      <c r="AD173" s="153" t="str">
        <f t="shared" si="63"/>
        <v/>
      </c>
      <c r="AE173" s="153" t="str">
        <f t="shared" si="64"/>
        <v/>
      </c>
      <c r="AF173" s="155" t="e">
        <f>LOOKUP(2,1/(Lookups!$I$2:$I$11&lt;=E173)/(Lookups!$J$2:$J$11&gt;=E173),Lookups!$L$2:$L$11)</f>
        <v>#N/A</v>
      </c>
      <c r="AG173" s="142" t="str">
        <f t="shared" si="65"/>
        <v/>
      </c>
      <c r="AH173" s="142" t="str">
        <f t="shared" si="66"/>
        <v/>
      </c>
      <c r="AI173" s="143" t="b">
        <f t="shared" si="71"/>
        <v>0</v>
      </c>
      <c r="AJ173" s="143" t="str">
        <f t="shared" si="67"/>
        <v>Level 1</v>
      </c>
      <c r="AK173" s="142">
        <f t="shared" si="68"/>
        <v>0</v>
      </c>
      <c r="AL173" s="157" t="str">
        <f t="shared" si="76"/>
        <v/>
      </c>
      <c r="AM173" s="144" t="str">
        <f t="shared" si="77"/>
        <v>--FALSE-0</v>
      </c>
      <c r="AN173" s="158" t="str">
        <f t="shared" si="72"/>
        <v/>
      </c>
      <c r="AO173" s="145"/>
      <c r="AP173" s="159" t="str">
        <f>IF($AN173=FALSE,"",IFERROR(INDEX('Flat Rates'!$A$1:$M$3880,MATCH($AM173,'Flat Rates'!$A$1:$A$3880,0),MATCH("Standing Charge",'Flat Rates'!$A$1:$M$1,0))*100,""))</f>
        <v/>
      </c>
      <c r="AQ173" s="148" t="str">
        <f>IF($AN173=FALSE,"",IFERROR((IF(NOT(T173="Unrestricted"),"",INDEX('Flat Rates'!$A$1:$M$3880,MATCH($AM173,'Flat Rates'!$A$1:$A$3880,0),MATCH("Uni/Day Rate",'Flat Rates'!$A$1:$M$1,0)))*100)+H173,""))</f>
        <v/>
      </c>
      <c r="AR173" s="148" t="str">
        <f>IF($AN173=FALSE,"",IFERROR((IF(T173="Unrestricted","",INDEX('Flat Rates'!$A$1:$M$3880,MATCH($AM173,'Flat Rates'!$A$1:$A$3880,0),MATCH("Uni/Day Rate",'Flat Rates'!$A$1:$M$1,0)))*100)+H173,""))</f>
        <v/>
      </c>
      <c r="AS173" s="148" t="str">
        <f>IF($AN173=FALSE,"",IFERROR(IF(INDEX('Flat Rates'!$A$1:$M$3880,MATCH($AM173,'Flat Rates'!$A$1:$A$3880,0),MATCH("Night Unit Rate",'Flat Rates'!$A$1:$M$1,0))=0,"",((INDEX('Flat Rates'!$A$1:$M$3880,MATCH($AM173,'Flat Rates'!$A$1:$A$3880,0),MATCH("Night Unit Rate",'Flat Rates'!$A$1:$M$1,0)))*100)+H173),""))</f>
        <v/>
      </c>
      <c r="AT173" s="148" t="str">
        <f>IF($AN173=FALSE,"",IFERROR(IF(INDEX('Flat Rates'!$A$1:$M$3880,MATCH($AM173,'Flat Rates'!$A$1:$A$3880,0),MATCH("Evening and Weekend Rate",'Flat Rates'!$A$1:$M$1,0))=0,"",((INDEX('Flat Rates'!$A$1:$M$3880,MATCH($AM173,'Flat Rates'!$A$1:$A$3880,0),MATCH("Evening and Weekend Rate",'Flat Rates'!$A$1:$M$1,0)))*100)+H173),""))</f>
        <v/>
      </c>
      <c r="AU173" s="152" t="str">
        <f t="shared" si="73"/>
        <v/>
      </c>
      <c r="AV173" s="152" t="str">
        <f t="shared" si="74"/>
        <v/>
      </c>
      <c r="AW173" s="152" t="str">
        <f t="shared" si="75"/>
        <v/>
      </c>
    </row>
    <row r="174" spans="2:49" ht="15" thickBot="1" x14ac:dyDescent="0.35">
      <c r="B174" s="138" t="str">
        <f t="shared" si="52"/>
        <v/>
      </c>
      <c r="C174" s="146"/>
      <c r="D174" s="147"/>
      <c r="E174" s="140"/>
      <c r="F174" s="140"/>
      <c r="G174" s="139"/>
      <c r="H174" s="151"/>
      <c r="I174" s="139"/>
      <c r="J174" s="137"/>
      <c r="K174" s="139"/>
      <c r="L174" s="141"/>
      <c r="M174" s="133" t="str">
        <f t="shared" si="53"/>
        <v/>
      </c>
      <c r="N174" s="133" t="str">
        <f t="shared" si="54"/>
        <v/>
      </c>
      <c r="O174" s="133" t="str">
        <f t="shared" si="55"/>
        <v/>
      </c>
      <c r="P174" s="133" t="str">
        <f t="shared" si="56"/>
        <v/>
      </c>
      <c r="Q174" s="133" t="str">
        <f t="shared" si="57"/>
        <v/>
      </c>
      <c r="R174" s="133" t="str">
        <f t="shared" si="58"/>
        <v/>
      </c>
      <c r="S174" s="133" t="str">
        <f t="shared" si="59"/>
        <v/>
      </c>
      <c r="T174" s="133" t="str">
        <f>IFERROR(IF($U174="ERROR","ERROR",IF($N174="00",IF(J174="1-Rate","HH 1RATE",IF(J174="2-Rate","HH 2RATE","")),IFERROR(VLOOKUP(CONCATENATE(N174,Q174,O174,P174),Lookups!$A$2:$E$4557,5,0),VLOOKUP(CONCATENATE(N174,Q174,O174),Lookups!$A$2:$E$4557,5,0)))),"ERROR")</f>
        <v>ERROR</v>
      </c>
      <c r="U174" s="133" t="str">
        <f>IFERROR(IF(NOT($N174="00"),"",VLOOKUP(CONCATENATE(Q174,P174,LOOKUP(2,1/(Lookups!$I$2:$I$11&lt;=E174)/(Lookups!$J$2:$J$11&gt;=Tool!$C$14),Lookups!$K$2:$K$11)),'HH LLFs'!$A$2:$K$500,3,0)),"ERROR")</f>
        <v/>
      </c>
      <c r="V174" s="132">
        <f>Calcs!$I$2</f>
        <v>44377</v>
      </c>
      <c r="W174" s="132">
        <f>Calcs!$I$4</f>
        <v>44592</v>
      </c>
      <c r="X174" s="153" t="str">
        <f>IF(NOT(N174="00"),"",(VLOOKUP(CONCATENATE(Q174,P174,LOOKUP(2,1/(Lookups!$I$2:$I$11&lt;=Multisite!E174)/(Lookups!$J$2:$J$11&gt;=E174),Lookups!$K$2:$K$11)),'HH LLFs'!$A$2:$F$282,6,0)*365)/12)</f>
        <v/>
      </c>
      <c r="Y174" s="153">
        <f t="shared" si="60"/>
        <v>0</v>
      </c>
      <c r="Z174" s="153" t="str">
        <f t="shared" si="69"/>
        <v/>
      </c>
      <c r="AA174" s="153" t="str">
        <f t="shared" si="61"/>
        <v/>
      </c>
      <c r="AB174" s="153" t="str">
        <f t="shared" si="70"/>
        <v/>
      </c>
      <c r="AC174" s="153" t="str">
        <f t="shared" si="62"/>
        <v/>
      </c>
      <c r="AD174" s="153" t="str">
        <f t="shared" si="63"/>
        <v/>
      </c>
      <c r="AE174" s="153" t="str">
        <f t="shared" si="64"/>
        <v/>
      </c>
      <c r="AF174" s="155" t="e">
        <f>LOOKUP(2,1/(Lookups!$I$2:$I$11&lt;=E174)/(Lookups!$J$2:$J$11&gt;=E174),Lookups!$L$2:$L$11)</f>
        <v>#N/A</v>
      </c>
      <c r="AG174" s="142" t="str">
        <f t="shared" si="65"/>
        <v/>
      </c>
      <c r="AH174" s="142" t="str">
        <f t="shared" si="66"/>
        <v/>
      </c>
      <c r="AI174" s="143" t="b">
        <f t="shared" si="71"/>
        <v>0</v>
      </c>
      <c r="AJ174" s="143" t="str">
        <f t="shared" si="67"/>
        <v>Level 1</v>
      </c>
      <c r="AK174" s="142">
        <f t="shared" si="68"/>
        <v>0</v>
      </c>
      <c r="AL174" s="157" t="str">
        <f t="shared" si="76"/>
        <v/>
      </c>
      <c r="AM174" s="144" t="str">
        <f t="shared" si="77"/>
        <v>--FALSE-0</v>
      </c>
      <c r="AN174" s="158" t="str">
        <f t="shared" si="72"/>
        <v/>
      </c>
      <c r="AO174" s="145"/>
      <c r="AP174" s="159" t="str">
        <f>IF($AN174=FALSE,"",IFERROR(INDEX('Flat Rates'!$A$1:$M$3880,MATCH($AM174,'Flat Rates'!$A$1:$A$3880,0),MATCH("Standing Charge",'Flat Rates'!$A$1:$M$1,0))*100,""))</f>
        <v/>
      </c>
      <c r="AQ174" s="148" t="str">
        <f>IF($AN174=FALSE,"",IFERROR((IF(NOT(T174="Unrestricted"),"",INDEX('Flat Rates'!$A$1:$M$3880,MATCH($AM174,'Flat Rates'!$A$1:$A$3880,0),MATCH("Uni/Day Rate",'Flat Rates'!$A$1:$M$1,0)))*100)+H174,""))</f>
        <v/>
      </c>
      <c r="AR174" s="148" t="str">
        <f>IF($AN174=FALSE,"",IFERROR((IF(T174="Unrestricted","",INDEX('Flat Rates'!$A$1:$M$3880,MATCH($AM174,'Flat Rates'!$A$1:$A$3880,0),MATCH("Uni/Day Rate",'Flat Rates'!$A$1:$M$1,0)))*100)+H174,""))</f>
        <v/>
      </c>
      <c r="AS174" s="148" t="str">
        <f>IF($AN174=FALSE,"",IFERROR(IF(INDEX('Flat Rates'!$A$1:$M$3880,MATCH($AM174,'Flat Rates'!$A$1:$A$3880,0),MATCH("Night Unit Rate",'Flat Rates'!$A$1:$M$1,0))=0,"",((INDEX('Flat Rates'!$A$1:$M$3880,MATCH($AM174,'Flat Rates'!$A$1:$A$3880,0),MATCH("Night Unit Rate",'Flat Rates'!$A$1:$M$1,0)))*100)+H174),""))</f>
        <v/>
      </c>
      <c r="AT174" s="148" t="str">
        <f>IF($AN174=FALSE,"",IFERROR(IF(INDEX('Flat Rates'!$A$1:$M$3880,MATCH($AM174,'Flat Rates'!$A$1:$A$3880,0),MATCH("Evening and Weekend Rate",'Flat Rates'!$A$1:$M$1,0))=0,"",((INDEX('Flat Rates'!$A$1:$M$3880,MATCH($AM174,'Flat Rates'!$A$1:$A$3880,0),MATCH("Evening and Weekend Rate",'Flat Rates'!$A$1:$M$1,0)))*100)+H174),""))</f>
        <v/>
      </c>
      <c r="AU174" s="152" t="str">
        <f t="shared" si="73"/>
        <v/>
      </c>
      <c r="AV174" s="152" t="str">
        <f t="shared" si="74"/>
        <v/>
      </c>
      <c r="AW174" s="152" t="str">
        <f t="shared" si="75"/>
        <v/>
      </c>
    </row>
    <row r="175" spans="2:49" ht="15" thickBot="1" x14ac:dyDescent="0.35">
      <c r="B175" s="138" t="str">
        <f t="shared" si="52"/>
        <v/>
      </c>
      <c r="C175" s="137"/>
      <c r="D175" s="139"/>
      <c r="E175" s="140"/>
      <c r="F175" s="140"/>
      <c r="G175" s="139"/>
      <c r="H175" s="151"/>
      <c r="I175" s="139"/>
      <c r="J175" s="138"/>
      <c r="K175" s="139"/>
      <c r="L175" s="141"/>
      <c r="M175" s="133" t="str">
        <f t="shared" si="53"/>
        <v/>
      </c>
      <c r="N175" s="133" t="str">
        <f t="shared" si="54"/>
        <v/>
      </c>
      <c r="O175" s="133" t="str">
        <f t="shared" si="55"/>
        <v/>
      </c>
      <c r="P175" s="133" t="str">
        <f t="shared" si="56"/>
        <v/>
      </c>
      <c r="Q175" s="133" t="str">
        <f t="shared" si="57"/>
        <v/>
      </c>
      <c r="R175" s="133" t="str">
        <f t="shared" si="58"/>
        <v/>
      </c>
      <c r="S175" s="133" t="str">
        <f t="shared" si="59"/>
        <v/>
      </c>
      <c r="T175" s="133" t="str">
        <f>IFERROR(IF($U175="ERROR","ERROR",IF($N175="00",IF(J175="1-Rate","HH 1RATE",IF(J175="2-Rate","HH 2RATE","")),IFERROR(VLOOKUP(CONCATENATE(N175,Q175,O175,P175),Lookups!$A$2:$E$4557,5,0),VLOOKUP(CONCATENATE(N175,Q175,O175),Lookups!$A$2:$E$4557,5,0)))),"ERROR")</f>
        <v>ERROR</v>
      </c>
      <c r="U175" s="133" t="str">
        <f>IFERROR(IF(NOT($N175="00"),"",VLOOKUP(CONCATENATE(Q175,P175,LOOKUP(2,1/(Lookups!$I$2:$I$11&lt;=E175)/(Lookups!$J$2:$J$11&gt;=Tool!$C$14),Lookups!$K$2:$K$11)),'HH LLFs'!$A$2:$K$500,3,0)),"ERROR")</f>
        <v/>
      </c>
      <c r="V175" s="132">
        <f>Calcs!$I$2</f>
        <v>44377</v>
      </c>
      <c r="W175" s="132">
        <f>Calcs!$I$4</f>
        <v>44592</v>
      </c>
      <c r="X175" s="153" t="str">
        <f>IF(NOT(N175="00"),"",(VLOOKUP(CONCATENATE(Q175,P175,LOOKUP(2,1/(Lookups!$I$2:$I$11&lt;=Multisite!E175)/(Lookups!$J$2:$J$11&gt;=E175),Lookups!$K$2:$K$11)),'HH LLFs'!$A$2:$F$282,6,0)*365)/12)</f>
        <v/>
      </c>
      <c r="Y175" s="153">
        <f t="shared" si="60"/>
        <v>0</v>
      </c>
      <c r="Z175" s="153" t="str">
        <f t="shared" si="69"/>
        <v/>
      </c>
      <c r="AA175" s="153" t="str">
        <f t="shared" si="61"/>
        <v/>
      </c>
      <c r="AB175" s="153" t="str">
        <f t="shared" si="70"/>
        <v/>
      </c>
      <c r="AC175" s="153" t="str">
        <f t="shared" si="62"/>
        <v/>
      </c>
      <c r="AD175" s="153" t="str">
        <f t="shared" si="63"/>
        <v/>
      </c>
      <c r="AE175" s="153" t="str">
        <f t="shared" si="64"/>
        <v/>
      </c>
      <c r="AF175" s="155" t="e">
        <f>LOOKUP(2,1/(Lookups!$I$2:$I$11&lt;=E175)/(Lookups!$J$2:$J$11&gt;=E175),Lookups!$L$2:$L$11)</f>
        <v>#N/A</v>
      </c>
      <c r="AG175" s="142" t="str">
        <f t="shared" si="65"/>
        <v/>
      </c>
      <c r="AH175" s="142" t="str">
        <f t="shared" si="66"/>
        <v/>
      </c>
      <c r="AI175" s="143" t="b">
        <f t="shared" si="71"/>
        <v>0</v>
      </c>
      <c r="AJ175" s="143" t="str">
        <f t="shared" si="67"/>
        <v>Level 1</v>
      </c>
      <c r="AK175" s="142">
        <f t="shared" si="68"/>
        <v>0</v>
      </c>
      <c r="AL175" s="157" t="str">
        <f t="shared" si="76"/>
        <v/>
      </c>
      <c r="AM175" s="144" t="str">
        <f t="shared" si="77"/>
        <v>--FALSE-0</v>
      </c>
      <c r="AN175" s="158" t="str">
        <f t="shared" si="72"/>
        <v/>
      </c>
      <c r="AO175" s="145"/>
      <c r="AP175" s="159" t="str">
        <f>IF($AN175=FALSE,"",IFERROR(INDEX('Flat Rates'!$A$1:$M$3880,MATCH($AM175,'Flat Rates'!$A$1:$A$3880,0),MATCH("Standing Charge",'Flat Rates'!$A$1:$M$1,0))*100,""))</f>
        <v/>
      </c>
      <c r="AQ175" s="148" t="str">
        <f>IF($AN175=FALSE,"",IFERROR((IF(NOT(T175="Unrestricted"),"",INDEX('Flat Rates'!$A$1:$M$3880,MATCH($AM175,'Flat Rates'!$A$1:$A$3880,0),MATCH("Uni/Day Rate",'Flat Rates'!$A$1:$M$1,0)))*100)+H175,""))</f>
        <v/>
      </c>
      <c r="AR175" s="148" t="str">
        <f>IF($AN175=FALSE,"",IFERROR((IF(T175="Unrestricted","",INDEX('Flat Rates'!$A$1:$M$3880,MATCH($AM175,'Flat Rates'!$A$1:$A$3880,0),MATCH("Uni/Day Rate",'Flat Rates'!$A$1:$M$1,0)))*100)+H175,""))</f>
        <v/>
      </c>
      <c r="AS175" s="148" t="str">
        <f>IF($AN175=FALSE,"",IFERROR(IF(INDEX('Flat Rates'!$A$1:$M$3880,MATCH($AM175,'Flat Rates'!$A$1:$A$3880,0),MATCH("Night Unit Rate",'Flat Rates'!$A$1:$M$1,0))=0,"",((INDEX('Flat Rates'!$A$1:$M$3880,MATCH($AM175,'Flat Rates'!$A$1:$A$3880,0),MATCH("Night Unit Rate",'Flat Rates'!$A$1:$M$1,0)))*100)+H175),""))</f>
        <v/>
      </c>
      <c r="AT175" s="148" t="str">
        <f>IF($AN175=FALSE,"",IFERROR(IF(INDEX('Flat Rates'!$A$1:$M$3880,MATCH($AM175,'Flat Rates'!$A$1:$A$3880,0),MATCH("Evening and Weekend Rate",'Flat Rates'!$A$1:$M$1,0))=0,"",((INDEX('Flat Rates'!$A$1:$M$3880,MATCH($AM175,'Flat Rates'!$A$1:$A$3880,0),MATCH("Evening and Weekend Rate",'Flat Rates'!$A$1:$M$1,0)))*100)+H175),""))</f>
        <v/>
      </c>
      <c r="AU175" s="152" t="str">
        <f t="shared" si="73"/>
        <v/>
      </c>
      <c r="AV175" s="152" t="str">
        <f t="shared" si="74"/>
        <v/>
      </c>
      <c r="AW175" s="152" t="str">
        <f t="shared" si="75"/>
        <v/>
      </c>
    </row>
    <row r="176" spans="2:49" ht="15" thickBot="1" x14ac:dyDescent="0.35">
      <c r="B176" s="138" t="str">
        <f t="shared" si="52"/>
        <v/>
      </c>
      <c r="C176" s="146"/>
      <c r="D176" s="147"/>
      <c r="E176" s="140"/>
      <c r="F176" s="140"/>
      <c r="G176" s="139"/>
      <c r="H176" s="151"/>
      <c r="I176" s="139"/>
      <c r="J176" s="137"/>
      <c r="K176" s="139"/>
      <c r="L176" s="141"/>
      <c r="M176" s="133" t="str">
        <f t="shared" si="53"/>
        <v/>
      </c>
      <c r="N176" s="133" t="str">
        <f t="shared" si="54"/>
        <v/>
      </c>
      <c r="O176" s="133" t="str">
        <f t="shared" si="55"/>
        <v/>
      </c>
      <c r="P176" s="133" t="str">
        <f t="shared" si="56"/>
        <v/>
      </c>
      <c r="Q176" s="133" t="str">
        <f t="shared" si="57"/>
        <v/>
      </c>
      <c r="R176" s="133" t="str">
        <f t="shared" si="58"/>
        <v/>
      </c>
      <c r="S176" s="133" t="str">
        <f t="shared" si="59"/>
        <v/>
      </c>
      <c r="T176" s="133" t="str">
        <f>IFERROR(IF($U176="ERROR","ERROR",IF($N176="00",IF(J176="1-Rate","HH 1RATE",IF(J176="2-Rate","HH 2RATE","")),IFERROR(VLOOKUP(CONCATENATE(N176,Q176,O176,P176),Lookups!$A$2:$E$4557,5,0),VLOOKUP(CONCATENATE(N176,Q176,O176),Lookups!$A$2:$E$4557,5,0)))),"ERROR")</f>
        <v>ERROR</v>
      </c>
      <c r="U176" s="133" t="str">
        <f>IFERROR(IF(NOT($N176="00"),"",VLOOKUP(CONCATENATE(Q176,P176,LOOKUP(2,1/(Lookups!$I$2:$I$11&lt;=E176)/(Lookups!$J$2:$J$11&gt;=Tool!$C$14),Lookups!$K$2:$K$11)),'HH LLFs'!$A$2:$K$500,3,0)),"ERROR")</f>
        <v/>
      </c>
      <c r="V176" s="132">
        <f>Calcs!$I$2</f>
        <v>44377</v>
      </c>
      <c r="W176" s="132">
        <f>Calcs!$I$4</f>
        <v>44592</v>
      </c>
      <c r="X176" s="153" t="str">
        <f>IF(NOT(N176="00"),"",(VLOOKUP(CONCATENATE(Q176,P176,LOOKUP(2,1/(Lookups!$I$2:$I$11&lt;=Multisite!E176)/(Lookups!$J$2:$J$11&gt;=E176),Lookups!$K$2:$K$11)),'HH LLFs'!$A$2:$F$282,6,0)*365)/12)</f>
        <v/>
      </c>
      <c r="Y176" s="153">
        <f t="shared" si="60"/>
        <v>0</v>
      </c>
      <c r="Z176" s="153" t="str">
        <f t="shared" si="69"/>
        <v/>
      </c>
      <c r="AA176" s="153" t="str">
        <f t="shared" si="61"/>
        <v/>
      </c>
      <c r="AB176" s="153" t="str">
        <f t="shared" si="70"/>
        <v/>
      </c>
      <c r="AC176" s="153" t="str">
        <f t="shared" si="62"/>
        <v/>
      </c>
      <c r="AD176" s="153" t="str">
        <f t="shared" si="63"/>
        <v/>
      </c>
      <c r="AE176" s="153" t="str">
        <f t="shared" si="64"/>
        <v/>
      </c>
      <c r="AF176" s="155" t="e">
        <f>LOOKUP(2,1/(Lookups!$I$2:$I$11&lt;=E176)/(Lookups!$J$2:$J$11&gt;=E176),Lookups!$L$2:$L$11)</f>
        <v>#N/A</v>
      </c>
      <c r="AG176" s="142" t="str">
        <f t="shared" si="65"/>
        <v/>
      </c>
      <c r="AH176" s="142" t="str">
        <f t="shared" si="66"/>
        <v/>
      </c>
      <c r="AI176" s="143" t="b">
        <f t="shared" si="71"/>
        <v>0</v>
      </c>
      <c r="AJ176" s="143" t="str">
        <f t="shared" si="67"/>
        <v>Level 1</v>
      </c>
      <c r="AK176" s="142">
        <f t="shared" si="68"/>
        <v>0</v>
      </c>
      <c r="AL176" s="157" t="str">
        <f t="shared" si="76"/>
        <v/>
      </c>
      <c r="AM176" s="144" t="str">
        <f t="shared" si="77"/>
        <v>--FALSE-0</v>
      </c>
      <c r="AN176" s="158" t="str">
        <f t="shared" si="72"/>
        <v/>
      </c>
      <c r="AO176" s="145"/>
      <c r="AP176" s="159" t="str">
        <f>IF($AN176=FALSE,"",IFERROR(INDEX('Flat Rates'!$A$1:$M$3880,MATCH($AM176,'Flat Rates'!$A$1:$A$3880,0),MATCH("Standing Charge",'Flat Rates'!$A$1:$M$1,0))*100,""))</f>
        <v/>
      </c>
      <c r="AQ176" s="148" t="str">
        <f>IF($AN176=FALSE,"",IFERROR((IF(NOT(T176="Unrestricted"),"",INDEX('Flat Rates'!$A$1:$M$3880,MATCH($AM176,'Flat Rates'!$A$1:$A$3880,0),MATCH("Uni/Day Rate",'Flat Rates'!$A$1:$M$1,0)))*100)+H176,""))</f>
        <v/>
      </c>
      <c r="AR176" s="148" t="str">
        <f>IF($AN176=FALSE,"",IFERROR((IF(T176="Unrestricted","",INDEX('Flat Rates'!$A$1:$M$3880,MATCH($AM176,'Flat Rates'!$A$1:$A$3880,0),MATCH("Uni/Day Rate",'Flat Rates'!$A$1:$M$1,0)))*100)+H176,""))</f>
        <v/>
      </c>
      <c r="AS176" s="148" t="str">
        <f>IF($AN176=FALSE,"",IFERROR(IF(INDEX('Flat Rates'!$A$1:$M$3880,MATCH($AM176,'Flat Rates'!$A$1:$A$3880,0),MATCH("Night Unit Rate",'Flat Rates'!$A$1:$M$1,0))=0,"",((INDEX('Flat Rates'!$A$1:$M$3880,MATCH($AM176,'Flat Rates'!$A$1:$A$3880,0),MATCH("Night Unit Rate",'Flat Rates'!$A$1:$M$1,0)))*100)+H176),""))</f>
        <v/>
      </c>
      <c r="AT176" s="148" t="str">
        <f>IF($AN176=FALSE,"",IFERROR(IF(INDEX('Flat Rates'!$A$1:$M$3880,MATCH($AM176,'Flat Rates'!$A$1:$A$3880,0),MATCH("Evening and Weekend Rate",'Flat Rates'!$A$1:$M$1,0))=0,"",((INDEX('Flat Rates'!$A$1:$M$3880,MATCH($AM176,'Flat Rates'!$A$1:$A$3880,0),MATCH("Evening and Weekend Rate",'Flat Rates'!$A$1:$M$1,0)))*100)+H176),""))</f>
        <v/>
      </c>
      <c r="AU176" s="152" t="str">
        <f t="shared" si="73"/>
        <v/>
      </c>
      <c r="AV176" s="152" t="str">
        <f t="shared" si="74"/>
        <v/>
      </c>
      <c r="AW176" s="152" t="str">
        <f t="shared" si="75"/>
        <v/>
      </c>
    </row>
    <row r="177" spans="2:49" ht="15" thickBot="1" x14ac:dyDescent="0.35">
      <c r="B177" s="138" t="str">
        <f t="shared" si="52"/>
        <v/>
      </c>
      <c r="C177" s="137"/>
      <c r="D177" s="139"/>
      <c r="E177" s="140"/>
      <c r="F177" s="140"/>
      <c r="G177" s="139"/>
      <c r="H177" s="151"/>
      <c r="I177" s="139"/>
      <c r="J177" s="138"/>
      <c r="K177" s="139"/>
      <c r="L177" s="141"/>
      <c r="M177" s="133" t="str">
        <f t="shared" si="53"/>
        <v/>
      </c>
      <c r="N177" s="133" t="str">
        <f t="shared" si="54"/>
        <v/>
      </c>
      <c r="O177" s="133" t="str">
        <f t="shared" si="55"/>
        <v/>
      </c>
      <c r="P177" s="133" t="str">
        <f t="shared" si="56"/>
        <v/>
      </c>
      <c r="Q177" s="133" t="str">
        <f t="shared" si="57"/>
        <v/>
      </c>
      <c r="R177" s="133" t="str">
        <f t="shared" si="58"/>
        <v/>
      </c>
      <c r="S177" s="133" t="str">
        <f t="shared" si="59"/>
        <v/>
      </c>
      <c r="T177" s="133" t="str">
        <f>IFERROR(IF($U177="ERROR","ERROR",IF($N177="00",IF(J177="1-Rate","HH 1RATE",IF(J177="2-Rate","HH 2RATE","")),IFERROR(VLOOKUP(CONCATENATE(N177,Q177,O177,P177),Lookups!$A$2:$E$4557,5,0),VLOOKUP(CONCATENATE(N177,Q177,O177),Lookups!$A$2:$E$4557,5,0)))),"ERROR")</f>
        <v>ERROR</v>
      </c>
      <c r="U177" s="133" t="str">
        <f>IFERROR(IF(NOT($N177="00"),"",VLOOKUP(CONCATENATE(Q177,P177,LOOKUP(2,1/(Lookups!$I$2:$I$11&lt;=E177)/(Lookups!$J$2:$J$11&gt;=Tool!$C$14),Lookups!$K$2:$K$11)),'HH LLFs'!$A$2:$K$500,3,0)),"ERROR")</f>
        <v/>
      </c>
      <c r="V177" s="132">
        <f>Calcs!$I$2</f>
        <v>44377</v>
      </c>
      <c r="W177" s="132">
        <f>Calcs!$I$4</f>
        <v>44592</v>
      </c>
      <c r="X177" s="153" t="str">
        <f>IF(NOT(N177="00"),"",(VLOOKUP(CONCATENATE(Q177,P177,LOOKUP(2,1/(Lookups!$I$2:$I$11&lt;=Multisite!E177)/(Lookups!$J$2:$J$11&gt;=E177),Lookups!$K$2:$K$11)),'HH LLFs'!$A$2:$F$282,6,0)*365)/12)</f>
        <v/>
      </c>
      <c r="Y177" s="153">
        <f t="shared" si="60"/>
        <v>0</v>
      </c>
      <c r="Z177" s="153" t="str">
        <f t="shared" si="69"/>
        <v/>
      </c>
      <c r="AA177" s="153" t="str">
        <f t="shared" si="61"/>
        <v/>
      </c>
      <c r="AB177" s="153" t="str">
        <f t="shared" si="70"/>
        <v/>
      </c>
      <c r="AC177" s="153" t="str">
        <f t="shared" si="62"/>
        <v/>
      </c>
      <c r="AD177" s="153" t="str">
        <f t="shared" si="63"/>
        <v/>
      </c>
      <c r="AE177" s="153" t="str">
        <f t="shared" si="64"/>
        <v/>
      </c>
      <c r="AF177" s="155" t="e">
        <f>LOOKUP(2,1/(Lookups!$I$2:$I$11&lt;=E177)/(Lookups!$J$2:$J$11&gt;=E177),Lookups!$L$2:$L$11)</f>
        <v>#N/A</v>
      </c>
      <c r="AG177" s="142" t="str">
        <f t="shared" si="65"/>
        <v/>
      </c>
      <c r="AH177" s="142" t="str">
        <f t="shared" si="66"/>
        <v/>
      </c>
      <c r="AI177" s="143" t="b">
        <f t="shared" si="71"/>
        <v>0</v>
      </c>
      <c r="AJ177" s="143" t="str">
        <f t="shared" si="67"/>
        <v>Level 1</v>
      </c>
      <c r="AK177" s="142">
        <f t="shared" si="68"/>
        <v>0</v>
      </c>
      <c r="AL177" s="157" t="str">
        <f t="shared" si="76"/>
        <v/>
      </c>
      <c r="AM177" s="144" t="str">
        <f t="shared" si="77"/>
        <v>--FALSE-0</v>
      </c>
      <c r="AN177" s="158" t="str">
        <f t="shared" si="72"/>
        <v/>
      </c>
      <c r="AO177" s="145"/>
      <c r="AP177" s="159" t="str">
        <f>IF($AN177=FALSE,"",IFERROR(INDEX('Flat Rates'!$A$1:$M$3880,MATCH($AM177,'Flat Rates'!$A$1:$A$3880,0),MATCH("Standing Charge",'Flat Rates'!$A$1:$M$1,0))*100,""))</f>
        <v/>
      </c>
      <c r="AQ177" s="148" t="str">
        <f>IF($AN177=FALSE,"",IFERROR((IF(NOT(T177="Unrestricted"),"",INDEX('Flat Rates'!$A$1:$M$3880,MATCH($AM177,'Flat Rates'!$A$1:$A$3880,0),MATCH("Uni/Day Rate",'Flat Rates'!$A$1:$M$1,0)))*100)+H177,""))</f>
        <v/>
      </c>
      <c r="AR177" s="148" t="str">
        <f>IF($AN177=FALSE,"",IFERROR((IF(T177="Unrestricted","",INDEX('Flat Rates'!$A$1:$M$3880,MATCH($AM177,'Flat Rates'!$A$1:$A$3880,0),MATCH("Uni/Day Rate",'Flat Rates'!$A$1:$M$1,0)))*100)+H177,""))</f>
        <v/>
      </c>
      <c r="AS177" s="148" t="str">
        <f>IF($AN177=FALSE,"",IFERROR(IF(INDEX('Flat Rates'!$A$1:$M$3880,MATCH($AM177,'Flat Rates'!$A$1:$A$3880,0),MATCH("Night Unit Rate",'Flat Rates'!$A$1:$M$1,0))=0,"",((INDEX('Flat Rates'!$A$1:$M$3880,MATCH($AM177,'Flat Rates'!$A$1:$A$3880,0),MATCH("Night Unit Rate",'Flat Rates'!$A$1:$M$1,0)))*100)+H177),""))</f>
        <v/>
      </c>
      <c r="AT177" s="148" t="str">
        <f>IF($AN177=FALSE,"",IFERROR(IF(INDEX('Flat Rates'!$A$1:$M$3880,MATCH($AM177,'Flat Rates'!$A$1:$A$3880,0),MATCH("Evening and Weekend Rate",'Flat Rates'!$A$1:$M$1,0))=0,"",((INDEX('Flat Rates'!$A$1:$M$3880,MATCH($AM177,'Flat Rates'!$A$1:$A$3880,0),MATCH("Evening and Weekend Rate",'Flat Rates'!$A$1:$M$1,0)))*100)+H177),""))</f>
        <v/>
      </c>
      <c r="AU177" s="152" t="str">
        <f t="shared" si="73"/>
        <v/>
      </c>
      <c r="AV177" s="152" t="str">
        <f t="shared" si="74"/>
        <v/>
      </c>
      <c r="AW177" s="152" t="str">
        <f t="shared" si="75"/>
        <v/>
      </c>
    </row>
    <row r="178" spans="2:49" ht="15" thickBot="1" x14ac:dyDescent="0.35">
      <c r="B178" s="138" t="str">
        <f t="shared" si="52"/>
        <v/>
      </c>
      <c r="C178" s="146"/>
      <c r="D178" s="147"/>
      <c r="E178" s="140"/>
      <c r="F178" s="140"/>
      <c r="G178" s="139"/>
      <c r="H178" s="151"/>
      <c r="I178" s="139"/>
      <c r="J178" s="137"/>
      <c r="K178" s="139"/>
      <c r="L178" s="141"/>
      <c r="M178" s="133" t="str">
        <f t="shared" si="53"/>
        <v/>
      </c>
      <c r="N178" s="133" t="str">
        <f t="shared" si="54"/>
        <v/>
      </c>
      <c r="O178" s="133" t="str">
        <f t="shared" si="55"/>
        <v/>
      </c>
      <c r="P178" s="133" t="str">
        <f t="shared" si="56"/>
        <v/>
      </c>
      <c r="Q178" s="133" t="str">
        <f t="shared" si="57"/>
        <v/>
      </c>
      <c r="R178" s="133" t="str">
        <f t="shared" si="58"/>
        <v/>
      </c>
      <c r="S178" s="133" t="str">
        <f t="shared" si="59"/>
        <v/>
      </c>
      <c r="T178" s="133" t="str">
        <f>IFERROR(IF($U178="ERROR","ERROR",IF($N178="00",IF(J178="1-Rate","HH 1RATE",IF(J178="2-Rate","HH 2RATE","")),IFERROR(VLOOKUP(CONCATENATE(N178,Q178,O178,P178),Lookups!$A$2:$E$4557,5,0),VLOOKUP(CONCATENATE(N178,Q178,O178),Lookups!$A$2:$E$4557,5,0)))),"ERROR")</f>
        <v>ERROR</v>
      </c>
      <c r="U178" s="133" t="str">
        <f>IFERROR(IF(NOT($N178="00"),"",VLOOKUP(CONCATENATE(Q178,P178,LOOKUP(2,1/(Lookups!$I$2:$I$11&lt;=E178)/(Lookups!$J$2:$J$11&gt;=Tool!$C$14),Lookups!$K$2:$K$11)),'HH LLFs'!$A$2:$K$500,3,0)),"ERROR")</f>
        <v/>
      </c>
      <c r="V178" s="132">
        <f>Calcs!$I$2</f>
        <v>44377</v>
      </c>
      <c r="W178" s="132">
        <f>Calcs!$I$4</f>
        <v>44592</v>
      </c>
      <c r="X178" s="153" t="str">
        <f>IF(NOT(N178="00"),"",(VLOOKUP(CONCATENATE(Q178,P178,LOOKUP(2,1/(Lookups!$I$2:$I$11&lt;=Multisite!E178)/(Lookups!$J$2:$J$11&gt;=E178),Lookups!$K$2:$K$11)),'HH LLFs'!$A$2:$F$282,6,0)*365)/12)</f>
        <v/>
      </c>
      <c r="Y178" s="153">
        <f t="shared" si="60"/>
        <v>0</v>
      </c>
      <c r="Z178" s="153" t="str">
        <f t="shared" si="69"/>
        <v/>
      </c>
      <c r="AA178" s="153" t="str">
        <f t="shared" si="61"/>
        <v/>
      </c>
      <c r="AB178" s="153" t="str">
        <f t="shared" si="70"/>
        <v/>
      </c>
      <c r="AC178" s="153" t="str">
        <f t="shared" si="62"/>
        <v/>
      </c>
      <c r="AD178" s="153" t="str">
        <f t="shared" si="63"/>
        <v/>
      </c>
      <c r="AE178" s="153" t="str">
        <f t="shared" si="64"/>
        <v/>
      </c>
      <c r="AF178" s="155" t="e">
        <f>LOOKUP(2,1/(Lookups!$I$2:$I$11&lt;=E178)/(Lookups!$J$2:$J$11&gt;=E178),Lookups!$L$2:$L$11)</f>
        <v>#N/A</v>
      </c>
      <c r="AG178" s="142" t="str">
        <f t="shared" si="65"/>
        <v/>
      </c>
      <c r="AH178" s="142" t="str">
        <f t="shared" si="66"/>
        <v/>
      </c>
      <c r="AI178" s="143" t="b">
        <f t="shared" si="71"/>
        <v>0</v>
      </c>
      <c r="AJ178" s="143" t="str">
        <f t="shared" si="67"/>
        <v>Level 1</v>
      </c>
      <c r="AK178" s="142">
        <f t="shared" si="68"/>
        <v>0</v>
      </c>
      <c r="AL178" s="157" t="str">
        <f t="shared" si="76"/>
        <v/>
      </c>
      <c r="AM178" s="144" t="str">
        <f t="shared" si="77"/>
        <v>--FALSE-0</v>
      </c>
      <c r="AN178" s="158" t="str">
        <f t="shared" si="72"/>
        <v/>
      </c>
      <c r="AO178" s="145"/>
      <c r="AP178" s="159" t="str">
        <f>IF($AN178=FALSE,"",IFERROR(INDEX('Flat Rates'!$A$1:$M$3880,MATCH($AM178,'Flat Rates'!$A$1:$A$3880,0),MATCH("Standing Charge",'Flat Rates'!$A$1:$M$1,0))*100,""))</f>
        <v/>
      </c>
      <c r="AQ178" s="148" t="str">
        <f>IF($AN178=FALSE,"",IFERROR((IF(NOT(T178="Unrestricted"),"",INDEX('Flat Rates'!$A$1:$M$3880,MATCH($AM178,'Flat Rates'!$A$1:$A$3880,0),MATCH("Uni/Day Rate",'Flat Rates'!$A$1:$M$1,0)))*100)+H178,""))</f>
        <v/>
      </c>
      <c r="AR178" s="148" t="str">
        <f>IF($AN178=FALSE,"",IFERROR((IF(T178="Unrestricted","",INDEX('Flat Rates'!$A$1:$M$3880,MATCH($AM178,'Flat Rates'!$A$1:$A$3880,0),MATCH("Uni/Day Rate",'Flat Rates'!$A$1:$M$1,0)))*100)+H178,""))</f>
        <v/>
      </c>
      <c r="AS178" s="148" t="str">
        <f>IF($AN178=FALSE,"",IFERROR(IF(INDEX('Flat Rates'!$A$1:$M$3880,MATCH($AM178,'Flat Rates'!$A$1:$A$3880,0),MATCH("Night Unit Rate",'Flat Rates'!$A$1:$M$1,0))=0,"",((INDEX('Flat Rates'!$A$1:$M$3880,MATCH($AM178,'Flat Rates'!$A$1:$A$3880,0),MATCH("Night Unit Rate",'Flat Rates'!$A$1:$M$1,0)))*100)+H178),""))</f>
        <v/>
      </c>
      <c r="AT178" s="148" t="str">
        <f>IF($AN178=FALSE,"",IFERROR(IF(INDEX('Flat Rates'!$A$1:$M$3880,MATCH($AM178,'Flat Rates'!$A$1:$A$3880,0),MATCH("Evening and Weekend Rate",'Flat Rates'!$A$1:$M$1,0))=0,"",((INDEX('Flat Rates'!$A$1:$M$3880,MATCH($AM178,'Flat Rates'!$A$1:$A$3880,0),MATCH("Evening and Weekend Rate",'Flat Rates'!$A$1:$M$1,0)))*100)+H178),""))</f>
        <v/>
      </c>
      <c r="AU178" s="152" t="str">
        <f t="shared" si="73"/>
        <v/>
      </c>
      <c r="AV178" s="152" t="str">
        <f t="shared" si="74"/>
        <v/>
      </c>
      <c r="AW178" s="152" t="str">
        <f t="shared" si="75"/>
        <v/>
      </c>
    </row>
    <row r="179" spans="2:49" ht="15" thickBot="1" x14ac:dyDescent="0.35">
      <c r="B179" s="138" t="str">
        <f t="shared" si="52"/>
        <v/>
      </c>
      <c r="C179" s="137"/>
      <c r="D179" s="139"/>
      <c r="E179" s="140"/>
      <c r="F179" s="140"/>
      <c r="G179" s="139"/>
      <c r="H179" s="151"/>
      <c r="I179" s="139"/>
      <c r="J179" s="138"/>
      <c r="K179" s="139"/>
      <c r="L179" s="141"/>
      <c r="M179" s="133" t="str">
        <f t="shared" si="53"/>
        <v/>
      </c>
      <c r="N179" s="133" t="str">
        <f t="shared" si="54"/>
        <v/>
      </c>
      <c r="O179" s="133" t="str">
        <f t="shared" si="55"/>
        <v/>
      </c>
      <c r="P179" s="133" t="str">
        <f t="shared" si="56"/>
        <v/>
      </c>
      <c r="Q179" s="133" t="str">
        <f t="shared" si="57"/>
        <v/>
      </c>
      <c r="R179" s="133" t="str">
        <f t="shared" si="58"/>
        <v/>
      </c>
      <c r="S179" s="133" t="str">
        <f t="shared" si="59"/>
        <v/>
      </c>
      <c r="T179" s="133" t="str">
        <f>IFERROR(IF($U179="ERROR","ERROR",IF($N179="00",IF(J179="1-Rate","HH 1RATE",IF(J179="2-Rate","HH 2RATE","")),IFERROR(VLOOKUP(CONCATENATE(N179,Q179,O179,P179),Lookups!$A$2:$E$4557,5,0),VLOOKUP(CONCATENATE(N179,Q179,O179),Lookups!$A$2:$E$4557,5,0)))),"ERROR")</f>
        <v>ERROR</v>
      </c>
      <c r="U179" s="133" t="str">
        <f>IFERROR(IF(NOT($N179="00"),"",VLOOKUP(CONCATENATE(Q179,P179,LOOKUP(2,1/(Lookups!$I$2:$I$11&lt;=E179)/(Lookups!$J$2:$J$11&gt;=Tool!$C$14),Lookups!$K$2:$K$11)),'HH LLFs'!$A$2:$K$500,3,0)),"ERROR")</f>
        <v/>
      </c>
      <c r="V179" s="132">
        <f>Calcs!$I$2</f>
        <v>44377</v>
      </c>
      <c r="W179" s="132">
        <f>Calcs!$I$4</f>
        <v>44592</v>
      </c>
      <c r="X179" s="153" t="str">
        <f>IF(NOT(N179="00"),"",(VLOOKUP(CONCATENATE(Q179,P179,LOOKUP(2,1/(Lookups!$I$2:$I$11&lt;=Multisite!E179)/(Lookups!$J$2:$J$11&gt;=E179),Lookups!$K$2:$K$11)),'HH LLFs'!$A$2:$F$282,6,0)*365)/12)</f>
        <v/>
      </c>
      <c r="Y179" s="153">
        <f t="shared" si="60"/>
        <v>0</v>
      </c>
      <c r="Z179" s="153" t="str">
        <f t="shared" si="69"/>
        <v/>
      </c>
      <c r="AA179" s="153" t="str">
        <f t="shared" si="61"/>
        <v/>
      </c>
      <c r="AB179" s="153" t="str">
        <f t="shared" si="70"/>
        <v/>
      </c>
      <c r="AC179" s="153" t="str">
        <f t="shared" si="62"/>
        <v/>
      </c>
      <c r="AD179" s="153" t="str">
        <f t="shared" si="63"/>
        <v/>
      </c>
      <c r="AE179" s="153" t="str">
        <f t="shared" si="64"/>
        <v/>
      </c>
      <c r="AF179" s="155" t="e">
        <f>LOOKUP(2,1/(Lookups!$I$2:$I$11&lt;=E179)/(Lookups!$J$2:$J$11&gt;=E179),Lookups!$L$2:$L$11)</f>
        <v>#N/A</v>
      </c>
      <c r="AG179" s="142" t="str">
        <f t="shared" si="65"/>
        <v/>
      </c>
      <c r="AH179" s="142" t="str">
        <f t="shared" si="66"/>
        <v/>
      </c>
      <c r="AI179" s="143" t="b">
        <f t="shared" si="71"/>
        <v>0</v>
      </c>
      <c r="AJ179" s="143" t="str">
        <f t="shared" si="67"/>
        <v>Level 1</v>
      </c>
      <c r="AK179" s="142">
        <f t="shared" si="68"/>
        <v>0</v>
      </c>
      <c r="AL179" s="157" t="str">
        <f t="shared" si="76"/>
        <v/>
      </c>
      <c r="AM179" s="144" t="str">
        <f t="shared" si="77"/>
        <v>--FALSE-0</v>
      </c>
      <c r="AN179" s="158" t="str">
        <f t="shared" si="72"/>
        <v/>
      </c>
      <c r="AO179" s="145"/>
      <c r="AP179" s="159" t="str">
        <f>IF($AN179=FALSE,"",IFERROR(INDEX('Flat Rates'!$A$1:$M$3880,MATCH($AM179,'Flat Rates'!$A$1:$A$3880,0),MATCH("Standing Charge",'Flat Rates'!$A$1:$M$1,0))*100,""))</f>
        <v/>
      </c>
      <c r="AQ179" s="148" t="str">
        <f>IF($AN179=FALSE,"",IFERROR((IF(NOT(T179="Unrestricted"),"",INDEX('Flat Rates'!$A$1:$M$3880,MATCH($AM179,'Flat Rates'!$A$1:$A$3880,0),MATCH("Uni/Day Rate",'Flat Rates'!$A$1:$M$1,0)))*100)+H179,""))</f>
        <v/>
      </c>
      <c r="AR179" s="148" t="str">
        <f>IF($AN179=FALSE,"",IFERROR((IF(T179="Unrestricted","",INDEX('Flat Rates'!$A$1:$M$3880,MATCH($AM179,'Flat Rates'!$A$1:$A$3880,0),MATCH("Uni/Day Rate",'Flat Rates'!$A$1:$M$1,0)))*100)+H179,""))</f>
        <v/>
      </c>
      <c r="AS179" s="148" t="str">
        <f>IF($AN179=FALSE,"",IFERROR(IF(INDEX('Flat Rates'!$A$1:$M$3880,MATCH($AM179,'Flat Rates'!$A$1:$A$3880,0),MATCH("Night Unit Rate",'Flat Rates'!$A$1:$M$1,0))=0,"",((INDEX('Flat Rates'!$A$1:$M$3880,MATCH($AM179,'Flat Rates'!$A$1:$A$3880,0),MATCH("Night Unit Rate",'Flat Rates'!$A$1:$M$1,0)))*100)+H179),""))</f>
        <v/>
      </c>
      <c r="AT179" s="148" t="str">
        <f>IF($AN179=FALSE,"",IFERROR(IF(INDEX('Flat Rates'!$A$1:$M$3880,MATCH($AM179,'Flat Rates'!$A$1:$A$3880,0),MATCH("Evening and Weekend Rate",'Flat Rates'!$A$1:$M$1,0))=0,"",((INDEX('Flat Rates'!$A$1:$M$3880,MATCH($AM179,'Flat Rates'!$A$1:$A$3880,0),MATCH("Evening and Weekend Rate",'Flat Rates'!$A$1:$M$1,0)))*100)+H179),""))</f>
        <v/>
      </c>
      <c r="AU179" s="152" t="str">
        <f t="shared" si="73"/>
        <v/>
      </c>
      <c r="AV179" s="152" t="str">
        <f t="shared" si="74"/>
        <v/>
      </c>
      <c r="AW179" s="152" t="str">
        <f t="shared" si="75"/>
        <v/>
      </c>
    </row>
    <row r="180" spans="2:49" ht="15" thickBot="1" x14ac:dyDescent="0.35">
      <c r="B180" s="138" t="str">
        <f t="shared" si="52"/>
        <v/>
      </c>
      <c r="C180" s="146"/>
      <c r="D180" s="147"/>
      <c r="E180" s="140"/>
      <c r="F180" s="140"/>
      <c r="G180" s="139"/>
      <c r="H180" s="151"/>
      <c r="I180" s="139"/>
      <c r="J180" s="137"/>
      <c r="K180" s="139"/>
      <c r="L180" s="141"/>
      <c r="M180" s="133" t="str">
        <f t="shared" si="53"/>
        <v/>
      </c>
      <c r="N180" s="133" t="str">
        <f t="shared" si="54"/>
        <v/>
      </c>
      <c r="O180" s="133" t="str">
        <f t="shared" si="55"/>
        <v/>
      </c>
      <c r="P180" s="133" t="str">
        <f t="shared" si="56"/>
        <v/>
      </c>
      <c r="Q180" s="133" t="str">
        <f t="shared" si="57"/>
        <v/>
      </c>
      <c r="R180" s="133" t="str">
        <f t="shared" si="58"/>
        <v/>
      </c>
      <c r="S180" s="133" t="str">
        <f t="shared" si="59"/>
        <v/>
      </c>
      <c r="T180" s="133" t="str">
        <f>IFERROR(IF($U180="ERROR","ERROR",IF($N180="00",IF(J180="1-Rate","HH 1RATE",IF(J180="2-Rate","HH 2RATE","")),IFERROR(VLOOKUP(CONCATENATE(N180,Q180,O180,P180),Lookups!$A$2:$E$4557,5,0),VLOOKUP(CONCATENATE(N180,Q180,O180),Lookups!$A$2:$E$4557,5,0)))),"ERROR")</f>
        <v>ERROR</v>
      </c>
      <c r="U180" s="133" t="str">
        <f>IFERROR(IF(NOT($N180="00"),"",VLOOKUP(CONCATENATE(Q180,P180,LOOKUP(2,1/(Lookups!$I$2:$I$11&lt;=E180)/(Lookups!$J$2:$J$11&gt;=Tool!$C$14),Lookups!$K$2:$K$11)),'HH LLFs'!$A$2:$K$500,3,0)),"ERROR")</f>
        <v/>
      </c>
      <c r="V180" s="132">
        <f>Calcs!$I$2</f>
        <v>44377</v>
      </c>
      <c r="W180" s="132">
        <f>Calcs!$I$4</f>
        <v>44592</v>
      </c>
      <c r="X180" s="153" t="str">
        <f>IF(NOT(N180="00"),"",(VLOOKUP(CONCATENATE(Q180,P180,LOOKUP(2,1/(Lookups!$I$2:$I$11&lt;=Multisite!E180)/(Lookups!$J$2:$J$11&gt;=E180),Lookups!$K$2:$K$11)),'HH LLFs'!$A$2:$F$282,6,0)*365)/12)</f>
        <v/>
      </c>
      <c r="Y180" s="153">
        <f t="shared" si="60"/>
        <v>0</v>
      </c>
      <c r="Z180" s="153" t="str">
        <f t="shared" si="69"/>
        <v/>
      </c>
      <c r="AA180" s="153" t="str">
        <f t="shared" si="61"/>
        <v/>
      </c>
      <c r="AB180" s="153" t="str">
        <f t="shared" si="70"/>
        <v/>
      </c>
      <c r="AC180" s="153" t="str">
        <f t="shared" si="62"/>
        <v/>
      </c>
      <c r="AD180" s="153" t="str">
        <f t="shared" si="63"/>
        <v/>
      </c>
      <c r="AE180" s="153" t="str">
        <f t="shared" si="64"/>
        <v/>
      </c>
      <c r="AF180" s="155" t="e">
        <f>LOOKUP(2,1/(Lookups!$I$2:$I$11&lt;=E180)/(Lookups!$J$2:$J$11&gt;=E180),Lookups!$L$2:$L$11)</f>
        <v>#N/A</v>
      </c>
      <c r="AG180" s="142" t="str">
        <f t="shared" si="65"/>
        <v/>
      </c>
      <c r="AH180" s="142" t="str">
        <f t="shared" si="66"/>
        <v/>
      </c>
      <c r="AI180" s="143" t="b">
        <f t="shared" si="71"/>
        <v>0</v>
      </c>
      <c r="AJ180" s="143" t="str">
        <f t="shared" si="67"/>
        <v>Level 1</v>
      </c>
      <c r="AK180" s="142">
        <f t="shared" si="68"/>
        <v>0</v>
      </c>
      <c r="AL180" s="157" t="str">
        <f t="shared" si="76"/>
        <v/>
      </c>
      <c r="AM180" s="144" t="str">
        <f t="shared" si="77"/>
        <v>--FALSE-0</v>
      </c>
      <c r="AN180" s="158" t="str">
        <f t="shared" si="72"/>
        <v/>
      </c>
      <c r="AO180" s="145"/>
      <c r="AP180" s="159" t="str">
        <f>IF($AN180=FALSE,"",IFERROR(INDEX('Flat Rates'!$A$1:$M$3880,MATCH($AM180,'Flat Rates'!$A$1:$A$3880,0),MATCH("Standing Charge",'Flat Rates'!$A$1:$M$1,0))*100,""))</f>
        <v/>
      </c>
      <c r="AQ180" s="148" t="str">
        <f>IF($AN180=FALSE,"",IFERROR((IF(NOT(T180="Unrestricted"),"",INDEX('Flat Rates'!$A$1:$M$3880,MATCH($AM180,'Flat Rates'!$A$1:$A$3880,0),MATCH("Uni/Day Rate",'Flat Rates'!$A$1:$M$1,0)))*100)+H180,""))</f>
        <v/>
      </c>
      <c r="AR180" s="148" t="str">
        <f>IF($AN180=FALSE,"",IFERROR((IF(T180="Unrestricted","",INDEX('Flat Rates'!$A$1:$M$3880,MATCH($AM180,'Flat Rates'!$A$1:$A$3880,0),MATCH("Uni/Day Rate",'Flat Rates'!$A$1:$M$1,0)))*100)+H180,""))</f>
        <v/>
      </c>
      <c r="AS180" s="148" t="str">
        <f>IF($AN180=FALSE,"",IFERROR(IF(INDEX('Flat Rates'!$A$1:$M$3880,MATCH($AM180,'Flat Rates'!$A$1:$A$3880,0),MATCH("Night Unit Rate",'Flat Rates'!$A$1:$M$1,0))=0,"",((INDEX('Flat Rates'!$A$1:$M$3880,MATCH($AM180,'Flat Rates'!$A$1:$A$3880,0),MATCH("Night Unit Rate",'Flat Rates'!$A$1:$M$1,0)))*100)+H180),""))</f>
        <v/>
      </c>
      <c r="AT180" s="148" t="str">
        <f>IF($AN180=FALSE,"",IFERROR(IF(INDEX('Flat Rates'!$A$1:$M$3880,MATCH($AM180,'Flat Rates'!$A$1:$A$3880,0),MATCH("Evening and Weekend Rate",'Flat Rates'!$A$1:$M$1,0))=0,"",((INDEX('Flat Rates'!$A$1:$M$3880,MATCH($AM180,'Flat Rates'!$A$1:$A$3880,0),MATCH("Evening and Weekend Rate",'Flat Rates'!$A$1:$M$1,0)))*100)+H180),""))</f>
        <v/>
      </c>
      <c r="AU180" s="152" t="str">
        <f t="shared" si="73"/>
        <v/>
      </c>
      <c r="AV180" s="152" t="str">
        <f t="shared" si="74"/>
        <v/>
      </c>
      <c r="AW180" s="152" t="str">
        <f t="shared" si="75"/>
        <v/>
      </c>
    </row>
    <row r="181" spans="2:49" ht="15" thickBot="1" x14ac:dyDescent="0.35">
      <c r="B181" s="138" t="str">
        <f t="shared" si="52"/>
        <v/>
      </c>
      <c r="C181" s="137"/>
      <c r="D181" s="139"/>
      <c r="E181" s="140"/>
      <c r="F181" s="140"/>
      <c r="G181" s="139"/>
      <c r="H181" s="151"/>
      <c r="I181" s="139"/>
      <c r="J181" s="138"/>
      <c r="K181" s="139"/>
      <c r="L181" s="141"/>
      <c r="M181" s="133" t="str">
        <f t="shared" si="53"/>
        <v/>
      </c>
      <c r="N181" s="133" t="str">
        <f t="shared" si="54"/>
        <v/>
      </c>
      <c r="O181" s="133" t="str">
        <f t="shared" si="55"/>
        <v/>
      </c>
      <c r="P181" s="133" t="str">
        <f t="shared" si="56"/>
        <v/>
      </c>
      <c r="Q181" s="133" t="str">
        <f t="shared" si="57"/>
        <v/>
      </c>
      <c r="R181" s="133" t="str">
        <f t="shared" si="58"/>
        <v/>
      </c>
      <c r="S181" s="133" t="str">
        <f t="shared" si="59"/>
        <v/>
      </c>
      <c r="T181" s="133" t="str">
        <f>IFERROR(IF($U181="ERROR","ERROR",IF($N181="00",IF(J181="1-Rate","HH 1RATE",IF(J181="2-Rate","HH 2RATE","")),IFERROR(VLOOKUP(CONCATENATE(N181,Q181,O181,P181),Lookups!$A$2:$E$4557,5,0),VLOOKUP(CONCATENATE(N181,Q181,O181),Lookups!$A$2:$E$4557,5,0)))),"ERROR")</f>
        <v>ERROR</v>
      </c>
      <c r="U181" s="133" t="str">
        <f>IFERROR(IF(NOT($N181="00"),"",VLOOKUP(CONCATENATE(Q181,P181,LOOKUP(2,1/(Lookups!$I$2:$I$11&lt;=E181)/(Lookups!$J$2:$J$11&gt;=Tool!$C$14),Lookups!$K$2:$K$11)),'HH LLFs'!$A$2:$K$500,3,0)),"ERROR")</f>
        <v/>
      </c>
      <c r="V181" s="132">
        <f>Calcs!$I$2</f>
        <v>44377</v>
      </c>
      <c r="W181" s="132">
        <f>Calcs!$I$4</f>
        <v>44592</v>
      </c>
      <c r="X181" s="153" t="str">
        <f>IF(NOT(N181="00"),"",(VLOOKUP(CONCATENATE(Q181,P181,LOOKUP(2,1/(Lookups!$I$2:$I$11&lt;=Multisite!E181)/(Lookups!$J$2:$J$11&gt;=E181),Lookups!$K$2:$K$11)),'HH LLFs'!$A$2:$F$282,6,0)*365)/12)</f>
        <v/>
      </c>
      <c r="Y181" s="153">
        <f t="shared" si="60"/>
        <v>0</v>
      </c>
      <c r="Z181" s="153" t="str">
        <f t="shared" si="69"/>
        <v/>
      </c>
      <c r="AA181" s="153" t="str">
        <f t="shared" si="61"/>
        <v/>
      </c>
      <c r="AB181" s="153" t="str">
        <f t="shared" si="70"/>
        <v/>
      </c>
      <c r="AC181" s="153" t="str">
        <f t="shared" si="62"/>
        <v/>
      </c>
      <c r="AD181" s="153" t="str">
        <f t="shared" si="63"/>
        <v/>
      </c>
      <c r="AE181" s="153" t="str">
        <f t="shared" si="64"/>
        <v/>
      </c>
      <c r="AF181" s="155" t="e">
        <f>LOOKUP(2,1/(Lookups!$I$2:$I$11&lt;=E181)/(Lookups!$J$2:$J$11&gt;=E181),Lookups!$L$2:$L$11)</f>
        <v>#N/A</v>
      </c>
      <c r="AG181" s="142" t="str">
        <f t="shared" si="65"/>
        <v/>
      </c>
      <c r="AH181" s="142" t="str">
        <f t="shared" si="66"/>
        <v/>
      </c>
      <c r="AI181" s="143" t="b">
        <f t="shared" si="71"/>
        <v>0</v>
      </c>
      <c r="AJ181" s="143" t="str">
        <f t="shared" si="67"/>
        <v>Level 1</v>
      </c>
      <c r="AK181" s="142">
        <f t="shared" si="68"/>
        <v>0</v>
      </c>
      <c r="AL181" s="157" t="str">
        <f t="shared" si="76"/>
        <v/>
      </c>
      <c r="AM181" s="144" t="str">
        <f t="shared" si="77"/>
        <v>--FALSE-0</v>
      </c>
      <c r="AN181" s="158" t="str">
        <f t="shared" si="72"/>
        <v/>
      </c>
      <c r="AO181" s="145"/>
      <c r="AP181" s="159" t="str">
        <f>IF($AN181=FALSE,"",IFERROR(INDEX('Flat Rates'!$A$1:$M$3880,MATCH($AM181,'Flat Rates'!$A$1:$A$3880,0),MATCH("Standing Charge",'Flat Rates'!$A$1:$M$1,0))*100,""))</f>
        <v/>
      </c>
      <c r="AQ181" s="148" t="str">
        <f>IF($AN181=FALSE,"",IFERROR((IF(NOT(T181="Unrestricted"),"",INDEX('Flat Rates'!$A$1:$M$3880,MATCH($AM181,'Flat Rates'!$A$1:$A$3880,0),MATCH("Uni/Day Rate",'Flat Rates'!$A$1:$M$1,0)))*100)+H181,""))</f>
        <v/>
      </c>
      <c r="AR181" s="148" t="str">
        <f>IF($AN181=FALSE,"",IFERROR((IF(T181="Unrestricted","",INDEX('Flat Rates'!$A$1:$M$3880,MATCH($AM181,'Flat Rates'!$A$1:$A$3880,0),MATCH("Uni/Day Rate",'Flat Rates'!$A$1:$M$1,0)))*100)+H181,""))</f>
        <v/>
      </c>
      <c r="AS181" s="148" t="str">
        <f>IF($AN181=FALSE,"",IFERROR(IF(INDEX('Flat Rates'!$A$1:$M$3880,MATCH($AM181,'Flat Rates'!$A$1:$A$3880,0),MATCH("Night Unit Rate",'Flat Rates'!$A$1:$M$1,0))=0,"",((INDEX('Flat Rates'!$A$1:$M$3880,MATCH($AM181,'Flat Rates'!$A$1:$A$3880,0),MATCH("Night Unit Rate",'Flat Rates'!$A$1:$M$1,0)))*100)+H181),""))</f>
        <v/>
      </c>
      <c r="AT181" s="148" t="str">
        <f>IF($AN181=FALSE,"",IFERROR(IF(INDEX('Flat Rates'!$A$1:$M$3880,MATCH($AM181,'Flat Rates'!$A$1:$A$3880,0),MATCH("Evening and Weekend Rate",'Flat Rates'!$A$1:$M$1,0))=0,"",((INDEX('Flat Rates'!$A$1:$M$3880,MATCH($AM181,'Flat Rates'!$A$1:$A$3880,0),MATCH("Evening and Weekend Rate",'Flat Rates'!$A$1:$M$1,0)))*100)+H181),""))</f>
        <v/>
      </c>
      <c r="AU181" s="152" t="str">
        <f t="shared" si="73"/>
        <v/>
      </c>
      <c r="AV181" s="152" t="str">
        <f t="shared" si="74"/>
        <v/>
      </c>
      <c r="AW181" s="152" t="str">
        <f t="shared" si="75"/>
        <v/>
      </c>
    </row>
    <row r="182" spans="2:49" ht="15" thickBot="1" x14ac:dyDescent="0.35">
      <c r="B182" s="138" t="str">
        <f t="shared" si="52"/>
        <v/>
      </c>
      <c r="C182" s="146"/>
      <c r="D182" s="147"/>
      <c r="E182" s="140"/>
      <c r="F182" s="140"/>
      <c r="G182" s="139"/>
      <c r="H182" s="151"/>
      <c r="I182" s="139"/>
      <c r="J182" s="137"/>
      <c r="K182" s="139"/>
      <c r="L182" s="141"/>
      <c r="M182" s="133" t="str">
        <f t="shared" si="53"/>
        <v/>
      </c>
      <c r="N182" s="133" t="str">
        <f t="shared" si="54"/>
        <v/>
      </c>
      <c r="O182" s="133" t="str">
        <f t="shared" si="55"/>
        <v/>
      </c>
      <c r="P182" s="133" t="str">
        <f t="shared" si="56"/>
        <v/>
      </c>
      <c r="Q182" s="133" t="str">
        <f t="shared" si="57"/>
        <v/>
      </c>
      <c r="R182" s="133" t="str">
        <f t="shared" si="58"/>
        <v/>
      </c>
      <c r="S182" s="133" t="str">
        <f t="shared" si="59"/>
        <v/>
      </c>
      <c r="T182" s="133" t="str">
        <f>IFERROR(IF($U182="ERROR","ERROR",IF($N182="00",IF(J182="1-Rate","HH 1RATE",IF(J182="2-Rate","HH 2RATE","")),IFERROR(VLOOKUP(CONCATENATE(N182,Q182,O182,P182),Lookups!$A$2:$E$4557,5,0),VLOOKUP(CONCATENATE(N182,Q182,O182),Lookups!$A$2:$E$4557,5,0)))),"ERROR")</f>
        <v>ERROR</v>
      </c>
      <c r="U182" s="133" t="str">
        <f>IFERROR(IF(NOT($N182="00"),"",VLOOKUP(CONCATENATE(Q182,P182,LOOKUP(2,1/(Lookups!$I$2:$I$11&lt;=E182)/(Lookups!$J$2:$J$11&gt;=Tool!$C$14),Lookups!$K$2:$K$11)),'HH LLFs'!$A$2:$K$500,3,0)),"ERROR")</f>
        <v/>
      </c>
      <c r="V182" s="132">
        <f>Calcs!$I$2</f>
        <v>44377</v>
      </c>
      <c r="W182" s="132">
        <f>Calcs!$I$4</f>
        <v>44592</v>
      </c>
      <c r="X182" s="153" t="str">
        <f>IF(NOT(N182="00"),"",(VLOOKUP(CONCATENATE(Q182,P182,LOOKUP(2,1/(Lookups!$I$2:$I$11&lt;=Multisite!E182)/(Lookups!$J$2:$J$11&gt;=E182),Lookups!$K$2:$K$11)),'HH LLFs'!$A$2:$F$282,6,0)*365)/12)</f>
        <v/>
      </c>
      <c r="Y182" s="153">
        <f t="shared" si="60"/>
        <v>0</v>
      </c>
      <c r="Z182" s="153" t="str">
        <f t="shared" si="69"/>
        <v/>
      </c>
      <c r="AA182" s="153" t="str">
        <f t="shared" si="61"/>
        <v/>
      </c>
      <c r="AB182" s="153" t="str">
        <f t="shared" si="70"/>
        <v/>
      </c>
      <c r="AC182" s="153" t="str">
        <f t="shared" si="62"/>
        <v/>
      </c>
      <c r="AD182" s="153" t="str">
        <f t="shared" si="63"/>
        <v/>
      </c>
      <c r="AE182" s="153" t="str">
        <f t="shared" si="64"/>
        <v/>
      </c>
      <c r="AF182" s="155" t="e">
        <f>LOOKUP(2,1/(Lookups!$I$2:$I$11&lt;=E182)/(Lookups!$J$2:$J$11&gt;=E182),Lookups!$L$2:$L$11)</f>
        <v>#N/A</v>
      </c>
      <c r="AG182" s="142" t="str">
        <f t="shared" si="65"/>
        <v/>
      </c>
      <c r="AH182" s="142" t="str">
        <f t="shared" si="66"/>
        <v/>
      </c>
      <c r="AI182" s="143" t="b">
        <f t="shared" si="71"/>
        <v>0</v>
      </c>
      <c r="AJ182" s="143" t="str">
        <f t="shared" si="67"/>
        <v>Level 1</v>
      </c>
      <c r="AK182" s="142">
        <f t="shared" si="68"/>
        <v>0</v>
      </c>
      <c r="AL182" s="157" t="str">
        <f t="shared" si="76"/>
        <v/>
      </c>
      <c r="AM182" s="144" t="str">
        <f t="shared" si="77"/>
        <v>--FALSE-0</v>
      </c>
      <c r="AN182" s="158" t="str">
        <f t="shared" si="72"/>
        <v/>
      </c>
      <c r="AO182" s="145"/>
      <c r="AP182" s="159" t="str">
        <f>IF($AN182=FALSE,"",IFERROR(INDEX('Flat Rates'!$A$1:$M$3880,MATCH($AM182,'Flat Rates'!$A$1:$A$3880,0),MATCH("Standing Charge",'Flat Rates'!$A$1:$M$1,0))*100,""))</f>
        <v/>
      </c>
      <c r="AQ182" s="148" t="str">
        <f>IF($AN182=FALSE,"",IFERROR((IF(NOT(T182="Unrestricted"),"",INDEX('Flat Rates'!$A$1:$M$3880,MATCH($AM182,'Flat Rates'!$A$1:$A$3880,0),MATCH("Uni/Day Rate",'Flat Rates'!$A$1:$M$1,0)))*100)+H182,""))</f>
        <v/>
      </c>
      <c r="AR182" s="148" t="str">
        <f>IF($AN182=FALSE,"",IFERROR((IF(T182="Unrestricted","",INDEX('Flat Rates'!$A$1:$M$3880,MATCH($AM182,'Flat Rates'!$A$1:$A$3880,0),MATCH("Uni/Day Rate",'Flat Rates'!$A$1:$M$1,0)))*100)+H182,""))</f>
        <v/>
      </c>
      <c r="AS182" s="148" t="str">
        <f>IF($AN182=FALSE,"",IFERROR(IF(INDEX('Flat Rates'!$A$1:$M$3880,MATCH($AM182,'Flat Rates'!$A$1:$A$3880,0),MATCH("Night Unit Rate",'Flat Rates'!$A$1:$M$1,0))=0,"",((INDEX('Flat Rates'!$A$1:$M$3880,MATCH($AM182,'Flat Rates'!$A$1:$A$3880,0),MATCH("Night Unit Rate",'Flat Rates'!$A$1:$M$1,0)))*100)+H182),""))</f>
        <v/>
      </c>
      <c r="AT182" s="148" t="str">
        <f>IF($AN182=FALSE,"",IFERROR(IF(INDEX('Flat Rates'!$A$1:$M$3880,MATCH($AM182,'Flat Rates'!$A$1:$A$3880,0),MATCH("Evening and Weekend Rate",'Flat Rates'!$A$1:$M$1,0))=0,"",((INDEX('Flat Rates'!$A$1:$M$3880,MATCH($AM182,'Flat Rates'!$A$1:$A$3880,0),MATCH("Evening and Weekend Rate",'Flat Rates'!$A$1:$M$1,0)))*100)+H182),""))</f>
        <v/>
      </c>
      <c r="AU182" s="152" t="str">
        <f t="shared" si="73"/>
        <v/>
      </c>
      <c r="AV182" s="152" t="str">
        <f t="shared" si="74"/>
        <v/>
      </c>
      <c r="AW182" s="152" t="str">
        <f t="shared" si="75"/>
        <v/>
      </c>
    </row>
    <row r="183" spans="2:49" ht="15" thickBot="1" x14ac:dyDescent="0.35">
      <c r="B183" s="138" t="str">
        <f t="shared" si="52"/>
        <v/>
      </c>
      <c r="C183" s="137"/>
      <c r="D183" s="139"/>
      <c r="E183" s="140"/>
      <c r="F183" s="140"/>
      <c r="G183" s="139"/>
      <c r="H183" s="151"/>
      <c r="I183" s="139"/>
      <c r="J183" s="138"/>
      <c r="K183" s="139"/>
      <c r="L183" s="141"/>
      <c r="M183" s="133" t="str">
        <f t="shared" si="53"/>
        <v/>
      </c>
      <c r="N183" s="133" t="str">
        <f t="shared" si="54"/>
        <v/>
      </c>
      <c r="O183" s="133" t="str">
        <f t="shared" si="55"/>
        <v/>
      </c>
      <c r="P183" s="133" t="str">
        <f t="shared" si="56"/>
        <v/>
      </c>
      <c r="Q183" s="133" t="str">
        <f t="shared" si="57"/>
        <v/>
      </c>
      <c r="R183" s="133" t="str">
        <f t="shared" si="58"/>
        <v/>
      </c>
      <c r="S183" s="133" t="str">
        <f t="shared" si="59"/>
        <v/>
      </c>
      <c r="T183" s="133" t="str">
        <f>IFERROR(IF($U183="ERROR","ERROR",IF($N183="00",IF(J183="1-Rate","HH 1RATE",IF(J183="2-Rate","HH 2RATE","")),IFERROR(VLOOKUP(CONCATENATE(N183,Q183,O183,P183),Lookups!$A$2:$E$4557,5,0),VLOOKUP(CONCATENATE(N183,Q183,O183),Lookups!$A$2:$E$4557,5,0)))),"ERROR")</f>
        <v>ERROR</v>
      </c>
      <c r="U183" s="133" t="str">
        <f>IFERROR(IF(NOT($N183="00"),"",VLOOKUP(CONCATENATE(Q183,P183,LOOKUP(2,1/(Lookups!$I$2:$I$11&lt;=E183)/(Lookups!$J$2:$J$11&gt;=Tool!$C$14),Lookups!$K$2:$K$11)),'HH LLFs'!$A$2:$K$500,3,0)),"ERROR")</f>
        <v/>
      </c>
      <c r="V183" s="132">
        <f>Calcs!$I$2</f>
        <v>44377</v>
      </c>
      <c r="W183" s="132">
        <f>Calcs!$I$4</f>
        <v>44592</v>
      </c>
      <c r="X183" s="153" t="str">
        <f>IF(NOT(N183="00"),"",(VLOOKUP(CONCATENATE(Q183,P183,LOOKUP(2,1/(Lookups!$I$2:$I$11&lt;=Multisite!E183)/(Lookups!$J$2:$J$11&gt;=E183),Lookups!$K$2:$K$11)),'HH LLFs'!$A$2:$F$282,6,0)*365)/12)</f>
        <v/>
      </c>
      <c r="Y183" s="153">
        <f t="shared" si="60"/>
        <v>0</v>
      </c>
      <c r="Z183" s="153" t="str">
        <f t="shared" si="69"/>
        <v/>
      </c>
      <c r="AA183" s="153" t="str">
        <f t="shared" si="61"/>
        <v/>
      </c>
      <c r="AB183" s="153" t="str">
        <f t="shared" si="70"/>
        <v/>
      </c>
      <c r="AC183" s="153" t="str">
        <f t="shared" si="62"/>
        <v/>
      </c>
      <c r="AD183" s="153" t="str">
        <f t="shared" si="63"/>
        <v/>
      </c>
      <c r="AE183" s="153" t="str">
        <f t="shared" si="64"/>
        <v/>
      </c>
      <c r="AF183" s="155" t="e">
        <f>LOOKUP(2,1/(Lookups!$I$2:$I$11&lt;=E183)/(Lookups!$J$2:$J$11&gt;=E183),Lookups!$L$2:$L$11)</f>
        <v>#N/A</v>
      </c>
      <c r="AG183" s="142" t="str">
        <f t="shared" si="65"/>
        <v/>
      </c>
      <c r="AH183" s="142" t="str">
        <f t="shared" si="66"/>
        <v/>
      </c>
      <c r="AI183" s="143" t="b">
        <f t="shared" si="71"/>
        <v>0</v>
      </c>
      <c r="AJ183" s="143" t="str">
        <f t="shared" si="67"/>
        <v>Level 1</v>
      </c>
      <c r="AK183" s="142">
        <f t="shared" si="68"/>
        <v>0</v>
      </c>
      <c r="AL183" s="157" t="str">
        <f t="shared" si="76"/>
        <v/>
      </c>
      <c r="AM183" s="144" t="str">
        <f t="shared" si="77"/>
        <v>--FALSE-0</v>
      </c>
      <c r="AN183" s="158" t="str">
        <f t="shared" si="72"/>
        <v/>
      </c>
      <c r="AO183" s="145"/>
      <c r="AP183" s="159" t="str">
        <f>IF($AN183=FALSE,"",IFERROR(INDEX('Flat Rates'!$A$1:$M$3880,MATCH($AM183,'Flat Rates'!$A$1:$A$3880,0),MATCH("Standing Charge",'Flat Rates'!$A$1:$M$1,0))*100,""))</f>
        <v/>
      </c>
      <c r="AQ183" s="148" t="str">
        <f>IF($AN183=FALSE,"",IFERROR((IF(NOT(T183="Unrestricted"),"",INDEX('Flat Rates'!$A$1:$M$3880,MATCH($AM183,'Flat Rates'!$A$1:$A$3880,0),MATCH("Uni/Day Rate",'Flat Rates'!$A$1:$M$1,0)))*100)+H183,""))</f>
        <v/>
      </c>
      <c r="AR183" s="148" t="str">
        <f>IF($AN183=FALSE,"",IFERROR((IF(T183="Unrestricted","",INDEX('Flat Rates'!$A$1:$M$3880,MATCH($AM183,'Flat Rates'!$A$1:$A$3880,0),MATCH("Uni/Day Rate",'Flat Rates'!$A$1:$M$1,0)))*100)+H183,""))</f>
        <v/>
      </c>
      <c r="AS183" s="148" t="str">
        <f>IF($AN183=FALSE,"",IFERROR(IF(INDEX('Flat Rates'!$A$1:$M$3880,MATCH($AM183,'Flat Rates'!$A$1:$A$3880,0),MATCH("Night Unit Rate",'Flat Rates'!$A$1:$M$1,0))=0,"",((INDEX('Flat Rates'!$A$1:$M$3880,MATCH($AM183,'Flat Rates'!$A$1:$A$3880,0),MATCH("Night Unit Rate",'Flat Rates'!$A$1:$M$1,0)))*100)+H183),""))</f>
        <v/>
      </c>
      <c r="AT183" s="148" t="str">
        <f>IF($AN183=FALSE,"",IFERROR(IF(INDEX('Flat Rates'!$A$1:$M$3880,MATCH($AM183,'Flat Rates'!$A$1:$A$3880,0),MATCH("Evening and Weekend Rate",'Flat Rates'!$A$1:$M$1,0))=0,"",((INDEX('Flat Rates'!$A$1:$M$3880,MATCH($AM183,'Flat Rates'!$A$1:$A$3880,0),MATCH("Evening and Weekend Rate",'Flat Rates'!$A$1:$M$1,0)))*100)+H183),""))</f>
        <v/>
      </c>
      <c r="AU183" s="152" t="str">
        <f t="shared" si="73"/>
        <v/>
      </c>
      <c r="AV183" s="152" t="str">
        <f t="shared" si="74"/>
        <v/>
      </c>
      <c r="AW183" s="152" t="str">
        <f t="shared" si="75"/>
        <v/>
      </c>
    </row>
    <row r="184" spans="2:49" ht="15" thickBot="1" x14ac:dyDescent="0.35">
      <c r="B184" s="138" t="str">
        <f t="shared" si="52"/>
        <v/>
      </c>
      <c r="C184" s="146"/>
      <c r="D184" s="147"/>
      <c r="E184" s="140"/>
      <c r="F184" s="140"/>
      <c r="G184" s="139"/>
      <c r="H184" s="151"/>
      <c r="I184" s="139"/>
      <c r="J184" s="137"/>
      <c r="K184" s="139"/>
      <c r="L184" s="141"/>
      <c r="M184" s="133" t="str">
        <f t="shared" si="53"/>
        <v/>
      </c>
      <c r="N184" s="133" t="str">
        <f t="shared" si="54"/>
        <v/>
      </c>
      <c r="O184" s="133" t="str">
        <f t="shared" si="55"/>
        <v/>
      </c>
      <c r="P184" s="133" t="str">
        <f t="shared" si="56"/>
        <v/>
      </c>
      <c r="Q184" s="133" t="str">
        <f t="shared" si="57"/>
        <v/>
      </c>
      <c r="R184" s="133" t="str">
        <f t="shared" si="58"/>
        <v/>
      </c>
      <c r="S184" s="133" t="str">
        <f t="shared" si="59"/>
        <v/>
      </c>
      <c r="T184" s="133" t="str">
        <f>IFERROR(IF($U184="ERROR","ERROR",IF($N184="00",IF(J184="1-Rate","HH 1RATE",IF(J184="2-Rate","HH 2RATE","")),IFERROR(VLOOKUP(CONCATENATE(N184,Q184,O184,P184),Lookups!$A$2:$E$4557,5,0),VLOOKUP(CONCATENATE(N184,Q184,O184),Lookups!$A$2:$E$4557,5,0)))),"ERROR")</f>
        <v>ERROR</v>
      </c>
      <c r="U184" s="133" t="str">
        <f>IFERROR(IF(NOT($N184="00"),"",VLOOKUP(CONCATENATE(Q184,P184,LOOKUP(2,1/(Lookups!$I$2:$I$11&lt;=E184)/(Lookups!$J$2:$J$11&gt;=Tool!$C$14),Lookups!$K$2:$K$11)),'HH LLFs'!$A$2:$K$500,3,0)),"ERROR")</f>
        <v/>
      </c>
      <c r="V184" s="132">
        <f>Calcs!$I$2</f>
        <v>44377</v>
      </c>
      <c r="W184" s="132">
        <f>Calcs!$I$4</f>
        <v>44592</v>
      </c>
      <c r="X184" s="153" t="str">
        <f>IF(NOT(N184="00"),"",(VLOOKUP(CONCATENATE(Q184,P184,LOOKUP(2,1/(Lookups!$I$2:$I$11&lt;=Multisite!E184)/(Lookups!$J$2:$J$11&gt;=E184),Lookups!$K$2:$K$11)),'HH LLFs'!$A$2:$F$282,6,0)*365)/12)</f>
        <v/>
      </c>
      <c r="Y184" s="153">
        <f t="shared" si="60"/>
        <v>0</v>
      </c>
      <c r="Z184" s="153" t="str">
        <f t="shared" si="69"/>
        <v/>
      </c>
      <c r="AA184" s="153" t="str">
        <f t="shared" si="61"/>
        <v/>
      </c>
      <c r="AB184" s="153" t="str">
        <f t="shared" si="70"/>
        <v/>
      </c>
      <c r="AC184" s="153" t="str">
        <f t="shared" si="62"/>
        <v/>
      </c>
      <c r="AD184" s="153" t="str">
        <f t="shared" si="63"/>
        <v/>
      </c>
      <c r="AE184" s="153" t="str">
        <f t="shared" si="64"/>
        <v/>
      </c>
      <c r="AF184" s="155" t="e">
        <f>LOOKUP(2,1/(Lookups!$I$2:$I$11&lt;=E184)/(Lookups!$J$2:$J$11&gt;=E184),Lookups!$L$2:$L$11)</f>
        <v>#N/A</v>
      </c>
      <c r="AG184" s="142" t="str">
        <f t="shared" si="65"/>
        <v/>
      </c>
      <c r="AH184" s="142" t="str">
        <f t="shared" si="66"/>
        <v/>
      </c>
      <c r="AI184" s="143" t="b">
        <f t="shared" si="71"/>
        <v>0</v>
      </c>
      <c r="AJ184" s="143" t="str">
        <f t="shared" si="67"/>
        <v>Level 1</v>
      </c>
      <c r="AK184" s="142">
        <f t="shared" si="68"/>
        <v>0</v>
      </c>
      <c r="AL184" s="157" t="str">
        <f t="shared" si="76"/>
        <v/>
      </c>
      <c r="AM184" s="144" t="str">
        <f t="shared" si="77"/>
        <v>--FALSE-0</v>
      </c>
      <c r="AN184" s="158" t="str">
        <f t="shared" si="72"/>
        <v/>
      </c>
      <c r="AO184" s="145"/>
      <c r="AP184" s="159" t="str">
        <f>IF($AN184=FALSE,"",IFERROR(INDEX('Flat Rates'!$A$1:$M$3880,MATCH($AM184,'Flat Rates'!$A$1:$A$3880,0),MATCH("Standing Charge",'Flat Rates'!$A$1:$M$1,0))*100,""))</f>
        <v/>
      </c>
      <c r="AQ184" s="148" t="str">
        <f>IF($AN184=FALSE,"",IFERROR((IF(NOT(T184="Unrestricted"),"",INDEX('Flat Rates'!$A$1:$M$3880,MATCH($AM184,'Flat Rates'!$A$1:$A$3880,0),MATCH("Uni/Day Rate",'Flat Rates'!$A$1:$M$1,0)))*100)+H184,""))</f>
        <v/>
      </c>
      <c r="AR184" s="148" t="str">
        <f>IF($AN184=FALSE,"",IFERROR((IF(T184="Unrestricted","",INDEX('Flat Rates'!$A$1:$M$3880,MATCH($AM184,'Flat Rates'!$A$1:$A$3880,0),MATCH("Uni/Day Rate",'Flat Rates'!$A$1:$M$1,0)))*100)+H184,""))</f>
        <v/>
      </c>
      <c r="AS184" s="148" t="str">
        <f>IF($AN184=FALSE,"",IFERROR(IF(INDEX('Flat Rates'!$A$1:$M$3880,MATCH($AM184,'Flat Rates'!$A$1:$A$3880,0),MATCH("Night Unit Rate",'Flat Rates'!$A$1:$M$1,0))=0,"",((INDEX('Flat Rates'!$A$1:$M$3880,MATCH($AM184,'Flat Rates'!$A$1:$A$3880,0),MATCH("Night Unit Rate",'Flat Rates'!$A$1:$M$1,0)))*100)+H184),""))</f>
        <v/>
      </c>
      <c r="AT184" s="148" t="str">
        <f>IF($AN184=FALSE,"",IFERROR(IF(INDEX('Flat Rates'!$A$1:$M$3880,MATCH($AM184,'Flat Rates'!$A$1:$A$3880,0),MATCH("Evening and Weekend Rate",'Flat Rates'!$A$1:$M$1,0))=0,"",((INDEX('Flat Rates'!$A$1:$M$3880,MATCH($AM184,'Flat Rates'!$A$1:$A$3880,0),MATCH("Evening and Weekend Rate",'Flat Rates'!$A$1:$M$1,0)))*100)+H184),""))</f>
        <v/>
      </c>
      <c r="AU184" s="152" t="str">
        <f t="shared" si="73"/>
        <v/>
      </c>
      <c r="AV184" s="152" t="str">
        <f t="shared" si="74"/>
        <v/>
      </c>
      <c r="AW184" s="152" t="str">
        <f t="shared" si="75"/>
        <v/>
      </c>
    </row>
    <row r="185" spans="2:49" ht="15" thickBot="1" x14ac:dyDescent="0.35">
      <c r="B185" s="138" t="str">
        <f t="shared" si="52"/>
        <v/>
      </c>
      <c r="C185" s="137"/>
      <c r="D185" s="139"/>
      <c r="E185" s="140"/>
      <c r="F185" s="140"/>
      <c r="G185" s="139"/>
      <c r="H185" s="151"/>
      <c r="I185" s="139"/>
      <c r="J185" s="138"/>
      <c r="K185" s="139"/>
      <c r="L185" s="141"/>
      <c r="M185" s="133" t="str">
        <f t="shared" si="53"/>
        <v/>
      </c>
      <c r="N185" s="133" t="str">
        <f t="shared" si="54"/>
        <v/>
      </c>
      <c r="O185" s="133" t="str">
        <f t="shared" si="55"/>
        <v/>
      </c>
      <c r="P185" s="133" t="str">
        <f t="shared" si="56"/>
        <v/>
      </c>
      <c r="Q185" s="133" t="str">
        <f t="shared" si="57"/>
        <v/>
      </c>
      <c r="R185" s="133" t="str">
        <f t="shared" si="58"/>
        <v/>
      </c>
      <c r="S185" s="133" t="str">
        <f t="shared" si="59"/>
        <v/>
      </c>
      <c r="T185" s="133" t="str">
        <f>IFERROR(IF($U185="ERROR","ERROR",IF($N185="00",IF(J185="1-Rate","HH 1RATE",IF(J185="2-Rate","HH 2RATE","")),IFERROR(VLOOKUP(CONCATENATE(N185,Q185,O185,P185),Lookups!$A$2:$E$4557,5,0),VLOOKUP(CONCATENATE(N185,Q185,O185),Lookups!$A$2:$E$4557,5,0)))),"ERROR")</f>
        <v>ERROR</v>
      </c>
      <c r="U185" s="133" t="str">
        <f>IFERROR(IF(NOT($N185="00"),"",VLOOKUP(CONCATENATE(Q185,P185,LOOKUP(2,1/(Lookups!$I$2:$I$11&lt;=E185)/(Lookups!$J$2:$J$11&gt;=Tool!$C$14),Lookups!$K$2:$K$11)),'HH LLFs'!$A$2:$K$500,3,0)),"ERROR")</f>
        <v/>
      </c>
      <c r="V185" s="132">
        <f>Calcs!$I$2</f>
        <v>44377</v>
      </c>
      <c r="W185" s="132">
        <f>Calcs!$I$4</f>
        <v>44592</v>
      </c>
      <c r="X185" s="153" t="str">
        <f>IF(NOT(N185="00"),"",(VLOOKUP(CONCATENATE(Q185,P185,LOOKUP(2,1/(Lookups!$I$2:$I$11&lt;=Multisite!E185)/(Lookups!$J$2:$J$11&gt;=E185),Lookups!$K$2:$K$11)),'HH LLFs'!$A$2:$F$282,6,0)*365)/12)</f>
        <v/>
      </c>
      <c r="Y185" s="153">
        <f t="shared" si="60"/>
        <v>0</v>
      </c>
      <c r="Z185" s="153" t="str">
        <f t="shared" si="69"/>
        <v/>
      </c>
      <c r="AA185" s="153" t="str">
        <f t="shared" si="61"/>
        <v/>
      </c>
      <c r="AB185" s="153" t="str">
        <f t="shared" si="70"/>
        <v/>
      </c>
      <c r="AC185" s="153" t="str">
        <f t="shared" si="62"/>
        <v/>
      </c>
      <c r="AD185" s="153" t="str">
        <f t="shared" si="63"/>
        <v/>
      </c>
      <c r="AE185" s="153" t="str">
        <f t="shared" si="64"/>
        <v/>
      </c>
      <c r="AF185" s="155" t="e">
        <f>LOOKUP(2,1/(Lookups!$I$2:$I$11&lt;=E185)/(Lookups!$J$2:$J$11&gt;=E185),Lookups!$L$2:$L$11)</f>
        <v>#N/A</v>
      </c>
      <c r="AG185" s="142" t="str">
        <f t="shared" si="65"/>
        <v/>
      </c>
      <c r="AH185" s="142" t="str">
        <f t="shared" si="66"/>
        <v/>
      </c>
      <c r="AI185" s="143" t="b">
        <f t="shared" si="71"/>
        <v>0</v>
      </c>
      <c r="AJ185" s="143" t="str">
        <f t="shared" si="67"/>
        <v>Level 1</v>
      </c>
      <c r="AK185" s="142">
        <f t="shared" si="68"/>
        <v>0</v>
      </c>
      <c r="AL185" s="157" t="str">
        <f t="shared" si="76"/>
        <v/>
      </c>
      <c r="AM185" s="144" t="str">
        <f t="shared" si="77"/>
        <v>--FALSE-0</v>
      </c>
      <c r="AN185" s="158" t="str">
        <f t="shared" si="72"/>
        <v/>
      </c>
      <c r="AO185" s="145"/>
      <c r="AP185" s="159" t="str">
        <f>IF($AN185=FALSE,"",IFERROR(INDEX('Flat Rates'!$A$1:$M$3880,MATCH($AM185,'Flat Rates'!$A$1:$A$3880,0),MATCH("Standing Charge",'Flat Rates'!$A$1:$M$1,0))*100,""))</f>
        <v/>
      </c>
      <c r="AQ185" s="148" t="str">
        <f>IF($AN185=FALSE,"",IFERROR((IF(NOT(T185="Unrestricted"),"",INDEX('Flat Rates'!$A$1:$M$3880,MATCH($AM185,'Flat Rates'!$A$1:$A$3880,0),MATCH("Uni/Day Rate",'Flat Rates'!$A$1:$M$1,0)))*100)+H185,""))</f>
        <v/>
      </c>
      <c r="AR185" s="148" t="str">
        <f>IF($AN185=FALSE,"",IFERROR((IF(T185="Unrestricted","",INDEX('Flat Rates'!$A$1:$M$3880,MATCH($AM185,'Flat Rates'!$A$1:$A$3880,0),MATCH("Uni/Day Rate",'Flat Rates'!$A$1:$M$1,0)))*100)+H185,""))</f>
        <v/>
      </c>
      <c r="AS185" s="148" t="str">
        <f>IF($AN185=FALSE,"",IFERROR(IF(INDEX('Flat Rates'!$A$1:$M$3880,MATCH($AM185,'Flat Rates'!$A$1:$A$3880,0),MATCH("Night Unit Rate",'Flat Rates'!$A$1:$M$1,0))=0,"",((INDEX('Flat Rates'!$A$1:$M$3880,MATCH($AM185,'Flat Rates'!$A$1:$A$3880,0),MATCH("Night Unit Rate",'Flat Rates'!$A$1:$M$1,0)))*100)+H185),""))</f>
        <v/>
      </c>
      <c r="AT185" s="148" t="str">
        <f>IF($AN185=FALSE,"",IFERROR(IF(INDEX('Flat Rates'!$A$1:$M$3880,MATCH($AM185,'Flat Rates'!$A$1:$A$3880,0),MATCH("Evening and Weekend Rate",'Flat Rates'!$A$1:$M$1,0))=0,"",((INDEX('Flat Rates'!$A$1:$M$3880,MATCH($AM185,'Flat Rates'!$A$1:$A$3880,0),MATCH("Evening and Weekend Rate",'Flat Rates'!$A$1:$M$1,0)))*100)+H185),""))</f>
        <v/>
      </c>
      <c r="AU185" s="152" t="str">
        <f t="shared" si="73"/>
        <v/>
      </c>
      <c r="AV185" s="152" t="str">
        <f t="shared" si="74"/>
        <v/>
      </c>
      <c r="AW185" s="152" t="str">
        <f t="shared" si="75"/>
        <v/>
      </c>
    </row>
    <row r="186" spans="2:49" ht="15" thickBot="1" x14ac:dyDescent="0.35">
      <c r="B186" s="138" t="str">
        <f t="shared" si="52"/>
        <v/>
      </c>
      <c r="C186" s="146"/>
      <c r="D186" s="147"/>
      <c r="E186" s="140"/>
      <c r="F186" s="140"/>
      <c r="G186" s="139"/>
      <c r="H186" s="151"/>
      <c r="I186" s="139"/>
      <c r="J186" s="137"/>
      <c r="K186" s="139"/>
      <c r="L186" s="141"/>
      <c r="M186" s="133" t="str">
        <f t="shared" si="53"/>
        <v/>
      </c>
      <c r="N186" s="133" t="str">
        <f t="shared" si="54"/>
        <v/>
      </c>
      <c r="O186" s="133" t="str">
        <f t="shared" si="55"/>
        <v/>
      </c>
      <c r="P186" s="133" t="str">
        <f t="shared" si="56"/>
        <v/>
      </c>
      <c r="Q186" s="133" t="str">
        <f t="shared" si="57"/>
        <v/>
      </c>
      <c r="R186" s="133" t="str">
        <f t="shared" si="58"/>
        <v/>
      </c>
      <c r="S186" s="133" t="str">
        <f t="shared" si="59"/>
        <v/>
      </c>
      <c r="T186" s="133" t="str">
        <f>IFERROR(IF($U186="ERROR","ERROR",IF($N186="00",IF(J186="1-Rate","HH 1RATE",IF(J186="2-Rate","HH 2RATE","")),IFERROR(VLOOKUP(CONCATENATE(N186,Q186,O186,P186),Lookups!$A$2:$E$4557,5,0),VLOOKUP(CONCATENATE(N186,Q186,O186),Lookups!$A$2:$E$4557,5,0)))),"ERROR")</f>
        <v>ERROR</v>
      </c>
      <c r="U186" s="133" t="str">
        <f>IFERROR(IF(NOT($N186="00"),"",VLOOKUP(CONCATENATE(Q186,P186,LOOKUP(2,1/(Lookups!$I$2:$I$11&lt;=E186)/(Lookups!$J$2:$J$11&gt;=Tool!$C$14),Lookups!$K$2:$K$11)),'HH LLFs'!$A$2:$K$500,3,0)),"ERROR")</f>
        <v/>
      </c>
      <c r="V186" s="132">
        <f>Calcs!$I$2</f>
        <v>44377</v>
      </c>
      <c r="W186" s="132">
        <f>Calcs!$I$4</f>
        <v>44592</v>
      </c>
      <c r="X186" s="153" t="str">
        <f>IF(NOT(N186="00"),"",(VLOOKUP(CONCATENATE(Q186,P186,LOOKUP(2,1/(Lookups!$I$2:$I$11&lt;=Multisite!E186)/(Lookups!$J$2:$J$11&gt;=E186),Lookups!$K$2:$K$11)),'HH LLFs'!$A$2:$F$282,6,0)*365)/12)</f>
        <v/>
      </c>
      <c r="Y186" s="153">
        <f t="shared" si="60"/>
        <v>0</v>
      </c>
      <c r="Z186" s="153" t="str">
        <f t="shared" si="69"/>
        <v/>
      </c>
      <c r="AA186" s="153" t="str">
        <f t="shared" si="61"/>
        <v/>
      </c>
      <c r="AB186" s="153" t="str">
        <f t="shared" si="70"/>
        <v/>
      </c>
      <c r="AC186" s="153" t="str">
        <f t="shared" si="62"/>
        <v/>
      </c>
      <c r="AD186" s="153" t="str">
        <f t="shared" si="63"/>
        <v/>
      </c>
      <c r="AE186" s="153" t="str">
        <f t="shared" si="64"/>
        <v/>
      </c>
      <c r="AF186" s="155" t="e">
        <f>LOOKUP(2,1/(Lookups!$I$2:$I$11&lt;=E186)/(Lookups!$J$2:$J$11&gt;=E186),Lookups!$L$2:$L$11)</f>
        <v>#N/A</v>
      </c>
      <c r="AG186" s="142" t="str">
        <f t="shared" si="65"/>
        <v/>
      </c>
      <c r="AH186" s="142" t="str">
        <f t="shared" si="66"/>
        <v/>
      </c>
      <c r="AI186" s="143" t="b">
        <f t="shared" si="71"/>
        <v>0</v>
      </c>
      <c r="AJ186" s="143" t="str">
        <f t="shared" si="67"/>
        <v>Level 1</v>
      </c>
      <c r="AK186" s="142">
        <f t="shared" si="68"/>
        <v>0</v>
      </c>
      <c r="AL186" s="157" t="str">
        <f t="shared" si="76"/>
        <v/>
      </c>
      <c r="AM186" s="144" t="str">
        <f t="shared" si="77"/>
        <v>--FALSE-0</v>
      </c>
      <c r="AN186" s="158" t="str">
        <f t="shared" si="72"/>
        <v/>
      </c>
      <c r="AO186" s="145"/>
      <c r="AP186" s="159" t="str">
        <f>IF($AN186=FALSE,"",IFERROR(INDEX('Flat Rates'!$A$1:$M$3880,MATCH($AM186,'Flat Rates'!$A$1:$A$3880,0),MATCH("Standing Charge",'Flat Rates'!$A$1:$M$1,0))*100,""))</f>
        <v/>
      </c>
      <c r="AQ186" s="148" t="str">
        <f>IF($AN186=FALSE,"",IFERROR((IF(NOT(T186="Unrestricted"),"",INDEX('Flat Rates'!$A$1:$M$3880,MATCH($AM186,'Flat Rates'!$A$1:$A$3880,0),MATCH("Uni/Day Rate",'Flat Rates'!$A$1:$M$1,0)))*100)+H186,""))</f>
        <v/>
      </c>
      <c r="AR186" s="148" t="str">
        <f>IF($AN186=FALSE,"",IFERROR((IF(T186="Unrestricted","",INDEX('Flat Rates'!$A$1:$M$3880,MATCH($AM186,'Flat Rates'!$A$1:$A$3880,0),MATCH("Uni/Day Rate",'Flat Rates'!$A$1:$M$1,0)))*100)+H186,""))</f>
        <v/>
      </c>
      <c r="AS186" s="148" t="str">
        <f>IF($AN186=FALSE,"",IFERROR(IF(INDEX('Flat Rates'!$A$1:$M$3880,MATCH($AM186,'Flat Rates'!$A$1:$A$3880,0),MATCH("Night Unit Rate",'Flat Rates'!$A$1:$M$1,0))=0,"",((INDEX('Flat Rates'!$A$1:$M$3880,MATCH($AM186,'Flat Rates'!$A$1:$A$3880,0),MATCH("Night Unit Rate",'Flat Rates'!$A$1:$M$1,0)))*100)+H186),""))</f>
        <v/>
      </c>
      <c r="AT186" s="148" t="str">
        <f>IF($AN186=FALSE,"",IFERROR(IF(INDEX('Flat Rates'!$A$1:$M$3880,MATCH($AM186,'Flat Rates'!$A$1:$A$3880,0),MATCH("Evening and Weekend Rate",'Flat Rates'!$A$1:$M$1,0))=0,"",((INDEX('Flat Rates'!$A$1:$M$3880,MATCH($AM186,'Flat Rates'!$A$1:$A$3880,0),MATCH("Evening and Weekend Rate",'Flat Rates'!$A$1:$M$1,0)))*100)+H186),""))</f>
        <v/>
      </c>
      <c r="AU186" s="152" t="str">
        <f t="shared" si="73"/>
        <v/>
      </c>
      <c r="AV186" s="152" t="str">
        <f t="shared" si="74"/>
        <v/>
      </c>
      <c r="AW186" s="152" t="str">
        <f t="shared" si="75"/>
        <v/>
      </c>
    </row>
    <row r="187" spans="2:49" ht="15" thickBot="1" x14ac:dyDescent="0.35">
      <c r="B187" s="138" t="str">
        <f t="shared" si="52"/>
        <v/>
      </c>
      <c r="C187" s="137"/>
      <c r="D187" s="139"/>
      <c r="E187" s="140"/>
      <c r="F187" s="140"/>
      <c r="G187" s="139"/>
      <c r="H187" s="151"/>
      <c r="I187" s="139"/>
      <c r="J187" s="138"/>
      <c r="K187" s="139"/>
      <c r="L187" s="141"/>
      <c r="M187" s="133" t="str">
        <f t="shared" si="53"/>
        <v/>
      </c>
      <c r="N187" s="133" t="str">
        <f t="shared" si="54"/>
        <v/>
      </c>
      <c r="O187" s="133" t="str">
        <f t="shared" si="55"/>
        <v/>
      </c>
      <c r="P187" s="133" t="str">
        <f t="shared" si="56"/>
        <v/>
      </c>
      <c r="Q187" s="133" t="str">
        <f t="shared" si="57"/>
        <v/>
      </c>
      <c r="R187" s="133" t="str">
        <f t="shared" si="58"/>
        <v/>
      </c>
      <c r="S187" s="133" t="str">
        <f t="shared" si="59"/>
        <v/>
      </c>
      <c r="T187" s="133" t="str">
        <f>IFERROR(IF($U187="ERROR","ERROR",IF($N187="00",IF(J187="1-Rate","HH 1RATE",IF(J187="2-Rate","HH 2RATE","")),IFERROR(VLOOKUP(CONCATENATE(N187,Q187,O187,P187),Lookups!$A$2:$E$4557,5,0),VLOOKUP(CONCATENATE(N187,Q187,O187),Lookups!$A$2:$E$4557,5,0)))),"ERROR")</f>
        <v>ERROR</v>
      </c>
      <c r="U187" s="133" t="str">
        <f>IFERROR(IF(NOT($N187="00"),"",VLOOKUP(CONCATENATE(Q187,P187,LOOKUP(2,1/(Lookups!$I$2:$I$11&lt;=E187)/(Lookups!$J$2:$J$11&gt;=Tool!$C$14),Lookups!$K$2:$K$11)),'HH LLFs'!$A$2:$K$500,3,0)),"ERROR")</f>
        <v/>
      </c>
      <c r="V187" s="132">
        <f>Calcs!$I$2</f>
        <v>44377</v>
      </c>
      <c r="W187" s="132">
        <f>Calcs!$I$4</f>
        <v>44592</v>
      </c>
      <c r="X187" s="153" t="str">
        <f>IF(NOT(N187="00"),"",(VLOOKUP(CONCATENATE(Q187,P187,LOOKUP(2,1/(Lookups!$I$2:$I$11&lt;=Multisite!E187)/(Lookups!$J$2:$J$11&gt;=E187),Lookups!$K$2:$K$11)),'HH LLFs'!$A$2:$F$282,6,0)*365)/12)</f>
        <v/>
      </c>
      <c r="Y187" s="153">
        <f t="shared" si="60"/>
        <v>0</v>
      </c>
      <c r="Z187" s="153" t="str">
        <f t="shared" si="69"/>
        <v/>
      </c>
      <c r="AA187" s="153" t="str">
        <f t="shared" si="61"/>
        <v/>
      </c>
      <c r="AB187" s="153" t="str">
        <f t="shared" si="70"/>
        <v/>
      </c>
      <c r="AC187" s="153" t="str">
        <f t="shared" si="62"/>
        <v/>
      </c>
      <c r="AD187" s="153" t="str">
        <f t="shared" si="63"/>
        <v/>
      </c>
      <c r="AE187" s="153" t="str">
        <f t="shared" si="64"/>
        <v/>
      </c>
      <c r="AF187" s="155" t="e">
        <f>LOOKUP(2,1/(Lookups!$I$2:$I$11&lt;=E187)/(Lookups!$J$2:$J$11&gt;=E187),Lookups!$L$2:$L$11)</f>
        <v>#N/A</v>
      </c>
      <c r="AG187" s="142" t="str">
        <f t="shared" si="65"/>
        <v/>
      </c>
      <c r="AH187" s="142" t="str">
        <f t="shared" si="66"/>
        <v/>
      </c>
      <c r="AI187" s="143" t="b">
        <f t="shared" si="71"/>
        <v>0</v>
      </c>
      <c r="AJ187" s="143" t="str">
        <f t="shared" si="67"/>
        <v>Level 1</v>
      </c>
      <c r="AK187" s="142">
        <f t="shared" si="68"/>
        <v>0</v>
      </c>
      <c r="AL187" s="157" t="str">
        <f t="shared" si="76"/>
        <v/>
      </c>
      <c r="AM187" s="144" t="str">
        <f t="shared" si="77"/>
        <v>--FALSE-0</v>
      </c>
      <c r="AN187" s="158" t="str">
        <f t="shared" si="72"/>
        <v/>
      </c>
      <c r="AO187" s="145"/>
      <c r="AP187" s="159" t="str">
        <f>IF($AN187=FALSE,"",IFERROR(INDEX('Flat Rates'!$A$1:$M$3880,MATCH($AM187,'Flat Rates'!$A$1:$A$3880,0),MATCH("Standing Charge",'Flat Rates'!$A$1:$M$1,0))*100,""))</f>
        <v/>
      </c>
      <c r="AQ187" s="148" t="str">
        <f>IF($AN187=FALSE,"",IFERROR((IF(NOT(T187="Unrestricted"),"",INDEX('Flat Rates'!$A$1:$M$3880,MATCH($AM187,'Flat Rates'!$A$1:$A$3880,0),MATCH("Uni/Day Rate",'Flat Rates'!$A$1:$M$1,0)))*100)+H187,""))</f>
        <v/>
      </c>
      <c r="AR187" s="148" t="str">
        <f>IF($AN187=FALSE,"",IFERROR((IF(T187="Unrestricted","",INDEX('Flat Rates'!$A$1:$M$3880,MATCH($AM187,'Flat Rates'!$A$1:$A$3880,0),MATCH("Uni/Day Rate",'Flat Rates'!$A$1:$M$1,0)))*100)+H187,""))</f>
        <v/>
      </c>
      <c r="AS187" s="148" t="str">
        <f>IF($AN187=FALSE,"",IFERROR(IF(INDEX('Flat Rates'!$A$1:$M$3880,MATCH($AM187,'Flat Rates'!$A$1:$A$3880,0),MATCH("Night Unit Rate",'Flat Rates'!$A$1:$M$1,0))=0,"",((INDEX('Flat Rates'!$A$1:$M$3880,MATCH($AM187,'Flat Rates'!$A$1:$A$3880,0),MATCH("Night Unit Rate",'Flat Rates'!$A$1:$M$1,0)))*100)+H187),""))</f>
        <v/>
      </c>
      <c r="AT187" s="148" t="str">
        <f>IF($AN187=FALSE,"",IFERROR(IF(INDEX('Flat Rates'!$A$1:$M$3880,MATCH($AM187,'Flat Rates'!$A$1:$A$3880,0),MATCH("Evening and Weekend Rate",'Flat Rates'!$A$1:$M$1,0))=0,"",((INDEX('Flat Rates'!$A$1:$M$3880,MATCH($AM187,'Flat Rates'!$A$1:$A$3880,0),MATCH("Evening and Weekend Rate",'Flat Rates'!$A$1:$M$1,0)))*100)+H187),""))</f>
        <v/>
      </c>
      <c r="AU187" s="152" t="str">
        <f t="shared" si="73"/>
        <v/>
      </c>
      <c r="AV187" s="152" t="str">
        <f t="shared" si="74"/>
        <v/>
      </c>
      <c r="AW187" s="152" t="str">
        <f t="shared" si="75"/>
        <v/>
      </c>
    </row>
    <row r="188" spans="2:49" ht="15" thickBot="1" x14ac:dyDescent="0.35">
      <c r="B188" s="138" t="str">
        <f t="shared" si="52"/>
        <v/>
      </c>
      <c r="C188" s="146"/>
      <c r="D188" s="147"/>
      <c r="E188" s="140"/>
      <c r="F188" s="140"/>
      <c r="G188" s="139"/>
      <c r="H188" s="151"/>
      <c r="I188" s="139"/>
      <c r="J188" s="137"/>
      <c r="K188" s="139"/>
      <c r="L188" s="141"/>
      <c r="M188" s="133" t="str">
        <f t="shared" si="53"/>
        <v/>
      </c>
      <c r="N188" s="133" t="str">
        <f t="shared" si="54"/>
        <v/>
      </c>
      <c r="O188" s="133" t="str">
        <f t="shared" si="55"/>
        <v/>
      </c>
      <c r="P188" s="133" t="str">
        <f t="shared" si="56"/>
        <v/>
      </c>
      <c r="Q188" s="133" t="str">
        <f t="shared" si="57"/>
        <v/>
      </c>
      <c r="R188" s="133" t="str">
        <f t="shared" si="58"/>
        <v/>
      </c>
      <c r="S188" s="133" t="str">
        <f t="shared" si="59"/>
        <v/>
      </c>
      <c r="T188" s="133" t="str">
        <f>IFERROR(IF($U188="ERROR","ERROR",IF($N188="00",IF(J188="1-Rate","HH 1RATE",IF(J188="2-Rate","HH 2RATE","")),IFERROR(VLOOKUP(CONCATENATE(N188,Q188,O188,P188),Lookups!$A$2:$E$4557,5,0),VLOOKUP(CONCATENATE(N188,Q188,O188),Lookups!$A$2:$E$4557,5,0)))),"ERROR")</f>
        <v>ERROR</v>
      </c>
      <c r="U188" s="133" t="str">
        <f>IFERROR(IF(NOT($N188="00"),"",VLOOKUP(CONCATENATE(Q188,P188,LOOKUP(2,1/(Lookups!$I$2:$I$11&lt;=E188)/(Lookups!$J$2:$J$11&gt;=Tool!$C$14),Lookups!$K$2:$K$11)),'HH LLFs'!$A$2:$K$500,3,0)),"ERROR")</f>
        <v/>
      </c>
      <c r="V188" s="132">
        <f>Calcs!$I$2</f>
        <v>44377</v>
      </c>
      <c r="W188" s="132">
        <f>Calcs!$I$4</f>
        <v>44592</v>
      </c>
      <c r="X188" s="153" t="str">
        <f>IF(NOT(N188="00"),"",(VLOOKUP(CONCATENATE(Q188,P188,LOOKUP(2,1/(Lookups!$I$2:$I$11&lt;=Multisite!E188)/(Lookups!$J$2:$J$11&gt;=E188),Lookups!$K$2:$K$11)),'HH LLFs'!$A$2:$F$282,6,0)*365)/12)</f>
        <v/>
      </c>
      <c r="Y188" s="153">
        <f t="shared" si="60"/>
        <v>0</v>
      </c>
      <c r="Z188" s="153" t="str">
        <f t="shared" si="69"/>
        <v/>
      </c>
      <c r="AA188" s="153" t="str">
        <f t="shared" si="61"/>
        <v/>
      </c>
      <c r="AB188" s="153" t="str">
        <f t="shared" si="70"/>
        <v/>
      </c>
      <c r="AC188" s="153" t="str">
        <f t="shared" si="62"/>
        <v/>
      </c>
      <c r="AD188" s="153" t="str">
        <f t="shared" si="63"/>
        <v/>
      </c>
      <c r="AE188" s="153" t="str">
        <f t="shared" si="64"/>
        <v/>
      </c>
      <c r="AF188" s="155" t="e">
        <f>LOOKUP(2,1/(Lookups!$I$2:$I$11&lt;=E188)/(Lookups!$J$2:$J$11&gt;=E188),Lookups!$L$2:$L$11)</f>
        <v>#N/A</v>
      </c>
      <c r="AG188" s="142" t="str">
        <f t="shared" si="65"/>
        <v/>
      </c>
      <c r="AH188" s="142" t="str">
        <f t="shared" si="66"/>
        <v/>
      </c>
      <c r="AI188" s="143" t="b">
        <f t="shared" si="71"/>
        <v>0</v>
      </c>
      <c r="AJ188" s="143" t="str">
        <f t="shared" si="67"/>
        <v>Level 1</v>
      </c>
      <c r="AK188" s="142">
        <f t="shared" si="68"/>
        <v>0</v>
      </c>
      <c r="AL188" s="157" t="str">
        <f t="shared" si="76"/>
        <v/>
      </c>
      <c r="AM188" s="144" t="str">
        <f t="shared" si="77"/>
        <v>--FALSE-0</v>
      </c>
      <c r="AN188" s="158" t="str">
        <f t="shared" si="72"/>
        <v/>
      </c>
      <c r="AO188" s="145"/>
      <c r="AP188" s="159" t="str">
        <f>IF($AN188=FALSE,"",IFERROR(INDEX('Flat Rates'!$A$1:$M$3880,MATCH($AM188,'Flat Rates'!$A$1:$A$3880,0),MATCH("Standing Charge",'Flat Rates'!$A$1:$M$1,0))*100,""))</f>
        <v/>
      </c>
      <c r="AQ188" s="148" t="str">
        <f>IF($AN188=FALSE,"",IFERROR((IF(NOT(T188="Unrestricted"),"",INDEX('Flat Rates'!$A$1:$M$3880,MATCH($AM188,'Flat Rates'!$A$1:$A$3880,0),MATCH("Uni/Day Rate",'Flat Rates'!$A$1:$M$1,0)))*100)+H188,""))</f>
        <v/>
      </c>
      <c r="AR188" s="148" t="str">
        <f>IF($AN188=FALSE,"",IFERROR((IF(T188="Unrestricted","",INDEX('Flat Rates'!$A$1:$M$3880,MATCH($AM188,'Flat Rates'!$A$1:$A$3880,0),MATCH("Uni/Day Rate",'Flat Rates'!$A$1:$M$1,0)))*100)+H188,""))</f>
        <v/>
      </c>
      <c r="AS188" s="148" t="str">
        <f>IF($AN188=FALSE,"",IFERROR(IF(INDEX('Flat Rates'!$A$1:$M$3880,MATCH($AM188,'Flat Rates'!$A$1:$A$3880,0),MATCH("Night Unit Rate",'Flat Rates'!$A$1:$M$1,0))=0,"",((INDEX('Flat Rates'!$A$1:$M$3880,MATCH($AM188,'Flat Rates'!$A$1:$A$3880,0),MATCH("Night Unit Rate",'Flat Rates'!$A$1:$M$1,0)))*100)+H188),""))</f>
        <v/>
      </c>
      <c r="AT188" s="148" t="str">
        <f>IF($AN188=FALSE,"",IFERROR(IF(INDEX('Flat Rates'!$A$1:$M$3880,MATCH($AM188,'Flat Rates'!$A$1:$A$3880,0),MATCH("Evening and Weekend Rate",'Flat Rates'!$A$1:$M$1,0))=0,"",((INDEX('Flat Rates'!$A$1:$M$3880,MATCH($AM188,'Flat Rates'!$A$1:$A$3880,0),MATCH("Evening and Weekend Rate",'Flat Rates'!$A$1:$M$1,0)))*100)+H188),""))</f>
        <v/>
      </c>
      <c r="AU188" s="152" t="str">
        <f t="shared" si="73"/>
        <v/>
      </c>
      <c r="AV188" s="152" t="str">
        <f t="shared" si="74"/>
        <v/>
      </c>
      <c r="AW188" s="152" t="str">
        <f t="shared" si="75"/>
        <v/>
      </c>
    </row>
    <row r="189" spans="2:49" ht="15" thickBot="1" x14ac:dyDescent="0.35">
      <c r="B189" s="138" t="str">
        <f t="shared" si="52"/>
        <v/>
      </c>
      <c r="C189" s="137"/>
      <c r="D189" s="139"/>
      <c r="E189" s="140"/>
      <c r="F189" s="140"/>
      <c r="G189" s="139"/>
      <c r="H189" s="151"/>
      <c r="I189" s="139"/>
      <c r="J189" s="138"/>
      <c r="K189" s="139"/>
      <c r="L189" s="141"/>
      <c r="M189" s="133" t="str">
        <f t="shared" si="53"/>
        <v/>
      </c>
      <c r="N189" s="133" t="str">
        <f t="shared" si="54"/>
        <v/>
      </c>
      <c r="O189" s="133" t="str">
        <f t="shared" si="55"/>
        <v/>
      </c>
      <c r="P189" s="133" t="str">
        <f t="shared" si="56"/>
        <v/>
      </c>
      <c r="Q189" s="133" t="str">
        <f t="shared" si="57"/>
        <v/>
      </c>
      <c r="R189" s="133" t="str">
        <f t="shared" si="58"/>
        <v/>
      </c>
      <c r="S189" s="133" t="str">
        <f t="shared" si="59"/>
        <v/>
      </c>
      <c r="T189" s="133" t="str">
        <f>IFERROR(IF($U189="ERROR","ERROR",IF($N189="00",IF(J189="1-Rate","HH 1RATE",IF(J189="2-Rate","HH 2RATE","")),IFERROR(VLOOKUP(CONCATENATE(N189,Q189,O189,P189),Lookups!$A$2:$E$4557,5,0),VLOOKUP(CONCATENATE(N189,Q189,O189),Lookups!$A$2:$E$4557,5,0)))),"ERROR")</f>
        <v>ERROR</v>
      </c>
      <c r="U189" s="133" t="str">
        <f>IFERROR(IF(NOT($N189="00"),"",VLOOKUP(CONCATENATE(Q189,P189,LOOKUP(2,1/(Lookups!$I$2:$I$11&lt;=E189)/(Lookups!$J$2:$J$11&gt;=Tool!$C$14),Lookups!$K$2:$K$11)),'HH LLFs'!$A$2:$K$500,3,0)),"ERROR")</f>
        <v/>
      </c>
      <c r="V189" s="132">
        <f>Calcs!$I$2</f>
        <v>44377</v>
      </c>
      <c r="W189" s="132">
        <f>Calcs!$I$4</f>
        <v>44592</v>
      </c>
      <c r="X189" s="153" t="str">
        <f>IF(NOT(N189="00"),"",(VLOOKUP(CONCATENATE(Q189,P189,LOOKUP(2,1/(Lookups!$I$2:$I$11&lt;=Multisite!E189)/(Lookups!$J$2:$J$11&gt;=E189),Lookups!$K$2:$K$11)),'HH LLFs'!$A$2:$F$282,6,0)*365)/12)</f>
        <v/>
      </c>
      <c r="Y189" s="153">
        <f t="shared" si="60"/>
        <v>0</v>
      </c>
      <c r="Z189" s="153" t="str">
        <f t="shared" si="69"/>
        <v/>
      </c>
      <c r="AA189" s="153" t="str">
        <f t="shared" si="61"/>
        <v/>
      </c>
      <c r="AB189" s="153" t="str">
        <f t="shared" si="70"/>
        <v/>
      </c>
      <c r="AC189" s="153" t="str">
        <f t="shared" si="62"/>
        <v/>
      </c>
      <c r="AD189" s="153" t="str">
        <f t="shared" si="63"/>
        <v/>
      </c>
      <c r="AE189" s="153" t="str">
        <f t="shared" si="64"/>
        <v/>
      </c>
      <c r="AF189" s="155" t="e">
        <f>LOOKUP(2,1/(Lookups!$I$2:$I$11&lt;=E189)/(Lookups!$J$2:$J$11&gt;=E189),Lookups!$L$2:$L$11)</f>
        <v>#N/A</v>
      </c>
      <c r="AG189" s="142" t="str">
        <f t="shared" si="65"/>
        <v/>
      </c>
      <c r="AH189" s="142" t="str">
        <f t="shared" si="66"/>
        <v/>
      </c>
      <c r="AI189" s="143" t="b">
        <f t="shared" si="71"/>
        <v>0</v>
      </c>
      <c r="AJ189" s="143" t="str">
        <f t="shared" si="67"/>
        <v>Level 1</v>
      </c>
      <c r="AK189" s="142">
        <f t="shared" si="68"/>
        <v>0</v>
      </c>
      <c r="AL189" s="157" t="str">
        <f t="shared" si="76"/>
        <v/>
      </c>
      <c r="AM189" s="144" t="str">
        <f t="shared" si="77"/>
        <v>--FALSE-0</v>
      </c>
      <c r="AN189" s="158" t="str">
        <f t="shared" si="72"/>
        <v/>
      </c>
      <c r="AO189" s="145"/>
      <c r="AP189" s="159" t="str">
        <f>IF($AN189=FALSE,"",IFERROR(INDEX('Flat Rates'!$A$1:$M$3880,MATCH($AM189,'Flat Rates'!$A$1:$A$3880,0),MATCH("Standing Charge",'Flat Rates'!$A$1:$M$1,0))*100,""))</f>
        <v/>
      </c>
      <c r="AQ189" s="148" t="str">
        <f>IF($AN189=FALSE,"",IFERROR((IF(NOT(T189="Unrestricted"),"",INDEX('Flat Rates'!$A$1:$M$3880,MATCH($AM189,'Flat Rates'!$A$1:$A$3880,0),MATCH("Uni/Day Rate",'Flat Rates'!$A$1:$M$1,0)))*100)+H189,""))</f>
        <v/>
      </c>
      <c r="AR189" s="148" t="str">
        <f>IF($AN189=FALSE,"",IFERROR((IF(T189="Unrestricted","",INDEX('Flat Rates'!$A$1:$M$3880,MATCH($AM189,'Flat Rates'!$A$1:$A$3880,0),MATCH("Uni/Day Rate",'Flat Rates'!$A$1:$M$1,0)))*100)+H189,""))</f>
        <v/>
      </c>
      <c r="AS189" s="148" t="str">
        <f>IF($AN189=FALSE,"",IFERROR(IF(INDEX('Flat Rates'!$A$1:$M$3880,MATCH($AM189,'Flat Rates'!$A$1:$A$3880,0),MATCH("Night Unit Rate",'Flat Rates'!$A$1:$M$1,0))=0,"",((INDEX('Flat Rates'!$A$1:$M$3880,MATCH($AM189,'Flat Rates'!$A$1:$A$3880,0),MATCH("Night Unit Rate",'Flat Rates'!$A$1:$M$1,0)))*100)+H189),""))</f>
        <v/>
      </c>
      <c r="AT189" s="148" t="str">
        <f>IF($AN189=FALSE,"",IFERROR(IF(INDEX('Flat Rates'!$A$1:$M$3880,MATCH($AM189,'Flat Rates'!$A$1:$A$3880,0),MATCH("Evening and Weekend Rate",'Flat Rates'!$A$1:$M$1,0))=0,"",((INDEX('Flat Rates'!$A$1:$M$3880,MATCH($AM189,'Flat Rates'!$A$1:$A$3880,0),MATCH("Evening and Weekend Rate",'Flat Rates'!$A$1:$M$1,0)))*100)+H189),""))</f>
        <v/>
      </c>
      <c r="AU189" s="152" t="str">
        <f t="shared" si="73"/>
        <v/>
      </c>
      <c r="AV189" s="152" t="str">
        <f t="shared" si="74"/>
        <v/>
      </c>
      <c r="AW189" s="152" t="str">
        <f t="shared" si="75"/>
        <v/>
      </c>
    </row>
    <row r="190" spans="2:49" ht="15" thickBot="1" x14ac:dyDescent="0.35">
      <c r="B190" s="138" t="str">
        <f t="shared" si="52"/>
        <v/>
      </c>
      <c r="C190" s="146"/>
      <c r="D190" s="147"/>
      <c r="E190" s="140"/>
      <c r="F190" s="140"/>
      <c r="G190" s="139"/>
      <c r="H190" s="151"/>
      <c r="I190" s="139"/>
      <c r="J190" s="137"/>
      <c r="K190" s="139"/>
      <c r="L190" s="141"/>
      <c r="M190" s="133" t="str">
        <f t="shared" si="53"/>
        <v/>
      </c>
      <c r="N190" s="133" t="str">
        <f t="shared" si="54"/>
        <v/>
      </c>
      <c r="O190" s="133" t="str">
        <f t="shared" si="55"/>
        <v/>
      </c>
      <c r="P190" s="133" t="str">
        <f t="shared" si="56"/>
        <v/>
      </c>
      <c r="Q190" s="133" t="str">
        <f t="shared" si="57"/>
        <v/>
      </c>
      <c r="R190" s="133" t="str">
        <f t="shared" si="58"/>
        <v/>
      </c>
      <c r="S190" s="133" t="str">
        <f t="shared" si="59"/>
        <v/>
      </c>
      <c r="T190" s="133" t="str">
        <f>IFERROR(IF($U190="ERROR","ERROR",IF($N190="00",IF(J190="1-Rate","HH 1RATE",IF(J190="2-Rate","HH 2RATE","")),IFERROR(VLOOKUP(CONCATENATE(N190,Q190,O190,P190),Lookups!$A$2:$E$4557,5,0),VLOOKUP(CONCATENATE(N190,Q190,O190),Lookups!$A$2:$E$4557,5,0)))),"ERROR")</f>
        <v>ERROR</v>
      </c>
      <c r="U190" s="133" t="str">
        <f>IFERROR(IF(NOT($N190="00"),"",VLOOKUP(CONCATENATE(Q190,P190,LOOKUP(2,1/(Lookups!$I$2:$I$11&lt;=E190)/(Lookups!$J$2:$J$11&gt;=Tool!$C$14),Lookups!$K$2:$K$11)),'HH LLFs'!$A$2:$K$500,3,0)),"ERROR")</f>
        <v/>
      </c>
      <c r="V190" s="132">
        <f>Calcs!$I$2</f>
        <v>44377</v>
      </c>
      <c r="W190" s="132">
        <f>Calcs!$I$4</f>
        <v>44592</v>
      </c>
      <c r="X190" s="153" t="str">
        <f>IF(NOT(N190="00"),"",(VLOOKUP(CONCATENATE(Q190,P190,LOOKUP(2,1/(Lookups!$I$2:$I$11&lt;=Multisite!E190)/(Lookups!$J$2:$J$11&gt;=E190),Lookups!$K$2:$K$11)),'HH LLFs'!$A$2:$F$282,6,0)*365)/12)</f>
        <v/>
      </c>
      <c r="Y190" s="153">
        <f t="shared" si="60"/>
        <v>0</v>
      </c>
      <c r="Z190" s="153" t="str">
        <f t="shared" si="69"/>
        <v/>
      </c>
      <c r="AA190" s="153" t="str">
        <f t="shared" si="61"/>
        <v/>
      </c>
      <c r="AB190" s="153" t="str">
        <f t="shared" si="70"/>
        <v/>
      </c>
      <c r="AC190" s="153" t="str">
        <f t="shared" si="62"/>
        <v/>
      </c>
      <c r="AD190" s="153" t="str">
        <f t="shared" si="63"/>
        <v/>
      </c>
      <c r="AE190" s="153" t="str">
        <f t="shared" si="64"/>
        <v/>
      </c>
      <c r="AF190" s="155" t="e">
        <f>LOOKUP(2,1/(Lookups!$I$2:$I$11&lt;=E190)/(Lookups!$J$2:$J$11&gt;=E190),Lookups!$L$2:$L$11)</f>
        <v>#N/A</v>
      </c>
      <c r="AG190" s="142" t="str">
        <f t="shared" si="65"/>
        <v/>
      </c>
      <c r="AH190" s="142" t="str">
        <f t="shared" si="66"/>
        <v/>
      </c>
      <c r="AI190" s="143" t="b">
        <f t="shared" si="71"/>
        <v>0</v>
      </c>
      <c r="AJ190" s="143" t="str">
        <f t="shared" si="67"/>
        <v>Level 1</v>
      </c>
      <c r="AK190" s="142">
        <f t="shared" si="68"/>
        <v>0</v>
      </c>
      <c r="AL190" s="157" t="str">
        <f t="shared" si="76"/>
        <v/>
      </c>
      <c r="AM190" s="144" t="str">
        <f t="shared" si="77"/>
        <v>--FALSE-0</v>
      </c>
      <c r="AN190" s="158" t="str">
        <f t="shared" si="72"/>
        <v/>
      </c>
      <c r="AO190" s="145"/>
      <c r="AP190" s="159" t="str">
        <f>IF($AN190=FALSE,"",IFERROR(INDEX('Flat Rates'!$A$1:$M$3880,MATCH($AM190,'Flat Rates'!$A$1:$A$3880,0),MATCH("Standing Charge",'Flat Rates'!$A$1:$M$1,0))*100,""))</f>
        <v/>
      </c>
      <c r="AQ190" s="148" t="str">
        <f>IF($AN190=FALSE,"",IFERROR((IF(NOT(T190="Unrestricted"),"",INDEX('Flat Rates'!$A$1:$M$3880,MATCH($AM190,'Flat Rates'!$A$1:$A$3880,0),MATCH("Uni/Day Rate",'Flat Rates'!$A$1:$M$1,0)))*100)+H190,""))</f>
        <v/>
      </c>
      <c r="AR190" s="148" t="str">
        <f>IF($AN190=FALSE,"",IFERROR((IF(T190="Unrestricted","",INDEX('Flat Rates'!$A$1:$M$3880,MATCH($AM190,'Flat Rates'!$A$1:$A$3880,0),MATCH("Uni/Day Rate",'Flat Rates'!$A$1:$M$1,0)))*100)+H190,""))</f>
        <v/>
      </c>
      <c r="AS190" s="148" t="str">
        <f>IF($AN190=FALSE,"",IFERROR(IF(INDEX('Flat Rates'!$A$1:$M$3880,MATCH($AM190,'Flat Rates'!$A$1:$A$3880,0),MATCH("Night Unit Rate",'Flat Rates'!$A$1:$M$1,0))=0,"",((INDEX('Flat Rates'!$A$1:$M$3880,MATCH($AM190,'Flat Rates'!$A$1:$A$3880,0),MATCH("Night Unit Rate",'Flat Rates'!$A$1:$M$1,0)))*100)+H190),""))</f>
        <v/>
      </c>
      <c r="AT190" s="148" t="str">
        <f>IF($AN190=FALSE,"",IFERROR(IF(INDEX('Flat Rates'!$A$1:$M$3880,MATCH($AM190,'Flat Rates'!$A$1:$A$3880,0),MATCH("Evening and Weekend Rate",'Flat Rates'!$A$1:$M$1,0))=0,"",((INDEX('Flat Rates'!$A$1:$M$3880,MATCH($AM190,'Flat Rates'!$A$1:$A$3880,0),MATCH("Evening and Weekend Rate",'Flat Rates'!$A$1:$M$1,0)))*100)+H190),""))</f>
        <v/>
      </c>
      <c r="AU190" s="152" t="str">
        <f t="shared" si="73"/>
        <v/>
      </c>
      <c r="AV190" s="152" t="str">
        <f t="shared" si="74"/>
        <v/>
      </c>
      <c r="AW190" s="152" t="str">
        <f t="shared" si="75"/>
        <v/>
      </c>
    </row>
    <row r="191" spans="2:49" ht="15" thickBot="1" x14ac:dyDescent="0.35">
      <c r="B191" s="138" t="str">
        <f t="shared" si="52"/>
        <v/>
      </c>
      <c r="C191" s="137"/>
      <c r="D191" s="139"/>
      <c r="E191" s="140"/>
      <c r="F191" s="140"/>
      <c r="G191" s="139"/>
      <c r="H191" s="151"/>
      <c r="I191" s="139"/>
      <c r="J191" s="138"/>
      <c r="K191" s="139"/>
      <c r="L191" s="141"/>
      <c r="M191" s="133" t="str">
        <f t="shared" si="53"/>
        <v/>
      </c>
      <c r="N191" s="133" t="str">
        <f t="shared" si="54"/>
        <v/>
      </c>
      <c r="O191" s="133" t="str">
        <f t="shared" si="55"/>
        <v/>
      </c>
      <c r="P191" s="133" t="str">
        <f t="shared" si="56"/>
        <v/>
      </c>
      <c r="Q191" s="133" t="str">
        <f t="shared" si="57"/>
        <v/>
      </c>
      <c r="R191" s="133" t="str">
        <f t="shared" si="58"/>
        <v/>
      </c>
      <c r="S191" s="133" t="str">
        <f t="shared" si="59"/>
        <v/>
      </c>
      <c r="T191" s="133" t="str">
        <f>IFERROR(IF($U191="ERROR","ERROR",IF($N191="00",IF(J191="1-Rate","HH 1RATE",IF(J191="2-Rate","HH 2RATE","")),IFERROR(VLOOKUP(CONCATENATE(N191,Q191,O191,P191),Lookups!$A$2:$E$4557,5,0),VLOOKUP(CONCATENATE(N191,Q191,O191),Lookups!$A$2:$E$4557,5,0)))),"ERROR")</f>
        <v>ERROR</v>
      </c>
      <c r="U191" s="133" t="str">
        <f>IFERROR(IF(NOT($N191="00"),"",VLOOKUP(CONCATENATE(Q191,P191,LOOKUP(2,1/(Lookups!$I$2:$I$11&lt;=E191)/(Lookups!$J$2:$J$11&gt;=Tool!$C$14),Lookups!$K$2:$K$11)),'HH LLFs'!$A$2:$K$500,3,0)),"ERROR")</f>
        <v/>
      </c>
      <c r="V191" s="132">
        <f>Calcs!$I$2</f>
        <v>44377</v>
      </c>
      <c r="W191" s="132">
        <f>Calcs!$I$4</f>
        <v>44592</v>
      </c>
      <c r="X191" s="153" t="str">
        <f>IF(NOT(N191="00"),"",(VLOOKUP(CONCATENATE(Q191,P191,LOOKUP(2,1/(Lookups!$I$2:$I$11&lt;=Multisite!E191)/(Lookups!$J$2:$J$11&gt;=E191),Lookups!$K$2:$K$11)),'HH LLFs'!$A$2:$F$282,6,0)*365)/12)</f>
        <v/>
      </c>
      <c r="Y191" s="153">
        <f t="shared" si="60"/>
        <v>0</v>
      </c>
      <c r="Z191" s="153" t="str">
        <f t="shared" si="69"/>
        <v/>
      </c>
      <c r="AA191" s="153" t="str">
        <f t="shared" si="61"/>
        <v/>
      </c>
      <c r="AB191" s="153" t="str">
        <f t="shared" si="70"/>
        <v/>
      </c>
      <c r="AC191" s="153" t="str">
        <f t="shared" si="62"/>
        <v/>
      </c>
      <c r="AD191" s="153" t="str">
        <f t="shared" si="63"/>
        <v/>
      </c>
      <c r="AE191" s="153" t="str">
        <f t="shared" si="64"/>
        <v/>
      </c>
      <c r="AF191" s="155" t="e">
        <f>LOOKUP(2,1/(Lookups!$I$2:$I$11&lt;=E191)/(Lookups!$J$2:$J$11&gt;=E191),Lookups!$L$2:$L$11)</f>
        <v>#N/A</v>
      </c>
      <c r="AG191" s="142" t="str">
        <f t="shared" si="65"/>
        <v/>
      </c>
      <c r="AH191" s="142" t="str">
        <f t="shared" si="66"/>
        <v/>
      </c>
      <c r="AI191" s="143" t="b">
        <f t="shared" si="71"/>
        <v>0</v>
      </c>
      <c r="AJ191" s="143" t="str">
        <f t="shared" si="67"/>
        <v>Level 1</v>
      </c>
      <c r="AK191" s="142">
        <f t="shared" si="68"/>
        <v>0</v>
      </c>
      <c r="AL191" s="157" t="str">
        <f t="shared" si="76"/>
        <v/>
      </c>
      <c r="AM191" s="144" t="str">
        <f t="shared" si="77"/>
        <v>--FALSE-0</v>
      </c>
      <c r="AN191" s="158" t="str">
        <f t="shared" si="72"/>
        <v/>
      </c>
      <c r="AO191" s="145"/>
      <c r="AP191" s="159" t="str">
        <f>IF($AN191=FALSE,"",IFERROR(INDEX('Flat Rates'!$A$1:$M$3880,MATCH($AM191,'Flat Rates'!$A$1:$A$3880,0),MATCH("Standing Charge",'Flat Rates'!$A$1:$M$1,0))*100,""))</f>
        <v/>
      </c>
      <c r="AQ191" s="148" t="str">
        <f>IF($AN191=FALSE,"",IFERROR((IF(NOT(T191="Unrestricted"),"",INDEX('Flat Rates'!$A$1:$M$3880,MATCH($AM191,'Flat Rates'!$A$1:$A$3880,0),MATCH("Uni/Day Rate",'Flat Rates'!$A$1:$M$1,0)))*100)+H191,""))</f>
        <v/>
      </c>
      <c r="AR191" s="148" t="str">
        <f>IF($AN191=FALSE,"",IFERROR((IF(T191="Unrestricted","",INDEX('Flat Rates'!$A$1:$M$3880,MATCH($AM191,'Flat Rates'!$A$1:$A$3880,0),MATCH("Uni/Day Rate",'Flat Rates'!$A$1:$M$1,0)))*100)+H191,""))</f>
        <v/>
      </c>
      <c r="AS191" s="148" t="str">
        <f>IF($AN191=FALSE,"",IFERROR(IF(INDEX('Flat Rates'!$A$1:$M$3880,MATCH($AM191,'Flat Rates'!$A$1:$A$3880,0),MATCH("Night Unit Rate",'Flat Rates'!$A$1:$M$1,0))=0,"",((INDEX('Flat Rates'!$A$1:$M$3880,MATCH($AM191,'Flat Rates'!$A$1:$A$3880,0),MATCH("Night Unit Rate",'Flat Rates'!$A$1:$M$1,0)))*100)+H191),""))</f>
        <v/>
      </c>
      <c r="AT191" s="148" t="str">
        <f>IF($AN191=FALSE,"",IFERROR(IF(INDEX('Flat Rates'!$A$1:$M$3880,MATCH($AM191,'Flat Rates'!$A$1:$A$3880,0),MATCH("Evening and Weekend Rate",'Flat Rates'!$A$1:$M$1,0))=0,"",((INDEX('Flat Rates'!$A$1:$M$3880,MATCH($AM191,'Flat Rates'!$A$1:$A$3880,0),MATCH("Evening and Weekend Rate",'Flat Rates'!$A$1:$M$1,0)))*100)+H191),""))</f>
        <v/>
      </c>
      <c r="AU191" s="152" t="str">
        <f t="shared" si="73"/>
        <v/>
      </c>
      <c r="AV191" s="152" t="str">
        <f t="shared" si="74"/>
        <v/>
      </c>
      <c r="AW191" s="152" t="str">
        <f t="shared" si="75"/>
        <v/>
      </c>
    </row>
    <row r="192" spans="2:49" ht="15" thickBot="1" x14ac:dyDescent="0.35">
      <c r="B192" s="138" t="str">
        <f t="shared" si="52"/>
        <v/>
      </c>
      <c r="C192" s="146"/>
      <c r="D192" s="147"/>
      <c r="E192" s="140"/>
      <c r="F192" s="140"/>
      <c r="G192" s="139"/>
      <c r="H192" s="151"/>
      <c r="I192" s="139"/>
      <c r="J192" s="137"/>
      <c r="K192" s="139"/>
      <c r="L192" s="141"/>
      <c r="M192" s="133" t="str">
        <f t="shared" si="53"/>
        <v/>
      </c>
      <c r="N192" s="133" t="str">
        <f t="shared" si="54"/>
        <v/>
      </c>
      <c r="O192" s="133" t="str">
        <f t="shared" si="55"/>
        <v/>
      </c>
      <c r="P192" s="133" t="str">
        <f t="shared" si="56"/>
        <v/>
      </c>
      <c r="Q192" s="133" t="str">
        <f t="shared" si="57"/>
        <v/>
      </c>
      <c r="R192" s="133" t="str">
        <f t="shared" si="58"/>
        <v/>
      </c>
      <c r="S192" s="133" t="str">
        <f t="shared" si="59"/>
        <v/>
      </c>
      <c r="T192" s="133" t="str">
        <f>IFERROR(IF($U192="ERROR","ERROR",IF($N192="00",IF(J192="1-Rate","HH 1RATE",IF(J192="2-Rate","HH 2RATE","")),IFERROR(VLOOKUP(CONCATENATE(N192,Q192,O192,P192),Lookups!$A$2:$E$4557,5,0),VLOOKUP(CONCATENATE(N192,Q192,O192),Lookups!$A$2:$E$4557,5,0)))),"ERROR")</f>
        <v>ERROR</v>
      </c>
      <c r="U192" s="133" t="str">
        <f>IFERROR(IF(NOT($N192="00"),"",VLOOKUP(CONCATENATE(Q192,P192,LOOKUP(2,1/(Lookups!$I$2:$I$11&lt;=E192)/(Lookups!$J$2:$J$11&gt;=Tool!$C$14),Lookups!$K$2:$K$11)),'HH LLFs'!$A$2:$K$500,3,0)),"ERROR")</f>
        <v/>
      </c>
      <c r="V192" s="132">
        <f>Calcs!$I$2</f>
        <v>44377</v>
      </c>
      <c r="W192" s="132">
        <f>Calcs!$I$4</f>
        <v>44592</v>
      </c>
      <c r="X192" s="153" t="str">
        <f>IF(NOT(N192="00"),"",(VLOOKUP(CONCATENATE(Q192,P192,LOOKUP(2,1/(Lookups!$I$2:$I$11&lt;=Multisite!E192)/(Lookups!$J$2:$J$11&gt;=E192),Lookups!$K$2:$K$11)),'HH LLFs'!$A$2:$F$282,6,0)*365)/12)</f>
        <v/>
      </c>
      <c r="Y192" s="153">
        <f t="shared" si="60"/>
        <v>0</v>
      </c>
      <c r="Z192" s="153" t="str">
        <f t="shared" si="69"/>
        <v/>
      </c>
      <c r="AA192" s="153" t="str">
        <f t="shared" si="61"/>
        <v/>
      </c>
      <c r="AB192" s="153" t="str">
        <f t="shared" si="70"/>
        <v/>
      </c>
      <c r="AC192" s="153" t="str">
        <f t="shared" si="62"/>
        <v/>
      </c>
      <c r="AD192" s="153" t="str">
        <f t="shared" si="63"/>
        <v/>
      </c>
      <c r="AE192" s="153" t="str">
        <f t="shared" si="64"/>
        <v/>
      </c>
      <c r="AF192" s="155" t="e">
        <f>LOOKUP(2,1/(Lookups!$I$2:$I$11&lt;=E192)/(Lookups!$J$2:$J$11&gt;=E192),Lookups!$L$2:$L$11)</f>
        <v>#N/A</v>
      </c>
      <c r="AG192" s="142" t="str">
        <f t="shared" si="65"/>
        <v/>
      </c>
      <c r="AH192" s="142" t="str">
        <f t="shared" si="66"/>
        <v/>
      </c>
      <c r="AI192" s="143" t="b">
        <f t="shared" si="71"/>
        <v>0</v>
      </c>
      <c r="AJ192" s="143" t="str">
        <f t="shared" si="67"/>
        <v>Level 1</v>
      </c>
      <c r="AK192" s="142">
        <f t="shared" si="68"/>
        <v>0</v>
      </c>
      <c r="AL192" s="157" t="str">
        <f t="shared" si="76"/>
        <v/>
      </c>
      <c r="AM192" s="144" t="str">
        <f t="shared" si="77"/>
        <v>--FALSE-0</v>
      </c>
      <c r="AN192" s="158" t="str">
        <f t="shared" si="72"/>
        <v/>
      </c>
      <c r="AO192" s="145"/>
      <c r="AP192" s="159" t="str">
        <f>IF($AN192=FALSE,"",IFERROR(INDEX('Flat Rates'!$A$1:$M$3880,MATCH($AM192,'Flat Rates'!$A$1:$A$3880,0),MATCH("Standing Charge",'Flat Rates'!$A$1:$M$1,0))*100,""))</f>
        <v/>
      </c>
      <c r="AQ192" s="148" t="str">
        <f>IF($AN192=FALSE,"",IFERROR((IF(NOT(T192="Unrestricted"),"",INDEX('Flat Rates'!$A$1:$M$3880,MATCH($AM192,'Flat Rates'!$A$1:$A$3880,0),MATCH("Uni/Day Rate",'Flat Rates'!$A$1:$M$1,0)))*100)+H192,""))</f>
        <v/>
      </c>
      <c r="AR192" s="148" t="str">
        <f>IF($AN192=FALSE,"",IFERROR((IF(T192="Unrestricted","",INDEX('Flat Rates'!$A$1:$M$3880,MATCH($AM192,'Flat Rates'!$A$1:$A$3880,0),MATCH("Uni/Day Rate",'Flat Rates'!$A$1:$M$1,0)))*100)+H192,""))</f>
        <v/>
      </c>
      <c r="AS192" s="148" t="str">
        <f>IF($AN192=FALSE,"",IFERROR(IF(INDEX('Flat Rates'!$A$1:$M$3880,MATCH($AM192,'Flat Rates'!$A$1:$A$3880,0),MATCH("Night Unit Rate",'Flat Rates'!$A$1:$M$1,0))=0,"",((INDEX('Flat Rates'!$A$1:$M$3880,MATCH($AM192,'Flat Rates'!$A$1:$A$3880,0),MATCH("Night Unit Rate",'Flat Rates'!$A$1:$M$1,0)))*100)+H192),""))</f>
        <v/>
      </c>
      <c r="AT192" s="148" t="str">
        <f>IF($AN192=FALSE,"",IFERROR(IF(INDEX('Flat Rates'!$A$1:$M$3880,MATCH($AM192,'Flat Rates'!$A$1:$A$3880,0),MATCH("Evening and Weekend Rate",'Flat Rates'!$A$1:$M$1,0))=0,"",((INDEX('Flat Rates'!$A$1:$M$3880,MATCH($AM192,'Flat Rates'!$A$1:$A$3880,0),MATCH("Evening and Weekend Rate",'Flat Rates'!$A$1:$M$1,0)))*100)+H192),""))</f>
        <v/>
      </c>
      <c r="AU192" s="152" t="str">
        <f t="shared" si="73"/>
        <v/>
      </c>
      <c r="AV192" s="152" t="str">
        <f t="shared" si="74"/>
        <v/>
      </c>
      <c r="AW192" s="152" t="str">
        <f t="shared" si="75"/>
        <v/>
      </c>
    </row>
    <row r="193" spans="2:49" ht="15" thickBot="1" x14ac:dyDescent="0.35">
      <c r="B193" s="138" t="str">
        <f t="shared" si="52"/>
        <v/>
      </c>
      <c r="C193" s="137"/>
      <c r="D193" s="139"/>
      <c r="E193" s="140"/>
      <c r="F193" s="140"/>
      <c r="G193" s="139"/>
      <c r="H193" s="151"/>
      <c r="I193" s="139"/>
      <c r="J193" s="138"/>
      <c r="K193" s="139"/>
      <c r="L193" s="141"/>
      <c r="M193" s="133" t="str">
        <f t="shared" si="53"/>
        <v/>
      </c>
      <c r="N193" s="133" t="str">
        <f t="shared" si="54"/>
        <v/>
      </c>
      <c r="O193" s="133" t="str">
        <f t="shared" si="55"/>
        <v/>
      </c>
      <c r="P193" s="133" t="str">
        <f t="shared" si="56"/>
        <v/>
      </c>
      <c r="Q193" s="133" t="str">
        <f t="shared" si="57"/>
        <v/>
      </c>
      <c r="R193" s="133" t="str">
        <f t="shared" si="58"/>
        <v/>
      </c>
      <c r="S193" s="133" t="str">
        <f t="shared" si="59"/>
        <v/>
      </c>
      <c r="T193" s="133" t="str">
        <f>IFERROR(IF($U193="ERROR","ERROR",IF($N193="00",IF(J193="1-Rate","HH 1RATE",IF(J193="2-Rate","HH 2RATE","")),IFERROR(VLOOKUP(CONCATENATE(N193,Q193,O193,P193),Lookups!$A$2:$E$4557,5,0),VLOOKUP(CONCATENATE(N193,Q193,O193),Lookups!$A$2:$E$4557,5,0)))),"ERROR")</f>
        <v>ERROR</v>
      </c>
      <c r="U193" s="133" t="str">
        <f>IFERROR(IF(NOT($N193="00"),"",VLOOKUP(CONCATENATE(Q193,P193,LOOKUP(2,1/(Lookups!$I$2:$I$11&lt;=E193)/(Lookups!$J$2:$J$11&gt;=Tool!$C$14),Lookups!$K$2:$K$11)),'HH LLFs'!$A$2:$K$500,3,0)),"ERROR")</f>
        <v/>
      </c>
      <c r="V193" s="132">
        <f>Calcs!$I$2</f>
        <v>44377</v>
      </c>
      <c r="W193" s="132">
        <f>Calcs!$I$4</f>
        <v>44592</v>
      </c>
      <c r="X193" s="153" t="str">
        <f>IF(NOT(N193="00"),"",(VLOOKUP(CONCATENATE(Q193,P193,LOOKUP(2,1/(Lookups!$I$2:$I$11&lt;=Multisite!E193)/(Lookups!$J$2:$J$11&gt;=E193),Lookups!$K$2:$K$11)),'HH LLFs'!$A$2:$F$282,6,0)*365)/12)</f>
        <v/>
      </c>
      <c r="Y193" s="153">
        <f t="shared" si="60"/>
        <v>0</v>
      </c>
      <c r="Z193" s="153" t="str">
        <f t="shared" si="69"/>
        <v/>
      </c>
      <c r="AA193" s="153" t="str">
        <f t="shared" si="61"/>
        <v/>
      </c>
      <c r="AB193" s="153" t="str">
        <f t="shared" si="70"/>
        <v/>
      </c>
      <c r="AC193" s="153" t="str">
        <f t="shared" si="62"/>
        <v/>
      </c>
      <c r="AD193" s="153" t="str">
        <f t="shared" si="63"/>
        <v/>
      </c>
      <c r="AE193" s="153" t="str">
        <f t="shared" si="64"/>
        <v/>
      </c>
      <c r="AF193" s="155" t="e">
        <f>LOOKUP(2,1/(Lookups!$I$2:$I$11&lt;=E193)/(Lookups!$J$2:$J$11&gt;=E193),Lookups!$L$2:$L$11)</f>
        <v>#N/A</v>
      </c>
      <c r="AG193" s="142" t="str">
        <f t="shared" si="65"/>
        <v/>
      </c>
      <c r="AH193" s="142" t="str">
        <f t="shared" si="66"/>
        <v/>
      </c>
      <c r="AI193" s="143" t="b">
        <f t="shared" si="71"/>
        <v>0</v>
      </c>
      <c r="AJ193" s="143" t="str">
        <f t="shared" si="67"/>
        <v>Level 1</v>
      </c>
      <c r="AK193" s="142">
        <f t="shared" si="68"/>
        <v>0</v>
      </c>
      <c r="AL193" s="157" t="str">
        <f t="shared" si="76"/>
        <v/>
      </c>
      <c r="AM193" s="144" t="str">
        <f t="shared" si="77"/>
        <v>--FALSE-0</v>
      </c>
      <c r="AN193" s="158" t="str">
        <f t="shared" si="72"/>
        <v/>
      </c>
      <c r="AO193" s="145"/>
      <c r="AP193" s="159" t="str">
        <f>IF($AN193=FALSE,"",IFERROR(INDEX('Flat Rates'!$A$1:$M$3880,MATCH($AM193,'Flat Rates'!$A$1:$A$3880,0),MATCH("Standing Charge",'Flat Rates'!$A$1:$M$1,0))*100,""))</f>
        <v/>
      </c>
      <c r="AQ193" s="148" t="str">
        <f>IF($AN193=FALSE,"",IFERROR((IF(NOT(T193="Unrestricted"),"",INDEX('Flat Rates'!$A$1:$M$3880,MATCH($AM193,'Flat Rates'!$A$1:$A$3880,0),MATCH("Uni/Day Rate",'Flat Rates'!$A$1:$M$1,0)))*100)+H193,""))</f>
        <v/>
      </c>
      <c r="AR193" s="148" t="str">
        <f>IF($AN193=FALSE,"",IFERROR((IF(T193="Unrestricted","",INDEX('Flat Rates'!$A$1:$M$3880,MATCH($AM193,'Flat Rates'!$A$1:$A$3880,0),MATCH("Uni/Day Rate",'Flat Rates'!$A$1:$M$1,0)))*100)+H193,""))</f>
        <v/>
      </c>
      <c r="AS193" s="148" t="str">
        <f>IF($AN193=FALSE,"",IFERROR(IF(INDEX('Flat Rates'!$A$1:$M$3880,MATCH($AM193,'Flat Rates'!$A$1:$A$3880,0),MATCH("Night Unit Rate",'Flat Rates'!$A$1:$M$1,0))=0,"",((INDEX('Flat Rates'!$A$1:$M$3880,MATCH($AM193,'Flat Rates'!$A$1:$A$3880,0),MATCH("Night Unit Rate",'Flat Rates'!$A$1:$M$1,0)))*100)+H193),""))</f>
        <v/>
      </c>
      <c r="AT193" s="148" t="str">
        <f>IF($AN193=FALSE,"",IFERROR(IF(INDEX('Flat Rates'!$A$1:$M$3880,MATCH($AM193,'Flat Rates'!$A$1:$A$3880,0),MATCH("Evening and Weekend Rate",'Flat Rates'!$A$1:$M$1,0))=0,"",((INDEX('Flat Rates'!$A$1:$M$3880,MATCH($AM193,'Flat Rates'!$A$1:$A$3880,0),MATCH("Evening and Weekend Rate",'Flat Rates'!$A$1:$M$1,0)))*100)+H193),""))</f>
        <v/>
      </c>
      <c r="AU193" s="152" t="str">
        <f t="shared" si="73"/>
        <v/>
      </c>
      <c r="AV193" s="152" t="str">
        <f t="shared" si="74"/>
        <v/>
      </c>
      <c r="AW193" s="152" t="str">
        <f t="shared" si="75"/>
        <v/>
      </c>
    </row>
    <row r="194" spans="2:49" ht="15" thickBot="1" x14ac:dyDescent="0.35">
      <c r="B194" s="138" t="str">
        <f t="shared" si="52"/>
        <v/>
      </c>
      <c r="C194" s="146"/>
      <c r="D194" s="147"/>
      <c r="E194" s="140"/>
      <c r="F194" s="140"/>
      <c r="G194" s="139"/>
      <c r="H194" s="151"/>
      <c r="I194" s="139"/>
      <c r="J194" s="137"/>
      <c r="K194" s="139"/>
      <c r="L194" s="141"/>
      <c r="M194" s="133" t="str">
        <f t="shared" si="53"/>
        <v/>
      </c>
      <c r="N194" s="133" t="str">
        <f t="shared" si="54"/>
        <v/>
      </c>
      <c r="O194" s="133" t="str">
        <f t="shared" si="55"/>
        <v/>
      </c>
      <c r="P194" s="133" t="str">
        <f t="shared" si="56"/>
        <v/>
      </c>
      <c r="Q194" s="133" t="str">
        <f t="shared" si="57"/>
        <v/>
      </c>
      <c r="R194" s="133" t="str">
        <f t="shared" si="58"/>
        <v/>
      </c>
      <c r="S194" s="133" t="str">
        <f t="shared" si="59"/>
        <v/>
      </c>
      <c r="T194" s="133" t="str">
        <f>IFERROR(IF($U194="ERROR","ERROR",IF($N194="00",IF(J194="1-Rate","HH 1RATE",IF(J194="2-Rate","HH 2RATE","")),IFERROR(VLOOKUP(CONCATENATE(N194,Q194,O194,P194),Lookups!$A$2:$E$4557,5,0),VLOOKUP(CONCATENATE(N194,Q194,O194),Lookups!$A$2:$E$4557,5,0)))),"ERROR")</f>
        <v>ERROR</v>
      </c>
      <c r="U194" s="133" t="str">
        <f>IFERROR(IF(NOT($N194="00"),"",VLOOKUP(CONCATENATE(Q194,P194,LOOKUP(2,1/(Lookups!$I$2:$I$11&lt;=E194)/(Lookups!$J$2:$J$11&gt;=Tool!$C$14),Lookups!$K$2:$K$11)),'HH LLFs'!$A$2:$K$500,3,0)),"ERROR")</f>
        <v/>
      </c>
      <c r="V194" s="132">
        <f>Calcs!$I$2</f>
        <v>44377</v>
      </c>
      <c r="W194" s="132">
        <f>Calcs!$I$4</f>
        <v>44592</v>
      </c>
      <c r="X194" s="153" t="str">
        <f>IF(NOT(N194="00"),"",(VLOOKUP(CONCATENATE(Q194,P194,LOOKUP(2,1/(Lookups!$I$2:$I$11&lt;=Multisite!E194)/(Lookups!$J$2:$J$11&gt;=E194),Lookups!$K$2:$K$11)),'HH LLFs'!$A$2:$F$282,6,0)*365)/12)</f>
        <v/>
      </c>
      <c r="Y194" s="153">
        <f t="shared" si="60"/>
        <v>0</v>
      </c>
      <c r="Z194" s="153" t="str">
        <f t="shared" si="69"/>
        <v/>
      </c>
      <c r="AA194" s="153" t="str">
        <f t="shared" si="61"/>
        <v/>
      </c>
      <c r="AB194" s="153" t="str">
        <f t="shared" si="70"/>
        <v/>
      </c>
      <c r="AC194" s="153" t="str">
        <f t="shared" si="62"/>
        <v/>
      </c>
      <c r="AD194" s="153" t="str">
        <f t="shared" si="63"/>
        <v/>
      </c>
      <c r="AE194" s="153" t="str">
        <f t="shared" si="64"/>
        <v/>
      </c>
      <c r="AF194" s="155" t="e">
        <f>LOOKUP(2,1/(Lookups!$I$2:$I$11&lt;=E194)/(Lookups!$J$2:$J$11&gt;=E194),Lookups!$L$2:$L$11)</f>
        <v>#N/A</v>
      </c>
      <c r="AG194" s="142" t="str">
        <f t="shared" si="65"/>
        <v/>
      </c>
      <c r="AH194" s="142" t="str">
        <f t="shared" si="66"/>
        <v/>
      </c>
      <c r="AI194" s="143" t="b">
        <f t="shared" si="71"/>
        <v>0</v>
      </c>
      <c r="AJ194" s="143" t="str">
        <f t="shared" si="67"/>
        <v>Level 1</v>
      </c>
      <c r="AK194" s="142">
        <f t="shared" si="68"/>
        <v>0</v>
      </c>
      <c r="AL194" s="157" t="str">
        <f t="shared" si="76"/>
        <v/>
      </c>
      <c r="AM194" s="144" t="str">
        <f t="shared" si="77"/>
        <v>--FALSE-0</v>
      </c>
      <c r="AN194" s="158" t="str">
        <f t="shared" si="72"/>
        <v/>
      </c>
      <c r="AO194" s="145"/>
      <c r="AP194" s="159" t="str">
        <f>IF($AN194=FALSE,"",IFERROR(INDEX('Flat Rates'!$A$1:$M$3880,MATCH($AM194,'Flat Rates'!$A$1:$A$3880,0),MATCH("Standing Charge",'Flat Rates'!$A$1:$M$1,0))*100,""))</f>
        <v/>
      </c>
      <c r="AQ194" s="148" t="str">
        <f>IF($AN194=FALSE,"",IFERROR((IF(NOT(T194="Unrestricted"),"",INDEX('Flat Rates'!$A$1:$M$3880,MATCH($AM194,'Flat Rates'!$A$1:$A$3880,0),MATCH("Uni/Day Rate",'Flat Rates'!$A$1:$M$1,0)))*100)+H194,""))</f>
        <v/>
      </c>
      <c r="AR194" s="148" t="str">
        <f>IF($AN194=FALSE,"",IFERROR((IF(T194="Unrestricted","",INDEX('Flat Rates'!$A$1:$M$3880,MATCH($AM194,'Flat Rates'!$A$1:$A$3880,0),MATCH("Uni/Day Rate",'Flat Rates'!$A$1:$M$1,0)))*100)+H194,""))</f>
        <v/>
      </c>
      <c r="AS194" s="148" t="str">
        <f>IF($AN194=FALSE,"",IFERROR(IF(INDEX('Flat Rates'!$A$1:$M$3880,MATCH($AM194,'Flat Rates'!$A$1:$A$3880,0),MATCH("Night Unit Rate",'Flat Rates'!$A$1:$M$1,0))=0,"",((INDEX('Flat Rates'!$A$1:$M$3880,MATCH($AM194,'Flat Rates'!$A$1:$A$3880,0),MATCH("Night Unit Rate",'Flat Rates'!$A$1:$M$1,0)))*100)+H194),""))</f>
        <v/>
      </c>
      <c r="AT194" s="148" t="str">
        <f>IF($AN194=FALSE,"",IFERROR(IF(INDEX('Flat Rates'!$A$1:$M$3880,MATCH($AM194,'Flat Rates'!$A$1:$A$3880,0),MATCH("Evening and Weekend Rate",'Flat Rates'!$A$1:$M$1,0))=0,"",((INDEX('Flat Rates'!$A$1:$M$3880,MATCH($AM194,'Flat Rates'!$A$1:$A$3880,0),MATCH("Evening and Weekend Rate",'Flat Rates'!$A$1:$M$1,0)))*100)+H194),""))</f>
        <v/>
      </c>
      <c r="AU194" s="152" t="str">
        <f t="shared" si="73"/>
        <v/>
      </c>
      <c r="AV194" s="152" t="str">
        <f t="shared" si="74"/>
        <v/>
      </c>
      <c r="AW194" s="152" t="str">
        <f t="shared" si="75"/>
        <v/>
      </c>
    </row>
    <row r="195" spans="2:49" ht="15" thickBot="1" x14ac:dyDescent="0.35">
      <c r="B195" s="138" t="str">
        <f t="shared" si="52"/>
        <v/>
      </c>
      <c r="C195" s="137"/>
      <c r="D195" s="139"/>
      <c r="E195" s="140"/>
      <c r="F195" s="140"/>
      <c r="G195" s="139"/>
      <c r="H195" s="151"/>
      <c r="I195" s="139"/>
      <c r="J195" s="138"/>
      <c r="K195" s="139"/>
      <c r="L195" s="141"/>
      <c r="M195" s="133" t="str">
        <f t="shared" si="53"/>
        <v/>
      </c>
      <c r="N195" s="133" t="str">
        <f t="shared" si="54"/>
        <v/>
      </c>
      <c r="O195" s="133" t="str">
        <f t="shared" si="55"/>
        <v/>
      </c>
      <c r="P195" s="133" t="str">
        <f t="shared" si="56"/>
        <v/>
      </c>
      <c r="Q195" s="133" t="str">
        <f t="shared" si="57"/>
        <v/>
      </c>
      <c r="R195" s="133" t="str">
        <f t="shared" si="58"/>
        <v/>
      </c>
      <c r="S195" s="133" t="str">
        <f t="shared" si="59"/>
        <v/>
      </c>
      <c r="T195" s="133" t="str">
        <f>IFERROR(IF($U195="ERROR","ERROR",IF($N195="00",IF(J195="1-Rate","HH 1RATE",IF(J195="2-Rate","HH 2RATE","")),IFERROR(VLOOKUP(CONCATENATE(N195,Q195,O195,P195),Lookups!$A$2:$E$4557,5,0),VLOOKUP(CONCATENATE(N195,Q195,O195),Lookups!$A$2:$E$4557,5,0)))),"ERROR")</f>
        <v>ERROR</v>
      </c>
      <c r="U195" s="133" t="str">
        <f>IFERROR(IF(NOT($N195="00"),"",VLOOKUP(CONCATENATE(Q195,P195,LOOKUP(2,1/(Lookups!$I$2:$I$11&lt;=E195)/(Lookups!$J$2:$J$11&gt;=Tool!$C$14),Lookups!$K$2:$K$11)),'HH LLFs'!$A$2:$K$500,3,0)),"ERROR")</f>
        <v/>
      </c>
      <c r="V195" s="132">
        <f>Calcs!$I$2</f>
        <v>44377</v>
      </c>
      <c r="W195" s="132">
        <f>Calcs!$I$4</f>
        <v>44592</v>
      </c>
      <c r="X195" s="153" t="str">
        <f>IF(NOT(N195="00"),"",(VLOOKUP(CONCATENATE(Q195,P195,LOOKUP(2,1/(Lookups!$I$2:$I$11&lt;=Multisite!E195)/(Lookups!$J$2:$J$11&gt;=E195),Lookups!$K$2:$K$11)),'HH LLFs'!$A$2:$F$282,6,0)*365)/12)</f>
        <v/>
      </c>
      <c r="Y195" s="153">
        <f t="shared" si="60"/>
        <v>0</v>
      </c>
      <c r="Z195" s="153" t="str">
        <f t="shared" si="69"/>
        <v/>
      </c>
      <c r="AA195" s="153" t="str">
        <f t="shared" si="61"/>
        <v/>
      </c>
      <c r="AB195" s="153" t="str">
        <f t="shared" si="70"/>
        <v/>
      </c>
      <c r="AC195" s="153" t="str">
        <f t="shared" si="62"/>
        <v/>
      </c>
      <c r="AD195" s="153" t="str">
        <f t="shared" si="63"/>
        <v/>
      </c>
      <c r="AE195" s="153" t="str">
        <f t="shared" si="64"/>
        <v/>
      </c>
      <c r="AF195" s="155" t="e">
        <f>LOOKUP(2,1/(Lookups!$I$2:$I$11&lt;=E195)/(Lookups!$J$2:$J$11&gt;=E195),Lookups!$L$2:$L$11)</f>
        <v>#N/A</v>
      </c>
      <c r="AG195" s="142" t="str">
        <f t="shared" si="65"/>
        <v/>
      </c>
      <c r="AH195" s="142" t="str">
        <f t="shared" si="66"/>
        <v/>
      </c>
      <c r="AI195" s="143" t="b">
        <f t="shared" si="71"/>
        <v>0</v>
      </c>
      <c r="AJ195" s="143" t="str">
        <f t="shared" si="67"/>
        <v>Level 1</v>
      </c>
      <c r="AK195" s="142">
        <f t="shared" si="68"/>
        <v>0</v>
      </c>
      <c r="AL195" s="157" t="str">
        <f t="shared" si="76"/>
        <v/>
      </c>
      <c r="AM195" s="144" t="str">
        <f t="shared" si="77"/>
        <v>--FALSE-0</v>
      </c>
      <c r="AN195" s="158" t="str">
        <f t="shared" si="72"/>
        <v/>
      </c>
      <c r="AO195" s="145"/>
      <c r="AP195" s="159" t="str">
        <f>IF($AN195=FALSE,"",IFERROR(INDEX('Flat Rates'!$A$1:$M$3880,MATCH($AM195,'Flat Rates'!$A$1:$A$3880,0),MATCH("Standing Charge",'Flat Rates'!$A$1:$M$1,0))*100,""))</f>
        <v/>
      </c>
      <c r="AQ195" s="148" t="str">
        <f>IF($AN195=FALSE,"",IFERROR((IF(NOT(T195="Unrestricted"),"",INDEX('Flat Rates'!$A$1:$M$3880,MATCH($AM195,'Flat Rates'!$A$1:$A$3880,0),MATCH("Uni/Day Rate",'Flat Rates'!$A$1:$M$1,0)))*100)+H195,""))</f>
        <v/>
      </c>
      <c r="AR195" s="148" t="str">
        <f>IF($AN195=FALSE,"",IFERROR((IF(T195="Unrestricted","",INDEX('Flat Rates'!$A$1:$M$3880,MATCH($AM195,'Flat Rates'!$A$1:$A$3880,0),MATCH("Uni/Day Rate",'Flat Rates'!$A$1:$M$1,0)))*100)+H195,""))</f>
        <v/>
      </c>
      <c r="AS195" s="148" t="str">
        <f>IF($AN195=FALSE,"",IFERROR(IF(INDEX('Flat Rates'!$A$1:$M$3880,MATCH($AM195,'Flat Rates'!$A$1:$A$3880,0),MATCH("Night Unit Rate",'Flat Rates'!$A$1:$M$1,0))=0,"",((INDEX('Flat Rates'!$A$1:$M$3880,MATCH($AM195,'Flat Rates'!$A$1:$A$3880,0),MATCH("Night Unit Rate",'Flat Rates'!$A$1:$M$1,0)))*100)+H195),""))</f>
        <v/>
      </c>
      <c r="AT195" s="148" t="str">
        <f>IF($AN195=FALSE,"",IFERROR(IF(INDEX('Flat Rates'!$A$1:$M$3880,MATCH($AM195,'Flat Rates'!$A$1:$A$3880,0),MATCH("Evening and Weekend Rate",'Flat Rates'!$A$1:$M$1,0))=0,"",((INDEX('Flat Rates'!$A$1:$M$3880,MATCH($AM195,'Flat Rates'!$A$1:$A$3880,0),MATCH("Evening and Weekend Rate",'Flat Rates'!$A$1:$M$1,0)))*100)+H195),""))</f>
        <v/>
      </c>
      <c r="AU195" s="152" t="str">
        <f t="shared" si="73"/>
        <v/>
      </c>
      <c r="AV195" s="152" t="str">
        <f t="shared" si="74"/>
        <v/>
      </c>
      <c r="AW195" s="152" t="str">
        <f t="shared" si="75"/>
        <v/>
      </c>
    </row>
    <row r="196" spans="2:49" ht="15" thickBot="1" x14ac:dyDescent="0.35">
      <c r="B196" s="138" t="str">
        <f t="shared" si="52"/>
        <v/>
      </c>
      <c r="C196" s="146"/>
      <c r="D196" s="147"/>
      <c r="E196" s="140"/>
      <c r="F196" s="140"/>
      <c r="G196" s="139"/>
      <c r="H196" s="151"/>
      <c r="I196" s="139"/>
      <c r="J196" s="137"/>
      <c r="K196" s="139"/>
      <c r="L196" s="141"/>
      <c r="M196" s="133" t="str">
        <f t="shared" si="53"/>
        <v/>
      </c>
      <c r="N196" s="133" t="str">
        <f t="shared" si="54"/>
        <v/>
      </c>
      <c r="O196" s="133" t="str">
        <f t="shared" si="55"/>
        <v/>
      </c>
      <c r="P196" s="133" t="str">
        <f t="shared" si="56"/>
        <v/>
      </c>
      <c r="Q196" s="133" t="str">
        <f t="shared" si="57"/>
        <v/>
      </c>
      <c r="R196" s="133" t="str">
        <f t="shared" si="58"/>
        <v/>
      </c>
      <c r="S196" s="133" t="str">
        <f t="shared" si="59"/>
        <v/>
      </c>
      <c r="T196" s="133" t="str">
        <f>IFERROR(IF($U196="ERROR","ERROR",IF($N196="00",IF(J196="1-Rate","HH 1RATE",IF(J196="2-Rate","HH 2RATE","")),IFERROR(VLOOKUP(CONCATENATE(N196,Q196,O196,P196),Lookups!$A$2:$E$4557,5,0),VLOOKUP(CONCATENATE(N196,Q196,O196),Lookups!$A$2:$E$4557,5,0)))),"ERROR")</f>
        <v>ERROR</v>
      </c>
      <c r="U196" s="133" t="str">
        <f>IFERROR(IF(NOT($N196="00"),"",VLOOKUP(CONCATENATE(Q196,P196,LOOKUP(2,1/(Lookups!$I$2:$I$11&lt;=E196)/(Lookups!$J$2:$J$11&gt;=Tool!$C$14),Lookups!$K$2:$K$11)),'HH LLFs'!$A$2:$K$500,3,0)),"ERROR")</f>
        <v/>
      </c>
      <c r="V196" s="132">
        <f>Calcs!$I$2</f>
        <v>44377</v>
      </c>
      <c r="W196" s="132">
        <f>Calcs!$I$4</f>
        <v>44592</v>
      </c>
      <c r="X196" s="153" t="str">
        <f>IF(NOT(N196="00"),"",(VLOOKUP(CONCATENATE(Q196,P196,LOOKUP(2,1/(Lookups!$I$2:$I$11&lt;=Multisite!E196)/(Lookups!$J$2:$J$11&gt;=E196),Lookups!$K$2:$K$11)),'HH LLFs'!$A$2:$F$282,6,0)*365)/12)</f>
        <v/>
      </c>
      <c r="Y196" s="153">
        <f t="shared" si="60"/>
        <v>0</v>
      </c>
      <c r="Z196" s="153" t="str">
        <f t="shared" si="69"/>
        <v/>
      </c>
      <c r="AA196" s="153" t="str">
        <f t="shared" si="61"/>
        <v/>
      </c>
      <c r="AB196" s="153" t="str">
        <f t="shared" si="70"/>
        <v/>
      </c>
      <c r="AC196" s="153" t="str">
        <f t="shared" si="62"/>
        <v/>
      </c>
      <c r="AD196" s="153" t="str">
        <f t="shared" si="63"/>
        <v/>
      </c>
      <c r="AE196" s="153" t="str">
        <f t="shared" si="64"/>
        <v/>
      </c>
      <c r="AF196" s="155" t="e">
        <f>LOOKUP(2,1/(Lookups!$I$2:$I$11&lt;=E196)/(Lookups!$J$2:$J$11&gt;=E196),Lookups!$L$2:$L$11)</f>
        <v>#N/A</v>
      </c>
      <c r="AG196" s="142" t="str">
        <f t="shared" si="65"/>
        <v/>
      </c>
      <c r="AH196" s="142" t="str">
        <f t="shared" si="66"/>
        <v/>
      </c>
      <c r="AI196" s="143" t="b">
        <f t="shared" si="71"/>
        <v>0</v>
      </c>
      <c r="AJ196" s="143" t="str">
        <f t="shared" si="67"/>
        <v>Level 1</v>
      </c>
      <c r="AK196" s="142">
        <f t="shared" si="68"/>
        <v>0</v>
      </c>
      <c r="AL196" s="157" t="str">
        <f t="shared" si="76"/>
        <v/>
      </c>
      <c r="AM196" s="144" t="str">
        <f t="shared" si="77"/>
        <v>--FALSE-0</v>
      </c>
      <c r="AN196" s="158" t="str">
        <f t="shared" si="72"/>
        <v/>
      </c>
      <c r="AO196" s="145"/>
      <c r="AP196" s="159" t="str">
        <f>IF($AN196=FALSE,"",IFERROR(INDEX('Flat Rates'!$A$1:$M$3880,MATCH($AM196,'Flat Rates'!$A$1:$A$3880,0),MATCH("Standing Charge",'Flat Rates'!$A$1:$M$1,0))*100,""))</f>
        <v/>
      </c>
      <c r="AQ196" s="148" t="str">
        <f>IF($AN196=FALSE,"",IFERROR((IF(NOT(T196="Unrestricted"),"",INDEX('Flat Rates'!$A$1:$M$3880,MATCH($AM196,'Flat Rates'!$A$1:$A$3880,0),MATCH("Uni/Day Rate",'Flat Rates'!$A$1:$M$1,0)))*100)+H196,""))</f>
        <v/>
      </c>
      <c r="AR196" s="148" t="str">
        <f>IF($AN196=FALSE,"",IFERROR((IF(T196="Unrestricted","",INDEX('Flat Rates'!$A$1:$M$3880,MATCH($AM196,'Flat Rates'!$A$1:$A$3880,0),MATCH("Uni/Day Rate",'Flat Rates'!$A$1:$M$1,0)))*100)+H196,""))</f>
        <v/>
      </c>
      <c r="AS196" s="148" t="str">
        <f>IF($AN196=FALSE,"",IFERROR(IF(INDEX('Flat Rates'!$A$1:$M$3880,MATCH($AM196,'Flat Rates'!$A$1:$A$3880,0),MATCH("Night Unit Rate",'Flat Rates'!$A$1:$M$1,0))=0,"",((INDEX('Flat Rates'!$A$1:$M$3880,MATCH($AM196,'Flat Rates'!$A$1:$A$3880,0),MATCH("Night Unit Rate",'Flat Rates'!$A$1:$M$1,0)))*100)+H196),""))</f>
        <v/>
      </c>
      <c r="AT196" s="148" t="str">
        <f>IF($AN196=FALSE,"",IFERROR(IF(INDEX('Flat Rates'!$A$1:$M$3880,MATCH($AM196,'Flat Rates'!$A$1:$A$3880,0),MATCH("Evening and Weekend Rate",'Flat Rates'!$A$1:$M$1,0))=0,"",((INDEX('Flat Rates'!$A$1:$M$3880,MATCH($AM196,'Flat Rates'!$A$1:$A$3880,0),MATCH("Evening and Weekend Rate",'Flat Rates'!$A$1:$M$1,0)))*100)+H196),""))</f>
        <v/>
      </c>
      <c r="AU196" s="152" t="str">
        <f t="shared" si="73"/>
        <v/>
      </c>
      <c r="AV196" s="152" t="str">
        <f t="shared" si="74"/>
        <v/>
      </c>
      <c r="AW196" s="152" t="str">
        <f t="shared" si="75"/>
        <v/>
      </c>
    </row>
    <row r="197" spans="2:49" ht="15" thickBot="1" x14ac:dyDescent="0.35">
      <c r="B197" s="138" t="str">
        <f t="shared" si="52"/>
        <v/>
      </c>
      <c r="C197" s="137"/>
      <c r="D197" s="139"/>
      <c r="E197" s="140"/>
      <c r="F197" s="140"/>
      <c r="G197" s="139"/>
      <c r="H197" s="151"/>
      <c r="I197" s="139"/>
      <c r="J197" s="138"/>
      <c r="K197" s="139"/>
      <c r="L197" s="141"/>
      <c r="M197" s="133" t="str">
        <f t="shared" si="53"/>
        <v/>
      </c>
      <c r="N197" s="133" t="str">
        <f t="shared" si="54"/>
        <v/>
      </c>
      <c r="O197" s="133" t="str">
        <f t="shared" si="55"/>
        <v/>
      </c>
      <c r="P197" s="133" t="str">
        <f t="shared" si="56"/>
        <v/>
      </c>
      <c r="Q197" s="133" t="str">
        <f t="shared" si="57"/>
        <v/>
      </c>
      <c r="R197" s="133" t="str">
        <f t="shared" si="58"/>
        <v/>
      </c>
      <c r="S197" s="133" t="str">
        <f t="shared" si="59"/>
        <v/>
      </c>
      <c r="T197" s="133" t="str">
        <f>IFERROR(IF($U197="ERROR","ERROR",IF($N197="00",IF(J197="1-Rate","HH 1RATE",IF(J197="2-Rate","HH 2RATE","")),IFERROR(VLOOKUP(CONCATENATE(N197,Q197,O197,P197),Lookups!$A$2:$E$4557,5,0),VLOOKUP(CONCATENATE(N197,Q197,O197),Lookups!$A$2:$E$4557,5,0)))),"ERROR")</f>
        <v>ERROR</v>
      </c>
      <c r="U197" s="133" t="str">
        <f>IFERROR(IF(NOT($N197="00"),"",VLOOKUP(CONCATENATE(Q197,P197,LOOKUP(2,1/(Lookups!$I$2:$I$11&lt;=E197)/(Lookups!$J$2:$J$11&gt;=Tool!$C$14),Lookups!$K$2:$K$11)),'HH LLFs'!$A$2:$K$500,3,0)),"ERROR")</f>
        <v/>
      </c>
      <c r="V197" s="132">
        <f>Calcs!$I$2</f>
        <v>44377</v>
      </c>
      <c r="W197" s="132">
        <f>Calcs!$I$4</f>
        <v>44592</v>
      </c>
      <c r="X197" s="153" t="str">
        <f>IF(NOT(N197="00"),"",(VLOOKUP(CONCATENATE(Q197,P197,LOOKUP(2,1/(Lookups!$I$2:$I$11&lt;=Multisite!E197)/(Lookups!$J$2:$J$11&gt;=E197),Lookups!$K$2:$K$11)),'HH LLFs'!$A$2:$F$282,6,0)*365)/12)</f>
        <v/>
      </c>
      <c r="Y197" s="153">
        <f t="shared" si="60"/>
        <v>0</v>
      </c>
      <c r="Z197" s="153" t="str">
        <f t="shared" si="69"/>
        <v/>
      </c>
      <c r="AA197" s="153" t="str">
        <f t="shared" si="61"/>
        <v/>
      </c>
      <c r="AB197" s="153" t="str">
        <f t="shared" si="70"/>
        <v/>
      </c>
      <c r="AC197" s="153" t="str">
        <f t="shared" si="62"/>
        <v/>
      </c>
      <c r="AD197" s="153" t="str">
        <f t="shared" si="63"/>
        <v/>
      </c>
      <c r="AE197" s="153" t="str">
        <f t="shared" si="64"/>
        <v/>
      </c>
      <c r="AF197" s="155" t="e">
        <f>LOOKUP(2,1/(Lookups!$I$2:$I$11&lt;=E197)/(Lookups!$J$2:$J$11&gt;=E197),Lookups!$L$2:$L$11)</f>
        <v>#N/A</v>
      </c>
      <c r="AG197" s="142" t="str">
        <f t="shared" si="65"/>
        <v/>
      </c>
      <c r="AH197" s="142" t="str">
        <f t="shared" si="66"/>
        <v/>
      </c>
      <c r="AI197" s="143" t="b">
        <f t="shared" si="71"/>
        <v>0</v>
      </c>
      <c r="AJ197" s="143" t="str">
        <f t="shared" si="67"/>
        <v>Level 1</v>
      </c>
      <c r="AK197" s="142">
        <f t="shared" si="68"/>
        <v>0</v>
      </c>
      <c r="AL197" s="157" t="str">
        <f t="shared" si="76"/>
        <v/>
      </c>
      <c r="AM197" s="144" t="str">
        <f t="shared" si="77"/>
        <v>--FALSE-0</v>
      </c>
      <c r="AN197" s="158" t="str">
        <f t="shared" si="72"/>
        <v/>
      </c>
      <c r="AO197" s="145"/>
      <c r="AP197" s="159" t="str">
        <f>IF($AN197=FALSE,"",IFERROR(INDEX('Flat Rates'!$A$1:$M$3880,MATCH($AM197,'Flat Rates'!$A$1:$A$3880,0),MATCH("Standing Charge",'Flat Rates'!$A$1:$M$1,0))*100,""))</f>
        <v/>
      </c>
      <c r="AQ197" s="148" t="str">
        <f>IF($AN197=FALSE,"",IFERROR((IF(NOT(T197="Unrestricted"),"",INDEX('Flat Rates'!$A$1:$M$3880,MATCH($AM197,'Flat Rates'!$A$1:$A$3880,0),MATCH("Uni/Day Rate",'Flat Rates'!$A$1:$M$1,0)))*100)+H197,""))</f>
        <v/>
      </c>
      <c r="AR197" s="148" t="str">
        <f>IF($AN197=FALSE,"",IFERROR((IF(T197="Unrestricted","",INDEX('Flat Rates'!$A$1:$M$3880,MATCH($AM197,'Flat Rates'!$A$1:$A$3880,0),MATCH("Uni/Day Rate",'Flat Rates'!$A$1:$M$1,0)))*100)+H197,""))</f>
        <v/>
      </c>
      <c r="AS197" s="148" t="str">
        <f>IF($AN197=FALSE,"",IFERROR(IF(INDEX('Flat Rates'!$A$1:$M$3880,MATCH($AM197,'Flat Rates'!$A$1:$A$3880,0),MATCH("Night Unit Rate",'Flat Rates'!$A$1:$M$1,0))=0,"",((INDEX('Flat Rates'!$A$1:$M$3880,MATCH($AM197,'Flat Rates'!$A$1:$A$3880,0),MATCH("Night Unit Rate",'Flat Rates'!$A$1:$M$1,0)))*100)+H197),""))</f>
        <v/>
      </c>
      <c r="AT197" s="148" t="str">
        <f>IF($AN197=FALSE,"",IFERROR(IF(INDEX('Flat Rates'!$A$1:$M$3880,MATCH($AM197,'Flat Rates'!$A$1:$A$3880,0),MATCH("Evening and Weekend Rate",'Flat Rates'!$A$1:$M$1,0))=0,"",((INDEX('Flat Rates'!$A$1:$M$3880,MATCH($AM197,'Flat Rates'!$A$1:$A$3880,0),MATCH("Evening and Weekend Rate",'Flat Rates'!$A$1:$M$1,0)))*100)+H197),""))</f>
        <v/>
      </c>
      <c r="AU197" s="152" t="str">
        <f t="shared" si="73"/>
        <v/>
      </c>
      <c r="AV197" s="152" t="str">
        <f t="shared" si="74"/>
        <v/>
      </c>
      <c r="AW197" s="152" t="str">
        <f t="shared" si="75"/>
        <v/>
      </c>
    </row>
    <row r="198" spans="2:49" ht="15" thickBot="1" x14ac:dyDescent="0.35">
      <c r="B198" s="138" t="str">
        <f t="shared" si="52"/>
        <v/>
      </c>
      <c r="C198" s="146"/>
      <c r="D198" s="147"/>
      <c r="E198" s="140"/>
      <c r="F198" s="140"/>
      <c r="G198" s="139"/>
      <c r="H198" s="151"/>
      <c r="I198" s="139"/>
      <c r="J198" s="137"/>
      <c r="K198" s="139"/>
      <c r="L198" s="141"/>
      <c r="M198" s="133" t="str">
        <f t="shared" si="53"/>
        <v/>
      </c>
      <c r="N198" s="133" t="str">
        <f t="shared" si="54"/>
        <v/>
      </c>
      <c r="O198" s="133" t="str">
        <f t="shared" si="55"/>
        <v/>
      </c>
      <c r="P198" s="133" t="str">
        <f t="shared" si="56"/>
        <v/>
      </c>
      <c r="Q198" s="133" t="str">
        <f t="shared" si="57"/>
        <v/>
      </c>
      <c r="R198" s="133" t="str">
        <f t="shared" si="58"/>
        <v/>
      </c>
      <c r="S198" s="133" t="str">
        <f t="shared" si="59"/>
        <v/>
      </c>
      <c r="T198" s="133" t="str">
        <f>IFERROR(IF($U198="ERROR","ERROR",IF($N198="00",IF(J198="1-Rate","HH 1RATE",IF(J198="2-Rate","HH 2RATE","")),IFERROR(VLOOKUP(CONCATENATE(N198,Q198,O198,P198),Lookups!$A$2:$E$4557,5,0),VLOOKUP(CONCATENATE(N198,Q198,O198),Lookups!$A$2:$E$4557,5,0)))),"ERROR")</f>
        <v>ERROR</v>
      </c>
      <c r="U198" s="133" t="str">
        <f>IFERROR(IF(NOT($N198="00"),"",VLOOKUP(CONCATENATE(Q198,P198,LOOKUP(2,1/(Lookups!$I$2:$I$11&lt;=E198)/(Lookups!$J$2:$J$11&gt;=Tool!$C$14),Lookups!$K$2:$K$11)),'HH LLFs'!$A$2:$K$500,3,0)),"ERROR")</f>
        <v/>
      </c>
      <c r="V198" s="132">
        <f>Calcs!$I$2</f>
        <v>44377</v>
      </c>
      <c r="W198" s="132">
        <f>Calcs!$I$4</f>
        <v>44592</v>
      </c>
      <c r="X198" s="153" t="str">
        <f>IF(NOT(N198="00"),"",(VLOOKUP(CONCATENATE(Q198,P198,LOOKUP(2,1/(Lookups!$I$2:$I$11&lt;=Multisite!E198)/(Lookups!$J$2:$J$11&gt;=E198),Lookups!$K$2:$K$11)),'HH LLFs'!$A$2:$F$282,6,0)*365)/12)</f>
        <v/>
      </c>
      <c r="Y198" s="153">
        <f t="shared" si="60"/>
        <v>0</v>
      </c>
      <c r="Z198" s="153" t="str">
        <f t="shared" si="69"/>
        <v/>
      </c>
      <c r="AA198" s="153" t="str">
        <f t="shared" si="61"/>
        <v/>
      </c>
      <c r="AB198" s="153" t="str">
        <f t="shared" si="70"/>
        <v/>
      </c>
      <c r="AC198" s="153" t="str">
        <f t="shared" si="62"/>
        <v/>
      </c>
      <c r="AD198" s="153" t="str">
        <f t="shared" si="63"/>
        <v/>
      </c>
      <c r="AE198" s="153" t="str">
        <f t="shared" si="64"/>
        <v/>
      </c>
      <c r="AF198" s="155" t="e">
        <f>LOOKUP(2,1/(Lookups!$I$2:$I$11&lt;=E198)/(Lookups!$J$2:$J$11&gt;=E198),Lookups!$L$2:$L$11)</f>
        <v>#N/A</v>
      </c>
      <c r="AG198" s="142" t="str">
        <f t="shared" si="65"/>
        <v/>
      </c>
      <c r="AH198" s="142" t="str">
        <f t="shared" si="66"/>
        <v/>
      </c>
      <c r="AI198" s="143" t="b">
        <f t="shared" si="71"/>
        <v>0</v>
      </c>
      <c r="AJ198" s="143" t="str">
        <f t="shared" si="67"/>
        <v>Level 1</v>
      </c>
      <c r="AK198" s="142">
        <f t="shared" si="68"/>
        <v>0</v>
      </c>
      <c r="AL198" s="157" t="str">
        <f t="shared" si="76"/>
        <v/>
      </c>
      <c r="AM198" s="144" t="str">
        <f t="shared" si="77"/>
        <v>--FALSE-0</v>
      </c>
      <c r="AN198" s="158" t="str">
        <f t="shared" si="72"/>
        <v/>
      </c>
      <c r="AO198" s="145"/>
      <c r="AP198" s="159" t="str">
        <f>IF($AN198=FALSE,"",IFERROR(INDEX('Flat Rates'!$A$1:$M$3880,MATCH($AM198,'Flat Rates'!$A$1:$A$3880,0),MATCH("Standing Charge",'Flat Rates'!$A$1:$M$1,0))*100,""))</f>
        <v/>
      </c>
      <c r="AQ198" s="148" t="str">
        <f>IF($AN198=FALSE,"",IFERROR((IF(NOT(T198="Unrestricted"),"",INDEX('Flat Rates'!$A$1:$M$3880,MATCH($AM198,'Flat Rates'!$A$1:$A$3880,0),MATCH("Uni/Day Rate",'Flat Rates'!$A$1:$M$1,0)))*100)+H198,""))</f>
        <v/>
      </c>
      <c r="AR198" s="148" t="str">
        <f>IF($AN198=FALSE,"",IFERROR((IF(T198="Unrestricted","",INDEX('Flat Rates'!$A$1:$M$3880,MATCH($AM198,'Flat Rates'!$A$1:$A$3880,0),MATCH("Uni/Day Rate",'Flat Rates'!$A$1:$M$1,0)))*100)+H198,""))</f>
        <v/>
      </c>
      <c r="AS198" s="148" t="str">
        <f>IF($AN198=FALSE,"",IFERROR(IF(INDEX('Flat Rates'!$A$1:$M$3880,MATCH($AM198,'Flat Rates'!$A$1:$A$3880,0),MATCH("Night Unit Rate",'Flat Rates'!$A$1:$M$1,0))=0,"",((INDEX('Flat Rates'!$A$1:$M$3880,MATCH($AM198,'Flat Rates'!$A$1:$A$3880,0),MATCH("Night Unit Rate",'Flat Rates'!$A$1:$M$1,0)))*100)+H198),""))</f>
        <v/>
      </c>
      <c r="AT198" s="148" t="str">
        <f>IF($AN198=FALSE,"",IFERROR(IF(INDEX('Flat Rates'!$A$1:$M$3880,MATCH($AM198,'Flat Rates'!$A$1:$A$3880,0),MATCH("Evening and Weekend Rate",'Flat Rates'!$A$1:$M$1,0))=0,"",((INDEX('Flat Rates'!$A$1:$M$3880,MATCH($AM198,'Flat Rates'!$A$1:$A$3880,0),MATCH("Evening and Weekend Rate",'Flat Rates'!$A$1:$M$1,0)))*100)+H198),""))</f>
        <v/>
      </c>
      <c r="AU198" s="152" t="str">
        <f t="shared" si="73"/>
        <v/>
      </c>
      <c r="AV198" s="152" t="str">
        <f t="shared" si="74"/>
        <v/>
      </c>
      <c r="AW198" s="152" t="str">
        <f t="shared" si="75"/>
        <v/>
      </c>
    </row>
    <row r="199" spans="2:49" ht="15" thickBot="1" x14ac:dyDescent="0.35">
      <c r="B199" s="138" t="str">
        <f t="shared" si="52"/>
        <v/>
      </c>
      <c r="C199" s="137"/>
      <c r="D199" s="139"/>
      <c r="E199" s="140"/>
      <c r="F199" s="140"/>
      <c r="G199" s="139"/>
      <c r="H199" s="151"/>
      <c r="I199" s="139"/>
      <c r="J199" s="138"/>
      <c r="K199" s="139"/>
      <c r="L199" s="141"/>
      <c r="M199" s="133" t="str">
        <f t="shared" si="53"/>
        <v/>
      </c>
      <c r="N199" s="133" t="str">
        <f t="shared" si="54"/>
        <v/>
      </c>
      <c r="O199" s="133" t="str">
        <f t="shared" si="55"/>
        <v/>
      </c>
      <c r="P199" s="133" t="str">
        <f t="shared" si="56"/>
        <v/>
      </c>
      <c r="Q199" s="133" t="str">
        <f t="shared" si="57"/>
        <v/>
      </c>
      <c r="R199" s="133" t="str">
        <f t="shared" si="58"/>
        <v/>
      </c>
      <c r="S199" s="133" t="str">
        <f t="shared" si="59"/>
        <v/>
      </c>
      <c r="T199" s="133" t="str">
        <f>IFERROR(IF($U199="ERROR","ERROR",IF($N199="00",IF(J199="1-Rate","HH 1RATE",IF(J199="2-Rate","HH 2RATE","")),IFERROR(VLOOKUP(CONCATENATE(N199,Q199,O199,P199),Lookups!$A$2:$E$4557,5,0),VLOOKUP(CONCATENATE(N199,Q199,O199),Lookups!$A$2:$E$4557,5,0)))),"ERROR")</f>
        <v>ERROR</v>
      </c>
      <c r="U199" s="133" t="str">
        <f>IFERROR(IF(NOT($N199="00"),"",VLOOKUP(CONCATENATE(Q199,P199,LOOKUP(2,1/(Lookups!$I$2:$I$11&lt;=E199)/(Lookups!$J$2:$J$11&gt;=Tool!$C$14),Lookups!$K$2:$K$11)),'HH LLFs'!$A$2:$K$500,3,0)),"ERROR")</f>
        <v/>
      </c>
      <c r="V199" s="132">
        <f>Calcs!$I$2</f>
        <v>44377</v>
      </c>
      <c r="W199" s="132">
        <f>Calcs!$I$4</f>
        <v>44592</v>
      </c>
      <c r="X199" s="153" t="str">
        <f>IF(NOT(N199="00"),"",(VLOOKUP(CONCATENATE(Q199,P199,LOOKUP(2,1/(Lookups!$I$2:$I$11&lt;=Multisite!E199)/(Lookups!$J$2:$J$11&gt;=E199),Lookups!$K$2:$K$11)),'HH LLFs'!$A$2:$F$282,6,0)*365)/12)</f>
        <v/>
      </c>
      <c r="Y199" s="153">
        <f t="shared" si="60"/>
        <v>0</v>
      </c>
      <c r="Z199" s="153" t="str">
        <f t="shared" si="69"/>
        <v/>
      </c>
      <c r="AA199" s="153" t="str">
        <f t="shared" si="61"/>
        <v/>
      </c>
      <c r="AB199" s="153" t="str">
        <f t="shared" si="70"/>
        <v/>
      </c>
      <c r="AC199" s="153" t="str">
        <f t="shared" si="62"/>
        <v/>
      </c>
      <c r="AD199" s="153" t="str">
        <f t="shared" si="63"/>
        <v/>
      </c>
      <c r="AE199" s="153" t="str">
        <f t="shared" si="64"/>
        <v/>
      </c>
      <c r="AF199" s="155" t="e">
        <f>LOOKUP(2,1/(Lookups!$I$2:$I$11&lt;=E199)/(Lookups!$J$2:$J$11&gt;=E199),Lookups!$L$2:$L$11)</f>
        <v>#N/A</v>
      </c>
      <c r="AG199" s="142" t="str">
        <f t="shared" si="65"/>
        <v/>
      </c>
      <c r="AH199" s="142" t="str">
        <f t="shared" si="66"/>
        <v/>
      </c>
      <c r="AI199" s="143" t="b">
        <f t="shared" si="71"/>
        <v>0</v>
      </c>
      <c r="AJ199" s="143" t="str">
        <f t="shared" si="67"/>
        <v>Level 1</v>
      </c>
      <c r="AK199" s="142">
        <f t="shared" si="68"/>
        <v>0</v>
      </c>
      <c r="AL199" s="157" t="str">
        <f t="shared" si="76"/>
        <v/>
      </c>
      <c r="AM199" s="144" t="str">
        <f t="shared" si="77"/>
        <v>--FALSE-0</v>
      </c>
      <c r="AN199" s="158" t="str">
        <f t="shared" si="72"/>
        <v/>
      </c>
      <c r="AO199" s="145"/>
      <c r="AP199" s="159" t="str">
        <f>IF($AN199=FALSE,"",IFERROR(INDEX('Flat Rates'!$A$1:$M$3880,MATCH($AM199,'Flat Rates'!$A$1:$A$3880,0),MATCH("Standing Charge",'Flat Rates'!$A$1:$M$1,0))*100,""))</f>
        <v/>
      </c>
      <c r="AQ199" s="148" t="str">
        <f>IF($AN199=FALSE,"",IFERROR((IF(NOT(T199="Unrestricted"),"",INDEX('Flat Rates'!$A$1:$M$3880,MATCH($AM199,'Flat Rates'!$A$1:$A$3880,0),MATCH("Uni/Day Rate",'Flat Rates'!$A$1:$M$1,0)))*100)+H199,""))</f>
        <v/>
      </c>
      <c r="AR199" s="148" t="str">
        <f>IF($AN199=FALSE,"",IFERROR((IF(T199="Unrestricted","",INDEX('Flat Rates'!$A$1:$M$3880,MATCH($AM199,'Flat Rates'!$A$1:$A$3880,0),MATCH("Uni/Day Rate",'Flat Rates'!$A$1:$M$1,0)))*100)+H199,""))</f>
        <v/>
      </c>
      <c r="AS199" s="148" t="str">
        <f>IF($AN199=FALSE,"",IFERROR(IF(INDEX('Flat Rates'!$A$1:$M$3880,MATCH($AM199,'Flat Rates'!$A$1:$A$3880,0),MATCH("Night Unit Rate",'Flat Rates'!$A$1:$M$1,0))=0,"",((INDEX('Flat Rates'!$A$1:$M$3880,MATCH($AM199,'Flat Rates'!$A$1:$A$3880,0),MATCH("Night Unit Rate",'Flat Rates'!$A$1:$M$1,0)))*100)+H199),""))</f>
        <v/>
      </c>
      <c r="AT199" s="148" t="str">
        <f>IF($AN199=FALSE,"",IFERROR(IF(INDEX('Flat Rates'!$A$1:$M$3880,MATCH($AM199,'Flat Rates'!$A$1:$A$3880,0),MATCH("Evening and Weekend Rate",'Flat Rates'!$A$1:$M$1,0))=0,"",((INDEX('Flat Rates'!$A$1:$M$3880,MATCH($AM199,'Flat Rates'!$A$1:$A$3880,0),MATCH("Evening and Weekend Rate",'Flat Rates'!$A$1:$M$1,0)))*100)+H199),""))</f>
        <v/>
      </c>
      <c r="AU199" s="152" t="str">
        <f t="shared" si="73"/>
        <v/>
      </c>
      <c r="AV199" s="152" t="str">
        <f t="shared" si="74"/>
        <v/>
      </c>
      <c r="AW199" s="152" t="str">
        <f t="shared" si="75"/>
        <v/>
      </c>
    </row>
    <row r="200" spans="2:49" ht="15" thickBot="1" x14ac:dyDescent="0.35">
      <c r="B200" s="138" t="str">
        <f t="shared" si="52"/>
        <v/>
      </c>
      <c r="C200" s="146"/>
      <c r="D200" s="147"/>
      <c r="E200" s="140"/>
      <c r="F200" s="140"/>
      <c r="G200" s="139"/>
      <c r="H200" s="151"/>
      <c r="I200" s="139"/>
      <c r="J200" s="137"/>
      <c r="K200" s="139"/>
      <c r="L200" s="141"/>
      <c r="M200" s="133" t="str">
        <f t="shared" si="53"/>
        <v/>
      </c>
      <c r="N200" s="133" t="str">
        <f t="shared" si="54"/>
        <v/>
      </c>
      <c r="O200" s="133" t="str">
        <f t="shared" si="55"/>
        <v/>
      </c>
      <c r="P200" s="133" t="str">
        <f t="shared" si="56"/>
        <v/>
      </c>
      <c r="Q200" s="133" t="str">
        <f t="shared" si="57"/>
        <v/>
      </c>
      <c r="R200" s="133" t="str">
        <f t="shared" si="58"/>
        <v/>
      </c>
      <c r="S200" s="133" t="str">
        <f t="shared" si="59"/>
        <v/>
      </c>
      <c r="T200" s="133" t="str">
        <f>IFERROR(IF($U200="ERROR","ERROR",IF($N200="00",IF(J200="1-Rate","HH 1RATE",IF(J200="2-Rate","HH 2RATE","")),IFERROR(VLOOKUP(CONCATENATE(N200,Q200,O200,P200),Lookups!$A$2:$E$4557,5,0),VLOOKUP(CONCATENATE(N200,Q200,O200),Lookups!$A$2:$E$4557,5,0)))),"ERROR")</f>
        <v>ERROR</v>
      </c>
      <c r="U200" s="133" t="str">
        <f>IFERROR(IF(NOT($N200="00"),"",VLOOKUP(CONCATENATE(Q200,P200,LOOKUP(2,1/(Lookups!$I$2:$I$11&lt;=E200)/(Lookups!$J$2:$J$11&gt;=Tool!$C$14),Lookups!$K$2:$K$11)),'HH LLFs'!$A$2:$K$500,3,0)),"ERROR")</f>
        <v/>
      </c>
      <c r="V200" s="132">
        <f>Calcs!$I$2</f>
        <v>44377</v>
      </c>
      <c r="W200" s="132">
        <f>Calcs!$I$4</f>
        <v>44592</v>
      </c>
      <c r="X200" s="153" t="str">
        <f>IF(NOT(N200="00"),"",(VLOOKUP(CONCATENATE(Q200,P200,LOOKUP(2,1/(Lookups!$I$2:$I$11&lt;=Multisite!E200)/(Lookups!$J$2:$J$11&gt;=E200),Lookups!$K$2:$K$11)),'HH LLFs'!$A$2:$F$282,6,0)*365)/12)</f>
        <v/>
      </c>
      <c r="Y200" s="153">
        <f t="shared" si="60"/>
        <v>0</v>
      </c>
      <c r="Z200" s="153" t="str">
        <f t="shared" si="69"/>
        <v/>
      </c>
      <c r="AA200" s="153" t="str">
        <f t="shared" si="61"/>
        <v/>
      </c>
      <c r="AB200" s="153" t="str">
        <f t="shared" si="70"/>
        <v/>
      </c>
      <c r="AC200" s="153" t="str">
        <f t="shared" si="62"/>
        <v/>
      </c>
      <c r="AD200" s="153" t="str">
        <f t="shared" si="63"/>
        <v/>
      </c>
      <c r="AE200" s="153" t="str">
        <f t="shared" si="64"/>
        <v/>
      </c>
      <c r="AF200" s="155" t="e">
        <f>LOOKUP(2,1/(Lookups!$I$2:$I$11&lt;=E200)/(Lookups!$J$2:$J$11&gt;=E200),Lookups!$L$2:$L$11)</f>
        <v>#N/A</v>
      </c>
      <c r="AG200" s="142" t="str">
        <f t="shared" si="65"/>
        <v/>
      </c>
      <c r="AH200" s="142" t="str">
        <f t="shared" si="66"/>
        <v/>
      </c>
      <c r="AI200" s="143" t="b">
        <f t="shared" si="71"/>
        <v>0</v>
      </c>
      <c r="AJ200" s="143" t="str">
        <f t="shared" si="67"/>
        <v>Level 1</v>
      </c>
      <c r="AK200" s="142">
        <f t="shared" si="68"/>
        <v>0</v>
      </c>
      <c r="AL200" s="157" t="str">
        <f t="shared" si="76"/>
        <v/>
      </c>
      <c r="AM200" s="144" t="str">
        <f t="shared" si="77"/>
        <v>--FALSE-0</v>
      </c>
      <c r="AN200" s="158" t="str">
        <f t="shared" si="72"/>
        <v/>
      </c>
      <c r="AO200" s="145"/>
      <c r="AP200" s="159" t="str">
        <f>IF($AN200=FALSE,"",IFERROR(INDEX('Flat Rates'!$A$1:$M$3880,MATCH($AM200,'Flat Rates'!$A$1:$A$3880,0),MATCH("Standing Charge",'Flat Rates'!$A$1:$M$1,0))*100,""))</f>
        <v/>
      </c>
      <c r="AQ200" s="148" t="str">
        <f>IF($AN200=FALSE,"",IFERROR((IF(NOT(T200="Unrestricted"),"",INDEX('Flat Rates'!$A$1:$M$3880,MATCH($AM200,'Flat Rates'!$A$1:$A$3880,0),MATCH("Uni/Day Rate",'Flat Rates'!$A$1:$M$1,0)))*100)+H200,""))</f>
        <v/>
      </c>
      <c r="AR200" s="148" t="str">
        <f>IF($AN200=FALSE,"",IFERROR((IF(T200="Unrestricted","",INDEX('Flat Rates'!$A$1:$M$3880,MATCH($AM200,'Flat Rates'!$A$1:$A$3880,0),MATCH("Uni/Day Rate",'Flat Rates'!$A$1:$M$1,0)))*100)+H200,""))</f>
        <v/>
      </c>
      <c r="AS200" s="148" t="str">
        <f>IF($AN200=FALSE,"",IFERROR(IF(INDEX('Flat Rates'!$A$1:$M$3880,MATCH($AM200,'Flat Rates'!$A$1:$A$3880,0),MATCH("Night Unit Rate",'Flat Rates'!$A$1:$M$1,0))=0,"",((INDEX('Flat Rates'!$A$1:$M$3880,MATCH($AM200,'Flat Rates'!$A$1:$A$3880,0),MATCH("Night Unit Rate",'Flat Rates'!$A$1:$M$1,0)))*100)+H200),""))</f>
        <v/>
      </c>
      <c r="AT200" s="148" t="str">
        <f>IF($AN200=FALSE,"",IFERROR(IF(INDEX('Flat Rates'!$A$1:$M$3880,MATCH($AM200,'Flat Rates'!$A$1:$A$3880,0),MATCH("Evening and Weekend Rate",'Flat Rates'!$A$1:$M$1,0))=0,"",((INDEX('Flat Rates'!$A$1:$M$3880,MATCH($AM200,'Flat Rates'!$A$1:$A$3880,0),MATCH("Evening and Weekend Rate",'Flat Rates'!$A$1:$M$1,0)))*100)+H200),""))</f>
        <v/>
      </c>
      <c r="AU200" s="152" t="str">
        <f t="shared" si="73"/>
        <v/>
      </c>
      <c r="AV200" s="152" t="str">
        <f t="shared" si="74"/>
        <v/>
      </c>
      <c r="AW200" s="152" t="str">
        <f t="shared" si="75"/>
        <v/>
      </c>
    </row>
    <row r="201" spans="2:49" ht="15" thickBot="1" x14ac:dyDescent="0.35">
      <c r="B201" s="138" t="str">
        <f t="shared" si="52"/>
        <v/>
      </c>
      <c r="C201" s="137"/>
      <c r="D201" s="139"/>
      <c r="E201" s="140"/>
      <c r="F201" s="140"/>
      <c r="G201" s="139"/>
      <c r="H201" s="151"/>
      <c r="I201" s="139"/>
      <c r="J201" s="138"/>
      <c r="K201" s="139"/>
      <c r="L201" s="141"/>
      <c r="M201" s="133" t="str">
        <f t="shared" si="53"/>
        <v/>
      </c>
      <c r="N201" s="133" t="str">
        <f t="shared" si="54"/>
        <v/>
      </c>
      <c r="O201" s="133" t="str">
        <f t="shared" si="55"/>
        <v/>
      </c>
      <c r="P201" s="133" t="str">
        <f t="shared" si="56"/>
        <v/>
      </c>
      <c r="Q201" s="133" t="str">
        <f t="shared" si="57"/>
        <v/>
      </c>
      <c r="R201" s="133" t="str">
        <f t="shared" si="58"/>
        <v/>
      </c>
      <c r="S201" s="133" t="str">
        <f t="shared" si="59"/>
        <v/>
      </c>
      <c r="T201" s="133" t="str">
        <f>IFERROR(IF($U201="ERROR","ERROR",IF($N201="00",IF(J201="1-Rate","HH 1RATE",IF(J201="2-Rate","HH 2RATE","")),IFERROR(VLOOKUP(CONCATENATE(N201,Q201,O201,P201),Lookups!$A$2:$E$4557,5,0),VLOOKUP(CONCATENATE(N201,Q201,O201),Lookups!$A$2:$E$4557,5,0)))),"ERROR")</f>
        <v>ERROR</v>
      </c>
      <c r="U201" s="133" t="str">
        <f>IFERROR(IF(NOT($N201="00"),"",VLOOKUP(CONCATENATE(Q201,P201,LOOKUP(2,1/(Lookups!$I$2:$I$11&lt;=E201)/(Lookups!$J$2:$J$11&gt;=Tool!$C$14),Lookups!$K$2:$K$11)),'HH LLFs'!$A$2:$K$500,3,0)),"ERROR")</f>
        <v/>
      </c>
      <c r="V201" s="132">
        <f>Calcs!$I$2</f>
        <v>44377</v>
      </c>
      <c r="W201" s="132">
        <f>Calcs!$I$4</f>
        <v>44592</v>
      </c>
      <c r="X201" s="153" t="str">
        <f>IF(NOT(N201="00"),"",(VLOOKUP(CONCATENATE(Q201,P201,LOOKUP(2,1/(Lookups!$I$2:$I$11&lt;=Multisite!E201)/(Lookups!$J$2:$J$11&gt;=E201),Lookups!$K$2:$K$11)),'HH LLFs'!$A$2:$F$282,6,0)*365)/12)</f>
        <v/>
      </c>
      <c r="Y201" s="153">
        <f t="shared" si="60"/>
        <v>0</v>
      </c>
      <c r="Z201" s="153" t="str">
        <f t="shared" si="69"/>
        <v/>
      </c>
      <c r="AA201" s="153" t="str">
        <f t="shared" si="61"/>
        <v/>
      </c>
      <c r="AB201" s="153" t="str">
        <f t="shared" si="70"/>
        <v/>
      </c>
      <c r="AC201" s="153" t="str">
        <f t="shared" si="62"/>
        <v/>
      </c>
      <c r="AD201" s="153" t="str">
        <f t="shared" si="63"/>
        <v/>
      </c>
      <c r="AE201" s="153" t="str">
        <f t="shared" si="64"/>
        <v/>
      </c>
      <c r="AF201" s="155" t="e">
        <f>LOOKUP(2,1/(Lookups!$I$2:$I$11&lt;=E201)/(Lookups!$J$2:$J$11&gt;=E201),Lookups!$L$2:$L$11)</f>
        <v>#N/A</v>
      </c>
      <c r="AG201" s="142" t="str">
        <f t="shared" si="65"/>
        <v/>
      </c>
      <c r="AH201" s="142" t="str">
        <f t="shared" si="66"/>
        <v/>
      </c>
      <c r="AI201" s="143" t="b">
        <f t="shared" si="71"/>
        <v>0</v>
      </c>
      <c r="AJ201" s="143" t="str">
        <f t="shared" si="67"/>
        <v>Level 1</v>
      </c>
      <c r="AK201" s="142">
        <f t="shared" si="68"/>
        <v>0</v>
      </c>
      <c r="AL201" s="157" t="str">
        <f t="shared" si="76"/>
        <v/>
      </c>
      <c r="AM201" s="144" t="str">
        <f t="shared" si="77"/>
        <v>--FALSE-0</v>
      </c>
      <c r="AN201" s="158" t="str">
        <f t="shared" si="72"/>
        <v/>
      </c>
      <c r="AO201" s="145"/>
      <c r="AP201" s="159" t="str">
        <f>IF($AN201=FALSE,"",IFERROR(INDEX('Flat Rates'!$A$1:$M$3880,MATCH($AM201,'Flat Rates'!$A$1:$A$3880,0),MATCH("Standing Charge",'Flat Rates'!$A$1:$M$1,0))*100,""))</f>
        <v/>
      </c>
      <c r="AQ201" s="148" t="str">
        <f>IF($AN201=FALSE,"",IFERROR((IF(NOT(T201="Unrestricted"),"",INDEX('Flat Rates'!$A$1:$M$3880,MATCH($AM201,'Flat Rates'!$A$1:$A$3880,0),MATCH("Uni/Day Rate",'Flat Rates'!$A$1:$M$1,0)))*100)+H201,""))</f>
        <v/>
      </c>
      <c r="AR201" s="148" t="str">
        <f>IF($AN201=FALSE,"",IFERROR((IF(T201="Unrestricted","",INDEX('Flat Rates'!$A$1:$M$3880,MATCH($AM201,'Flat Rates'!$A$1:$A$3880,0),MATCH("Uni/Day Rate",'Flat Rates'!$A$1:$M$1,0)))*100)+H201,""))</f>
        <v/>
      </c>
      <c r="AS201" s="148" t="str">
        <f>IF($AN201=FALSE,"",IFERROR(IF(INDEX('Flat Rates'!$A$1:$M$3880,MATCH($AM201,'Flat Rates'!$A$1:$A$3880,0),MATCH("Night Unit Rate",'Flat Rates'!$A$1:$M$1,0))=0,"",((INDEX('Flat Rates'!$A$1:$M$3880,MATCH($AM201,'Flat Rates'!$A$1:$A$3880,0),MATCH("Night Unit Rate",'Flat Rates'!$A$1:$M$1,0)))*100)+H201),""))</f>
        <v/>
      </c>
      <c r="AT201" s="148" t="str">
        <f>IF($AN201=FALSE,"",IFERROR(IF(INDEX('Flat Rates'!$A$1:$M$3880,MATCH($AM201,'Flat Rates'!$A$1:$A$3880,0),MATCH("Evening and Weekend Rate",'Flat Rates'!$A$1:$M$1,0))=0,"",((INDEX('Flat Rates'!$A$1:$M$3880,MATCH($AM201,'Flat Rates'!$A$1:$A$3880,0),MATCH("Evening and Weekend Rate",'Flat Rates'!$A$1:$M$1,0)))*100)+H201),""))</f>
        <v/>
      </c>
      <c r="AU201" s="152" t="str">
        <f t="shared" si="73"/>
        <v/>
      </c>
      <c r="AV201" s="152" t="str">
        <f t="shared" si="74"/>
        <v/>
      </c>
      <c r="AW201" s="152" t="str">
        <f t="shared" si="75"/>
        <v/>
      </c>
    </row>
    <row r="202" spans="2:49" ht="15" thickBot="1" x14ac:dyDescent="0.35">
      <c r="B202" s="138" t="str">
        <f t="shared" si="52"/>
        <v/>
      </c>
      <c r="C202" s="146"/>
      <c r="D202" s="147"/>
      <c r="E202" s="140"/>
      <c r="F202" s="140"/>
      <c r="G202" s="139"/>
      <c r="H202" s="151"/>
      <c r="I202" s="139"/>
      <c r="J202" s="137"/>
      <c r="K202" s="139"/>
      <c r="L202" s="141"/>
      <c r="M202" s="133" t="str">
        <f t="shared" si="53"/>
        <v/>
      </c>
      <c r="N202" s="133" t="str">
        <f t="shared" si="54"/>
        <v/>
      </c>
      <c r="O202" s="133" t="str">
        <f t="shared" si="55"/>
        <v/>
      </c>
      <c r="P202" s="133" t="str">
        <f t="shared" si="56"/>
        <v/>
      </c>
      <c r="Q202" s="133" t="str">
        <f t="shared" si="57"/>
        <v/>
      </c>
      <c r="R202" s="133" t="str">
        <f t="shared" si="58"/>
        <v/>
      </c>
      <c r="S202" s="133" t="str">
        <f t="shared" si="59"/>
        <v/>
      </c>
      <c r="T202" s="133" t="str">
        <f>IFERROR(IF($U202="ERROR","ERROR",IF($N202="00",IF(J202="1-Rate","HH 1RATE",IF(J202="2-Rate","HH 2RATE","")),IFERROR(VLOOKUP(CONCATENATE(N202,Q202,O202,P202),Lookups!$A$2:$E$4557,5,0),VLOOKUP(CONCATENATE(N202,Q202,O202),Lookups!$A$2:$E$4557,5,0)))),"ERROR")</f>
        <v>ERROR</v>
      </c>
      <c r="U202" s="133" t="str">
        <f>IFERROR(IF(NOT($N202="00"),"",VLOOKUP(CONCATENATE(Q202,P202,LOOKUP(2,1/(Lookups!$I$2:$I$11&lt;=E202)/(Lookups!$J$2:$J$11&gt;=Tool!$C$14),Lookups!$K$2:$K$11)),'HH LLFs'!$A$2:$K$500,3,0)),"ERROR")</f>
        <v/>
      </c>
      <c r="V202" s="132">
        <f>Calcs!$I$2</f>
        <v>44377</v>
      </c>
      <c r="W202" s="132">
        <f>Calcs!$I$4</f>
        <v>44592</v>
      </c>
      <c r="X202" s="153" t="str">
        <f>IF(NOT(N202="00"),"",(VLOOKUP(CONCATENATE(Q202,P202,LOOKUP(2,1/(Lookups!$I$2:$I$11&lt;=Multisite!E202)/(Lookups!$J$2:$J$11&gt;=E202),Lookups!$K$2:$K$11)),'HH LLFs'!$A$2:$F$282,6,0)*365)/12)</f>
        <v/>
      </c>
      <c r="Y202" s="153">
        <f t="shared" si="60"/>
        <v>0</v>
      </c>
      <c r="Z202" s="153" t="str">
        <f t="shared" si="69"/>
        <v/>
      </c>
      <c r="AA202" s="153" t="str">
        <f t="shared" si="61"/>
        <v/>
      </c>
      <c r="AB202" s="153" t="str">
        <f t="shared" si="70"/>
        <v/>
      </c>
      <c r="AC202" s="153" t="str">
        <f t="shared" si="62"/>
        <v/>
      </c>
      <c r="AD202" s="153" t="str">
        <f t="shared" si="63"/>
        <v/>
      </c>
      <c r="AE202" s="153" t="str">
        <f t="shared" si="64"/>
        <v/>
      </c>
      <c r="AF202" s="155" t="e">
        <f>LOOKUP(2,1/(Lookups!$I$2:$I$11&lt;=E202)/(Lookups!$J$2:$J$11&gt;=E202),Lookups!$L$2:$L$11)</f>
        <v>#N/A</v>
      </c>
      <c r="AG202" s="142" t="str">
        <f t="shared" si="65"/>
        <v/>
      </c>
      <c r="AH202" s="142" t="str">
        <f t="shared" si="66"/>
        <v/>
      </c>
      <c r="AI202" s="143" t="b">
        <f t="shared" si="71"/>
        <v>0</v>
      </c>
      <c r="AJ202" s="143" t="str">
        <f t="shared" si="67"/>
        <v>Level 1</v>
      </c>
      <c r="AK202" s="142">
        <f t="shared" si="68"/>
        <v>0</v>
      </c>
      <c r="AL202" s="157" t="str">
        <f t="shared" si="76"/>
        <v/>
      </c>
      <c r="AM202" s="144" t="str">
        <f t="shared" si="77"/>
        <v>--FALSE-0</v>
      </c>
      <c r="AN202" s="158" t="str">
        <f t="shared" si="72"/>
        <v/>
      </c>
      <c r="AO202" s="145"/>
      <c r="AP202" s="159" t="str">
        <f>IF($AN202=FALSE,"",IFERROR(INDEX('Flat Rates'!$A$1:$M$3880,MATCH($AM202,'Flat Rates'!$A$1:$A$3880,0),MATCH("Standing Charge",'Flat Rates'!$A$1:$M$1,0))*100,""))</f>
        <v/>
      </c>
      <c r="AQ202" s="148" t="str">
        <f>IF($AN202=FALSE,"",IFERROR((IF(NOT(T202="Unrestricted"),"",INDEX('Flat Rates'!$A$1:$M$3880,MATCH($AM202,'Flat Rates'!$A$1:$A$3880,0),MATCH("Uni/Day Rate",'Flat Rates'!$A$1:$M$1,0)))*100)+H202,""))</f>
        <v/>
      </c>
      <c r="AR202" s="148" t="str">
        <f>IF($AN202=FALSE,"",IFERROR((IF(T202="Unrestricted","",INDEX('Flat Rates'!$A$1:$M$3880,MATCH($AM202,'Flat Rates'!$A$1:$A$3880,0),MATCH("Uni/Day Rate",'Flat Rates'!$A$1:$M$1,0)))*100)+H202,""))</f>
        <v/>
      </c>
      <c r="AS202" s="148" t="str">
        <f>IF($AN202=FALSE,"",IFERROR(IF(INDEX('Flat Rates'!$A$1:$M$3880,MATCH($AM202,'Flat Rates'!$A$1:$A$3880,0),MATCH("Night Unit Rate",'Flat Rates'!$A$1:$M$1,0))=0,"",((INDEX('Flat Rates'!$A$1:$M$3880,MATCH($AM202,'Flat Rates'!$A$1:$A$3880,0),MATCH("Night Unit Rate",'Flat Rates'!$A$1:$M$1,0)))*100)+H202),""))</f>
        <v/>
      </c>
      <c r="AT202" s="148" t="str">
        <f>IF($AN202=FALSE,"",IFERROR(IF(INDEX('Flat Rates'!$A$1:$M$3880,MATCH($AM202,'Flat Rates'!$A$1:$A$3880,0),MATCH("Evening and Weekend Rate",'Flat Rates'!$A$1:$M$1,0))=0,"",((INDEX('Flat Rates'!$A$1:$M$3880,MATCH($AM202,'Flat Rates'!$A$1:$A$3880,0),MATCH("Evening and Weekend Rate",'Flat Rates'!$A$1:$M$1,0)))*100)+H202),""))</f>
        <v/>
      </c>
      <c r="AU202" s="152" t="str">
        <f t="shared" si="73"/>
        <v/>
      </c>
      <c r="AV202" s="152" t="str">
        <f t="shared" si="74"/>
        <v/>
      </c>
      <c r="AW202" s="152" t="str">
        <f t="shared" si="75"/>
        <v/>
      </c>
    </row>
    <row r="203" spans="2:49" ht="15" thickBot="1" x14ac:dyDescent="0.35">
      <c r="B203" s="138" t="str">
        <f t="shared" si="52"/>
        <v/>
      </c>
      <c r="C203" s="137"/>
      <c r="D203" s="139"/>
      <c r="E203" s="140"/>
      <c r="F203" s="140"/>
      <c r="G203" s="139"/>
      <c r="H203" s="151"/>
      <c r="I203" s="139"/>
      <c r="J203" s="138"/>
      <c r="K203" s="139"/>
      <c r="L203" s="141"/>
      <c r="M203" s="133" t="str">
        <f t="shared" si="53"/>
        <v/>
      </c>
      <c r="N203" s="133" t="str">
        <f t="shared" si="54"/>
        <v/>
      </c>
      <c r="O203" s="133" t="str">
        <f t="shared" si="55"/>
        <v/>
      </c>
      <c r="P203" s="133" t="str">
        <f t="shared" si="56"/>
        <v/>
      </c>
      <c r="Q203" s="133" t="str">
        <f t="shared" si="57"/>
        <v/>
      </c>
      <c r="R203" s="133" t="str">
        <f t="shared" si="58"/>
        <v/>
      </c>
      <c r="S203" s="133" t="str">
        <f t="shared" si="59"/>
        <v/>
      </c>
      <c r="T203" s="133" t="str">
        <f>IFERROR(IF($U203="ERROR","ERROR",IF($N203="00",IF(J203="1-Rate","HH 1RATE",IF(J203="2-Rate","HH 2RATE","")),IFERROR(VLOOKUP(CONCATENATE(N203,Q203,O203,P203),Lookups!$A$2:$E$4557,5,0),VLOOKUP(CONCATENATE(N203,Q203,O203),Lookups!$A$2:$E$4557,5,0)))),"ERROR")</f>
        <v>ERROR</v>
      </c>
      <c r="U203" s="133" t="str">
        <f>IFERROR(IF(NOT($N203="00"),"",VLOOKUP(CONCATENATE(Q203,P203,LOOKUP(2,1/(Lookups!$I$2:$I$11&lt;=E203)/(Lookups!$J$2:$J$11&gt;=Tool!$C$14),Lookups!$K$2:$K$11)),'HH LLFs'!$A$2:$K$500,3,0)),"ERROR")</f>
        <v/>
      </c>
      <c r="V203" s="132">
        <f>Calcs!$I$2</f>
        <v>44377</v>
      </c>
      <c r="W203" s="132">
        <f>Calcs!$I$4</f>
        <v>44592</v>
      </c>
      <c r="X203" s="153" t="str">
        <f>IF(NOT(N203="00"),"",(VLOOKUP(CONCATENATE(Q203,P203,LOOKUP(2,1/(Lookups!$I$2:$I$11&lt;=Multisite!E203)/(Lookups!$J$2:$J$11&gt;=E203),Lookups!$K$2:$K$11)),'HH LLFs'!$A$2:$F$282,6,0)*365)/12)</f>
        <v/>
      </c>
      <c r="Y203" s="153">
        <f t="shared" si="60"/>
        <v>0</v>
      </c>
      <c r="Z203" s="153" t="str">
        <f t="shared" si="69"/>
        <v/>
      </c>
      <c r="AA203" s="153" t="str">
        <f t="shared" si="61"/>
        <v/>
      </c>
      <c r="AB203" s="153" t="str">
        <f t="shared" si="70"/>
        <v/>
      </c>
      <c r="AC203" s="153" t="str">
        <f t="shared" si="62"/>
        <v/>
      </c>
      <c r="AD203" s="153" t="str">
        <f t="shared" si="63"/>
        <v/>
      </c>
      <c r="AE203" s="153" t="str">
        <f t="shared" si="64"/>
        <v/>
      </c>
      <c r="AF203" s="155" t="e">
        <f>LOOKUP(2,1/(Lookups!$I$2:$I$11&lt;=E203)/(Lookups!$J$2:$J$11&gt;=E203),Lookups!$L$2:$L$11)</f>
        <v>#N/A</v>
      </c>
      <c r="AG203" s="142" t="str">
        <f t="shared" si="65"/>
        <v/>
      </c>
      <c r="AH203" s="142" t="str">
        <f t="shared" si="66"/>
        <v/>
      </c>
      <c r="AI203" s="143" t="b">
        <f t="shared" si="71"/>
        <v>0</v>
      </c>
      <c r="AJ203" s="143" t="str">
        <f t="shared" si="67"/>
        <v>Level 1</v>
      </c>
      <c r="AK203" s="142">
        <f t="shared" si="68"/>
        <v>0</v>
      </c>
      <c r="AL203" s="157" t="str">
        <f t="shared" si="76"/>
        <v/>
      </c>
      <c r="AM203" s="144" t="str">
        <f t="shared" si="77"/>
        <v>--FALSE-0</v>
      </c>
      <c r="AN203" s="158" t="str">
        <f t="shared" si="72"/>
        <v/>
      </c>
      <c r="AO203" s="145"/>
      <c r="AP203" s="159" t="str">
        <f>IF($AN203=FALSE,"",IFERROR(INDEX('Flat Rates'!$A$1:$M$3880,MATCH($AM203,'Flat Rates'!$A$1:$A$3880,0),MATCH("Standing Charge",'Flat Rates'!$A$1:$M$1,0))*100,""))</f>
        <v/>
      </c>
      <c r="AQ203" s="148" t="str">
        <f>IF($AN203=FALSE,"",IFERROR((IF(NOT(T203="Unrestricted"),"",INDEX('Flat Rates'!$A$1:$M$3880,MATCH($AM203,'Flat Rates'!$A$1:$A$3880,0),MATCH("Uni/Day Rate",'Flat Rates'!$A$1:$M$1,0)))*100)+H203,""))</f>
        <v/>
      </c>
      <c r="AR203" s="148" t="str">
        <f>IF($AN203=FALSE,"",IFERROR((IF(T203="Unrestricted","",INDEX('Flat Rates'!$A$1:$M$3880,MATCH($AM203,'Flat Rates'!$A$1:$A$3880,0),MATCH("Uni/Day Rate",'Flat Rates'!$A$1:$M$1,0)))*100)+H203,""))</f>
        <v/>
      </c>
      <c r="AS203" s="148" t="str">
        <f>IF($AN203=FALSE,"",IFERROR(IF(INDEX('Flat Rates'!$A$1:$M$3880,MATCH($AM203,'Flat Rates'!$A$1:$A$3880,0),MATCH("Night Unit Rate",'Flat Rates'!$A$1:$M$1,0))=0,"",((INDEX('Flat Rates'!$A$1:$M$3880,MATCH($AM203,'Flat Rates'!$A$1:$A$3880,0),MATCH("Night Unit Rate",'Flat Rates'!$A$1:$M$1,0)))*100)+H203),""))</f>
        <v/>
      </c>
      <c r="AT203" s="148" t="str">
        <f>IF($AN203=FALSE,"",IFERROR(IF(INDEX('Flat Rates'!$A$1:$M$3880,MATCH($AM203,'Flat Rates'!$A$1:$A$3880,0),MATCH("Evening and Weekend Rate",'Flat Rates'!$A$1:$M$1,0))=0,"",((INDEX('Flat Rates'!$A$1:$M$3880,MATCH($AM203,'Flat Rates'!$A$1:$A$3880,0),MATCH("Evening and Weekend Rate",'Flat Rates'!$A$1:$M$1,0)))*100)+H203),""))</f>
        <v/>
      </c>
      <c r="AU203" s="152" t="str">
        <f t="shared" si="73"/>
        <v/>
      </c>
      <c r="AV203" s="152" t="str">
        <f t="shared" si="74"/>
        <v/>
      </c>
      <c r="AW203" s="152" t="str">
        <f t="shared" si="75"/>
        <v/>
      </c>
    </row>
    <row r="204" spans="2:49" ht="15" thickBot="1" x14ac:dyDescent="0.35">
      <c r="B204" s="138" t="str">
        <f t="shared" si="52"/>
        <v/>
      </c>
      <c r="C204" s="146"/>
      <c r="D204" s="147"/>
      <c r="E204" s="140"/>
      <c r="F204" s="140"/>
      <c r="G204" s="139"/>
      <c r="H204" s="151"/>
      <c r="I204" s="139"/>
      <c r="J204" s="137"/>
      <c r="K204" s="139"/>
      <c r="L204" s="141"/>
      <c r="M204" s="133" t="str">
        <f t="shared" si="53"/>
        <v/>
      </c>
      <c r="N204" s="133" t="str">
        <f t="shared" si="54"/>
        <v/>
      </c>
      <c r="O204" s="133" t="str">
        <f t="shared" si="55"/>
        <v/>
      </c>
      <c r="P204" s="133" t="str">
        <f t="shared" si="56"/>
        <v/>
      </c>
      <c r="Q204" s="133" t="str">
        <f t="shared" si="57"/>
        <v/>
      </c>
      <c r="R204" s="133" t="str">
        <f t="shared" si="58"/>
        <v/>
      </c>
      <c r="S204" s="133" t="str">
        <f t="shared" si="59"/>
        <v/>
      </c>
      <c r="T204" s="133" t="str">
        <f>IFERROR(IF($U204="ERROR","ERROR",IF($N204="00",IF(J204="1-Rate","HH 1RATE",IF(J204="2-Rate","HH 2RATE","")),IFERROR(VLOOKUP(CONCATENATE(N204,Q204,O204,P204),Lookups!$A$2:$E$4557,5,0),VLOOKUP(CONCATENATE(N204,Q204,O204),Lookups!$A$2:$E$4557,5,0)))),"ERROR")</f>
        <v>ERROR</v>
      </c>
      <c r="U204" s="133" t="str">
        <f>IFERROR(IF(NOT($N204="00"),"",VLOOKUP(CONCATENATE(Q204,P204,LOOKUP(2,1/(Lookups!$I$2:$I$11&lt;=E204)/(Lookups!$J$2:$J$11&gt;=Tool!$C$14),Lookups!$K$2:$K$11)),'HH LLFs'!$A$2:$K$500,3,0)),"ERROR")</f>
        <v/>
      </c>
      <c r="V204" s="132">
        <f>Calcs!$I$2</f>
        <v>44377</v>
      </c>
      <c r="W204" s="132">
        <f>Calcs!$I$4</f>
        <v>44592</v>
      </c>
      <c r="X204" s="153" t="str">
        <f>IF(NOT(N204="00"),"",(VLOOKUP(CONCATENATE(Q204,P204,LOOKUP(2,1/(Lookups!$I$2:$I$11&lt;=Multisite!E204)/(Lookups!$J$2:$J$11&gt;=E204),Lookups!$K$2:$K$11)),'HH LLFs'!$A$2:$F$282,6,0)*365)/12)</f>
        <v/>
      </c>
      <c r="Y204" s="153">
        <f t="shared" si="60"/>
        <v>0</v>
      </c>
      <c r="Z204" s="153" t="str">
        <f t="shared" si="69"/>
        <v/>
      </c>
      <c r="AA204" s="153" t="str">
        <f t="shared" si="61"/>
        <v/>
      </c>
      <c r="AB204" s="153" t="str">
        <f t="shared" si="70"/>
        <v/>
      </c>
      <c r="AC204" s="153" t="str">
        <f t="shared" si="62"/>
        <v/>
      </c>
      <c r="AD204" s="153" t="str">
        <f t="shared" si="63"/>
        <v/>
      </c>
      <c r="AE204" s="153" t="str">
        <f t="shared" si="64"/>
        <v/>
      </c>
      <c r="AF204" s="155" t="e">
        <f>LOOKUP(2,1/(Lookups!$I$2:$I$11&lt;=E204)/(Lookups!$J$2:$J$11&gt;=E204),Lookups!$L$2:$L$11)</f>
        <v>#N/A</v>
      </c>
      <c r="AG204" s="142" t="str">
        <f t="shared" si="65"/>
        <v/>
      </c>
      <c r="AH204" s="142" t="str">
        <f t="shared" si="66"/>
        <v/>
      </c>
      <c r="AI204" s="143" t="b">
        <f t="shared" si="71"/>
        <v>0</v>
      </c>
      <c r="AJ204" s="143" t="str">
        <f t="shared" si="67"/>
        <v>Level 1</v>
      </c>
      <c r="AK204" s="142">
        <f t="shared" si="68"/>
        <v>0</v>
      </c>
      <c r="AL204" s="157" t="str">
        <f t="shared" si="76"/>
        <v/>
      </c>
      <c r="AM204" s="144" t="str">
        <f t="shared" si="77"/>
        <v>--FALSE-0</v>
      </c>
      <c r="AN204" s="158" t="str">
        <f t="shared" si="72"/>
        <v/>
      </c>
      <c r="AO204" s="145"/>
      <c r="AP204" s="159" t="str">
        <f>IF($AN204=FALSE,"",IFERROR(INDEX('Flat Rates'!$A$1:$M$3880,MATCH($AM204,'Flat Rates'!$A$1:$A$3880,0),MATCH("Standing Charge",'Flat Rates'!$A$1:$M$1,0))*100,""))</f>
        <v/>
      </c>
      <c r="AQ204" s="148" t="str">
        <f>IF($AN204=FALSE,"",IFERROR((IF(NOT(T204="Unrestricted"),"",INDEX('Flat Rates'!$A$1:$M$3880,MATCH($AM204,'Flat Rates'!$A$1:$A$3880,0),MATCH("Uni/Day Rate",'Flat Rates'!$A$1:$M$1,0)))*100)+H204,""))</f>
        <v/>
      </c>
      <c r="AR204" s="148" t="str">
        <f>IF($AN204=FALSE,"",IFERROR((IF(T204="Unrestricted","",INDEX('Flat Rates'!$A$1:$M$3880,MATCH($AM204,'Flat Rates'!$A$1:$A$3880,0),MATCH("Uni/Day Rate",'Flat Rates'!$A$1:$M$1,0)))*100)+H204,""))</f>
        <v/>
      </c>
      <c r="AS204" s="148" t="str">
        <f>IF($AN204=FALSE,"",IFERROR(IF(INDEX('Flat Rates'!$A$1:$M$3880,MATCH($AM204,'Flat Rates'!$A$1:$A$3880,0),MATCH("Night Unit Rate",'Flat Rates'!$A$1:$M$1,0))=0,"",((INDEX('Flat Rates'!$A$1:$M$3880,MATCH($AM204,'Flat Rates'!$A$1:$A$3880,0),MATCH("Night Unit Rate",'Flat Rates'!$A$1:$M$1,0)))*100)+H204),""))</f>
        <v/>
      </c>
      <c r="AT204" s="148" t="str">
        <f>IF($AN204=FALSE,"",IFERROR(IF(INDEX('Flat Rates'!$A$1:$M$3880,MATCH($AM204,'Flat Rates'!$A$1:$A$3880,0),MATCH("Evening and Weekend Rate",'Flat Rates'!$A$1:$M$1,0))=0,"",((INDEX('Flat Rates'!$A$1:$M$3880,MATCH($AM204,'Flat Rates'!$A$1:$A$3880,0),MATCH("Evening and Weekend Rate",'Flat Rates'!$A$1:$M$1,0)))*100)+H204),""))</f>
        <v/>
      </c>
      <c r="AU204" s="152" t="str">
        <f t="shared" si="73"/>
        <v/>
      </c>
      <c r="AV204" s="152" t="str">
        <f t="shared" si="74"/>
        <v/>
      </c>
      <c r="AW204" s="152" t="str">
        <f t="shared" si="75"/>
        <v/>
      </c>
    </row>
    <row r="205" spans="2:49" ht="15" thickBot="1" x14ac:dyDescent="0.35">
      <c r="B205" s="138" t="str">
        <f t="shared" si="52"/>
        <v/>
      </c>
      <c r="C205" s="137"/>
      <c r="D205" s="139"/>
      <c r="E205" s="140"/>
      <c r="F205" s="140"/>
      <c r="G205" s="139"/>
      <c r="H205" s="151"/>
      <c r="I205" s="139"/>
      <c r="J205" s="138"/>
      <c r="K205" s="139"/>
      <c r="L205" s="141"/>
      <c r="M205" s="133" t="str">
        <f t="shared" si="53"/>
        <v/>
      </c>
      <c r="N205" s="133" t="str">
        <f t="shared" si="54"/>
        <v/>
      </c>
      <c r="O205" s="133" t="str">
        <f t="shared" si="55"/>
        <v/>
      </c>
      <c r="P205" s="133" t="str">
        <f t="shared" si="56"/>
        <v/>
      </c>
      <c r="Q205" s="133" t="str">
        <f t="shared" si="57"/>
        <v/>
      </c>
      <c r="R205" s="133" t="str">
        <f t="shared" si="58"/>
        <v/>
      </c>
      <c r="S205" s="133" t="str">
        <f t="shared" si="59"/>
        <v/>
      </c>
      <c r="T205" s="133" t="str">
        <f>IFERROR(IF($U205="ERROR","ERROR",IF($N205="00",IF(J205="1-Rate","HH 1RATE",IF(J205="2-Rate","HH 2RATE","")),IFERROR(VLOOKUP(CONCATENATE(N205,Q205,O205,P205),Lookups!$A$2:$E$4557,5,0),VLOOKUP(CONCATENATE(N205,Q205,O205),Lookups!$A$2:$E$4557,5,0)))),"ERROR")</f>
        <v>ERROR</v>
      </c>
      <c r="U205" s="133" t="str">
        <f>IFERROR(IF(NOT($N205="00"),"",VLOOKUP(CONCATENATE(Q205,P205,LOOKUP(2,1/(Lookups!$I$2:$I$11&lt;=E205)/(Lookups!$J$2:$J$11&gt;=Tool!$C$14),Lookups!$K$2:$K$11)),'HH LLFs'!$A$2:$K$500,3,0)),"ERROR")</f>
        <v/>
      </c>
      <c r="V205" s="132">
        <f>Calcs!$I$2</f>
        <v>44377</v>
      </c>
      <c r="W205" s="132">
        <f>Calcs!$I$4</f>
        <v>44592</v>
      </c>
      <c r="X205" s="153" t="str">
        <f>IF(NOT(N205="00"),"",(VLOOKUP(CONCATENATE(Q205,P205,LOOKUP(2,1/(Lookups!$I$2:$I$11&lt;=Multisite!E205)/(Lookups!$J$2:$J$11&gt;=E205),Lookups!$K$2:$K$11)),'HH LLFs'!$A$2:$F$282,6,0)*365)/12)</f>
        <v/>
      </c>
      <c r="Y205" s="153">
        <f t="shared" si="60"/>
        <v>0</v>
      </c>
      <c r="Z205" s="153" t="str">
        <f t="shared" si="69"/>
        <v/>
      </c>
      <c r="AA205" s="153" t="str">
        <f t="shared" si="61"/>
        <v/>
      </c>
      <c r="AB205" s="153" t="str">
        <f t="shared" si="70"/>
        <v/>
      </c>
      <c r="AC205" s="153" t="str">
        <f t="shared" si="62"/>
        <v/>
      </c>
      <c r="AD205" s="153" t="str">
        <f t="shared" si="63"/>
        <v/>
      </c>
      <c r="AE205" s="153" t="str">
        <f t="shared" si="64"/>
        <v/>
      </c>
      <c r="AF205" s="155" t="e">
        <f>LOOKUP(2,1/(Lookups!$I$2:$I$11&lt;=E205)/(Lookups!$J$2:$J$11&gt;=E205),Lookups!$L$2:$L$11)</f>
        <v>#N/A</v>
      </c>
      <c r="AG205" s="142" t="str">
        <f t="shared" si="65"/>
        <v/>
      </c>
      <c r="AH205" s="142" t="str">
        <f t="shared" si="66"/>
        <v/>
      </c>
      <c r="AI205" s="143" t="b">
        <f t="shared" si="71"/>
        <v>0</v>
      </c>
      <c r="AJ205" s="143" t="str">
        <f t="shared" si="67"/>
        <v>Level 1</v>
      </c>
      <c r="AK205" s="142">
        <f t="shared" si="68"/>
        <v>0</v>
      </c>
      <c r="AL205" s="157" t="str">
        <f t="shared" si="76"/>
        <v/>
      </c>
      <c r="AM205" s="144" t="str">
        <f t="shared" si="77"/>
        <v>--FALSE-0</v>
      </c>
      <c r="AN205" s="158" t="str">
        <f t="shared" si="72"/>
        <v/>
      </c>
      <c r="AO205" s="145"/>
      <c r="AP205" s="159" t="str">
        <f>IF($AN205=FALSE,"",IFERROR(INDEX('Flat Rates'!$A$1:$M$3880,MATCH($AM205,'Flat Rates'!$A$1:$A$3880,0),MATCH("Standing Charge",'Flat Rates'!$A$1:$M$1,0))*100,""))</f>
        <v/>
      </c>
      <c r="AQ205" s="148" t="str">
        <f>IF($AN205=FALSE,"",IFERROR((IF(NOT(T205="Unrestricted"),"",INDEX('Flat Rates'!$A$1:$M$3880,MATCH($AM205,'Flat Rates'!$A$1:$A$3880,0),MATCH("Uni/Day Rate",'Flat Rates'!$A$1:$M$1,0)))*100)+H205,""))</f>
        <v/>
      </c>
      <c r="AR205" s="148" t="str">
        <f>IF($AN205=FALSE,"",IFERROR((IF(T205="Unrestricted","",INDEX('Flat Rates'!$A$1:$M$3880,MATCH($AM205,'Flat Rates'!$A$1:$A$3880,0),MATCH("Uni/Day Rate",'Flat Rates'!$A$1:$M$1,0)))*100)+H205,""))</f>
        <v/>
      </c>
      <c r="AS205" s="148" t="str">
        <f>IF($AN205=FALSE,"",IFERROR(IF(INDEX('Flat Rates'!$A$1:$M$3880,MATCH($AM205,'Flat Rates'!$A$1:$A$3880,0),MATCH("Night Unit Rate",'Flat Rates'!$A$1:$M$1,0))=0,"",((INDEX('Flat Rates'!$A$1:$M$3880,MATCH($AM205,'Flat Rates'!$A$1:$A$3880,0),MATCH("Night Unit Rate",'Flat Rates'!$A$1:$M$1,0)))*100)+H205),""))</f>
        <v/>
      </c>
      <c r="AT205" s="148" t="str">
        <f>IF($AN205=FALSE,"",IFERROR(IF(INDEX('Flat Rates'!$A$1:$M$3880,MATCH($AM205,'Flat Rates'!$A$1:$A$3880,0),MATCH("Evening and Weekend Rate",'Flat Rates'!$A$1:$M$1,0))=0,"",((INDEX('Flat Rates'!$A$1:$M$3880,MATCH($AM205,'Flat Rates'!$A$1:$A$3880,0),MATCH("Evening and Weekend Rate",'Flat Rates'!$A$1:$M$1,0)))*100)+H205),""))</f>
        <v/>
      </c>
      <c r="AU205" s="152" t="str">
        <f t="shared" si="73"/>
        <v/>
      </c>
      <c r="AV205" s="152" t="str">
        <f t="shared" si="74"/>
        <v/>
      </c>
      <c r="AW205" s="152" t="str">
        <f t="shared" si="75"/>
        <v/>
      </c>
    </row>
    <row r="206" spans="2:49" ht="15" thickBot="1" x14ac:dyDescent="0.35">
      <c r="B206" s="138" t="str">
        <f t="shared" si="52"/>
        <v/>
      </c>
      <c r="C206" s="146"/>
      <c r="D206" s="147"/>
      <c r="E206" s="140"/>
      <c r="F206" s="140"/>
      <c r="G206" s="139"/>
      <c r="H206" s="151"/>
      <c r="I206" s="139"/>
      <c r="J206" s="137"/>
      <c r="K206" s="139"/>
      <c r="L206" s="141"/>
      <c r="M206" s="133" t="str">
        <f t="shared" si="53"/>
        <v/>
      </c>
      <c r="N206" s="133" t="str">
        <f t="shared" si="54"/>
        <v/>
      </c>
      <c r="O206" s="133" t="str">
        <f t="shared" si="55"/>
        <v/>
      </c>
      <c r="P206" s="133" t="str">
        <f t="shared" si="56"/>
        <v/>
      </c>
      <c r="Q206" s="133" t="str">
        <f t="shared" si="57"/>
        <v/>
      </c>
      <c r="R206" s="133" t="str">
        <f t="shared" si="58"/>
        <v/>
      </c>
      <c r="S206" s="133" t="str">
        <f t="shared" si="59"/>
        <v/>
      </c>
      <c r="T206" s="133" t="str">
        <f>IFERROR(IF($U206="ERROR","ERROR",IF($N206="00",IF(J206="1-Rate","HH 1RATE",IF(J206="2-Rate","HH 2RATE","")),IFERROR(VLOOKUP(CONCATENATE(N206,Q206,O206,P206),Lookups!$A$2:$E$4557,5,0),VLOOKUP(CONCATENATE(N206,Q206,O206),Lookups!$A$2:$E$4557,5,0)))),"ERROR")</f>
        <v>ERROR</v>
      </c>
      <c r="U206" s="133" t="str">
        <f>IFERROR(IF(NOT($N206="00"),"",VLOOKUP(CONCATENATE(Q206,P206,LOOKUP(2,1/(Lookups!$I$2:$I$11&lt;=E206)/(Lookups!$J$2:$J$11&gt;=Tool!$C$14),Lookups!$K$2:$K$11)),'HH LLFs'!$A$2:$K$500,3,0)),"ERROR")</f>
        <v/>
      </c>
      <c r="V206" s="132">
        <f>Calcs!$I$2</f>
        <v>44377</v>
      </c>
      <c r="W206" s="132">
        <f>Calcs!$I$4</f>
        <v>44592</v>
      </c>
      <c r="X206" s="153" t="str">
        <f>IF(NOT(N206="00"),"",(VLOOKUP(CONCATENATE(Q206,P206,LOOKUP(2,1/(Lookups!$I$2:$I$11&lt;=Multisite!E206)/(Lookups!$J$2:$J$11&gt;=E206),Lookups!$K$2:$K$11)),'HH LLFs'!$A$2:$F$282,6,0)*365)/12)</f>
        <v/>
      </c>
      <c r="Y206" s="153">
        <f t="shared" si="60"/>
        <v>0</v>
      </c>
      <c r="Z206" s="153" t="str">
        <f t="shared" si="69"/>
        <v/>
      </c>
      <c r="AA206" s="153" t="str">
        <f t="shared" si="61"/>
        <v/>
      </c>
      <c r="AB206" s="153" t="str">
        <f t="shared" si="70"/>
        <v/>
      </c>
      <c r="AC206" s="153" t="str">
        <f t="shared" si="62"/>
        <v/>
      </c>
      <c r="AD206" s="153" t="str">
        <f t="shared" si="63"/>
        <v/>
      </c>
      <c r="AE206" s="153" t="str">
        <f t="shared" si="64"/>
        <v/>
      </c>
      <c r="AF206" s="155" t="e">
        <f>LOOKUP(2,1/(Lookups!$I$2:$I$11&lt;=E206)/(Lookups!$J$2:$J$11&gt;=E206),Lookups!$L$2:$L$11)</f>
        <v>#N/A</v>
      </c>
      <c r="AG206" s="142" t="str">
        <f t="shared" si="65"/>
        <v/>
      </c>
      <c r="AH206" s="142" t="str">
        <f t="shared" si="66"/>
        <v/>
      </c>
      <c r="AI206" s="143" t="b">
        <f t="shared" si="71"/>
        <v>0</v>
      </c>
      <c r="AJ206" s="143" t="str">
        <f t="shared" si="67"/>
        <v>Level 1</v>
      </c>
      <c r="AK206" s="142">
        <f t="shared" si="68"/>
        <v>0</v>
      </c>
      <c r="AL206" s="157" t="str">
        <f t="shared" si="76"/>
        <v/>
      </c>
      <c r="AM206" s="144" t="str">
        <f t="shared" si="77"/>
        <v>--FALSE-0</v>
      </c>
      <c r="AN206" s="158" t="str">
        <f t="shared" si="72"/>
        <v/>
      </c>
      <c r="AO206" s="145"/>
      <c r="AP206" s="159" t="str">
        <f>IF($AN206=FALSE,"",IFERROR(INDEX('Flat Rates'!$A$1:$M$3880,MATCH($AM206,'Flat Rates'!$A$1:$A$3880,0),MATCH("Standing Charge",'Flat Rates'!$A$1:$M$1,0))*100,""))</f>
        <v/>
      </c>
      <c r="AQ206" s="148" t="str">
        <f>IF($AN206=FALSE,"",IFERROR((IF(NOT(T206="Unrestricted"),"",INDEX('Flat Rates'!$A$1:$M$3880,MATCH($AM206,'Flat Rates'!$A$1:$A$3880,0),MATCH("Uni/Day Rate",'Flat Rates'!$A$1:$M$1,0)))*100)+H206,""))</f>
        <v/>
      </c>
      <c r="AR206" s="148" t="str">
        <f>IF($AN206=FALSE,"",IFERROR((IF(T206="Unrestricted","",INDEX('Flat Rates'!$A$1:$M$3880,MATCH($AM206,'Flat Rates'!$A$1:$A$3880,0),MATCH("Uni/Day Rate",'Flat Rates'!$A$1:$M$1,0)))*100)+H206,""))</f>
        <v/>
      </c>
      <c r="AS206" s="148" t="str">
        <f>IF($AN206=FALSE,"",IFERROR(IF(INDEX('Flat Rates'!$A$1:$M$3880,MATCH($AM206,'Flat Rates'!$A$1:$A$3880,0),MATCH("Night Unit Rate",'Flat Rates'!$A$1:$M$1,0))=0,"",((INDEX('Flat Rates'!$A$1:$M$3880,MATCH($AM206,'Flat Rates'!$A$1:$A$3880,0),MATCH("Night Unit Rate",'Flat Rates'!$A$1:$M$1,0)))*100)+H206),""))</f>
        <v/>
      </c>
      <c r="AT206" s="148" t="str">
        <f>IF($AN206=FALSE,"",IFERROR(IF(INDEX('Flat Rates'!$A$1:$M$3880,MATCH($AM206,'Flat Rates'!$A$1:$A$3880,0),MATCH("Evening and Weekend Rate",'Flat Rates'!$A$1:$M$1,0))=0,"",((INDEX('Flat Rates'!$A$1:$M$3880,MATCH($AM206,'Flat Rates'!$A$1:$A$3880,0),MATCH("Evening and Weekend Rate",'Flat Rates'!$A$1:$M$1,0)))*100)+H206),""))</f>
        <v/>
      </c>
      <c r="AU206" s="152" t="str">
        <f t="shared" si="73"/>
        <v/>
      </c>
      <c r="AV206" s="152" t="str">
        <f t="shared" si="74"/>
        <v/>
      </c>
      <c r="AW206" s="152" t="str">
        <f t="shared" si="75"/>
        <v/>
      </c>
    </row>
    <row r="207" spans="2:49" ht="15" thickBot="1" x14ac:dyDescent="0.35">
      <c r="B207" s="138" t="str">
        <f t="shared" si="52"/>
        <v/>
      </c>
      <c r="C207" s="137"/>
      <c r="D207" s="139"/>
      <c r="E207" s="140"/>
      <c r="F207" s="140"/>
      <c r="G207" s="139"/>
      <c r="H207" s="151"/>
      <c r="I207" s="139"/>
      <c r="J207" s="138"/>
      <c r="K207" s="139"/>
      <c r="L207" s="141"/>
      <c r="M207" s="133" t="str">
        <f t="shared" si="53"/>
        <v/>
      </c>
      <c r="N207" s="133" t="str">
        <f t="shared" si="54"/>
        <v/>
      </c>
      <c r="O207" s="133" t="str">
        <f t="shared" si="55"/>
        <v/>
      </c>
      <c r="P207" s="133" t="str">
        <f t="shared" si="56"/>
        <v/>
      </c>
      <c r="Q207" s="133" t="str">
        <f t="shared" si="57"/>
        <v/>
      </c>
      <c r="R207" s="133" t="str">
        <f t="shared" si="58"/>
        <v/>
      </c>
      <c r="S207" s="133" t="str">
        <f t="shared" si="59"/>
        <v/>
      </c>
      <c r="T207" s="133" t="str">
        <f>IFERROR(IF($U207="ERROR","ERROR",IF($N207="00",IF(J207="1-Rate","HH 1RATE",IF(J207="2-Rate","HH 2RATE","")),IFERROR(VLOOKUP(CONCATENATE(N207,Q207,O207,P207),Lookups!$A$2:$E$4557,5,0),VLOOKUP(CONCATENATE(N207,Q207,O207),Lookups!$A$2:$E$4557,5,0)))),"ERROR")</f>
        <v>ERROR</v>
      </c>
      <c r="U207" s="133" t="str">
        <f>IFERROR(IF(NOT($N207="00"),"",VLOOKUP(CONCATENATE(Q207,P207,LOOKUP(2,1/(Lookups!$I$2:$I$11&lt;=E207)/(Lookups!$J$2:$J$11&gt;=Tool!$C$14),Lookups!$K$2:$K$11)),'HH LLFs'!$A$2:$K$500,3,0)),"ERROR")</f>
        <v/>
      </c>
      <c r="V207" s="132">
        <f>Calcs!$I$2</f>
        <v>44377</v>
      </c>
      <c r="W207" s="132">
        <f>Calcs!$I$4</f>
        <v>44592</v>
      </c>
      <c r="X207" s="153" t="str">
        <f>IF(NOT(N207="00"),"",(VLOOKUP(CONCATENATE(Q207,P207,LOOKUP(2,1/(Lookups!$I$2:$I$11&lt;=Multisite!E207)/(Lookups!$J$2:$J$11&gt;=E207),Lookups!$K$2:$K$11)),'HH LLFs'!$A$2:$F$282,6,0)*365)/12)</f>
        <v/>
      </c>
      <c r="Y207" s="153">
        <f t="shared" si="60"/>
        <v>0</v>
      </c>
      <c r="Z207" s="153" t="str">
        <f t="shared" si="69"/>
        <v/>
      </c>
      <c r="AA207" s="153" t="str">
        <f t="shared" si="61"/>
        <v/>
      </c>
      <c r="AB207" s="153" t="str">
        <f t="shared" si="70"/>
        <v/>
      </c>
      <c r="AC207" s="153" t="str">
        <f t="shared" si="62"/>
        <v/>
      </c>
      <c r="AD207" s="153" t="str">
        <f t="shared" si="63"/>
        <v/>
      </c>
      <c r="AE207" s="153" t="str">
        <f t="shared" si="64"/>
        <v/>
      </c>
      <c r="AF207" s="155" t="e">
        <f>LOOKUP(2,1/(Lookups!$I$2:$I$11&lt;=E207)/(Lookups!$J$2:$J$11&gt;=E207),Lookups!$L$2:$L$11)</f>
        <v>#N/A</v>
      </c>
      <c r="AG207" s="142" t="str">
        <f t="shared" si="65"/>
        <v/>
      </c>
      <c r="AH207" s="142" t="str">
        <f t="shared" si="66"/>
        <v/>
      </c>
      <c r="AI207" s="143" t="b">
        <f t="shared" si="71"/>
        <v>0</v>
      </c>
      <c r="AJ207" s="143" t="str">
        <f t="shared" si="67"/>
        <v>Level 1</v>
      </c>
      <c r="AK207" s="142">
        <f t="shared" si="68"/>
        <v>0</v>
      </c>
      <c r="AL207" s="157" t="str">
        <f t="shared" si="76"/>
        <v/>
      </c>
      <c r="AM207" s="144" t="str">
        <f t="shared" si="77"/>
        <v>--FALSE-0</v>
      </c>
      <c r="AN207" s="158" t="str">
        <f t="shared" si="72"/>
        <v/>
      </c>
      <c r="AO207" s="145"/>
      <c r="AP207" s="159" t="str">
        <f>IF($AN207=FALSE,"",IFERROR(INDEX('Flat Rates'!$A$1:$M$3880,MATCH($AM207,'Flat Rates'!$A$1:$A$3880,0),MATCH("Standing Charge",'Flat Rates'!$A$1:$M$1,0))*100,""))</f>
        <v/>
      </c>
      <c r="AQ207" s="148" t="str">
        <f>IF($AN207=FALSE,"",IFERROR((IF(NOT(T207="Unrestricted"),"",INDEX('Flat Rates'!$A$1:$M$3880,MATCH($AM207,'Flat Rates'!$A$1:$A$3880,0),MATCH("Uni/Day Rate",'Flat Rates'!$A$1:$M$1,0)))*100)+H207,""))</f>
        <v/>
      </c>
      <c r="AR207" s="148" t="str">
        <f>IF($AN207=FALSE,"",IFERROR((IF(T207="Unrestricted","",INDEX('Flat Rates'!$A$1:$M$3880,MATCH($AM207,'Flat Rates'!$A$1:$A$3880,0),MATCH("Uni/Day Rate",'Flat Rates'!$A$1:$M$1,0)))*100)+H207,""))</f>
        <v/>
      </c>
      <c r="AS207" s="148" t="str">
        <f>IF($AN207=FALSE,"",IFERROR(IF(INDEX('Flat Rates'!$A$1:$M$3880,MATCH($AM207,'Flat Rates'!$A$1:$A$3880,0),MATCH("Night Unit Rate",'Flat Rates'!$A$1:$M$1,0))=0,"",((INDEX('Flat Rates'!$A$1:$M$3880,MATCH($AM207,'Flat Rates'!$A$1:$A$3880,0),MATCH("Night Unit Rate",'Flat Rates'!$A$1:$M$1,0)))*100)+H207),""))</f>
        <v/>
      </c>
      <c r="AT207" s="148" t="str">
        <f>IF($AN207=FALSE,"",IFERROR(IF(INDEX('Flat Rates'!$A$1:$M$3880,MATCH($AM207,'Flat Rates'!$A$1:$A$3880,0),MATCH("Evening and Weekend Rate",'Flat Rates'!$A$1:$M$1,0))=0,"",((INDEX('Flat Rates'!$A$1:$M$3880,MATCH($AM207,'Flat Rates'!$A$1:$A$3880,0),MATCH("Evening and Weekend Rate",'Flat Rates'!$A$1:$M$1,0)))*100)+H207),""))</f>
        <v/>
      </c>
      <c r="AU207" s="152" t="str">
        <f t="shared" si="73"/>
        <v/>
      </c>
      <c r="AV207" s="152" t="str">
        <f t="shared" si="74"/>
        <v/>
      </c>
      <c r="AW207" s="152" t="str">
        <f t="shared" si="75"/>
        <v/>
      </c>
    </row>
    <row r="208" spans="2:49" ht="15" thickBot="1" x14ac:dyDescent="0.35">
      <c r="B208" s="138" t="str">
        <f t="shared" si="52"/>
        <v/>
      </c>
      <c r="C208" s="146"/>
      <c r="D208" s="147"/>
      <c r="E208" s="140"/>
      <c r="F208" s="140"/>
      <c r="G208" s="139"/>
      <c r="H208" s="151"/>
      <c r="I208" s="139"/>
      <c r="J208" s="137"/>
      <c r="K208" s="139"/>
      <c r="L208" s="141"/>
      <c r="M208" s="133" t="str">
        <f t="shared" si="53"/>
        <v/>
      </c>
      <c r="N208" s="133" t="str">
        <f t="shared" si="54"/>
        <v/>
      </c>
      <c r="O208" s="133" t="str">
        <f t="shared" si="55"/>
        <v/>
      </c>
      <c r="P208" s="133" t="str">
        <f t="shared" si="56"/>
        <v/>
      </c>
      <c r="Q208" s="133" t="str">
        <f t="shared" si="57"/>
        <v/>
      </c>
      <c r="R208" s="133" t="str">
        <f t="shared" si="58"/>
        <v/>
      </c>
      <c r="S208" s="133" t="str">
        <f t="shared" si="59"/>
        <v/>
      </c>
      <c r="T208" s="133" t="str">
        <f>IFERROR(IF($U208="ERROR","ERROR",IF($N208="00",IF(J208="1-Rate","HH 1RATE",IF(J208="2-Rate","HH 2RATE","")),IFERROR(VLOOKUP(CONCATENATE(N208,Q208,O208,P208),Lookups!$A$2:$E$4557,5,0),VLOOKUP(CONCATENATE(N208,Q208,O208),Lookups!$A$2:$E$4557,5,0)))),"ERROR")</f>
        <v>ERROR</v>
      </c>
      <c r="U208" s="133" t="str">
        <f>IFERROR(IF(NOT($N208="00"),"",VLOOKUP(CONCATENATE(Q208,P208,LOOKUP(2,1/(Lookups!$I$2:$I$11&lt;=E208)/(Lookups!$J$2:$J$11&gt;=Tool!$C$14),Lookups!$K$2:$K$11)),'HH LLFs'!$A$2:$K$500,3,0)),"ERROR")</f>
        <v/>
      </c>
      <c r="V208" s="132">
        <f>Calcs!$I$2</f>
        <v>44377</v>
      </c>
      <c r="W208" s="132">
        <f>Calcs!$I$4</f>
        <v>44592</v>
      </c>
      <c r="X208" s="153" t="str">
        <f>IF(NOT(N208="00"),"",(VLOOKUP(CONCATENATE(Q208,P208,LOOKUP(2,1/(Lookups!$I$2:$I$11&lt;=Multisite!E208)/(Lookups!$J$2:$J$11&gt;=E208),Lookups!$K$2:$K$11)),'HH LLFs'!$A$2:$F$282,6,0)*365)/12)</f>
        <v/>
      </c>
      <c r="Y208" s="153">
        <f t="shared" si="60"/>
        <v>0</v>
      </c>
      <c r="Z208" s="153" t="str">
        <f t="shared" si="69"/>
        <v/>
      </c>
      <c r="AA208" s="153" t="str">
        <f t="shared" si="61"/>
        <v/>
      </c>
      <c r="AB208" s="153" t="str">
        <f t="shared" si="70"/>
        <v/>
      </c>
      <c r="AC208" s="153" t="str">
        <f t="shared" si="62"/>
        <v/>
      </c>
      <c r="AD208" s="153" t="str">
        <f t="shared" si="63"/>
        <v/>
      </c>
      <c r="AE208" s="153" t="str">
        <f t="shared" si="64"/>
        <v/>
      </c>
      <c r="AF208" s="155" t="e">
        <f>LOOKUP(2,1/(Lookups!$I$2:$I$11&lt;=E208)/(Lookups!$J$2:$J$11&gt;=E208),Lookups!$L$2:$L$11)</f>
        <v>#N/A</v>
      </c>
      <c r="AG208" s="142" t="str">
        <f t="shared" si="65"/>
        <v/>
      </c>
      <c r="AH208" s="142" t="str">
        <f t="shared" si="66"/>
        <v/>
      </c>
      <c r="AI208" s="143" t="b">
        <f t="shared" si="71"/>
        <v>0</v>
      </c>
      <c r="AJ208" s="143" t="str">
        <f t="shared" si="67"/>
        <v>Level 1</v>
      </c>
      <c r="AK208" s="142">
        <f t="shared" si="68"/>
        <v>0</v>
      </c>
      <c r="AL208" s="157" t="str">
        <f t="shared" si="76"/>
        <v/>
      </c>
      <c r="AM208" s="144" t="str">
        <f t="shared" si="77"/>
        <v>--FALSE-0</v>
      </c>
      <c r="AN208" s="158" t="str">
        <f t="shared" si="72"/>
        <v/>
      </c>
      <c r="AO208" s="145"/>
      <c r="AP208" s="159" t="str">
        <f>IF($AN208=FALSE,"",IFERROR(INDEX('Flat Rates'!$A$1:$M$3880,MATCH($AM208,'Flat Rates'!$A$1:$A$3880,0),MATCH("Standing Charge",'Flat Rates'!$A$1:$M$1,0))*100,""))</f>
        <v/>
      </c>
      <c r="AQ208" s="148" t="str">
        <f>IF($AN208=FALSE,"",IFERROR((IF(NOT(T208="Unrestricted"),"",INDEX('Flat Rates'!$A$1:$M$3880,MATCH($AM208,'Flat Rates'!$A$1:$A$3880,0),MATCH("Uni/Day Rate",'Flat Rates'!$A$1:$M$1,0)))*100)+H208,""))</f>
        <v/>
      </c>
      <c r="AR208" s="148" t="str">
        <f>IF($AN208=FALSE,"",IFERROR((IF(T208="Unrestricted","",INDEX('Flat Rates'!$A$1:$M$3880,MATCH($AM208,'Flat Rates'!$A$1:$A$3880,0),MATCH("Uni/Day Rate",'Flat Rates'!$A$1:$M$1,0)))*100)+H208,""))</f>
        <v/>
      </c>
      <c r="AS208" s="148" t="str">
        <f>IF($AN208=FALSE,"",IFERROR(IF(INDEX('Flat Rates'!$A$1:$M$3880,MATCH($AM208,'Flat Rates'!$A$1:$A$3880,0),MATCH("Night Unit Rate",'Flat Rates'!$A$1:$M$1,0))=0,"",((INDEX('Flat Rates'!$A$1:$M$3880,MATCH($AM208,'Flat Rates'!$A$1:$A$3880,0),MATCH("Night Unit Rate",'Flat Rates'!$A$1:$M$1,0)))*100)+H208),""))</f>
        <v/>
      </c>
      <c r="AT208" s="148" t="str">
        <f>IF($AN208=FALSE,"",IFERROR(IF(INDEX('Flat Rates'!$A$1:$M$3880,MATCH($AM208,'Flat Rates'!$A$1:$A$3880,0),MATCH("Evening and Weekend Rate",'Flat Rates'!$A$1:$M$1,0))=0,"",((INDEX('Flat Rates'!$A$1:$M$3880,MATCH($AM208,'Flat Rates'!$A$1:$A$3880,0),MATCH("Evening and Weekend Rate",'Flat Rates'!$A$1:$M$1,0)))*100)+H208),""))</f>
        <v/>
      </c>
      <c r="AU208" s="152" t="str">
        <f t="shared" si="73"/>
        <v/>
      </c>
      <c r="AV208" s="152" t="str">
        <f t="shared" si="74"/>
        <v/>
      </c>
      <c r="AW208" s="152" t="str">
        <f t="shared" si="75"/>
        <v/>
      </c>
    </row>
    <row r="209" spans="2:49" ht="15" thickBot="1" x14ac:dyDescent="0.35">
      <c r="B209" s="138" t="str">
        <f t="shared" si="52"/>
        <v/>
      </c>
      <c r="C209" s="137"/>
      <c r="D209" s="139"/>
      <c r="E209" s="140"/>
      <c r="F209" s="140"/>
      <c r="G209" s="139"/>
      <c r="H209" s="151"/>
      <c r="I209" s="139"/>
      <c r="J209" s="138"/>
      <c r="K209" s="139"/>
      <c r="L209" s="141"/>
      <c r="M209" s="133" t="str">
        <f t="shared" si="53"/>
        <v/>
      </c>
      <c r="N209" s="133" t="str">
        <f t="shared" si="54"/>
        <v/>
      </c>
      <c r="O209" s="133" t="str">
        <f t="shared" si="55"/>
        <v/>
      </c>
      <c r="P209" s="133" t="str">
        <f t="shared" si="56"/>
        <v/>
      </c>
      <c r="Q209" s="133" t="str">
        <f t="shared" si="57"/>
        <v/>
      </c>
      <c r="R209" s="133" t="str">
        <f t="shared" si="58"/>
        <v/>
      </c>
      <c r="S209" s="133" t="str">
        <f t="shared" si="59"/>
        <v/>
      </c>
      <c r="T209" s="133" t="str">
        <f>IFERROR(IF($U209="ERROR","ERROR",IF($N209="00",IF(J209="1-Rate","HH 1RATE",IF(J209="2-Rate","HH 2RATE","")),IFERROR(VLOOKUP(CONCATENATE(N209,Q209,O209,P209),Lookups!$A$2:$E$4557,5,0),VLOOKUP(CONCATENATE(N209,Q209,O209),Lookups!$A$2:$E$4557,5,0)))),"ERROR")</f>
        <v>ERROR</v>
      </c>
      <c r="U209" s="133" t="str">
        <f>IFERROR(IF(NOT($N209="00"),"",VLOOKUP(CONCATENATE(Q209,P209,LOOKUP(2,1/(Lookups!$I$2:$I$11&lt;=E209)/(Lookups!$J$2:$J$11&gt;=Tool!$C$14),Lookups!$K$2:$K$11)),'HH LLFs'!$A$2:$K$500,3,0)),"ERROR")</f>
        <v/>
      </c>
      <c r="V209" s="132">
        <f>Calcs!$I$2</f>
        <v>44377</v>
      </c>
      <c r="W209" s="132">
        <f>Calcs!$I$4</f>
        <v>44592</v>
      </c>
      <c r="X209" s="153" t="str">
        <f>IF(NOT(N209="00"),"",(VLOOKUP(CONCATENATE(Q209,P209,LOOKUP(2,1/(Lookups!$I$2:$I$11&lt;=Multisite!E209)/(Lookups!$J$2:$J$11&gt;=E209),Lookups!$K$2:$K$11)),'HH LLFs'!$A$2:$F$282,6,0)*365)/12)</f>
        <v/>
      </c>
      <c r="Y209" s="153">
        <f t="shared" si="60"/>
        <v>0</v>
      </c>
      <c r="Z209" s="153" t="str">
        <f t="shared" si="69"/>
        <v/>
      </c>
      <c r="AA209" s="153" t="str">
        <f t="shared" si="61"/>
        <v/>
      </c>
      <c r="AB209" s="153" t="str">
        <f t="shared" si="70"/>
        <v/>
      </c>
      <c r="AC209" s="153" t="str">
        <f t="shared" si="62"/>
        <v/>
      </c>
      <c r="AD209" s="153" t="str">
        <f t="shared" si="63"/>
        <v/>
      </c>
      <c r="AE209" s="153" t="str">
        <f t="shared" si="64"/>
        <v/>
      </c>
      <c r="AF209" s="155" t="e">
        <f>LOOKUP(2,1/(Lookups!$I$2:$I$11&lt;=E209)/(Lookups!$J$2:$J$11&gt;=E209),Lookups!$L$2:$L$11)</f>
        <v>#N/A</v>
      </c>
      <c r="AG209" s="142" t="str">
        <f t="shared" si="65"/>
        <v/>
      </c>
      <c r="AH209" s="142" t="str">
        <f t="shared" si="66"/>
        <v/>
      </c>
      <c r="AI209" s="143" t="b">
        <f t="shared" si="71"/>
        <v>0</v>
      </c>
      <c r="AJ209" s="143" t="str">
        <f t="shared" si="67"/>
        <v>Level 1</v>
      </c>
      <c r="AK209" s="142">
        <f t="shared" si="68"/>
        <v>0</v>
      </c>
      <c r="AL209" s="157" t="str">
        <f t="shared" si="76"/>
        <v/>
      </c>
      <c r="AM209" s="144" t="str">
        <f t="shared" si="77"/>
        <v>--FALSE-0</v>
      </c>
      <c r="AN209" s="158" t="str">
        <f t="shared" si="72"/>
        <v/>
      </c>
      <c r="AO209" s="145"/>
      <c r="AP209" s="159" t="str">
        <f>IF($AN209=FALSE,"",IFERROR(INDEX('Flat Rates'!$A$1:$M$3880,MATCH($AM209,'Flat Rates'!$A$1:$A$3880,0),MATCH("Standing Charge",'Flat Rates'!$A$1:$M$1,0))*100,""))</f>
        <v/>
      </c>
      <c r="AQ209" s="148" t="str">
        <f>IF($AN209=FALSE,"",IFERROR((IF(NOT(T209="Unrestricted"),"",INDEX('Flat Rates'!$A$1:$M$3880,MATCH($AM209,'Flat Rates'!$A$1:$A$3880,0),MATCH("Uni/Day Rate",'Flat Rates'!$A$1:$M$1,0)))*100)+H209,""))</f>
        <v/>
      </c>
      <c r="AR209" s="148" t="str">
        <f>IF($AN209=FALSE,"",IFERROR((IF(T209="Unrestricted","",INDEX('Flat Rates'!$A$1:$M$3880,MATCH($AM209,'Flat Rates'!$A$1:$A$3880,0),MATCH("Uni/Day Rate",'Flat Rates'!$A$1:$M$1,0)))*100)+H209,""))</f>
        <v/>
      </c>
      <c r="AS209" s="148" t="str">
        <f>IF($AN209=FALSE,"",IFERROR(IF(INDEX('Flat Rates'!$A$1:$M$3880,MATCH($AM209,'Flat Rates'!$A$1:$A$3880,0),MATCH("Night Unit Rate",'Flat Rates'!$A$1:$M$1,0))=0,"",((INDEX('Flat Rates'!$A$1:$M$3880,MATCH($AM209,'Flat Rates'!$A$1:$A$3880,0),MATCH("Night Unit Rate",'Flat Rates'!$A$1:$M$1,0)))*100)+H209),""))</f>
        <v/>
      </c>
      <c r="AT209" s="148" t="str">
        <f>IF($AN209=FALSE,"",IFERROR(IF(INDEX('Flat Rates'!$A$1:$M$3880,MATCH($AM209,'Flat Rates'!$A$1:$A$3880,0),MATCH("Evening and Weekend Rate",'Flat Rates'!$A$1:$M$1,0))=0,"",((INDEX('Flat Rates'!$A$1:$M$3880,MATCH($AM209,'Flat Rates'!$A$1:$A$3880,0),MATCH("Evening and Weekend Rate",'Flat Rates'!$A$1:$M$1,0)))*100)+H209),""))</f>
        <v/>
      </c>
      <c r="AU209" s="152" t="str">
        <f t="shared" si="73"/>
        <v/>
      </c>
      <c r="AV209" s="152" t="str">
        <f t="shared" si="74"/>
        <v/>
      </c>
      <c r="AW209" s="152" t="str">
        <f t="shared" si="75"/>
        <v/>
      </c>
    </row>
    <row r="210" spans="2:49" ht="15" thickBot="1" x14ac:dyDescent="0.35">
      <c r="B210" s="138" t="str">
        <f t="shared" si="52"/>
        <v/>
      </c>
      <c r="C210" s="146"/>
      <c r="D210" s="147"/>
      <c r="E210" s="140"/>
      <c r="F210" s="140"/>
      <c r="G210" s="139"/>
      <c r="H210" s="151"/>
      <c r="I210" s="139"/>
      <c r="J210" s="137"/>
      <c r="K210" s="139"/>
      <c r="L210" s="141"/>
      <c r="M210" s="133" t="str">
        <f t="shared" si="53"/>
        <v/>
      </c>
      <c r="N210" s="133" t="str">
        <f t="shared" si="54"/>
        <v/>
      </c>
      <c r="O210" s="133" t="str">
        <f t="shared" si="55"/>
        <v/>
      </c>
      <c r="P210" s="133" t="str">
        <f t="shared" si="56"/>
        <v/>
      </c>
      <c r="Q210" s="133" t="str">
        <f t="shared" si="57"/>
        <v/>
      </c>
      <c r="R210" s="133" t="str">
        <f t="shared" si="58"/>
        <v/>
      </c>
      <c r="S210" s="133" t="str">
        <f t="shared" si="59"/>
        <v/>
      </c>
      <c r="T210" s="133" t="str">
        <f>IFERROR(IF($U210="ERROR","ERROR",IF($N210="00",IF(J210="1-Rate","HH 1RATE",IF(J210="2-Rate","HH 2RATE","")),IFERROR(VLOOKUP(CONCATENATE(N210,Q210,O210,P210),Lookups!$A$2:$E$4557,5,0),VLOOKUP(CONCATENATE(N210,Q210,O210),Lookups!$A$2:$E$4557,5,0)))),"ERROR")</f>
        <v>ERROR</v>
      </c>
      <c r="U210" s="133" t="str">
        <f>IFERROR(IF(NOT($N210="00"),"",VLOOKUP(CONCATENATE(Q210,P210,LOOKUP(2,1/(Lookups!$I$2:$I$11&lt;=E210)/(Lookups!$J$2:$J$11&gt;=Tool!$C$14),Lookups!$K$2:$K$11)),'HH LLFs'!$A$2:$K$500,3,0)),"ERROR")</f>
        <v/>
      </c>
      <c r="V210" s="132">
        <f>Calcs!$I$2</f>
        <v>44377</v>
      </c>
      <c r="W210" s="132">
        <f>Calcs!$I$4</f>
        <v>44592</v>
      </c>
      <c r="X210" s="153" t="str">
        <f>IF(NOT(N210="00"),"",(VLOOKUP(CONCATENATE(Q210,P210,LOOKUP(2,1/(Lookups!$I$2:$I$11&lt;=Multisite!E210)/(Lookups!$J$2:$J$11&gt;=E210),Lookups!$K$2:$K$11)),'HH LLFs'!$A$2:$F$282,6,0)*365)/12)</f>
        <v/>
      </c>
      <c r="Y210" s="153">
        <f t="shared" si="60"/>
        <v>0</v>
      </c>
      <c r="Z210" s="153" t="str">
        <f t="shared" si="69"/>
        <v/>
      </c>
      <c r="AA210" s="153" t="str">
        <f t="shared" si="61"/>
        <v/>
      </c>
      <c r="AB210" s="153" t="str">
        <f t="shared" si="70"/>
        <v/>
      </c>
      <c r="AC210" s="153" t="str">
        <f t="shared" si="62"/>
        <v/>
      </c>
      <c r="AD210" s="153" t="str">
        <f t="shared" si="63"/>
        <v/>
      </c>
      <c r="AE210" s="153" t="str">
        <f t="shared" si="64"/>
        <v/>
      </c>
      <c r="AF210" s="155" t="e">
        <f>LOOKUP(2,1/(Lookups!$I$2:$I$11&lt;=E210)/(Lookups!$J$2:$J$11&gt;=E210),Lookups!$L$2:$L$11)</f>
        <v>#N/A</v>
      </c>
      <c r="AG210" s="142" t="str">
        <f t="shared" si="65"/>
        <v/>
      </c>
      <c r="AH210" s="142" t="str">
        <f t="shared" si="66"/>
        <v/>
      </c>
      <c r="AI210" s="143" t="b">
        <f t="shared" si="71"/>
        <v>0</v>
      </c>
      <c r="AJ210" s="143" t="str">
        <f t="shared" si="67"/>
        <v>Level 1</v>
      </c>
      <c r="AK210" s="142">
        <f t="shared" si="68"/>
        <v>0</v>
      </c>
      <c r="AL210" s="157" t="str">
        <f t="shared" si="76"/>
        <v/>
      </c>
      <c r="AM210" s="144" t="str">
        <f t="shared" si="77"/>
        <v>--FALSE-0</v>
      </c>
      <c r="AN210" s="158" t="str">
        <f t="shared" si="72"/>
        <v/>
      </c>
      <c r="AO210" s="145"/>
      <c r="AP210" s="159" t="str">
        <f>IF($AN210=FALSE,"",IFERROR(INDEX('Flat Rates'!$A$1:$M$3880,MATCH($AM210,'Flat Rates'!$A$1:$A$3880,0),MATCH("Standing Charge",'Flat Rates'!$A$1:$M$1,0))*100,""))</f>
        <v/>
      </c>
      <c r="AQ210" s="148" t="str">
        <f>IF($AN210=FALSE,"",IFERROR((IF(NOT(T210="Unrestricted"),"",INDEX('Flat Rates'!$A$1:$M$3880,MATCH($AM210,'Flat Rates'!$A$1:$A$3880,0),MATCH("Uni/Day Rate",'Flat Rates'!$A$1:$M$1,0)))*100)+H210,""))</f>
        <v/>
      </c>
      <c r="AR210" s="148" t="str">
        <f>IF($AN210=FALSE,"",IFERROR((IF(T210="Unrestricted","",INDEX('Flat Rates'!$A$1:$M$3880,MATCH($AM210,'Flat Rates'!$A$1:$A$3880,0),MATCH("Uni/Day Rate",'Flat Rates'!$A$1:$M$1,0)))*100)+H210,""))</f>
        <v/>
      </c>
      <c r="AS210" s="148" t="str">
        <f>IF($AN210=FALSE,"",IFERROR(IF(INDEX('Flat Rates'!$A$1:$M$3880,MATCH($AM210,'Flat Rates'!$A$1:$A$3880,0),MATCH("Night Unit Rate",'Flat Rates'!$A$1:$M$1,0))=0,"",((INDEX('Flat Rates'!$A$1:$M$3880,MATCH($AM210,'Flat Rates'!$A$1:$A$3880,0),MATCH("Night Unit Rate",'Flat Rates'!$A$1:$M$1,0)))*100)+H210),""))</f>
        <v/>
      </c>
      <c r="AT210" s="148" t="str">
        <f>IF($AN210=FALSE,"",IFERROR(IF(INDEX('Flat Rates'!$A$1:$M$3880,MATCH($AM210,'Flat Rates'!$A$1:$A$3880,0),MATCH("Evening and Weekend Rate",'Flat Rates'!$A$1:$M$1,0))=0,"",((INDEX('Flat Rates'!$A$1:$M$3880,MATCH($AM210,'Flat Rates'!$A$1:$A$3880,0),MATCH("Evening and Weekend Rate",'Flat Rates'!$A$1:$M$1,0)))*100)+H210),""))</f>
        <v/>
      </c>
      <c r="AU210" s="152" t="str">
        <f t="shared" si="73"/>
        <v/>
      </c>
      <c r="AV210" s="152" t="str">
        <f t="shared" si="74"/>
        <v/>
      </c>
      <c r="AW210" s="152" t="str">
        <f t="shared" si="75"/>
        <v/>
      </c>
    </row>
    <row r="211" spans="2:49" ht="15" thickBot="1" x14ac:dyDescent="0.35">
      <c r="B211" s="138" t="str">
        <f t="shared" ref="B211:B274" si="78">SUBSTITUTE(C211," ","")</f>
        <v/>
      </c>
      <c r="C211" s="137"/>
      <c r="D211" s="139"/>
      <c r="E211" s="140"/>
      <c r="F211" s="140"/>
      <c r="G211" s="139"/>
      <c r="H211" s="151"/>
      <c r="I211" s="139"/>
      <c r="J211" s="138"/>
      <c r="K211" s="139"/>
      <c r="L211" s="141"/>
      <c r="M211" s="133" t="str">
        <f t="shared" ref="M211:M274" si="79">CONCATENATE(LEFT(B211,2),LEFT(D211,2),MID(B211,3,3))</f>
        <v/>
      </c>
      <c r="N211" s="133" t="str">
        <f t="shared" ref="N211:N274" si="80">IF(LEFT(B211,2)="01","03",IF(LEFT(B211,2)="02","04",LEFT(B211,2)))</f>
        <v/>
      </c>
      <c r="O211" s="133" t="str">
        <f t="shared" ref="O211:O274" si="81">MID(B211,3,3)</f>
        <v/>
      </c>
      <c r="P211" s="133" t="str">
        <f t="shared" ref="P211:P274" si="82">RIGHT(B211,3)</f>
        <v/>
      </c>
      <c r="Q211" s="133" t="str">
        <f t="shared" ref="Q211:Q274" si="83">LEFT(D211,2)</f>
        <v/>
      </c>
      <c r="R211" s="133" t="str">
        <f t="shared" ref="R211:R274" si="84">MID(D211,3,8)</f>
        <v/>
      </c>
      <c r="S211" s="133" t="str">
        <f t="shared" ref="S211:S274" si="85">RIGHT(D211,3)</f>
        <v/>
      </c>
      <c r="T211" s="133" t="str">
        <f>IFERROR(IF($U211="ERROR","ERROR",IF($N211="00",IF(J211="1-Rate","HH 1RATE",IF(J211="2-Rate","HH 2RATE","")),IFERROR(VLOOKUP(CONCATENATE(N211,Q211,O211,P211),Lookups!$A$2:$E$4557,5,0),VLOOKUP(CONCATENATE(N211,Q211,O211),Lookups!$A$2:$E$4557,5,0)))),"ERROR")</f>
        <v>ERROR</v>
      </c>
      <c r="U211" s="133" t="str">
        <f>IFERROR(IF(NOT($N211="00"),"",VLOOKUP(CONCATENATE(Q211,P211,LOOKUP(2,1/(Lookups!$I$2:$I$11&lt;=E211)/(Lookups!$J$2:$J$11&gt;=Tool!$C$14),Lookups!$K$2:$K$11)),'HH LLFs'!$A$2:$K$500,3,0)),"ERROR")</f>
        <v/>
      </c>
      <c r="V211" s="132">
        <f>Calcs!$I$2</f>
        <v>44377</v>
      </c>
      <c r="W211" s="132">
        <f>Calcs!$I$4</f>
        <v>44592</v>
      </c>
      <c r="X211" s="153" t="str">
        <f>IF(NOT(N211="00"),"",(VLOOKUP(CONCATENATE(Q211,P211,LOOKUP(2,1/(Lookups!$I$2:$I$11&lt;=Multisite!E211)/(Lookups!$J$2:$J$11&gt;=E211),Lookups!$K$2:$K$11)),'HH LLFs'!$A$2:$F$282,6,0)*365)/12)</f>
        <v/>
      </c>
      <c r="Y211" s="153">
        <f t="shared" ref="Y211:Y274" si="86">K211</f>
        <v>0</v>
      </c>
      <c r="Z211" s="153" t="str">
        <f t="shared" si="69"/>
        <v/>
      </c>
      <c r="AA211" s="153" t="str">
        <f t="shared" ref="AA211:AA274" si="87">IFERROR(((AQ211*I211)/100),"")</f>
        <v/>
      </c>
      <c r="AB211" s="153" t="str">
        <f t="shared" si="70"/>
        <v/>
      </c>
      <c r="AC211" s="153" t="str">
        <f t="shared" ref="AC211:AC274" si="88">IFERROR((IF(T211="E7",((AS211*I211)*0.3),IF(T211="3-Rate",((AS211*I211)*0.2),IF(T211="HH 2RATE",((AS211*I211)*0.3),"")))/100),"")</f>
        <v/>
      </c>
      <c r="AD211" s="153" t="str">
        <f t="shared" ref="AD211:AD274" si="89">IFERROR((IF(T211="EW",((AT211*I211)*0.4),IF(T211="3-Rate",((AT211*I211)*0.2),""))/100),"")</f>
        <v/>
      </c>
      <c r="AE211" s="153" t="str">
        <f t="shared" ref="AE211:AE274" si="90">IF(Z211="","",IF(T211="3 Rate Half Hourly","",SUM(Z211:AD211,AW211)))</f>
        <v/>
      </c>
      <c r="AF211" s="155" t="e">
        <f>LOOKUP(2,1/(Lookups!$I$2:$I$11&lt;=E211)/(Lookups!$J$2:$J$11&gt;=E211),Lookups!$L$2:$L$11)</f>
        <v>#N/A</v>
      </c>
      <c r="AG211" s="142" t="str">
        <f t="shared" ref="AG211:AG274" si="91">Q211</f>
        <v/>
      </c>
      <c r="AH211" s="142" t="str">
        <f t="shared" ref="AH211:AH274" si="92">IF(E211&gt;W211,"",RIGHT(N211,1))</f>
        <v/>
      </c>
      <c r="AI211" s="143" t="b">
        <f t="shared" si="71"/>
        <v>0</v>
      </c>
      <c r="AJ211" s="143" t="str">
        <f t="shared" ref="AJ211:AJ274" si="93">IF($E211&lt;=$V211,"Level 1",IF($E211&lt;=$W211,"Level 2",""))</f>
        <v>Level 1</v>
      </c>
      <c r="AK211" s="142">
        <f t="shared" ref="AK211:AK274" si="94">IF($G211="SmartFIX – 1 Year","SmartFIX – 1 Year",IF($G211="SmartFIX – 2 Year","SmartFIX – 2 Year",IF($G211="SmartFIX – 3 Year","SmartFIX – 3 Year",IF($G211="SmartPAY12","SmartPAY12",IF($G211="SmartPAY24","SmartPAY24",IF($G211="SmartPAY36","SmartPAY36",IF($G211="SmartFIX – 5 Year","SmartFIX – 5 Year",IF($G211="SmartTRACKER","SmartTRACKER",IF($G211="SmartTRACKER","SmartTRACKER",)))))))))</f>
        <v>0</v>
      </c>
      <c r="AL211" s="157" t="str">
        <f t="shared" si="76"/>
        <v/>
      </c>
      <c r="AM211" s="144" t="str">
        <f t="shared" si="77"/>
        <v>--FALSE-0</v>
      </c>
      <c r="AN211" s="158" t="str">
        <f t="shared" si="72"/>
        <v/>
      </c>
      <c r="AO211" s="145"/>
      <c r="AP211" s="159" t="str">
        <f>IF($AN211=FALSE,"",IFERROR(INDEX('Flat Rates'!$A$1:$M$3880,MATCH($AM211,'Flat Rates'!$A$1:$A$3880,0),MATCH("Standing Charge",'Flat Rates'!$A$1:$M$1,0))*100,""))</f>
        <v/>
      </c>
      <c r="AQ211" s="148" t="str">
        <f>IF($AN211=FALSE,"",IFERROR((IF(NOT(T211="Unrestricted"),"",INDEX('Flat Rates'!$A$1:$M$3880,MATCH($AM211,'Flat Rates'!$A$1:$A$3880,0),MATCH("Uni/Day Rate",'Flat Rates'!$A$1:$M$1,0)))*100)+H211,""))</f>
        <v/>
      </c>
      <c r="AR211" s="148" t="str">
        <f>IF($AN211=FALSE,"",IFERROR((IF(T211="Unrestricted","",INDEX('Flat Rates'!$A$1:$M$3880,MATCH($AM211,'Flat Rates'!$A$1:$A$3880,0),MATCH("Uni/Day Rate",'Flat Rates'!$A$1:$M$1,0)))*100)+H211,""))</f>
        <v/>
      </c>
      <c r="AS211" s="148" t="str">
        <f>IF($AN211=FALSE,"",IFERROR(IF(INDEX('Flat Rates'!$A$1:$M$3880,MATCH($AM211,'Flat Rates'!$A$1:$A$3880,0),MATCH("Night Unit Rate",'Flat Rates'!$A$1:$M$1,0))=0,"",((INDEX('Flat Rates'!$A$1:$M$3880,MATCH($AM211,'Flat Rates'!$A$1:$A$3880,0),MATCH("Night Unit Rate",'Flat Rates'!$A$1:$M$1,0)))*100)+H211),""))</f>
        <v/>
      </c>
      <c r="AT211" s="148" t="str">
        <f>IF($AN211=FALSE,"",IFERROR(IF(INDEX('Flat Rates'!$A$1:$M$3880,MATCH($AM211,'Flat Rates'!$A$1:$A$3880,0),MATCH("Evening and Weekend Rate",'Flat Rates'!$A$1:$M$1,0))=0,"",((INDEX('Flat Rates'!$A$1:$M$3880,MATCH($AM211,'Flat Rates'!$A$1:$A$3880,0),MATCH("Evening and Weekend Rate",'Flat Rates'!$A$1:$M$1,0)))*100)+H211),""))</f>
        <v/>
      </c>
      <c r="AU211" s="152" t="str">
        <f t="shared" si="73"/>
        <v/>
      </c>
      <c r="AV211" s="152" t="str">
        <f t="shared" si="74"/>
        <v/>
      </c>
      <c r="AW211" s="152" t="str">
        <f t="shared" si="75"/>
        <v/>
      </c>
    </row>
    <row r="212" spans="2:49" ht="15" thickBot="1" x14ac:dyDescent="0.35">
      <c r="B212" s="138" t="str">
        <f t="shared" si="78"/>
        <v/>
      </c>
      <c r="C212" s="146"/>
      <c r="D212" s="147"/>
      <c r="E212" s="140"/>
      <c r="F212" s="140"/>
      <c r="G212" s="139"/>
      <c r="H212" s="151"/>
      <c r="I212" s="139"/>
      <c r="J212" s="137"/>
      <c r="K212" s="139"/>
      <c r="L212" s="141"/>
      <c r="M212" s="133" t="str">
        <f t="shared" si="79"/>
        <v/>
      </c>
      <c r="N212" s="133" t="str">
        <f t="shared" si="80"/>
        <v/>
      </c>
      <c r="O212" s="133" t="str">
        <f t="shared" si="81"/>
        <v/>
      </c>
      <c r="P212" s="133" t="str">
        <f t="shared" si="82"/>
        <v/>
      </c>
      <c r="Q212" s="133" t="str">
        <f t="shared" si="83"/>
        <v/>
      </c>
      <c r="R212" s="133" t="str">
        <f t="shared" si="84"/>
        <v/>
      </c>
      <c r="S212" s="133" t="str">
        <f t="shared" si="85"/>
        <v/>
      </c>
      <c r="T212" s="133" t="str">
        <f>IFERROR(IF($U212="ERROR","ERROR",IF($N212="00",IF(J212="1-Rate","HH 1RATE",IF(J212="2-Rate","HH 2RATE","")),IFERROR(VLOOKUP(CONCATENATE(N212,Q212,O212,P212),Lookups!$A$2:$E$4557,5,0),VLOOKUP(CONCATENATE(N212,Q212,O212),Lookups!$A$2:$E$4557,5,0)))),"ERROR")</f>
        <v>ERROR</v>
      </c>
      <c r="U212" s="133" t="str">
        <f>IFERROR(IF(NOT($N212="00"),"",VLOOKUP(CONCATENATE(Q212,P212,LOOKUP(2,1/(Lookups!$I$2:$I$11&lt;=E212)/(Lookups!$J$2:$J$11&gt;=Tool!$C$14),Lookups!$K$2:$K$11)),'HH LLFs'!$A$2:$K$500,3,0)),"ERROR")</f>
        <v/>
      </c>
      <c r="V212" s="132">
        <f>Calcs!$I$2</f>
        <v>44377</v>
      </c>
      <c r="W212" s="132">
        <f>Calcs!$I$4</f>
        <v>44592</v>
      </c>
      <c r="X212" s="153" t="str">
        <f>IF(NOT(N212="00"),"",(VLOOKUP(CONCATENATE(Q212,P212,LOOKUP(2,1/(Lookups!$I$2:$I$11&lt;=Multisite!E212)/(Lookups!$J$2:$J$11&gt;=E212),Lookups!$K$2:$K$11)),'HH LLFs'!$A$2:$F$282,6,0)*365)/12)</f>
        <v/>
      </c>
      <c r="Y212" s="153">
        <f t="shared" si="86"/>
        <v>0</v>
      </c>
      <c r="Z212" s="153" t="str">
        <f t="shared" ref="Z212:Z275" si="95">IFERROR(((IF(I212="3 `Rate Half Hourly","",AP212*365)/100)),"")</f>
        <v/>
      </c>
      <c r="AA212" s="153" t="str">
        <f t="shared" si="87"/>
        <v/>
      </c>
      <c r="AB212" s="153" t="str">
        <f t="shared" ref="AB212:AB275" si="96">IFERROR((IF(T212="E7",((AR212*I212)*0.7),IF(T212="EW",((AR212*I212)*0.6),IF(T212="3-Rate",((AR212*I212)*0.6),IF(T212="HH 2RATE",((AR212*I212)*0.7),IF(T212="HH 1RATE",(AR212*I212),"")))))/100),"")</f>
        <v/>
      </c>
      <c r="AC212" s="153" t="str">
        <f t="shared" si="88"/>
        <v/>
      </c>
      <c r="AD212" s="153" t="str">
        <f t="shared" si="89"/>
        <v/>
      </c>
      <c r="AE212" s="153" t="str">
        <f t="shared" si="90"/>
        <v/>
      </c>
      <c r="AF212" s="155" t="e">
        <f>LOOKUP(2,1/(Lookups!$I$2:$I$11&lt;=E212)/(Lookups!$J$2:$J$11&gt;=E212),Lookups!$L$2:$L$11)</f>
        <v>#N/A</v>
      </c>
      <c r="AG212" s="142" t="str">
        <f t="shared" si="91"/>
        <v/>
      </c>
      <c r="AH212" s="142" t="str">
        <f t="shared" si="92"/>
        <v/>
      </c>
      <c r="AI212" s="143" t="b">
        <f t="shared" ref="AI212:AI275" si="97">IF(T212="Unrestricted","U",IF(T212="E7","E7",IF(T212="EW","EW",IF(T212="3-Rate","3RATE",IF(T212="3 Rate Half Hourly","TOU",IF(T212="HH 2RATE",CONCATENATE("HH 2RATE ",U212),IF(T212="HH 1RATE",CONCATENATE("HH 1RATE ",U212))))))))</f>
        <v>0</v>
      </c>
      <c r="AJ212" s="143" t="str">
        <f t="shared" si="93"/>
        <v>Level 1</v>
      </c>
      <c r="AK212" s="142">
        <f t="shared" si="94"/>
        <v>0</v>
      </c>
      <c r="AL212" s="157" t="str">
        <f t="shared" si="76"/>
        <v/>
      </c>
      <c r="AM212" s="144" t="str">
        <f t="shared" si="77"/>
        <v>--FALSE-0</v>
      </c>
      <c r="AN212" s="158" t="str">
        <f t="shared" ref="AN212:AN275" si="98">IFERROR(CHOOSE(IF(OR(F212="Acquisition",F212="Renewal"),1,0)+IF(OR(F212="Smartpay",F212="Smartpay_Renewal"),2,0),IF(OR(ISNUMBER(SEARCH("fix",G212)),ISNUMBER(SEARCH("Tracker",G212))),TRUE,FALSE),IF(ISNUMBER(SEARCH("pay",G212)),TRUE,FALSE)),"")</f>
        <v/>
      </c>
      <c r="AO212" s="145"/>
      <c r="AP212" s="159" t="str">
        <f>IF($AN212=FALSE,"",IFERROR(INDEX('Flat Rates'!$A$1:$M$3880,MATCH($AM212,'Flat Rates'!$A$1:$A$3880,0),MATCH("Standing Charge",'Flat Rates'!$A$1:$M$1,0))*100,""))</f>
        <v/>
      </c>
      <c r="AQ212" s="148" t="str">
        <f>IF($AN212=FALSE,"",IFERROR((IF(NOT(T212="Unrestricted"),"",INDEX('Flat Rates'!$A$1:$M$3880,MATCH($AM212,'Flat Rates'!$A$1:$A$3880,0),MATCH("Uni/Day Rate",'Flat Rates'!$A$1:$M$1,0)))*100)+H212,""))</f>
        <v/>
      </c>
      <c r="AR212" s="148" t="str">
        <f>IF($AN212=FALSE,"",IFERROR((IF(T212="Unrestricted","",INDEX('Flat Rates'!$A$1:$M$3880,MATCH($AM212,'Flat Rates'!$A$1:$A$3880,0),MATCH("Uni/Day Rate",'Flat Rates'!$A$1:$M$1,0)))*100)+H212,""))</f>
        <v/>
      </c>
      <c r="AS212" s="148" t="str">
        <f>IF($AN212=FALSE,"",IFERROR(IF(INDEX('Flat Rates'!$A$1:$M$3880,MATCH($AM212,'Flat Rates'!$A$1:$A$3880,0),MATCH("Night Unit Rate",'Flat Rates'!$A$1:$M$1,0))=0,"",((INDEX('Flat Rates'!$A$1:$M$3880,MATCH($AM212,'Flat Rates'!$A$1:$A$3880,0),MATCH("Night Unit Rate",'Flat Rates'!$A$1:$M$1,0)))*100)+H212),""))</f>
        <v/>
      </c>
      <c r="AT212" s="148" t="str">
        <f>IF($AN212=FALSE,"",IFERROR(IF(INDEX('Flat Rates'!$A$1:$M$3880,MATCH($AM212,'Flat Rates'!$A$1:$A$3880,0),MATCH("Evening and Weekend Rate",'Flat Rates'!$A$1:$M$1,0))=0,"",((INDEX('Flat Rates'!$A$1:$M$3880,MATCH($AM212,'Flat Rates'!$A$1:$A$3880,0),MATCH("Evening and Weekend Rate",'Flat Rates'!$A$1:$M$1,0)))*100)+H212),""))</f>
        <v/>
      </c>
      <c r="AU212" s="152" t="str">
        <f t="shared" ref="AU212:AU275" si="99">IF($AN212=FALSE,"",IF(I212="","",AE212))</f>
        <v/>
      </c>
      <c r="AV212" s="152" t="str">
        <f t="shared" ref="AV212:AV275" si="100">IF($AN212=FALSE,"",IF(AU212="","",IF(I212&lt;12000,((AE212*1.05)/12),(((I212*AF212)+AE212)*1.2)/12)))</f>
        <v/>
      </c>
      <c r="AW212" s="152" t="str">
        <f t="shared" ref="AW212:AW275" si="101">IF($AN212=FALSE,"",IF(NOT(N212="00"),"",IFERROR(((X212/100)*Y212)*12,"")))</f>
        <v/>
      </c>
    </row>
    <row r="213" spans="2:49" ht="15" thickBot="1" x14ac:dyDescent="0.35">
      <c r="B213" s="138" t="str">
        <f t="shared" si="78"/>
        <v/>
      </c>
      <c r="C213" s="137"/>
      <c r="D213" s="139"/>
      <c r="E213" s="140"/>
      <c r="F213" s="140"/>
      <c r="G213" s="139"/>
      <c r="H213" s="151"/>
      <c r="I213" s="139"/>
      <c r="J213" s="138"/>
      <c r="K213" s="139"/>
      <c r="L213" s="141"/>
      <c r="M213" s="133" t="str">
        <f t="shared" si="79"/>
        <v/>
      </c>
      <c r="N213" s="133" t="str">
        <f t="shared" si="80"/>
        <v/>
      </c>
      <c r="O213" s="133" t="str">
        <f t="shared" si="81"/>
        <v/>
      </c>
      <c r="P213" s="133" t="str">
        <f t="shared" si="82"/>
        <v/>
      </c>
      <c r="Q213" s="133" t="str">
        <f t="shared" si="83"/>
        <v/>
      </c>
      <c r="R213" s="133" t="str">
        <f t="shared" si="84"/>
        <v/>
      </c>
      <c r="S213" s="133" t="str">
        <f t="shared" si="85"/>
        <v/>
      </c>
      <c r="T213" s="133" t="str">
        <f>IFERROR(IF($U213="ERROR","ERROR",IF($N213="00",IF(J213="1-Rate","HH 1RATE",IF(J213="2-Rate","HH 2RATE","")),IFERROR(VLOOKUP(CONCATENATE(N213,Q213,O213,P213),Lookups!$A$2:$E$4557,5,0),VLOOKUP(CONCATENATE(N213,Q213,O213),Lookups!$A$2:$E$4557,5,0)))),"ERROR")</f>
        <v>ERROR</v>
      </c>
      <c r="U213" s="133" t="str">
        <f>IFERROR(IF(NOT($N213="00"),"",VLOOKUP(CONCATENATE(Q213,P213,LOOKUP(2,1/(Lookups!$I$2:$I$11&lt;=E213)/(Lookups!$J$2:$J$11&gt;=Tool!$C$14),Lookups!$K$2:$K$11)),'HH LLFs'!$A$2:$K$500,3,0)),"ERROR")</f>
        <v/>
      </c>
      <c r="V213" s="132">
        <f>Calcs!$I$2</f>
        <v>44377</v>
      </c>
      <c r="W213" s="132">
        <f>Calcs!$I$4</f>
        <v>44592</v>
      </c>
      <c r="X213" s="153" t="str">
        <f>IF(NOT(N213="00"),"",(VLOOKUP(CONCATENATE(Q213,P213,LOOKUP(2,1/(Lookups!$I$2:$I$11&lt;=Multisite!E213)/(Lookups!$J$2:$J$11&gt;=E213),Lookups!$K$2:$K$11)),'HH LLFs'!$A$2:$F$282,6,0)*365)/12)</f>
        <v/>
      </c>
      <c r="Y213" s="153">
        <f t="shared" si="86"/>
        <v>0</v>
      </c>
      <c r="Z213" s="153" t="str">
        <f t="shared" si="95"/>
        <v/>
      </c>
      <c r="AA213" s="153" t="str">
        <f t="shared" si="87"/>
        <v/>
      </c>
      <c r="AB213" s="153" t="str">
        <f t="shared" si="96"/>
        <v/>
      </c>
      <c r="AC213" s="153" t="str">
        <f t="shared" si="88"/>
        <v/>
      </c>
      <c r="AD213" s="153" t="str">
        <f t="shared" si="89"/>
        <v/>
      </c>
      <c r="AE213" s="153" t="str">
        <f t="shared" si="90"/>
        <v/>
      </c>
      <c r="AF213" s="155" t="e">
        <f>LOOKUP(2,1/(Lookups!$I$2:$I$11&lt;=E213)/(Lookups!$J$2:$J$11&gt;=E213),Lookups!$L$2:$L$11)</f>
        <v>#N/A</v>
      </c>
      <c r="AG213" s="142" t="str">
        <f t="shared" si="91"/>
        <v/>
      </c>
      <c r="AH213" s="142" t="str">
        <f t="shared" si="92"/>
        <v/>
      </c>
      <c r="AI213" s="143" t="b">
        <f t="shared" si="97"/>
        <v>0</v>
      </c>
      <c r="AJ213" s="143" t="str">
        <f t="shared" si="93"/>
        <v>Level 1</v>
      </c>
      <c r="AK213" s="142">
        <f t="shared" si="94"/>
        <v>0</v>
      </c>
      <c r="AL213" s="157" t="str">
        <f t="shared" ref="AL213:AL276" si="102">IF(F213="Renewal"," Renewal",IF(F213="Smartpay_Renewal","_Renewal",""))</f>
        <v/>
      </c>
      <c r="AM213" s="144" t="str">
        <f t="shared" ref="AM213:AM276" si="103">IF(NOT($AI213="TOU"),CONCATENATE($AG213,"-",$AH213,"-",$AI213,"-",$AK213,$AL213,IF(AJ213="Level 2",CONCATENATE(" (",AJ213,")"),"")),CONCATENATE($AG213,"-",$AH213,"-",$AI213,"-",$AK213,$AL213,IF(AJ213="Level 2",CONCATENATE(" (",AJ213,")"),"")))</f>
        <v>--FALSE-0</v>
      </c>
      <c r="AN213" s="158" t="str">
        <f t="shared" si="98"/>
        <v/>
      </c>
      <c r="AO213" s="145"/>
      <c r="AP213" s="159" t="str">
        <f>IF($AN213=FALSE,"",IFERROR(INDEX('Flat Rates'!$A$1:$M$3880,MATCH($AM213,'Flat Rates'!$A$1:$A$3880,0),MATCH("Standing Charge",'Flat Rates'!$A$1:$M$1,0))*100,""))</f>
        <v/>
      </c>
      <c r="AQ213" s="148" t="str">
        <f>IF($AN213=FALSE,"",IFERROR((IF(NOT(T213="Unrestricted"),"",INDEX('Flat Rates'!$A$1:$M$3880,MATCH($AM213,'Flat Rates'!$A$1:$A$3880,0),MATCH("Uni/Day Rate",'Flat Rates'!$A$1:$M$1,0)))*100)+H213,""))</f>
        <v/>
      </c>
      <c r="AR213" s="148" t="str">
        <f>IF($AN213=FALSE,"",IFERROR((IF(T213="Unrestricted","",INDEX('Flat Rates'!$A$1:$M$3880,MATCH($AM213,'Flat Rates'!$A$1:$A$3880,0),MATCH("Uni/Day Rate",'Flat Rates'!$A$1:$M$1,0)))*100)+H213,""))</f>
        <v/>
      </c>
      <c r="AS213" s="148" t="str">
        <f>IF($AN213=FALSE,"",IFERROR(IF(INDEX('Flat Rates'!$A$1:$M$3880,MATCH($AM213,'Flat Rates'!$A$1:$A$3880,0),MATCH("Night Unit Rate",'Flat Rates'!$A$1:$M$1,0))=0,"",((INDEX('Flat Rates'!$A$1:$M$3880,MATCH($AM213,'Flat Rates'!$A$1:$A$3880,0),MATCH("Night Unit Rate",'Flat Rates'!$A$1:$M$1,0)))*100)+H213),""))</f>
        <v/>
      </c>
      <c r="AT213" s="148" t="str">
        <f>IF($AN213=FALSE,"",IFERROR(IF(INDEX('Flat Rates'!$A$1:$M$3880,MATCH($AM213,'Flat Rates'!$A$1:$A$3880,0),MATCH("Evening and Weekend Rate",'Flat Rates'!$A$1:$M$1,0))=0,"",((INDEX('Flat Rates'!$A$1:$M$3880,MATCH($AM213,'Flat Rates'!$A$1:$A$3880,0),MATCH("Evening and Weekend Rate",'Flat Rates'!$A$1:$M$1,0)))*100)+H213),""))</f>
        <v/>
      </c>
      <c r="AU213" s="152" t="str">
        <f t="shared" si="99"/>
        <v/>
      </c>
      <c r="AV213" s="152" t="str">
        <f t="shared" si="100"/>
        <v/>
      </c>
      <c r="AW213" s="152" t="str">
        <f t="shared" si="101"/>
        <v/>
      </c>
    </row>
    <row r="214" spans="2:49" ht="15" thickBot="1" x14ac:dyDescent="0.35">
      <c r="B214" s="138" t="str">
        <f t="shared" si="78"/>
        <v/>
      </c>
      <c r="C214" s="146"/>
      <c r="D214" s="147"/>
      <c r="E214" s="140"/>
      <c r="F214" s="140"/>
      <c r="G214" s="139"/>
      <c r="H214" s="151"/>
      <c r="I214" s="139"/>
      <c r="J214" s="137"/>
      <c r="K214" s="139"/>
      <c r="L214" s="141"/>
      <c r="M214" s="133" t="str">
        <f t="shared" si="79"/>
        <v/>
      </c>
      <c r="N214" s="133" t="str">
        <f t="shared" si="80"/>
        <v/>
      </c>
      <c r="O214" s="133" t="str">
        <f t="shared" si="81"/>
        <v/>
      </c>
      <c r="P214" s="133" t="str">
        <f t="shared" si="82"/>
        <v/>
      </c>
      <c r="Q214" s="133" t="str">
        <f t="shared" si="83"/>
        <v/>
      </c>
      <c r="R214" s="133" t="str">
        <f t="shared" si="84"/>
        <v/>
      </c>
      <c r="S214" s="133" t="str">
        <f t="shared" si="85"/>
        <v/>
      </c>
      <c r="T214" s="133" t="str">
        <f>IFERROR(IF($U214="ERROR","ERROR",IF($N214="00",IF(J214="1-Rate","HH 1RATE",IF(J214="2-Rate","HH 2RATE","")),IFERROR(VLOOKUP(CONCATENATE(N214,Q214,O214,P214),Lookups!$A$2:$E$4557,5,0),VLOOKUP(CONCATENATE(N214,Q214,O214),Lookups!$A$2:$E$4557,5,0)))),"ERROR")</f>
        <v>ERROR</v>
      </c>
      <c r="U214" s="133" t="str">
        <f>IFERROR(IF(NOT($N214="00"),"",VLOOKUP(CONCATENATE(Q214,P214,LOOKUP(2,1/(Lookups!$I$2:$I$11&lt;=E214)/(Lookups!$J$2:$J$11&gt;=Tool!$C$14),Lookups!$K$2:$K$11)),'HH LLFs'!$A$2:$K$500,3,0)),"ERROR")</f>
        <v/>
      </c>
      <c r="V214" s="132">
        <f>Calcs!$I$2</f>
        <v>44377</v>
      </c>
      <c r="W214" s="132">
        <f>Calcs!$I$4</f>
        <v>44592</v>
      </c>
      <c r="X214" s="153" t="str">
        <f>IF(NOT(N214="00"),"",(VLOOKUP(CONCATENATE(Q214,P214,LOOKUP(2,1/(Lookups!$I$2:$I$11&lt;=Multisite!E214)/(Lookups!$J$2:$J$11&gt;=E214),Lookups!$K$2:$K$11)),'HH LLFs'!$A$2:$F$282,6,0)*365)/12)</f>
        <v/>
      </c>
      <c r="Y214" s="153">
        <f t="shared" si="86"/>
        <v>0</v>
      </c>
      <c r="Z214" s="153" t="str">
        <f t="shared" si="95"/>
        <v/>
      </c>
      <c r="AA214" s="153" t="str">
        <f t="shared" si="87"/>
        <v/>
      </c>
      <c r="AB214" s="153" t="str">
        <f t="shared" si="96"/>
        <v/>
      </c>
      <c r="AC214" s="153" t="str">
        <f t="shared" si="88"/>
        <v/>
      </c>
      <c r="AD214" s="153" t="str">
        <f t="shared" si="89"/>
        <v/>
      </c>
      <c r="AE214" s="153" t="str">
        <f t="shared" si="90"/>
        <v/>
      </c>
      <c r="AF214" s="155" t="e">
        <f>LOOKUP(2,1/(Lookups!$I$2:$I$11&lt;=E214)/(Lookups!$J$2:$J$11&gt;=E214),Lookups!$L$2:$L$11)</f>
        <v>#N/A</v>
      </c>
      <c r="AG214" s="142" t="str">
        <f t="shared" si="91"/>
        <v/>
      </c>
      <c r="AH214" s="142" t="str">
        <f t="shared" si="92"/>
        <v/>
      </c>
      <c r="AI214" s="143" t="b">
        <f t="shared" si="97"/>
        <v>0</v>
      </c>
      <c r="AJ214" s="143" t="str">
        <f t="shared" si="93"/>
        <v>Level 1</v>
      </c>
      <c r="AK214" s="142">
        <f t="shared" si="94"/>
        <v>0</v>
      </c>
      <c r="AL214" s="157" t="str">
        <f t="shared" si="102"/>
        <v/>
      </c>
      <c r="AM214" s="144" t="str">
        <f t="shared" si="103"/>
        <v>--FALSE-0</v>
      </c>
      <c r="AN214" s="158" t="str">
        <f t="shared" si="98"/>
        <v/>
      </c>
      <c r="AO214" s="145"/>
      <c r="AP214" s="159" t="str">
        <f>IF($AN214=FALSE,"",IFERROR(INDEX('Flat Rates'!$A$1:$M$3880,MATCH($AM214,'Flat Rates'!$A$1:$A$3880,0),MATCH("Standing Charge",'Flat Rates'!$A$1:$M$1,0))*100,""))</f>
        <v/>
      </c>
      <c r="AQ214" s="148" t="str">
        <f>IF($AN214=FALSE,"",IFERROR((IF(NOT(T214="Unrestricted"),"",INDEX('Flat Rates'!$A$1:$M$3880,MATCH($AM214,'Flat Rates'!$A$1:$A$3880,0),MATCH("Uni/Day Rate",'Flat Rates'!$A$1:$M$1,0)))*100)+H214,""))</f>
        <v/>
      </c>
      <c r="AR214" s="148" t="str">
        <f>IF($AN214=FALSE,"",IFERROR((IF(T214="Unrestricted","",INDEX('Flat Rates'!$A$1:$M$3880,MATCH($AM214,'Flat Rates'!$A$1:$A$3880,0),MATCH("Uni/Day Rate",'Flat Rates'!$A$1:$M$1,0)))*100)+H214,""))</f>
        <v/>
      </c>
      <c r="AS214" s="148" t="str">
        <f>IF($AN214=FALSE,"",IFERROR(IF(INDEX('Flat Rates'!$A$1:$M$3880,MATCH($AM214,'Flat Rates'!$A$1:$A$3880,0),MATCH("Night Unit Rate",'Flat Rates'!$A$1:$M$1,0))=0,"",((INDEX('Flat Rates'!$A$1:$M$3880,MATCH($AM214,'Flat Rates'!$A$1:$A$3880,0),MATCH("Night Unit Rate",'Flat Rates'!$A$1:$M$1,0)))*100)+H214),""))</f>
        <v/>
      </c>
      <c r="AT214" s="148" t="str">
        <f>IF($AN214=FALSE,"",IFERROR(IF(INDEX('Flat Rates'!$A$1:$M$3880,MATCH($AM214,'Flat Rates'!$A$1:$A$3880,0),MATCH("Evening and Weekend Rate",'Flat Rates'!$A$1:$M$1,0))=0,"",((INDEX('Flat Rates'!$A$1:$M$3880,MATCH($AM214,'Flat Rates'!$A$1:$A$3880,0),MATCH("Evening and Weekend Rate",'Flat Rates'!$A$1:$M$1,0)))*100)+H214),""))</f>
        <v/>
      </c>
      <c r="AU214" s="152" t="str">
        <f t="shared" si="99"/>
        <v/>
      </c>
      <c r="AV214" s="152" t="str">
        <f t="shared" si="100"/>
        <v/>
      </c>
      <c r="AW214" s="152" t="str">
        <f t="shared" si="101"/>
        <v/>
      </c>
    </row>
    <row r="215" spans="2:49" ht="15" thickBot="1" x14ac:dyDescent="0.35">
      <c r="B215" s="138" t="str">
        <f t="shared" si="78"/>
        <v/>
      </c>
      <c r="C215" s="137"/>
      <c r="D215" s="139"/>
      <c r="E215" s="140"/>
      <c r="F215" s="140"/>
      <c r="G215" s="139"/>
      <c r="H215" s="151"/>
      <c r="I215" s="139"/>
      <c r="J215" s="138"/>
      <c r="K215" s="139"/>
      <c r="L215" s="141"/>
      <c r="M215" s="133" t="str">
        <f t="shared" si="79"/>
        <v/>
      </c>
      <c r="N215" s="133" t="str">
        <f t="shared" si="80"/>
        <v/>
      </c>
      <c r="O215" s="133" t="str">
        <f t="shared" si="81"/>
        <v/>
      </c>
      <c r="P215" s="133" t="str">
        <f t="shared" si="82"/>
        <v/>
      </c>
      <c r="Q215" s="133" t="str">
        <f t="shared" si="83"/>
        <v/>
      </c>
      <c r="R215" s="133" t="str">
        <f t="shared" si="84"/>
        <v/>
      </c>
      <c r="S215" s="133" t="str">
        <f t="shared" si="85"/>
        <v/>
      </c>
      <c r="T215" s="133" t="str">
        <f>IFERROR(IF($U215="ERROR","ERROR",IF($N215="00",IF(J215="1-Rate","HH 1RATE",IF(J215="2-Rate","HH 2RATE","")),IFERROR(VLOOKUP(CONCATENATE(N215,Q215,O215,P215),Lookups!$A$2:$E$4557,5,0),VLOOKUP(CONCATENATE(N215,Q215,O215),Lookups!$A$2:$E$4557,5,0)))),"ERROR")</f>
        <v>ERROR</v>
      </c>
      <c r="U215" s="133" t="str">
        <f>IFERROR(IF(NOT($N215="00"),"",VLOOKUP(CONCATENATE(Q215,P215,LOOKUP(2,1/(Lookups!$I$2:$I$11&lt;=E215)/(Lookups!$J$2:$J$11&gt;=Tool!$C$14),Lookups!$K$2:$K$11)),'HH LLFs'!$A$2:$K$500,3,0)),"ERROR")</f>
        <v/>
      </c>
      <c r="V215" s="132">
        <f>Calcs!$I$2</f>
        <v>44377</v>
      </c>
      <c r="W215" s="132">
        <f>Calcs!$I$4</f>
        <v>44592</v>
      </c>
      <c r="X215" s="153" t="str">
        <f>IF(NOT(N215="00"),"",(VLOOKUP(CONCATENATE(Q215,P215,LOOKUP(2,1/(Lookups!$I$2:$I$11&lt;=Multisite!E215)/(Lookups!$J$2:$J$11&gt;=E215),Lookups!$K$2:$K$11)),'HH LLFs'!$A$2:$F$282,6,0)*365)/12)</f>
        <v/>
      </c>
      <c r="Y215" s="153">
        <f t="shared" si="86"/>
        <v>0</v>
      </c>
      <c r="Z215" s="153" t="str">
        <f t="shared" si="95"/>
        <v/>
      </c>
      <c r="AA215" s="153" t="str">
        <f t="shared" si="87"/>
        <v/>
      </c>
      <c r="AB215" s="153" t="str">
        <f t="shared" si="96"/>
        <v/>
      </c>
      <c r="AC215" s="153" t="str">
        <f t="shared" si="88"/>
        <v/>
      </c>
      <c r="AD215" s="153" t="str">
        <f t="shared" si="89"/>
        <v/>
      </c>
      <c r="AE215" s="153" t="str">
        <f t="shared" si="90"/>
        <v/>
      </c>
      <c r="AF215" s="155" t="e">
        <f>LOOKUP(2,1/(Lookups!$I$2:$I$11&lt;=E215)/(Lookups!$J$2:$J$11&gt;=E215),Lookups!$L$2:$L$11)</f>
        <v>#N/A</v>
      </c>
      <c r="AG215" s="142" t="str">
        <f t="shared" si="91"/>
        <v/>
      </c>
      <c r="AH215" s="142" t="str">
        <f t="shared" si="92"/>
        <v/>
      </c>
      <c r="AI215" s="143" t="b">
        <f t="shared" si="97"/>
        <v>0</v>
      </c>
      <c r="AJ215" s="143" t="str">
        <f t="shared" si="93"/>
        <v>Level 1</v>
      </c>
      <c r="AK215" s="142">
        <f t="shared" si="94"/>
        <v>0</v>
      </c>
      <c r="AL215" s="157" t="str">
        <f t="shared" si="102"/>
        <v/>
      </c>
      <c r="AM215" s="144" t="str">
        <f t="shared" si="103"/>
        <v>--FALSE-0</v>
      </c>
      <c r="AN215" s="158" t="str">
        <f t="shared" si="98"/>
        <v/>
      </c>
      <c r="AO215" s="145"/>
      <c r="AP215" s="159" t="str">
        <f>IF($AN215=FALSE,"",IFERROR(INDEX('Flat Rates'!$A$1:$M$3880,MATCH($AM215,'Flat Rates'!$A$1:$A$3880,0),MATCH("Standing Charge",'Flat Rates'!$A$1:$M$1,0))*100,""))</f>
        <v/>
      </c>
      <c r="AQ215" s="148" t="str">
        <f>IF($AN215=FALSE,"",IFERROR((IF(NOT(T215="Unrestricted"),"",INDEX('Flat Rates'!$A$1:$M$3880,MATCH($AM215,'Flat Rates'!$A$1:$A$3880,0),MATCH("Uni/Day Rate",'Flat Rates'!$A$1:$M$1,0)))*100)+H215,""))</f>
        <v/>
      </c>
      <c r="AR215" s="148" t="str">
        <f>IF($AN215=FALSE,"",IFERROR((IF(T215="Unrestricted","",INDEX('Flat Rates'!$A$1:$M$3880,MATCH($AM215,'Flat Rates'!$A$1:$A$3880,0),MATCH("Uni/Day Rate",'Flat Rates'!$A$1:$M$1,0)))*100)+H215,""))</f>
        <v/>
      </c>
      <c r="AS215" s="148" t="str">
        <f>IF($AN215=FALSE,"",IFERROR(IF(INDEX('Flat Rates'!$A$1:$M$3880,MATCH($AM215,'Flat Rates'!$A$1:$A$3880,0),MATCH("Night Unit Rate",'Flat Rates'!$A$1:$M$1,0))=0,"",((INDEX('Flat Rates'!$A$1:$M$3880,MATCH($AM215,'Flat Rates'!$A$1:$A$3880,0),MATCH("Night Unit Rate",'Flat Rates'!$A$1:$M$1,0)))*100)+H215),""))</f>
        <v/>
      </c>
      <c r="AT215" s="148" t="str">
        <f>IF($AN215=FALSE,"",IFERROR(IF(INDEX('Flat Rates'!$A$1:$M$3880,MATCH($AM215,'Flat Rates'!$A$1:$A$3880,0),MATCH("Evening and Weekend Rate",'Flat Rates'!$A$1:$M$1,0))=0,"",((INDEX('Flat Rates'!$A$1:$M$3880,MATCH($AM215,'Flat Rates'!$A$1:$A$3880,0),MATCH("Evening and Weekend Rate",'Flat Rates'!$A$1:$M$1,0)))*100)+H215),""))</f>
        <v/>
      </c>
      <c r="AU215" s="152" t="str">
        <f t="shared" si="99"/>
        <v/>
      </c>
      <c r="AV215" s="152" t="str">
        <f t="shared" si="100"/>
        <v/>
      </c>
      <c r="AW215" s="152" t="str">
        <f t="shared" si="101"/>
        <v/>
      </c>
    </row>
    <row r="216" spans="2:49" ht="15" thickBot="1" x14ac:dyDescent="0.35">
      <c r="B216" s="138" t="str">
        <f t="shared" si="78"/>
        <v/>
      </c>
      <c r="C216" s="146"/>
      <c r="D216" s="147"/>
      <c r="E216" s="140"/>
      <c r="F216" s="140"/>
      <c r="G216" s="139"/>
      <c r="H216" s="151"/>
      <c r="I216" s="139"/>
      <c r="J216" s="137"/>
      <c r="K216" s="139"/>
      <c r="L216" s="141"/>
      <c r="M216" s="133" t="str">
        <f t="shared" si="79"/>
        <v/>
      </c>
      <c r="N216" s="133" t="str">
        <f t="shared" si="80"/>
        <v/>
      </c>
      <c r="O216" s="133" t="str">
        <f t="shared" si="81"/>
        <v/>
      </c>
      <c r="P216" s="133" t="str">
        <f t="shared" si="82"/>
        <v/>
      </c>
      <c r="Q216" s="133" t="str">
        <f t="shared" si="83"/>
        <v/>
      </c>
      <c r="R216" s="133" t="str">
        <f t="shared" si="84"/>
        <v/>
      </c>
      <c r="S216" s="133" t="str">
        <f t="shared" si="85"/>
        <v/>
      </c>
      <c r="T216" s="133" t="str">
        <f>IFERROR(IF($U216="ERROR","ERROR",IF($N216="00",IF(J216="1-Rate","HH 1RATE",IF(J216="2-Rate","HH 2RATE","")),IFERROR(VLOOKUP(CONCATENATE(N216,Q216,O216,P216),Lookups!$A$2:$E$4557,5,0),VLOOKUP(CONCATENATE(N216,Q216,O216),Lookups!$A$2:$E$4557,5,0)))),"ERROR")</f>
        <v>ERROR</v>
      </c>
      <c r="U216" s="133" t="str">
        <f>IFERROR(IF(NOT($N216="00"),"",VLOOKUP(CONCATENATE(Q216,P216,LOOKUP(2,1/(Lookups!$I$2:$I$11&lt;=E216)/(Lookups!$J$2:$J$11&gt;=Tool!$C$14),Lookups!$K$2:$K$11)),'HH LLFs'!$A$2:$K$500,3,0)),"ERROR")</f>
        <v/>
      </c>
      <c r="V216" s="132">
        <f>Calcs!$I$2</f>
        <v>44377</v>
      </c>
      <c r="W216" s="132">
        <f>Calcs!$I$4</f>
        <v>44592</v>
      </c>
      <c r="X216" s="153" t="str">
        <f>IF(NOT(N216="00"),"",(VLOOKUP(CONCATENATE(Q216,P216,LOOKUP(2,1/(Lookups!$I$2:$I$11&lt;=Multisite!E216)/(Lookups!$J$2:$J$11&gt;=E216),Lookups!$K$2:$K$11)),'HH LLFs'!$A$2:$F$282,6,0)*365)/12)</f>
        <v/>
      </c>
      <c r="Y216" s="153">
        <f t="shared" si="86"/>
        <v>0</v>
      </c>
      <c r="Z216" s="153" t="str">
        <f t="shared" si="95"/>
        <v/>
      </c>
      <c r="AA216" s="153" t="str">
        <f t="shared" si="87"/>
        <v/>
      </c>
      <c r="AB216" s="153" t="str">
        <f t="shared" si="96"/>
        <v/>
      </c>
      <c r="AC216" s="153" t="str">
        <f t="shared" si="88"/>
        <v/>
      </c>
      <c r="AD216" s="153" t="str">
        <f t="shared" si="89"/>
        <v/>
      </c>
      <c r="AE216" s="153" t="str">
        <f t="shared" si="90"/>
        <v/>
      </c>
      <c r="AF216" s="155" t="e">
        <f>LOOKUP(2,1/(Lookups!$I$2:$I$11&lt;=E216)/(Lookups!$J$2:$J$11&gt;=E216),Lookups!$L$2:$L$11)</f>
        <v>#N/A</v>
      </c>
      <c r="AG216" s="142" t="str">
        <f t="shared" si="91"/>
        <v/>
      </c>
      <c r="AH216" s="142" t="str">
        <f t="shared" si="92"/>
        <v/>
      </c>
      <c r="AI216" s="143" t="b">
        <f t="shared" si="97"/>
        <v>0</v>
      </c>
      <c r="AJ216" s="143" t="str">
        <f t="shared" si="93"/>
        <v>Level 1</v>
      </c>
      <c r="AK216" s="142">
        <f t="shared" si="94"/>
        <v>0</v>
      </c>
      <c r="AL216" s="157" t="str">
        <f t="shared" si="102"/>
        <v/>
      </c>
      <c r="AM216" s="144" t="str">
        <f t="shared" si="103"/>
        <v>--FALSE-0</v>
      </c>
      <c r="AN216" s="158" t="str">
        <f t="shared" si="98"/>
        <v/>
      </c>
      <c r="AO216" s="145"/>
      <c r="AP216" s="159" t="str">
        <f>IF($AN216=FALSE,"",IFERROR(INDEX('Flat Rates'!$A$1:$M$3880,MATCH($AM216,'Flat Rates'!$A$1:$A$3880,0),MATCH("Standing Charge",'Flat Rates'!$A$1:$M$1,0))*100,""))</f>
        <v/>
      </c>
      <c r="AQ216" s="148" t="str">
        <f>IF($AN216=FALSE,"",IFERROR((IF(NOT(T216="Unrestricted"),"",INDEX('Flat Rates'!$A$1:$M$3880,MATCH($AM216,'Flat Rates'!$A$1:$A$3880,0),MATCH("Uni/Day Rate",'Flat Rates'!$A$1:$M$1,0)))*100)+H216,""))</f>
        <v/>
      </c>
      <c r="AR216" s="148" t="str">
        <f>IF($AN216=FALSE,"",IFERROR((IF(T216="Unrestricted","",INDEX('Flat Rates'!$A$1:$M$3880,MATCH($AM216,'Flat Rates'!$A$1:$A$3880,0),MATCH("Uni/Day Rate",'Flat Rates'!$A$1:$M$1,0)))*100)+H216,""))</f>
        <v/>
      </c>
      <c r="AS216" s="148" t="str">
        <f>IF($AN216=FALSE,"",IFERROR(IF(INDEX('Flat Rates'!$A$1:$M$3880,MATCH($AM216,'Flat Rates'!$A$1:$A$3880,0),MATCH("Night Unit Rate",'Flat Rates'!$A$1:$M$1,0))=0,"",((INDEX('Flat Rates'!$A$1:$M$3880,MATCH($AM216,'Flat Rates'!$A$1:$A$3880,0),MATCH("Night Unit Rate",'Flat Rates'!$A$1:$M$1,0)))*100)+H216),""))</f>
        <v/>
      </c>
      <c r="AT216" s="148" t="str">
        <f>IF($AN216=FALSE,"",IFERROR(IF(INDEX('Flat Rates'!$A$1:$M$3880,MATCH($AM216,'Flat Rates'!$A$1:$A$3880,0),MATCH("Evening and Weekend Rate",'Flat Rates'!$A$1:$M$1,0))=0,"",((INDEX('Flat Rates'!$A$1:$M$3880,MATCH($AM216,'Flat Rates'!$A$1:$A$3880,0),MATCH("Evening and Weekend Rate",'Flat Rates'!$A$1:$M$1,0)))*100)+H216),""))</f>
        <v/>
      </c>
      <c r="AU216" s="152" t="str">
        <f t="shared" si="99"/>
        <v/>
      </c>
      <c r="AV216" s="152" t="str">
        <f t="shared" si="100"/>
        <v/>
      </c>
      <c r="AW216" s="152" t="str">
        <f t="shared" si="101"/>
        <v/>
      </c>
    </row>
    <row r="217" spans="2:49" ht="15" thickBot="1" x14ac:dyDescent="0.35">
      <c r="B217" s="138" t="str">
        <f t="shared" si="78"/>
        <v/>
      </c>
      <c r="C217" s="137"/>
      <c r="D217" s="139"/>
      <c r="E217" s="140"/>
      <c r="F217" s="140"/>
      <c r="G217" s="139"/>
      <c r="H217" s="151"/>
      <c r="I217" s="139"/>
      <c r="J217" s="138"/>
      <c r="K217" s="139"/>
      <c r="L217" s="141"/>
      <c r="M217" s="133" t="str">
        <f t="shared" si="79"/>
        <v/>
      </c>
      <c r="N217" s="133" t="str">
        <f t="shared" si="80"/>
        <v/>
      </c>
      <c r="O217" s="133" t="str">
        <f t="shared" si="81"/>
        <v/>
      </c>
      <c r="P217" s="133" t="str">
        <f t="shared" si="82"/>
        <v/>
      </c>
      <c r="Q217" s="133" t="str">
        <f t="shared" si="83"/>
        <v/>
      </c>
      <c r="R217" s="133" t="str">
        <f t="shared" si="84"/>
        <v/>
      </c>
      <c r="S217" s="133" t="str">
        <f t="shared" si="85"/>
        <v/>
      </c>
      <c r="T217" s="133" t="str">
        <f>IFERROR(IF($U217="ERROR","ERROR",IF($N217="00",IF(J217="1-Rate","HH 1RATE",IF(J217="2-Rate","HH 2RATE","")),IFERROR(VLOOKUP(CONCATENATE(N217,Q217,O217,P217),Lookups!$A$2:$E$4557,5,0),VLOOKUP(CONCATENATE(N217,Q217,O217),Lookups!$A$2:$E$4557,5,0)))),"ERROR")</f>
        <v>ERROR</v>
      </c>
      <c r="U217" s="133" t="str">
        <f>IFERROR(IF(NOT($N217="00"),"",VLOOKUP(CONCATENATE(Q217,P217,LOOKUP(2,1/(Lookups!$I$2:$I$11&lt;=E217)/(Lookups!$J$2:$J$11&gt;=Tool!$C$14),Lookups!$K$2:$K$11)),'HH LLFs'!$A$2:$K$500,3,0)),"ERROR")</f>
        <v/>
      </c>
      <c r="V217" s="132">
        <f>Calcs!$I$2</f>
        <v>44377</v>
      </c>
      <c r="W217" s="132">
        <f>Calcs!$I$4</f>
        <v>44592</v>
      </c>
      <c r="X217" s="153" t="str">
        <f>IF(NOT(N217="00"),"",(VLOOKUP(CONCATENATE(Q217,P217,LOOKUP(2,1/(Lookups!$I$2:$I$11&lt;=Multisite!E217)/(Lookups!$J$2:$J$11&gt;=E217),Lookups!$K$2:$K$11)),'HH LLFs'!$A$2:$F$282,6,0)*365)/12)</f>
        <v/>
      </c>
      <c r="Y217" s="153">
        <f t="shared" si="86"/>
        <v>0</v>
      </c>
      <c r="Z217" s="153" t="str">
        <f t="shared" si="95"/>
        <v/>
      </c>
      <c r="AA217" s="153" t="str">
        <f t="shared" si="87"/>
        <v/>
      </c>
      <c r="AB217" s="153" t="str">
        <f t="shared" si="96"/>
        <v/>
      </c>
      <c r="AC217" s="153" t="str">
        <f t="shared" si="88"/>
        <v/>
      </c>
      <c r="AD217" s="153" t="str">
        <f t="shared" si="89"/>
        <v/>
      </c>
      <c r="AE217" s="153" t="str">
        <f t="shared" si="90"/>
        <v/>
      </c>
      <c r="AF217" s="155" t="e">
        <f>LOOKUP(2,1/(Lookups!$I$2:$I$11&lt;=E217)/(Lookups!$J$2:$J$11&gt;=E217),Lookups!$L$2:$L$11)</f>
        <v>#N/A</v>
      </c>
      <c r="AG217" s="142" t="str">
        <f t="shared" si="91"/>
        <v/>
      </c>
      <c r="AH217" s="142" t="str">
        <f t="shared" si="92"/>
        <v/>
      </c>
      <c r="AI217" s="143" t="b">
        <f t="shared" si="97"/>
        <v>0</v>
      </c>
      <c r="AJ217" s="143" t="str">
        <f t="shared" si="93"/>
        <v>Level 1</v>
      </c>
      <c r="AK217" s="142">
        <f t="shared" si="94"/>
        <v>0</v>
      </c>
      <c r="AL217" s="157" t="str">
        <f t="shared" si="102"/>
        <v/>
      </c>
      <c r="AM217" s="144" t="str">
        <f t="shared" si="103"/>
        <v>--FALSE-0</v>
      </c>
      <c r="AN217" s="158" t="str">
        <f t="shared" si="98"/>
        <v/>
      </c>
      <c r="AO217" s="145"/>
      <c r="AP217" s="159" t="str">
        <f>IF($AN217=FALSE,"",IFERROR(INDEX('Flat Rates'!$A$1:$M$3880,MATCH($AM217,'Flat Rates'!$A$1:$A$3880,0),MATCH("Standing Charge",'Flat Rates'!$A$1:$M$1,0))*100,""))</f>
        <v/>
      </c>
      <c r="AQ217" s="148" t="str">
        <f>IF($AN217=FALSE,"",IFERROR((IF(NOT(T217="Unrestricted"),"",INDEX('Flat Rates'!$A$1:$M$3880,MATCH($AM217,'Flat Rates'!$A$1:$A$3880,0),MATCH("Uni/Day Rate",'Flat Rates'!$A$1:$M$1,0)))*100)+H217,""))</f>
        <v/>
      </c>
      <c r="AR217" s="148" t="str">
        <f>IF($AN217=FALSE,"",IFERROR((IF(T217="Unrestricted","",INDEX('Flat Rates'!$A$1:$M$3880,MATCH($AM217,'Flat Rates'!$A$1:$A$3880,0),MATCH("Uni/Day Rate",'Flat Rates'!$A$1:$M$1,0)))*100)+H217,""))</f>
        <v/>
      </c>
      <c r="AS217" s="148" t="str">
        <f>IF($AN217=FALSE,"",IFERROR(IF(INDEX('Flat Rates'!$A$1:$M$3880,MATCH($AM217,'Flat Rates'!$A$1:$A$3880,0),MATCH("Night Unit Rate",'Flat Rates'!$A$1:$M$1,0))=0,"",((INDEX('Flat Rates'!$A$1:$M$3880,MATCH($AM217,'Flat Rates'!$A$1:$A$3880,0),MATCH("Night Unit Rate",'Flat Rates'!$A$1:$M$1,0)))*100)+H217),""))</f>
        <v/>
      </c>
      <c r="AT217" s="148" t="str">
        <f>IF($AN217=FALSE,"",IFERROR(IF(INDEX('Flat Rates'!$A$1:$M$3880,MATCH($AM217,'Flat Rates'!$A$1:$A$3880,0),MATCH("Evening and Weekend Rate",'Flat Rates'!$A$1:$M$1,0))=0,"",((INDEX('Flat Rates'!$A$1:$M$3880,MATCH($AM217,'Flat Rates'!$A$1:$A$3880,0),MATCH("Evening and Weekend Rate",'Flat Rates'!$A$1:$M$1,0)))*100)+H217),""))</f>
        <v/>
      </c>
      <c r="AU217" s="152" t="str">
        <f t="shared" si="99"/>
        <v/>
      </c>
      <c r="AV217" s="152" t="str">
        <f t="shared" si="100"/>
        <v/>
      </c>
      <c r="AW217" s="152" t="str">
        <f t="shared" si="101"/>
        <v/>
      </c>
    </row>
    <row r="218" spans="2:49" ht="15" thickBot="1" x14ac:dyDescent="0.35">
      <c r="B218" s="138" t="str">
        <f t="shared" si="78"/>
        <v/>
      </c>
      <c r="C218" s="146"/>
      <c r="D218" s="147"/>
      <c r="E218" s="140"/>
      <c r="F218" s="140"/>
      <c r="G218" s="139"/>
      <c r="H218" s="151"/>
      <c r="I218" s="139"/>
      <c r="J218" s="137"/>
      <c r="K218" s="139"/>
      <c r="L218" s="141"/>
      <c r="M218" s="133" t="str">
        <f t="shared" si="79"/>
        <v/>
      </c>
      <c r="N218" s="133" t="str">
        <f t="shared" si="80"/>
        <v/>
      </c>
      <c r="O218" s="133" t="str">
        <f t="shared" si="81"/>
        <v/>
      </c>
      <c r="P218" s="133" t="str">
        <f t="shared" si="82"/>
        <v/>
      </c>
      <c r="Q218" s="133" t="str">
        <f t="shared" si="83"/>
        <v/>
      </c>
      <c r="R218" s="133" t="str">
        <f t="shared" si="84"/>
        <v/>
      </c>
      <c r="S218" s="133" t="str">
        <f t="shared" si="85"/>
        <v/>
      </c>
      <c r="T218" s="133" t="str">
        <f>IFERROR(IF($U218="ERROR","ERROR",IF($N218="00",IF(J218="1-Rate","HH 1RATE",IF(J218="2-Rate","HH 2RATE","")),IFERROR(VLOOKUP(CONCATENATE(N218,Q218,O218,P218),Lookups!$A$2:$E$4557,5,0),VLOOKUP(CONCATENATE(N218,Q218,O218),Lookups!$A$2:$E$4557,5,0)))),"ERROR")</f>
        <v>ERROR</v>
      </c>
      <c r="U218" s="133" t="str">
        <f>IFERROR(IF(NOT($N218="00"),"",VLOOKUP(CONCATENATE(Q218,P218,LOOKUP(2,1/(Lookups!$I$2:$I$11&lt;=E218)/(Lookups!$J$2:$J$11&gt;=Tool!$C$14),Lookups!$K$2:$K$11)),'HH LLFs'!$A$2:$K$500,3,0)),"ERROR")</f>
        <v/>
      </c>
      <c r="V218" s="132">
        <f>Calcs!$I$2</f>
        <v>44377</v>
      </c>
      <c r="W218" s="132">
        <f>Calcs!$I$4</f>
        <v>44592</v>
      </c>
      <c r="X218" s="153" t="str">
        <f>IF(NOT(N218="00"),"",(VLOOKUP(CONCATENATE(Q218,P218,LOOKUP(2,1/(Lookups!$I$2:$I$11&lt;=Multisite!E218)/(Lookups!$J$2:$J$11&gt;=E218),Lookups!$K$2:$K$11)),'HH LLFs'!$A$2:$F$282,6,0)*365)/12)</f>
        <v/>
      </c>
      <c r="Y218" s="153">
        <f t="shared" si="86"/>
        <v>0</v>
      </c>
      <c r="Z218" s="153" t="str">
        <f t="shared" si="95"/>
        <v/>
      </c>
      <c r="AA218" s="153" t="str">
        <f t="shared" si="87"/>
        <v/>
      </c>
      <c r="AB218" s="153" t="str">
        <f t="shared" si="96"/>
        <v/>
      </c>
      <c r="AC218" s="153" t="str">
        <f t="shared" si="88"/>
        <v/>
      </c>
      <c r="AD218" s="153" t="str">
        <f t="shared" si="89"/>
        <v/>
      </c>
      <c r="AE218" s="153" t="str">
        <f t="shared" si="90"/>
        <v/>
      </c>
      <c r="AF218" s="155" t="e">
        <f>LOOKUP(2,1/(Lookups!$I$2:$I$11&lt;=E218)/(Lookups!$J$2:$J$11&gt;=E218),Lookups!$L$2:$L$11)</f>
        <v>#N/A</v>
      </c>
      <c r="AG218" s="142" t="str">
        <f t="shared" si="91"/>
        <v/>
      </c>
      <c r="AH218" s="142" t="str">
        <f t="shared" si="92"/>
        <v/>
      </c>
      <c r="AI218" s="143" t="b">
        <f t="shared" si="97"/>
        <v>0</v>
      </c>
      <c r="AJ218" s="143" t="str">
        <f t="shared" si="93"/>
        <v>Level 1</v>
      </c>
      <c r="AK218" s="142">
        <f t="shared" si="94"/>
        <v>0</v>
      </c>
      <c r="AL218" s="157" t="str">
        <f t="shared" si="102"/>
        <v/>
      </c>
      <c r="AM218" s="144" t="str">
        <f t="shared" si="103"/>
        <v>--FALSE-0</v>
      </c>
      <c r="AN218" s="158" t="str">
        <f t="shared" si="98"/>
        <v/>
      </c>
      <c r="AO218" s="145"/>
      <c r="AP218" s="159" t="str">
        <f>IF($AN218=FALSE,"",IFERROR(INDEX('Flat Rates'!$A$1:$M$3880,MATCH($AM218,'Flat Rates'!$A$1:$A$3880,0),MATCH("Standing Charge",'Flat Rates'!$A$1:$M$1,0))*100,""))</f>
        <v/>
      </c>
      <c r="AQ218" s="148" t="str">
        <f>IF($AN218=FALSE,"",IFERROR((IF(NOT(T218="Unrestricted"),"",INDEX('Flat Rates'!$A$1:$M$3880,MATCH($AM218,'Flat Rates'!$A$1:$A$3880,0),MATCH("Uni/Day Rate",'Flat Rates'!$A$1:$M$1,0)))*100)+H218,""))</f>
        <v/>
      </c>
      <c r="AR218" s="148" t="str">
        <f>IF($AN218=FALSE,"",IFERROR((IF(T218="Unrestricted","",INDEX('Flat Rates'!$A$1:$M$3880,MATCH($AM218,'Flat Rates'!$A$1:$A$3880,0),MATCH("Uni/Day Rate",'Flat Rates'!$A$1:$M$1,0)))*100)+H218,""))</f>
        <v/>
      </c>
      <c r="AS218" s="148" t="str">
        <f>IF($AN218=FALSE,"",IFERROR(IF(INDEX('Flat Rates'!$A$1:$M$3880,MATCH($AM218,'Flat Rates'!$A$1:$A$3880,0),MATCH("Night Unit Rate",'Flat Rates'!$A$1:$M$1,0))=0,"",((INDEX('Flat Rates'!$A$1:$M$3880,MATCH($AM218,'Flat Rates'!$A$1:$A$3880,0),MATCH("Night Unit Rate",'Flat Rates'!$A$1:$M$1,0)))*100)+H218),""))</f>
        <v/>
      </c>
      <c r="AT218" s="148" t="str">
        <f>IF($AN218=FALSE,"",IFERROR(IF(INDEX('Flat Rates'!$A$1:$M$3880,MATCH($AM218,'Flat Rates'!$A$1:$A$3880,0),MATCH("Evening and Weekend Rate",'Flat Rates'!$A$1:$M$1,0))=0,"",((INDEX('Flat Rates'!$A$1:$M$3880,MATCH($AM218,'Flat Rates'!$A$1:$A$3880,0),MATCH("Evening and Weekend Rate",'Flat Rates'!$A$1:$M$1,0)))*100)+H218),""))</f>
        <v/>
      </c>
      <c r="AU218" s="152" t="str">
        <f t="shared" si="99"/>
        <v/>
      </c>
      <c r="AV218" s="152" t="str">
        <f t="shared" si="100"/>
        <v/>
      </c>
      <c r="AW218" s="152" t="str">
        <f t="shared" si="101"/>
        <v/>
      </c>
    </row>
    <row r="219" spans="2:49" ht="15" thickBot="1" x14ac:dyDescent="0.35">
      <c r="B219" s="138" t="str">
        <f t="shared" si="78"/>
        <v/>
      </c>
      <c r="C219" s="137"/>
      <c r="D219" s="139"/>
      <c r="E219" s="140"/>
      <c r="F219" s="140"/>
      <c r="G219" s="139"/>
      <c r="H219" s="151"/>
      <c r="I219" s="139"/>
      <c r="J219" s="138"/>
      <c r="K219" s="139"/>
      <c r="L219" s="141"/>
      <c r="M219" s="133" t="str">
        <f t="shared" si="79"/>
        <v/>
      </c>
      <c r="N219" s="133" t="str">
        <f t="shared" si="80"/>
        <v/>
      </c>
      <c r="O219" s="133" t="str">
        <f t="shared" si="81"/>
        <v/>
      </c>
      <c r="P219" s="133" t="str">
        <f t="shared" si="82"/>
        <v/>
      </c>
      <c r="Q219" s="133" t="str">
        <f t="shared" si="83"/>
        <v/>
      </c>
      <c r="R219" s="133" t="str">
        <f t="shared" si="84"/>
        <v/>
      </c>
      <c r="S219" s="133" t="str">
        <f t="shared" si="85"/>
        <v/>
      </c>
      <c r="T219" s="133" t="str">
        <f>IFERROR(IF($U219="ERROR","ERROR",IF($N219="00",IF(J219="1-Rate","HH 1RATE",IF(J219="2-Rate","HH 2RATE","")),IFERROR(VLOOKUP(CONCATENATE(N219,Q219,O219,P219),Lookups!$A$2:$E$4557,5,0),VLOOKUP(CONCATENATE(N219,Q219,O219),Lookups!$A$2:$E$4557,5,0)))),"ERROR")</f>
        <v>ERROR</v>
      </c>
      <c r="U219" s="133" t="str">
        <f>IFERROR(IF(NOT($N219="00"),"",VLOOKUP(CONCATENATE(Q219,P219,LOOKUP(2,1/(Lookups!$I$2:$I$11&lt;=E219)/(Lookups!$J$2:$J$11&gt;=Tool!$C$14),Lookups!$K$2:$K$11)),'HH LLFs'!$A$2:$K$500,3,0)),"ERROR")</f>
        <v/>
      </c>
      <c r="V219" s="132">
        <f>Calcs!$I$2</f>
        <v>44377</v>
      </c>
      <c r="W219" s="132">
        <f>Calcs!$I$4</f>
        <v>44592</v>
      </c>
      <c r="X219" s="153" t="str">
        <f>IF(NOT(N219="00"),"",(VLOOKUP(CONCATENATE(Q219,P219,LOOKUP(2,1/(Lookups!$I$2:$I$11&lt;=Multisite!E219)/(Lookups!$J$2:$J$11&gt;=E219),Lookups!$K$2:$K$11)),'HH LLFs'!$A$2:$F$282,6,0)*365)/12)</f>
        <v/>
      </c>
      <c r="Y219" s="153">
        <f t="shared" si="86"/>
        <v>0</v>
      </c>
      <c r="Z219" s="153" t="str">
        <f t="shared" si="95"/>
        <v/>
      </c>
      <c r="AA219" s="153" t="str">
        <f t="shared" si="87"/>
        <v/>
      </c>
      <c r="AB219" s="153" t="str">
        <f t="shared" si="96"/>
        <v/>
      </c>
      <c r="AC219" s="153" t="str">
        <f t="shared" si="88"/>
        <v/>
      </c>
      <c r="AD219" s="153" t="str">
        <f t="shared" si="89"/>
        <v/>
      </c>
      <c r="AE219" s="153" t="str">
        <f t="shared" si="90"/>
        <v/>
      </c>
      <c r="AF219" s="155" t="e">
        <f>LOOKUP(2,1/(Lookups!$I$2:$I$11&lt;=E219)/(Lookups!$J$2:$J$11&gt;=E219),Lookups!$L$2:$L$11)</f>
        <v>#N/A</v>
      </c>
      <c r="AG219" s="142" t="str">
        <f t="shared" si="91"/>
        <v/>
      </c>
      <c r="AH219" s="142" t="str">
        <f t="shared" si="92"/>
        <v/>
      </c>
      <c r="AI219" s="143" t="b">
        <f t="shared" si="97"/>
        <v>0</v>
      </c>
      <c r="AJ219" s="143" t="str">
        <f t="shared" si="93"/>
        <v>Level 1</v>
      </c>
      <c r="AK219" s="142">
        <f t="shared" si="94"/>
        <v>0</v>
      </c>
      <c r="AL219" s="157" t="str">
        <f t="shared" si="102"/>
        <v/>
      </c>
      <c r="AM219" s="144" t="str">
        <f t="shared" si="103"/>
        <v>--FALSE-0</v>
      </c>
      <c r="AN219" s="158" t="str">
        <f t="shared" si="98"/>
        <v/>
      </c>
      <c r="AO219" s="145"/>
      <c r="AP219" s="159" t="str">
        <f>IF($AN219=FALSE,"",IFERROR(INDEX('Flat Rates'!$A$1:$M$3880,MATCH($AM219,'Flat Rates'!$A$1:$A$3880,0),MATCH("Standing Charge",'Flat Rates'!$A$1:$M$1,0))*100,""))</f>
        <v/>
      </c>
      <c r="AQ219" s="148" t="str">
        <f>IF($AN219=FALSE,"",IFERROR((IF(NOT(T219="Unrestricted"),"",INDEX('Flat Rates'!$A$1:$M$3880,MATCH($AM219,'Flat Rates'!$A$1:$A$3880,0),MATCH("Uni/Day Rate",'Flat Rates'!$A$1:$M$1,0)))*100)+H219,""))</f>
        <v/>
      </c>
      <c r="AR219" s="148" t="str">
        <f>IF($AN219=FALSE,"",IFERROR((IF(T219="Unrestricted","",INDEX('Flat Rates'!$A$1:$M$3880,MATCH($AM219,'Flat Rates'!$A$1:$A$3880,0),MATCH("Uni/Day Rate",'Flat Rates'!$A$1:$M$1,0)))*100)+H219,""))</f>
        <v/>
      </c>
      <c r="AS219" s="148" t="str">
        <f>IF($AN219=FALSE,"",IFERROR(IF(INDEX('Flat Rates'!$A$1:$M$3880,MATCH($AM219,'Flat Rates'!$A$1:$A$3880,0),MATCH("Night Unit Rate",'Flat Rates'!$A$1:$M$1,0))=0,"",((INDEX('Flat Rates'!$A$1:$M$3880,MATCH($AM219,'Flat Rates'!$A$1:$A$3880,0),MATCH("Night Unit Rate",'Flat Rates'!$A$1:$M$1,0)))*100)+H219),""))</f>
        <v/>
      </c>
      <c r="AT219" s="148" t="str">
        <f>IF($AN219=FALSE,"",IFERROR(IF(INDEX('Flat Rates'!$A$1:$M$3880,MATCH($AM219,'Flat Rates'!$A$1:$A$3880,0),MATCH("Evening and Weekend Rate",'Flat Rates'!$A$1:$M$1,0))=0,"",((INDEX('Flat Rates'!$A$1:$M$3880,MATCH($AM219,'Flat Rates'!$A$1:$A$3880,0),MATCH("Evening and Weekend Rate",'Flat Rates'!$A$1:$M$1,0)))*100)+H219),""))</f>
        <v/>
      </c>
      <c r="AU219" s="152" t="str">
        <f t="shared" si="99"/>
        <v/>
      </c>
      <c r="AV219" s="152" t="str">
        <f t="shared" si="100"/>
        <v/>
      </c>
      <c r="AW219" s="152" t="str">
        <f t="shared" si="101"/>
        <v/>
      </c>
    </row>
    <row r="220" spans="2:49" ht="15" thickBot="1" x14ac:dyDescent="0.35">
      <c r="B220" s="138" t="str">
        <f t="shared" si="78"/>
        <v/>
      </c>
      <c r="C220" s="146"/>
      <c r="D220" s="147"/>
      <c r="E220" s="140"/>
      <c r="F220" s="140"/>
      <c r="G220" s="139"/>
      <c r="H220" s="151"/>
      <c r="I220" s="139"/>
      <c r="J220" s="137"/>
      <c r="K220" s="139"/>
      <c r="L220" s="141"/>
      <c r="M220" s="133" t="str">
        <f t="shared" si="79"/>
        <v/>
      </c>
      <c r="N220" s="133" t="str">
        <f t="shared" si="80"/>
        <v/>
      </c>
      <c r="O220" s="133" t="str">
        <f t="shared" si="81"/>
        <v/>
      </c>
      <c r="P220" s="133" t="str">
        <f t="shared" si="82"/>
        <v/>
      </c>
      <c r="Q220" s="133" t="str">
        <f t="shared" si="83"/>
        <v/>
      </c>
      <c r="R220" s="133" t="str">
        <f t="shared" si="84"/>
        <v/>
      </c>
      <c r="S220" s="133" t="str">
        <f t="shared" si="85"/>
        <v/>
      </c>
      <c r="T220" s="133" t="str">
        <f>IFERROR(IF($U220="ERROR","ERROR",IF($N220="00",IF(J220="1-Rate","HH 1RATE",IF(J220="2-Rate","HH 2RATE","")),IFERROR(VLOOKUP(CONCATENATE(N220,Q220,O220,P220),Lookups!$A$2:$E$4557,5,0),VLOOKUP(CONCATENATE(N220,Q220,O220),Lookups!$A$2:$E$4557,5,0)))),"ERROR")</f>
        <v>ERROR</v>
      </c>
      <c r="U220" s="133" t="str">
        <f>IFERROR(IF(NOT($N220="00"),"",VLOOKUP(CONCATENATE(Q220,P220,LOOKUP(2,1/(Lookups!$I$2:$I$11&lt;=E220)/(Lookups!$J$2:$J$11&gt;=Tool!$C$14),Lookups!$K$2:$K$11)),'HH LLFs'!$A$2:$K$500,3,0)),"ERROR")</f>
        <v/>
      </c>
      <c r="V220" s="132">
        <f>Calcs!$I$2</f>
        <v>44377</v>
      </c>
      <c r="W220" s="132">
        <f>Calcs!$I$4</f>
        <v>44592</v>
      </c>
      <c r="X220" s="153" t="str">
        <f>IF(NOT(N220="00"),"",(VLOOKUP(CONCATENATE(Q220,P220,LOOKUP(2,1/(Lookups!$I$2:$I$11&lt;=Multisite!E220)/(Lookups!$J$2:$J$11&gt;=E220),Lookups!$K$2:$K$11)),'HH LLFs'!$A$2:$F$282,6,0)*365)/12)</f>
        <v/>
      </c>
      <c r="Y220" s="153">
        <f t="shared" si="86"/>
        <v>0</v>
      </c>
      <c r="Z220" s="153" t="str">
        <f t="shared" si="95"/>
        <v/>
      </c>
      <c r="AA220" s="153" t="str">
        <f t="shared" si="87"/>
        <v/>
      </c>
      <c r="AB220" s="153" t="str">
        <f t="shared" si="96"/>
        <v/>
      </c>
      <c r="AC220" s="153" t="str">
        <f t="shared" si="88"/>
        <v/>
      </c>
      <c r="AD220" s="153" t="str">
        <f t="shared" si="89"/>
        <v/>
      </c>
      <c r="AE220" s="153" t="str">
        <f t="shared" si="90"/>
        <v/>
      </c>
      <c r="AF220" s="155" t="e">
        <f>LOOKUP(2,1/(Lookups!$I$2:$I$11&lt;=E220)/(Lookups!$J$2:$J$11&gt;=E220),Lookups!$L$2:$L$11)</f>
        <v>#N/A</v>
      </c>
      <c r="AG220" s="142" t="str">
        <f t="shared" si="91"/>
        <v/>
      </c>
      <c r="AH220" s="142" t="str">
        <f t="shared" si="92"/>
        <v/>
      </c>
      <c r="AI220" s="143" t="b">
        <f t="shared" si="97"/>
        <v>0</v>
      </c>
      <c r="AJ220" s="143" t="str">
        <f t="shared" si="93"/>
        <v>Level 1</v>
      </c>
      <c r="AK220" s="142">
        <f t="shared" si="94"/>
        <v>0</v>
      </c>
      <c r="AL220" s="157" t="str">
        <f t="shared" si="102"/>
        <v/>
      </c>
      <c r="AM220" s="144" t="str">
        <f t="shared" si="103"/>
        <v>--FALSE-0</v>
      </c>
      <c r="AN220" s="158" t="str">
        <f t="shared" si="98"/>
        <v/>
      </c>
      <c r="AO220" s="145"/>
      <c r="AP220" s="159" t="str">
        <f>IF($AN220=FALSE,"",IFERROR(INDEX('Flat Rates'!$A$1:$M$3880,MATCH($AM220,'Flat Rates'!$A$1:$A$3880,0),MATCH("Standing Charge",'Flat Rates'!$A$1:$M$1,0))*100,""))</f>
        <v/>
      </c>
      <c r="AQ220" s="148" t="str">
        <f>IF($AN220=FALSE,"",IFERROR((IF(NOT(T220="Unrestricted"),"",INDEX('Flat Rates'!$A$1:$M$3880,MATCH($AM220,'Flat Rates'!$A$1:$A$3880,0),MATCH("Uni/Day Rate",'Flat Rates'!$A$1:$M$1,0)))*100)+H220,""))</f>
        <v/>
      </c>
      <c r="AR220" s="148" t="str">
        <f>IF($AN220=FALSE,"",IFERROR((IF(T220="Unrestricted","",INDEX('Flat Rates'!$A$1:$M$3880,MATCH($AM220,'Flat Rates'!$A$1:$A$3880,0),MATCH("Uni/Day Rate",'Flat Rates'!$A$1:$M$1,0)))*100)+H220,""))</f>
        <v/>
      </c>
      <c r="AS220" s="148" t="str">
        <f>IF($AN220=FALSE,"",IFERROR(IF(INDEX('Flat Rates'!$A$1:$M$3880,MATCH($AM220,'Flat Rates'!$A$1:$A$3880,0),MATCH("Night Unit Rate",'Flat Rates'!$A$1:$M$1,0))=0,"",((INDEX('Flat Rates'!$A$1:$M$3880,MATCH($AM220,'Flat Rates'!$A$1:$A$3880,0),MATCH("Night Unit Rate",'Flat Rates'!$A$1:$M$1,0)))*100)+H220),""))</f>
        <v/>
      </c>
      <c r="AT220" s="148" t="str">
        <f>IF($AN220=FALSE,"",IFERROR(IF(INDEX('Flat Rates'!$A$1:$M$3880,MATCH($AM220,'Flat Rates'!$A$1:$A$3880,0),MATCH("Evening and Weekend Rate",'Flat Rates'!$A$1:$M$1,0))=0,"",((INDEX('Flat Rates'!$A$1:$M$3880,MATCH($AM220,'Flat Rates'!$A$1:$A$3880,0),MATCH("Evening and Weekend Rate",'Flat Rates'!$A$1:$M$1,0)))*100)+H220),""))</f>
        <v/>
      </c>
      <c r="AU220" s="152" t="str">
        <f t="shared" si="99"/>
        <v/>
      </c>
      <c r="AV220" s="152" t="str">
        <f t="shared" si="100"/>
        <v/>
      </c>
      <c r="AW220" s="152" t="str">
        <f t="shared" si="101"/>
        <v/>
      </c>
    </row>
    <row r="221" spans="2:49" ht="15" thickBot="1" x14ac:dyDescent="0.35">
      <c r="B221" s="138" t="str">
        <f t="shared" si="78"/>
        <v/>
      </c>
      <c r="C221" s="137"/>
      <c r="D221" s="139"/>
      <c r="E221" s="140"/>
      <c r="F221" s="140"/>
      <c r="G221" s="139"/>
      <c r="H221" s="151"/>
      <c r="I221" s="139"/>
      <c r="J221" s="138"/>
      <c r="K221" s="139"/>
      <c r="L221" s="141"/>
      <c r="M221" s="133" t="str">
        <f t="shared" si="79"/>
        <v/>
      </c>
      <c r="N221" s="133" t="str">
        <f t="shared" si="80"/>
        <v/>
      </c>
      <c r="O221" s="133" t="str">
        <f t="shared" si="81"/>
        <v/>
      </c>
      <c r="P221" s="133" t="str">
        <f t="shared" si="82"/>
        <v/>
      </c>
      <c r="Q221" s="133" t="str">
        <f t="shared" si="83"/>
        <v/>
      </c>
      <c r="R221" s="133" t="str">
        <f t="shared" si="84"/>
        <v/>
      </c>
      <c r="S221" s="133" t="str">
        <f t="shared" si="85"/>
        <v/>
      </c>
      <c r="T221" s="133" t="str">
        <f>IFERROR(IF($U221="ERROR","ERROR",IF($N221="00",IF(J221="1-Rate","HH 1RATE",IF(J221="2-Rate","HH 2RATE","")),IFERROR(VLOOKUP(CONCATENATE(N221,Q221,O221,P221),Lookups!$A$2:$E$4557,5,0),VLOOKUP(CONCATENATE(N221,Q221,O221),Lookups!$A$2:$E$4557,5,0)))),"ERROR")</f>
        <v>ERROR</v>
      </c>
      <c r="U221" s="133" t="str">
        <f>IFERROR(IF(NOT($N221="00"),"",VLOOKUP(CONCATENATE(Q221,P221,LOOKUP(2,1/(Lookups!$I$2:$I$11&lt;=E221)/(Lookups!$J$2:$J$11&gt;=Tool!$C$14),Lookups!$K$2:$K$11)),'HH LLFs'!$A$2:$K$500,3,0)),"ERROR")</f>
        <v/>
      </c>
      <c r="V221" s="132">
        <f>Calcs!$I$2</f>
        <v>44377</v>
      </c>
      <c r="W221" s="132">
        <f>Calcs!$I$4</f>
        <v>44592</v>
      </c>
      <c r="X221" s="153" t="str">
        <f>IF(NOT(N221="00"),"",(VLOOKUP(CONCATENATE(Q221,P221,LOOKUP(2,1/(Lookups!$I$2:$I$11&lt;=Multisite!E221)/(Lookups!$J$2:$J$11&gt;=E221),Lookups!$K$2:$K$11)),'HH LLFs'!$A$2:$F$282,6,0)*365)/12)</f>
        <v/>
      </c>
      <c r="Y221" s="153">
        <f t="shared" si="86"/>
        <v>0</v>
      </c>
      <c r="Z221" s="153" t="str">
        <f t="shared" si="95"/>
        <v/>
      </c>
      <c r="AA221" s="153" t="str">
        <f t="shared" si="87"/>
        <v/>
      </c>
      <c r="AB221" s="153" t="str">
        <f t="shared" si="96"/>
        <v/>
      </c>
      <c r="AC221" s="153" t="str">
        <f t="shared" si="88"/>
        <v/>
      </c>
      <c r="AD221" s="153" t="str">
        <f t="shared" si="89"/>
        <v/>
      </c>
      <c r="AE221" s="153" t="str">
        <f t="shared" si="90"/>
        <v/>
      </c>
      <c r="AF221" s="155" t="e">
        <f>LOOKUP(2,1/(Lookups!$I$2:$I$11&lt;=E221)/(Lookups!$J$2:$J$11&gt;=E221),Lookups!$L$2:$L$11)</f>
        <v>#N/A</v>
      </c>
      <c r="AG221" s="142" t="str">
        <f t="shared" si="91"/>
        <v/>
      </c>
      <c r="AH221" s="142" t="str">
        <f t="shared" si="92"/>
        <v/>
      </c>
      <c r="AI221" s="143" t="b">
        <f t="shared" si="97"/>
        <v>0</v>
      </c>
      <c r="AJ221" s="143" t="str">
        <f t="shared" si="93"/>
        <v>Level 1</v>
      </c>
      <c r="AK221" s="142">
        <f t="shared" si="94"/>
        <v>0</v>
      </c>
      <c r="AL221" s="157" t="str">
        <f t="shared" si="102"/>
        <v/>
      </c>
      <c r="AM221" s="144" t="str">
        <f t="shared" si="103"/>
        <v>--FALSE-0</v>
      </c>
      <c r="AN221" s="158" t="str">
        <f t="shared" si="98"/>
        <v/>
      </c>
      <c r="AO221" s="145"/>
      <c r="AP221" s="159" t="str">
        <f>IF($AN221=FALSE,"",IFERROR(INDEX('Flat Rates'!$A$1:$M$3880,MATCH($AM221,'Flat Rates'!$A$1:$A$3880,0),MATCH("Standing Charge",'Flat Rates'!$A$1:$M$1,0))*100,""))</f>
        <v/>
      </c>
      <c r="AQ221" s="148" t="str">
        <f>IF($AN221=FALSE,"",IFERROR((IF(NOT(T221="Unrestricted"),"",INDEX('Flat Rates'!$A$1:$M$3880,MATCH($AM221,'Flat Rates'!$A$1:$A$3880,0),MATCH("Uni/Day Rate",'Flat Rates'!$A$1:$M$1,0)))*100)+H221,""))</f>
        <v/>
      </c>
      <c r="AR221" s="148" t="str">
        <f>IF($AN221=FALSE,"",IFERROR((IF(T221="Unrestricted","",INDEX('Flat Rates'!$A$1:$M$3880,MATCH($AM221,'Flat Rates'!$A$1:$A$3880,0),MATCH("Uni/Day Rate",'Flat Rates'!$A$1:$M$1,0)))*100)+H221,""))</f>
        <v/>
      </c>
      <c r="AS221" s="148" t="str">
        <f>IF($AN221=FALSE,"",IFERROR(IF(INDEX('Flat Rates'!$A$1:$M$3880,MATCH($AM221,'Flat Rates'!$A$1:$A$3880,0),MATCH("Night Unit Rate",'Flat Rates'!$A$1:$M$1,0))=0,"",((INDEX('Flat Rates'!$A$1:$M$3880,MATCH($AM221,'Flat Rates'!$A$1:$A$3880,0),MATCH("Night Unit Rate",'Flat Rates'!$A$1:$M$1,0)))*100)+H221),""))</f>
        <v/>
      </c>
      <c r="AT221" s="148" t="str">
        <f>IF($AN221=FALSE,"",IFERROR(IF(INDEX('Flat Rates'!$A$1:$M$3880,MATCH($AM221,'Flat Rates'!$A$1:$A$3880,0),MATCH("Evening and Weekend Rate",'Flat Rates'!$A$1:$M$1,0))=0,"",((INDEX('Flat Rates'!$A$1:$M$3880,MATCH($AM221,'Flat Rates'!$A$1:$A$3880,0),MATCH("Evening and Weekend Rate",'Flat Rates'!$A$1:$M$1,0)))*100)+H221),""))</f>
        <v/>
      </c>
      <c r="AU221" s="152" t="str">
        <f t="shared" si="99"/>
        <v/>
      </c>
      <c r="AV221" s="152" t="str">
        <f t="shared" si="100"/>
        <v/>
      </c>
      <c r="AW221" s="152" t="str">
        <f t="shared" si="101"/>
        <v/>
      </c>
    </row>
    <row r="222" spans="2:49" ht="15" thickBot="1" x14ac:dyDescent="0.35">
      <c r="B222" s="138" t="str">
        <f t="shared" si="78"/>
        <v/>
      </c>
      <c r="C222" s="146"/>
      <c r="D222" s="147"/>
      <c r="E222" s="140"/>
      <c r="F222" s="140"/>
      <c r="G222" s="139"/>
      <c r="H222" s="151"/>
      <c r="I222" s="139"/>
      <c r="J222" s="137"/>
      <c r="K222" s="139"/>
      <c r="L222" s="141"/>
      <c r="M222" s="133" t="str">
        <f t="shared" si="79"/>
        <v/>
      </c>
      <c r="N222" s="133" t="str">
        <f t="shared" si="80"/>
        <v/>
      </c>
      <c r="O222" s="133" t="str">
        <f t="shared" si="81"/>
        <v/>
      </c>
      <c r="P222" s="133" t="str">
        <f t="shared" si="82"/>
        <v/>
      </c>
      <c r="Q222" s="133" t="str">
        <f t="shared" si="83"/>
        <v/>
      </c>
      <c r="R222" s="133" t="str">
        <f t="shared" si="84"/>
        <v/>
      </c>
      <c r="S222" s="133" t="str">
        <f t="shared" si="85"/>
        <v/>
      </c>
      <c r="T222" s="133" t="str">
        <f>IFERROR(IF($U222="ERROR","ERROR",IF($N222="00",IF(J222="1-Rate","HH 1RATE",IF(J222="2-Rate","HH 2RATE","")),IFERROR(VLOOKUP(CONCATENATE(N222,Q222,O222,P222),Lookups!$A$2:$E$4557,5,0),VLOOKUP(CONCATENATE(N222,Q222,O222),Lookups!$A$2:$E$4557,5,0)))),"ERROR")</f>
        <v>ERROR</v>
      </c>
      <c r="U222" s="133" t="str">
        <f>IFERROR(IF(NOT($N222="00"),"",VLOOKUP(CONCATENATE(Q222,P222,LOOKUP(2,1/(Lookups!$I$2:$I$11&lt;=E222)/(Lookups!$J$2:$J$11&gt;=Tool!$C$14),Lookups!$K$2:$K$11)),'HH LLFs'!$A$2:$K$500,3,0)),"ERROR")</f>
        <v/>
      </c>
      <c r="V222" s="132">
        <f>Calcs!$I$2</f>
        <v>44377</v>
      </c>
      <c r="W222" s="132">
        <f>Calcs!$I$4</f>
        <v>44592</v>
      </c>
      <c r="X222" s="153" t="str">
        <f>IF(NOT(N222="00"),"",(VLOOKUP(CONCATENATE(Q222,P222,LOOKUP(2,1/(Lookups!$I$2:$I$11&lt;=Multisite!E222)/(Lookups!$J$2:$J$11&gt;=E222),Lookups!$K$2:$K$11)),'HH LLFs'!$A$2:$F$282,6,0)*365)/12)</f>
        <v/>
      </c>
      <c r="Y222" s="153">
        <f t="shared" si="86"/>
        <v>0</v>
      </c>
      <c r="Z222" s="153" t="str">
        <f t="shared" si="95"/>
        <v/>
      </c>
      <c r="AA222" s="153" t="str">
        <f t="shared" si="87"/>
        <v/>
      </c>
      <c r="AB222" s="153" t="str">
        <f t="shared" si="96"/>
        <v/>
      </c>
      <c r="AC222" s="153" t="str">
        <f t="shared" si="88"/>
        <v/>
      </c>
      <c r="AD222" s="153" t="str">
        <f t="shared" si="89"/>
        <v/>
      </c>
      <c r="AE222" s="153" t="str">
        <f t="shared" si="90"/>
        <v/>
      </c>
      <c r="AF222" s="155" t="e">
        <f>LOOKUP(2,1/(Lookups!$I$2:$I$11&lt;=E222)/(Lookups!$J$2:$J$11&gt;=E222),Lookups!$L$2:$L$11)</f>
        <v>#N/A</v>
      </c>
      <c r="AG222" s="142" t="str">
        <f t="shared" si="91"/>
        <v/>
      </c>
      <c r="AH222" s="142" t="str">
        <f t="shared" si="92"/>
        <v/>
      </c>
      <c r="AI222" s="143" t="b">
        <f t="shared" si="97"/>
        <v>0</v>
      </c>
      <c r="AJ222" s="143" t="str">
        <f t="shared" si="93"/>
        <v>Level 1</v>
      </c>
      <c r="AK222" s="142">
        <f t="shared" si="94"/>
        <v>0</v>
      </c>
      <c r="AL222" s="157" t="str">
        <f t="shared" si="102"/>
        <v/>
      </c>
      <c r="AM222" s="144" t="str">
        <f t="shared" si="103"/>
        <v>--FALSE-0</v>
      </c>
      <c r="AN222" s="158" t="str">
        <f t="shared" si="98"/>
        <v/>
      </c>
      <c r="AO222" s="145"/>
      <c r="AP222" s="159" t="str">
        <f>IF($AN222=FALSE,"",IFERROR(INDEX('Flat Rates'!$A$1:$M$3880,MATCH($AM222,'Flat Rates'!$A$1:$A$3880,0),MATCH("Standing Charge",'Flat Rates'!$A$1:$M$1,0))*100,""))</f>
        <v/>
      </c>
      <c r="AQ222" s="148" t="str">
        <f>IF($AN222=FALSE,"",IFERROR((IF(NOT(T222="Unrestricted"),"",INDEX('Flat Rates'!$A$1:$M$3880,MATCH($AM222,'Flat Rates'!$A$1:$A$3880,0),MATCH("Uni/Day Rate",'Flat Rates'!$A$1:$M$1,0)))*100)+H222,""))</f>
        <v/>
      </c>
      <c r="AR222" s="148" t="str">
        <f>IF($AN222=FALSE,"",IFERROR((IF(T222="Unrestricted","",INDEX('Flat Rates'!$A$1:$M$3880,MATCH($AM222,'Flat Rates'!$A$1:$A$3880,0),MATCH("Uni/Day Rate",'Flat Rates'!$A$1:$M$1,0)))*100)+H222,""))</f>
        <v/>
      </c>
      <c r="AS222" s="148" t="str">
        <f>IF($AN222=FALSE,"",IFERROR(IF(INDEX('Flat Rates'!$A$1:$M$3880,MATCH($AM222,'Flat Rates'!$A$1:$A$3880,0),MATCH("Night Unit Rate",'Flat Rates'!$A$1:$M$1,0))=0,"",((INDEX('Flat Rates'!$A$1:$M$3880,MATCH($AM222,'Flat Rates'!$A$1:$A$3880,0),MATCH("Night Unit Rate",'Flat Rates'!$A$1:$M$1,0)))*100)+H222),""))</f>
        <v/>
      </c>
      <c r="AT222" s="148" t="str">
        <f>IF($AN222=FALSE,"",IFERROR(IF(INDEX('Flat Rates'!$A$1:$M$3880,MATCH($AM222,'Flat Rates'!$A$1:$A$3880,0),MATCH("Evening and Weekend Rate",'Flat Rates'!$A$1:$M$1,0))=0,"",((INDEX('Flat Rates'!$A$1:$M$3880,MATCH($AM222,'Flat Rates'!$A$1:$A$3880,0),MATCH("Evening and Weekend Rate",'Flat Rates'!$A$1:$M$1,0)))*100)+H222),""))</f>
        <v/>
      </c>
      <c r="AU222" s="152" t="str">
        <f t="shared" si="99"/>
        <v/>
      </c>
      <c r="AV222" s="152" t="str">
        <f t="shared" si="100"/>
        <v/>
      </c>
      <c r="AW222" s="152" t="str">
        <f t="shared" si="101"/>
        <v/>
      </c>
    </row>
    <row r="223" spans="2:49" ht="15" thickBot="1" x14ac:dyDescent="0.35">
      <c r="B223" s="138" t="str">
        <f t="shared" si="78"/>
        <v/>
      </c>
      <c r="C223" s="137"/>
      <c r="D223" s="139"/>
      <c r="E223" s="140"/>
      <c r="F223" s="140"/>
      <c r="G223" s="139"/>
      <c r="H223" s="151"/>
      <c r="I223" s="139"/>
      <c r="J223" s="138"/>
      <c r="K223" s="139"/>
      <c r="L223" s="141"/>
      <c r="M223" s="133" t="str">
        <f t="shared" si="79"/>
        <v/>
      </c>
      <c r="N223" s="133" t="str">
        <f t="shared" si="80"/>
        <v/>
      </c>
      <c r="O223" s="133" t="str">
        <f t="shared" si="81"/>
        <v/>
      </c>
      <c r="P223" s="133" t="str">
        <f t="shared" si="82"/>
        <v/>
      </c>
      <c r="Q223" s="133" t="str">
        <f t="shared" si="83"/>
        <v/>
      </c>
      <c r="R223" s="133" t="str">
        <f t="shared" si="84"/>
        <v/>
      </c>
      <c r="S223" s="133" t="str">
        <f t="shared" si="85"/>
        <v/>
      </c>
      <c r="T223" s="133" t="str">
        <f>IFERROR(IF($U223="ERROR","ERROR",IF($N223="00",IF(J223="1-Rate","HH 1RATE",IF(J223="2-Rate","HH 2RATE","")),IFERROR(VLOOKUP(CONCATENATE(N223,Q223,O223,P223),Lookups!$A$2:$E$4557,5,0),VLOOKUP(CONCATENATE(N223,Q223,O223),Lookups!$A$2:$E$4557,5,0)))),"ERROR")</f>
        <v>ERROR</v>
      </c>
      <c r="U223" s="133" t="str">
        <f>IFERROR(IF(NOT($N223="00"),"",VLOOKUP(CONCATENATE(Q223,P223,LOOKUP(2,1/(Lookups!$I$2:$I$11&lt;=E223)/(Lookups!$J$2:$J$11&gt;=Tool!$C$14),Lookups!$K$2:$K$11)),'HH LLFs'!$A$2:$K$500,3,0)),"ERROR")</f>
        <v/>
      </c>
      <c r="V223" s="132">
        <f>Calcs!$I$2</f>
        <v>44377</v>
      </c>
      <c r="W223" s="132">
        <f>Calcs!$I$4</f>
        <v>44592</v>
      </c>
      <c r="X223" s="153" t="str">
        <f>IF(NOT(N223="00"),"",(VLOOKUP(CONCATENATE(Q223,P223,LOOKUP(2,1/(Lookups!$I$2:$I$11&lt;=Multisite!E223)/(Lookups!$J$2:$J$11&gt;=E223),Lookups!$K$2:$K$11)),'HH LLFs'!$A$2:$F$282,6,0)*365)/12)</f>
        <v/>
      </c>
      <c r="Y223" s="153">
        <f t="shared" si="86"/>
        <v>0</v>
      </c>
      <c r="Z223" s="153" t="str">
        <f t="shared" si="95"/>
        <v/>
      </c>
      <c r="AA223" s="153" t="str">
        <f t="shared" si="87"/>
        <v/>
      </c>
      <c r="AB223" s="153" t="str">
        <f t="shared" si="96"/>
        <v/>
      </c>
      <c r="AC223" s="153" t="str">
        <f t="shared" si="88"/>
        <v/>
      </c>
      <c r="AD223" s="153" t="str">
        <f t="shared" si="89"/>
        <v/>
      </c>
      <c r="AE223" s="153" t="str">
        <f t="shared" si="90"/>
        <v/>
      </c>
      <c r="AF223" s="155" t="e">
        <f>LOOKUP(2,1/(Lookups!$I$2:$I$11&lt;=E223)/(Lookups!$J$2:$J$11&gt;=E223),Lookups!$L$2:$L$11)</f>
        <v>#N/A</v>
      </c>
      <c r="AG223" s="142" t="str">
        <f t="shared" si="91"/>
        <v/>
      </c>
      <c r="AH223" s="142" t="str">
        <f t="shared" si="92"/>
        <v/>
      </c>
      <c r="AI223" s="143" t="b">
        <f t="shared" si="97"/>
        <v>0</v>
      </c>
      <c r="AJ223" s="143" t="str">
        <f t="shared" si="93"/>
        <v>Level 1</v>
      </c>
      <c r="AK223" s="142">
        <f t="shared" si="94"/>
        <v>0</v>
      </c>
      <c r="AL223" s="157" t="str">
        <f t="shared" si="102"/>
        <v/>
      </c>
      <c r="AM223" s="144" t="str">
        <f t="shared" si="103"/>
        <v>--FALSE-0</v>
      </c>
      <c r="AN223" s="158" t="str">
        <f t="shared" si="98"/>
        <v/>
      </c>
      <c r="AO223" s="145"/>
      <c r="AP223" s="159" t="str">
        <f>IF($AN223=FALSE,"",IFERROR(INDEX('Flat Rates'!$A$1:$M$3880,MATCH($AM223,'Flat Rates'!$A$1:$A$3880,0),MATCH("Standing Charge",'Flat Rates'!$A$1:$M$1,0))*100,""))</f>
        <v/>
      </c>
      <c r="AQ223" s="148" t="str">
        <f>IF($AN223=FALSE,"",IFERROR((IF(NOT(T223="Unrestricted"),"",INDEX('Flat Rates'!$A$1:$M$3880,MATCH($AM223,'Flat Rates'!$A$1:$A$3880,0),MATCH("Uni/Day Rate",'Flat Rates'!$A$1:$M$1,0)))*100)+H223,""))</f>
        <v/>
      </c>
      <c r="AR223" s="148" t="str">
        <f>IF($AN223=FALSE,"",IFERROR((IF(T223="Unrestricted","",INDEX('Flat Rates'!$A$1:$M$3880,MATCH($AM223,'Flat Rates'!$A$1:$A$3880,0),MATCH("Uni/Day Rate",'Flat Rates'!$A$1:$M$1,0)))*100)+H223,""))</f>
        <v/>
      </c>
      <c r="AS223" s="148" t="str">
        <f>IF($AN223=FALSE,"",IFERROR(IF(INDEX('Flat Rates'!$A$1:$M$3880,MATCH($AM223,'Flat Rates'!$A$1:$A$3880,0),MATCH("Night Unit Rate",'Flat Rates'!$A$1:$M$1,0))=0,"",((INDEX('Flat Rates'!$A$1:$M$3880,MATCH($AM223,'Flat Rates'!$A$1:$A$3880,0),MATCH("Night Unit Rate",'Flat Rates'!$A$1:$M$1,0)))*100)+H223),""))</f>
        <v/>
      </c>
      <c r="AT223" s="148" t="str">
        <f>IF($AN223=FALSE,"",IFERROR(IF(INDEX('Flat Rates'!$A$1:$M$3880,MATCH($AM223,'Flat Rates'!$A$1:$A$3880,0),MATCH("Evening and Weekend Rate",'Flat Rates'!$A$1:$M$1,0))=0,"",((INDEX('Flat Rates'!$A$1:$M$3880,MATCH($AM223,'Flat Rates'!$A$1:$A$3880,0),MATCH("Evening and Weekend Rate",'Flat Rates'!$A$1:$M$1,0)))*100)+H223),""))</f>
        <v/>
      </c>
      <c r="AU223" s="152" t="str">
        <f t="shared" si="99"/>
        <v/>
      </c>
      <c r="AV223" s="152" t="str">
        <f t="shared" si="100"/>
        <v/>
      </c>
      <c r="AW223" s="152" t="str">
        <f t="shared" si="101"/>
        <v/>
      </c>
    </row>
    <row r="224" spans="2:49" ht="15" thickBot="1" x14ac:dyDescent="0.35">
      <c r="B224" s="138" t="str">
        <f t="shared" si="78"/>
        <v/>
      </c>
      <c r="C224" s="146"/>
      <c r="D224" s="147"/>
      <c r="E224" s="140"/>
      <c r="F224" s="140"/>
      <c r="G224" s="139"/>
      <c r="H224" s="151"/>
      <c r="I224" s="139"/>
      <c r="J224" s="137"/>
      <c r="K224" s="139"/>
      <c r="L224" s="141"/>
      <c r="M224" s="133" t="str">
        <f t="shared" si="79"/>
        <v/>
      </c>
      <c r="N224" s="133" t="str">
        <f t="shared" si="80"/>
        <v/>
      </c>
      <c r="O224" s="133" t="str">
        <f t="shared" si="81"/>
        <v/>
      </c>
      <c r="P224" s="133" t="str">
        <f t="shared" si="82"/>
        <v/>
      </c>
      <c r="Q224" s="133" t="str">
        <f t="shared" si="83"/>
        <v/>
      </c>
      <c r="R224" s="133" t="str">
        <f t="shared" si="84"/>
        <v/>
      </c>
      <c r="S224" s="133" t="str">
        <f t="shared" si="85"/>
        <v/>
      </c>
      <c r="T224" s="133" t="str">
        <f>IFERROR(IF($U224="ERROR","ERROR",IF($N224="00",IF(J224="1-Rate","HH 1RATE",IF(J224="2-Rate","HH 2RATE","")),IFERROR(VLOOKUP(CONCATENATE(N224,Q224,O224,P224),Lookups!$A$2:$E$4557,5,0),VLOOKUP(CONCATENATE(N224,Q224,O224),Lookups!$A$2:$E$4557,5,0)))),"ERROR")</f>
        <v>ERROR</v>
      </c>
      <c r="U224" s="133" t="str">
        <f>IFERROR(IF(NOT($N224="00"),"",VLOOKUP(CONCATENATE(Q224,P224,LOOKUP(2,1/(Lookups!$I$2:$I$11&lt;=E224)/(Lookups!$J$2:$J$11&gt;=Tool!$C$14),Lookups!$K$2:$K$11)),'HH LLFs'!$A$2:$K$500,3,0)),"ERROR")</f>
        <v/>
      </c>
      <c r="V224" s="132">
        <f>Calcs!$I$2</f>
        <v>44377</v>
      </c>
      <c r="W224" s="132">
        <f>Calcs!$I$4</f>
        <v>44592</v>
      </c>
      <c r="X224" s="153" t="str">
        <f>IF(NOT(N224="00"),"",(VLOOKUP(CONCATENATE(Q224,P224,LOOKUP(2,1/(Lookups!$I$2:$I$11&lt;=Multisite!E224)/(Lookups!$J$2:$J$11&gt;=E224),Lookups!$K$2:$K$11)),'HH LLFs'!$A$2:$F$282,6,0)*365)/12)</f>
        <v/>
      </c>
      <c r="Y224" s="153">
        <f t="shared" si="86"/>
        <v>0</v>
      </c>
      <c r="Z224" s="153" t="str">
        <f t="shared" si="95"/>
        <v/>
      </c>
      <c r="AA224" s="153" t="str">
        <f t="shared" si="87"/>
        <v/>
      </c>
      <c r="AB224" s="153" t="str">
        <f t="shared" si="96"/>
        <v/>
      </c>
      <c r="AC224" s="153" t="str">
        <f t="shared" si="88"/>
        <v/>
      </c>
      <c r="AD224" s="153" t="str">
        <f t="shared" si="89"/>
        <v/>
      </c>
      <c r="AE224" s="153" t="str">
        <f t="shared" si="90"/>
        <v/>
      </c>
      <c r="AF224" s="155" t="e">
        <f>LOOKUP(2,1/(Lookups!$I$2:$I$11&lt;=E224)/(Lookups!$J$2:$J$11&gt;=E224),Lookups!$L$2:$L$11)</f>
        <v>#N/A</v>
      </c>
      <c r="AG224" s="142" t="str">
        <f t="shared" si="91"/>
        <v/>
      </c>
      <c r="AH224" s="142" t="str">
        <f t="shared" si="92"/>
        <v/>
      </c>
      <c r="AI224" s="143" t="b">
        <f t="shared" si="97"/>
        <v>0</v>
      </c>
      <c r="AJ224" s="143" t="str">
        <f t="shared" si="93"/>
        <v>Level 1</v>
      </c>
      <c r="AK224" s="142">
        <f t="shared" si="94"/>
        <v>0</v>
      </c>
      <c r="AL224" s="157" t="str">
        <f t="shared" si="102"/>
        <v/>
      </c>
      <c r="AM224" s="144" t="str">
        <f t="shared" si="103"/>
        <v>--FALSE-0</v>
      </c>
      <c r="AN224" s="158" t="str">
        <f t="shared" si="98"/>
        <v/>
      </c>
      <c r="AO224" s="145"/>
      <c r="AP224" s="159" t="str">
        <f>IF($AN224=FALSE,"",IFERROR(INDEX('Flat Rates'!$A$1:$M$3880,MATCH($AM224,'Flat Rates'!$A$1:$A$3880,0),MATCH("Standing Charge",'Flat Rates'!$A$1:$M$1,0))*100,""))</f>
        <v/>
      </c>
      <c r="AQ224" s="148" t="str">
        <f>IF($AN224=FALSE,"",IFERROR((IF(NOT(T224="Unrestricted"),"",INDEX('Flat Rates'!$A$1:$M$3880,MATCH($AM224,'Flat Rates'!$A$1:$A$3880,0),MATCH("Uni/Day Rate",'Flat Rates'!$A$1:$M$1,0)))*100)+H224,""))</f>
        <v/>
      </c>
      <c r="AR224" s="148" t="str">
        <f>IF($AN224=FALSE,"",IFERROR((IF(T224="Unrestricted","",INDEX('Flat Rates'!$A$1:$M$3880,MATCH($AM224,'Flat Rates'!$A$1:$A$3880,0),MATCH("Uni/Day Rate",'Flat Rates'!$A$1:$M$1,0)))*100)+H224,""))</f>
        <v/>
      </c>
      <c r="AS224" s="148" t="str">
        <f>IF($AN224=FALSE,"",IFERROR(IF(INDEX('Flat Rates'!$A$1:$M$3880,MATCH($AM224,'Flat Rates'!$A$1:$A$3880,0),MATCH("Night Unit Rate",'Flat Rates'!$A$1:$M$1,0))=0,"",((INDEX('Flat Rates'!$A$1:$M$3880,MATCH($AM224,'Flat Rates'!$A$1:$A$3880,0),MATCH("Night Unit Rate",'Flat Rates'!$A$1:$M$1,0)))*100)+H224),""))</f>
        <v/>
      </c>
      <c r="AT224" s="148" t="str">
        <f>IF($AN224=FALSE,"",IFERROR(IF(INDEX('Flat Rates'!$A$1:$M$3880,MATCH($AM224,'Flat Rates'!$A$1:$A$3880,0),MATCH("Evening and Weekend Rate",'Flat Rates'!$A$1:$M$1,0))=0,"",((INDEX('Flat Rates'!$A$1:$M$3880,MATCH($AM224,'Flat Rates'!$A$1:$A$3880,0),MATCH("Evening and Weekend Rate",'Flat Rates'!$A$1:$M$1,0)))*100)+H224),""))</f>
        <v/>
      </c>
      <c r="AU224" s="152" t="str">
        <f t="shared" si="99"/>
        <v/>
      </c>
      <c r="AV224" s="152" t="str">
        <f t="shared" si="100"/>
        <v/>
      </c>
      <c r="AW224" s="152" t="str">
        <f t="shared" si="101"/>
        <v/>
      </c>
    </row>
    <row r="225" spans="2:49" ht="15" thickBot="1" x14ac:dyDescent="0.35">
      <c r="B225" s="138" t="str">
        <f t="shared" si="78"/>
        <v/>
      </c>
      <c r="C225" s="137"/>
      <c r="D225" s="139"/>
      <c r="E225" s="140"/>
      <c r="F225" s="140"/>
      <c r="G225" s="139"/>
      <c r="H225" s="151"/>
      <c r="I225" s="139"/>
      <c r="J225" s="138"/>
      <c r="K225" s="139"/>
      <c r="L225" s="141"/>
      <c r="M225" s="133" t="str">
        <f t="shared" si="79"/>
        <v/>
      </c>
      <c r="N225" s="133" t="str">
        <f t="shared" si="80"/>
        <v/>
      </c>
      <c r="O225" s="133" t="str">
        <f t="shared" si="81"/>
        <v/>
      </c>
      <c r="P225" s="133" t="str">
        <f t="shared" si="82"/>
        <v/>
      </c>
      <c r="Q225" s="133" t="str">
        <f t="shared" si="83"/>
        <v/>
      </c>
      <c r="R225" s="133" t="str">
        <f t="shared" si="84"/>
        <v/>
      </c>
      <c r="S225" s="133" t="str">
        <f t="shared" si="85"/>
        <v/>
      </c>
      <c r="T225" s="133" t="str">
        <f>IFERROR(IF($U225="ERROR","ERROR",IF($N225="00",IF(J225="1-Rate","HH 1RATE",IF(J225="2-Rate","HH 2RATE","")),IFERROR(VLOOKUP(CONCATENATE(N225,Q225,O225,P225),Lookups!$A$2:$E$4557,5,0),VLOOKUP(CONCATENATE(N225,Q225,O225),Lookups!$A$2:$E$4557,5,0)))),"ERROR")</f>
        <v>ERROR</v>
      </c>
      <c r="U225" s="133" t="str">
        <f>IFERROR(IF(NOT($N225="00"),"",VLOOKUP(CONCATENATE(Q225,P225,LOOKUP(2,1/(Lookups!$I$2:$I$11&lt;=E225)/(Lookups!$J$2:$J$11&gt;=Tool!$C$14),Lookups!$K$2:$K$11)),'HH LLFs'!$A$2:$K$500,3,0)),"ERROR")</f>
        <v/>
      </c>
      <c r="V225" s="132">
        <f>Calcs!$I$2</f>
        <v>44377</v>
      </c>
      <c r="W225" s="132">
        <f>Calcs!$I$4</f>
        <v>44592</v>
      </c>
      <c r="X225" s="153" t="str">
        <f>IF(NOT(N225="00"),"",(VLOOKUP(CONCATENATE(Q225,P225,LOOKUP(2,1/(Lookups!$I$2:$I$11&lt;=Multisite!E225)/(Lookups!$J$2:$J$11&gt;=E225),Lookups!$K$2:$K$11)),'HH LLFs'!$A$2:$F$282,6,0)*365)/12)</f>
        <v/>
      </c>
      <c r="Y225" s="153">
        <f t="shared" si="86"/>
        <v>0</v>
      </c>
      <c r="Z225" s="153" t="str">
        <f t="shared" si="95"/>
        <v/>
      </c>
      <c r="AA225" s="153" t="str">
        <f t="shared" si="87"/>
        <v/>
      </c>
      <c r="AB225" s="153" t="str">
        <f t="shared" si="96"/>
        <v/>
      </c>
      <c r="AC225" s="153" t="str">
        <f t="shared" si="88"/>
        <v/>
      </c>
      <c r="AD225" s="153" t="str">
        <f t="shared" si="89"/>
        <v/>
      </c>
      <c r="AE225" s="153" t="str">
        <f t="shared" si="90"/>
        <v/>
      </c>
      <c r="AF225" s="155" t="e">
        <f>LOOKUP(2,1/(Lookups!$I$2:$I$11&lt;=E225)/(Lookups!$J$2:$J$11&gt;=E225),Lookups!$L$2:$L$11)</f>
        <v>#N/A</v>
      </c>
      <c r="AG225" s="142" t="str">
        <f t="shared" si="91"/>
        <v/>
      </c>
      <c r="AH225" s="142" t="str">
        <f t="shared" si="92"/>
        <v/>
      </c>
      <c r="AI225" s="143" t="b">
        <f t="shared" si="97"/>
        <v>0</v>
      </c>
      <c r="AJ225" s="143" t="str">
        <f t="shared" si="93"/>
        <v>Level 1</v>
      </c>
      <c r="AK225" s="142">
        <f t="shared" si="94"/>
        <v>0</v>
      </c>
      <c r="AL225" s="157" t="str">
        <f t="shared" si="102"/>
        <v/>
      </c>
      <c r="AM225" s="144" t="str">
        <f t="shared" si="103"/>
        <v>--FALSE-0</v>
      </c>
      <c r="AN225" s="158" t="str">
        <f t="shared" si="98"/>
        <v/>
      </c>
      <c r="AO225" s="145"/>
      <c r="AP225" s="159" t="str">
        <f>IF($AN225=FALSE,"",IFERROR(INDEX('Flat Rates'!$A$1:$M$3880,MATCH($AM225,'Flat Rates'!$A$1:$A$3880,0),MATCH("Standing Charge",'Flat Rates'!$A$1:$M$1,0))*100,""))</f>
        <v/>
      </c>
      <c r="AQ225" s="148" t="str">
        <f>IF($AN225=FALSE,"",IFERROR((IF(NOT(T225="Unrestricted"),"",INDEX('Flat Rates'!$A$1:$M$3880,MATCH($AM225,'Flat Rates'!$A$1:$A$3880,0),MATCH("Uni/Day Rate",'Flat Rates'!$A$1:$M$1,0)))*100)+H225,""))</f>
        <v/>
      </c>
      <c r="AR225" s="148" t="str">
        <f>IF($AN225=FALSE,"",IFERROR((IF(T225="Unrestricted","",INDEX('Flat Rates'!$A$1:$M$3880,MATCH($AM225,'Flat Rates'!$A$1:$A$3880,0),MATCH("Uni/Day Rate",'Flat Rates'!$A$1:$M$1,0)))*100)+H225,""))</f>
        <v/>
      </c>
      <c r="AS225" s="148" t="str">
        <f>IF($AN225=FALSE,"",IFERROR(IF(INDEX('Flat Rates'!$A$1:$M$3880,MATCH($AM225,'Flat Rates'!$A$1:$A$3880,0),MATCH("Night Unit Rate",'Flat Rates'!$A$1:$M$1,0))=0,"",((INDEX('Flat Rates'!$A$1:$M$3880,MATCH($AM225,'Flat Rates'!$A$1:$A$3880,0),MATCH("Night Unit Rate",'Flat Rates'!$A$1:$M$1,0)))*100)+H225),""))</f>
        <v/>
      </c>
      <c r="AT225" s="148" t="str">
        <f>IF($AN225=FALSE,"",IFERROR(IF(INDEX('Flat Rates'!$A$1:$M$3880,MATCH($AM225,'Flat Rates'!$A$1:$A$3880,0),MATCH("Evening and Weekend Rate",'Flat Rates'!$A$1:$M$1,0))=0,"",((INDEX('Flat Rates'!$A$1:$M$3880,MATCH($AM225,'Flat Rates'!$A$1:$A$3880,0),MATCH("Evening and Weekend Rate",'Flat Rates'!$A$1:$M$1,0)))*100)+H225),""))</f>
        <v/>
      </c>
      <c r="AU225" s="152" t="str">
        <f t="shared" si="99"/>
        <v/>
      </c>
      <c r="AV225" s="152" t="str">
        <f t="shared" si="100"/>
        <v/>
      </c>
      <c r="AW225" s="152" t="str">
        <f t="shared" si="101"/>
        <v/>
      </c>
    </row>
    <row r="226" spans="2:49" ht="15" thickBot="1" x14ac:dyDescent="0.35">
      <c r="B226" s="138" t="str">
        <f t="shared" si="78"/>
        <v/>
      </c>
      <c r="C226" s="146"/>
      <c r="D226" s="147"/>
      <c r="E226" s="140"/>
      <c r="F226" s="140"/>
      <c r="G226" s="139"/>
      <c r="H226" s="151"/>
      <c r="I226" s="139"/>
      <c r="J226" s="137"/>
      <c r="K226" s="139"/>
      <c r="L226" s="141"/>
      <c r="M226" s="133" t="str">
        <f t="shared" si="79"/>
        <v/>
      </c>
      <c r="N226" s="133" t="str">
        <f t="shared" si="80"/>
        <v/>
      </c>
      <c r="O226" s="133" t="str">
        <f t="shared" si="81"/>
        <v/>
      </c>
      <c r="P226" s="133" t="str">
        <f t="shared" si="82"/>
        <v/>
      </c>
      <c r="Q226" s="133" t="str">
        <f t="shared" si="83"/>
        <v/>
      </c>
      <c r="R226" s="133" t="str">
        <f t="shared" si="84"/>
        <v/>
      </c>
      <c r="S226" s="133" t="str">
        <f t="shared" si="85"/>
        <v/>
      </c>
      <c r="T226" s="133" t="str">
        <f>IFERROR(IF($U226="ERROR","ERROR",IF($N226="00",IF(J226="1-Rate","HH 1RATE",IF(J226="2-Rate","HH 2RATE","")),IFERROR(VLOOKUP(CONCATENATE(N226,Q226,O226,P226),Lookups!$A$2:$E$4557,5,0),VLOOKUP(CONCATENATE(N226,Q226,O226),Lookups!$A$2:$E$4557,5,0)))),"ERROR")</f>
        <v>ERROR</v>
      </c>
      <c r="U226" s="133" t="str">
        <f>IFERROR(IF(NOT($N226="00"),"",VLOOKUP(CONCATENATE(Q226,P226,LOOKUP(2,1/(Lookups!$I$2:$I$11&lt;=E226)/(Lookups!$J$2:$J$11&gt;=Tool!$C$14),Lookups!$K$2:$K$11)),'HH LLFs'!$A$2:$K$500,3,0)),"ERROR")</f>
        <v/>
      </c>
      <c r="V226" s="132">
        <f>Calcs!$I$2</f>
        <v>44377</v>
      </c>
      <c r="W226" s="132">
        <f>Calcs!$I$4</f>
        <v>44592</v>
      </c>
      <c r="X226" s="153" t="str">
        <f>IF(NOT(N226="00"),"",(VLOOKUP(CONCATENATE(Q226,P226,LOOKUP(2,1/(Lookups!$I$2:$I$11&lt;=Multisite!E226)/(Lookups!$J$2:$J$11&gt;=E226),Lookups!$K$2:$K$11)),'HH LLFs'!$A$2:$F$282,6,0)*365)/12)</f>
        <v/>
      </c>
      <c r="Y226" s="153">
        <f t="shared" si="86"/>
        <v>0</v>
      </c>
      <c r="Z226" s="153" t="str">
        <f t="shared" si="95"/>
        <v/>
      </c>
      <c r="AA226" s="153" t="str">
        <f t="shared" si="87"/>
        <v/>
      </c>
      <c r="AB226" s="153" t="str">
        <f t="shared" si="96"/>
        <v/>
      </c>
      <c r="AC226" s="153" t="str">
        <f t="shared" si="88"/>
        <v/>
      </c>
      <c r="AD226" s="153" t="str">
        <f t="shared" si="89"/>
        <v/>
      </c>
      <c r="AE226" s="153" t="str">
        <f t="shared" si="90"/>
        <v/>
      </c>
      <c r="AF226" s="155" t="e">
        <f>LOOKUP(2,1/(Lookups!$I$2:$I$11&lt;=E226)/(Lookups!$J$2:$J$11&gt;=E226),Lookups!$L$2:$L$11)</f>
        <v>#N/A</v>
      </c>
      <c r="AG226" s="142" t="str">
        <f t="shared" si="91"/>
        <v/>
      </c>
      <c r="AH226" s="142" t="str">
        <f t="shared" si="92"/>
        <v/>
      </c>
      <c r="AI226" s="143" t="b">
        <f t="shared" si="97"/>
        <v>0</v>
      </c>
      <c r="AJ226" s="143" t="str">
        <f t="shared" si="93"/>
        <v>Level 1</v>
      </c>
      <c r="AK226" s="142">
        <f t="shared" si="94"/>
        <v>0</v>
      </c>
      <c r="AL226" s="157" t="str">
        <f t="shared" si="102"/>
        <v/>
      </c>
      <c r="AM226" s="144" t="str">
        <f t="shared" si="103"/>
        <v>--FALSE-0</v>
      </c>
      <c r="AN226" s="158" t="str">
        <f t="shared" si="98"/>
        <v/>
      </c>
      <c r="AO226" s="145"/>
      <c r="AP226" s="159" t="str">
        <f>IF($AN226=FALSE,"",IFERROR(INDEX('Flat Rates'!$A$1:$M$3880,MATCH($AM226,'Flat Rates'!$A$1:$A$3880,0),MATCH("Standing Charge",'Flat Rates'!$A$1:$M$1,0))*100,""))</f>
        <v/>
      </c>
      <c r="AQ226" s="148" t="str">
        <f>IF($AN226=FALSE,"",IFERROR((IF(NOT(T226="Unrestricted"),"",INDEX('Flat Rates'!$A$1:$M$3880,MATCH($AM226,'Flat Rates'!$A$1:$A$3880,0),MATCH("Uni/Day Rate",'Flat Rates'!$A$1:$M$1,0)))*100)+H226,""))</f>
        <v/>
      </c>
      <c r="AR226" s="148" t="str">
        <f>IF($AN226=FALSE,"",IFERROR((IF(T226="Unrestricted","",INDEX('Flat Rates'!$A$1:$M$3880,MATCH($AM226,'Flat Rates'!$A$1:$A$3880,0),MATCH("Uni/Day Rate",'Flat Rates'!$A$1:$M$1,0)))*100)+H226,""))</f>
        <v/>
      </c>
      <c r="AS226" s="148" t="str">
        <f>IF($AN226=FALSE,"",IFERROR(IF(INDEX('Flat Rates'!$A$1:$M$3880,MATCH($AM226,'Flat Rates'!$A$1:$A$3880,0),MATCH("Night Unit Rate",'Flat Rates'!$A$1:$M$1,0))=0,"",((INDEX('Flat Rates'!$A$1:$M$3880,MATCH($AM226,'Flat Rates'!$A$1:$A$3880,0),MATCH("Night Unit Rate",'Flat Rates'!$A$1:$M$1,0)))*100)+H226),""))</f>
        <v/>
      </c>
      <c r="AT226" s="148" t="str">
        <f>IF($AN226=FALSE,"",IFERROR(IF(INDEX('Flat Rates'!$A$1:$M$3880,MATCH($AM226,'Flat Rates'!$A$1:$A$3880,0),MATCH("Evening and Weekend Rate",'Flat Rates'!$A$1:$M$1,0))=0,"",((INDEX('Flat Rates'!$A$1:$M$3880,MATCH($AM226,'Flat Rates'!$A$1:$A$3880,0),MATCH("Evening and Weekend Rate",'Flat Rates'!$A$1:$M$1,0)))*100)+H226),""))</f>
        <v/>
      </c>
      <c r="AU226" s="152" t="str">
        <f t="shared" si="99"/>
        <v/>
      </c>
      <c r="AV226" s="152" t="str">
        <f t="shared" si="100"/>
        <v/>
      </c>
      <c r="AW226" s="152" t="str">
        <f t="shared" si="101"/>
        <v/>
      </c>
    </row>
    <row r="227" spans="2:49" ht="15" thickBot="1" x14ac:dyDescent="0.35">
      <c r="B227" s="138" t="str">
        <f t="shared" si="78"/>
        <v/>
      </c>
      <c r="C227" s="137"/>
      <c r="D227" s="139"/>
      <c r="E227" s="140"/>
      <c r="F227" s="140"/>
      <c r="G227" s="139"/>
      <c r="H227" s="151"/>
      <c r="I227" s="139"/>
      <c r="J227" s="138"/>
      <c r="K227" s="139"/>
      <c r="L227" s="141"/>
      <c r="M227" s="133" t="str">
        <f t="shared" si="79"/>
        <v/>
      </c>
      <c r="N227" s="133" t="str">
        <f t="shared" si="80"/>
        <v/>
      </c>
      <c r="O227" s="133" t="str">
        <f t="shared" si="81"/>
        <v/>
      </c>
      <c r="P227" s="133" t="str">
        <f t="shared" si="82"/>
        <v/>
      </c>
      <c r="Q227" s="133" t="str">
        <f t="shared" si="83"/>
        <v/>
      </c>
      <c r="R227" s="133" t="str">
        <f t="shared" si="84"/>
        <v/>
      </c>
      <c r="S227" s="133" t="str">
        <f t="shared" si="85"/>
        <v/>
      </c>
      <c r="T227" s="133" t="str">
        <f>IFERROR(IF($U227="ERROR","ERROR",IF($N227="00",IF(J227="1-Rate","HH 1RATE",IF(J227="2-Rate","HH 2RATE","")),IFERROR(VLOOKUP(CONCATENATE(N227,Q227,O227,P227),Lookups!$A$2:$E$4557,5,0),VLOOKUP(CONCATENATE(N227,Q227,O227),Lookups!$A$2:$E$4557,5,0)))),"ERROR")</f>
        <v>ERROR</v>
      </c>
      <c r="U227" s="133" t="str">
        <f>IFERROR(IF(NOT($N227="00"),"",VLOOKUP(CONCATENATE(Q227,P227,LOOKUP(2,1/(Lookups!$I$2:$I$11&lt;=E227)/(Lookups!$J$2:$J$11&gt;=Tool!$C$14),Lookups!$K$2:$K$11)),'HH LLFs'!$A$2:$K$500,3,0)),"ERROR")</f>
        <v/>
      </c>
      <c r="V227" s="132">
        <f>Calcs!$I$2</f>
        <v>44377</v>
      </c>
      <c r="W227" s="132">
        <f>Calcs!$I$4</f>
        <v>44592</v>
      </c>
      <c r="X227" s="153" t="str">
        <f>IF(NOT(N227="00"),"",(VLOOKUP(CONCATENATE(Q227,P227,LOOKUP(2,1/(Lookups!$I$2:$I$11&lt;=Multisite!E227)/(Lookups!$J$2:$J$11&gt;=E227),Lookups!$K$2:$K$11)),'HH LLFs'!$A$2:$F$282,6,0)*365)/12)</f>
        <v/>
      </c>
      <c r="Y227" s="153">
        <f t="shared" si="86"/>
        <v>0</v>
      </c>
      <c r="Z227" s="153" t="str">
        <f t="shared" si="95"/>
        <v/>
      </c>
      <c r="AA227" s="153" t="str">
        <f t="shared" si="87"/>
        <v/>
      </c>
      <c r="AB227" s="153" t="str">
        <f t="shared" si="96"/>
        <v/>
      </c>
      <c r="AC227" s="153" t="str">
        <f t="shared" si="88"/>
        <v/>
      </c>
      <c r="AD227" s="153" t="str">
        <f t="shared" si="89"/>
        <v/>
      </c>
      <c r="AE227" s="153" t="str">
        <f t="shared" si="90"/>
        <v/>
      </c>
      <c r="AF227" s="155" t="e">
        <f>LOOKUP(2,1/(Lookups!$I$2:$I$11&lt;=E227)/(Lookups!$J$2:$J$11&gt;=E227),Lookups!$L$2:$L$11)</f>
        <v>#N/A</v>
      </c>
      <c r="AG227" s="142" t="str">
        <f t="shared" si="91"/>
        <v/>
      </c>
      <c r="AH227" s="142" t="str">
        <f t="shared" si="92"/>
        <v/>
      </c>
      <c r="AI227" s="143" t="b">
        <f t="shared" si="97"/>
        <v>0</v>
      </c>
      <c r="AJ227" s="143" t="str">
        <f t="shared" si="93"/>
        <v>Level 1</v>
      </c>
      <c r="AK227" s="142">
        <f t="shared" si="94"/>
        <v>0</v>
      </c>
      <c r="AL227" s="157" t="str">
        <f t="shared" si="102"/>
        <v/>
      </c>
      <c r="AM227" s="144" t="str">
        <f t="shared" si="103"/>
        <v>--FALSE-0</v>
      </c>
      <c r="AN227" s="158" t="str">
        <f t="shared" si="98"/>
        <v/>
      </c>
      <c r="AO227" s="145"/>
      <c r="AP227" s="159" t="str">
        <f>IF($AN227=FALSE,"",IFERROR(INDEX('Flat Rates'!$A$1:$M$3880,MATCH($AM227,'Flat Rates'!$A$1:$A$3880,0),MATCH("Standing Charge",'Flat Rates'!$A$1:$M$1,0))*100,""))</f>
        <v/>
      </c>
      <c r="AQ227" s="148" t="str">
        <f>IF($AN227=FALSE,"",IFERROR((IF(NOT(T227="Unrestricted"),"",INDEX('Flat Rates'!$A$1:$M$3880,MATCH($AM227,'Flat Rates'!$A$1:$A$3880,0),MATCH("Uni/Day Rate",'Flat Rates'!$A$1:$M$1,0)))*100)+H227,""))</f>
        <v/>
      </c>
      <c r="AR227" s="148" t="str">
        <f>IF($AN227=FALSE,"",IFERROR((IF(T227="Unrestricted","",INDEX('Flat Rates'!$A$1:$M$3880,MATCH($AM227,'Flat Rates'!$A$1:$A$3880,0),MATCH("Uni/Day Rate",'Flat Rates'!$A$1:$M$1,0)))*100)+H227,""))</f>
        <v/>
      </c>
      <c r="AS227" s="148" t="str">
        <f>IF($AN227=FALSE,"",IFERROR(IF(INDEX('Flat Rates'!$A$1:$M$3880,MATCH($AM227,'Flat Rates'!$A$1:$A$3880,0),MATCH("Night Unit Rate",'Flat Rates'!$A$1:$M$1,0))=0,"",((INDEX('Flat Rates'!$A$1:$M$3880,MATCH($AM227,'Flat Rates'!$A$1:$A$3880,0),MATCH("Night Unit Rate",'Flat Rates'!$A$1:$M$1,0)))*100)+H227),""))</f>
        <v/>
      </c>
      <c r="AT227" s="148" t="str">
        <f>IF($AN227=FALSE,"",IFERROR(IF(INDEX('Flat Rates'!$A$1:$M$3880,MATCH($AM227,'Flat Rates'!$A$1:$A$3880,0),MATCH("Evening and Weekend Rate",'Flat Rates'!$A$1:$M$1,0))=0,"",((INDEX('Flat Rates'!$A$1:$M$3880,MATCH($AM227,'Flat Rates'!$A$1:$A$3880,0),MATCH("Evening and Weekend Rate",'Flat Rates'!$A$1:$M$1,0)))*100)+H227),""))</f>
        <v/>
      </c>
      <c r="AU227" s="152" t="str">
        <f t="shared" si="99"/>
        <v/>
      </c>
      <c r="AV227" s="152" t="str">
        <f t="shared" si="100"/>
        <v/>
      </c>
      <c r="AW227" s="152" t="str">
        <f t="shared" si="101"/>
        <v/>
      </c>
    </row>
    <row r="228" spans="2:49" ht="15" thickBot="1" x14ac:dyDescent="0.35">
      <c r="B228" s="138" t="str">
        <f t="shared" si="78"/>
        <v/>
      </c>
      <c r="C228" s="146"/>
      <c r="D228" s="147"/>
      <c r="E228" s="140"/>
      <c r="F228" s="140"/>
      <c r="G228" s="139"/>
      <c r="H228" s="151"/>
      <c r="I228" s="139"/>
      <c r="J228" s="137"/>
      <c r="K228" s="139"/>
      <c r="L228" s="141"/>
      <c r="M228" s="133" t="str">
        <f t="shared" si="79"/>
        <v/>
      </c>
      <c r="N228" s="133" t="str">
        <f t="shared" si="80"/>
        <v/>
      </c>
      <c r="O228" s="133" t="str">
        <f t="shared" si="81"/>
        <v/>
      </c>
      <c r="P228" s="133" t="str">
        <f t="shared" si="82"/>
        <v/>
      </c>
      <c r="Q228" s="133" t="str">
        <f t="shared" si="83"/>
        <v/>
      </c>
      <c r="R228" s="133" t="str">
        <f t="shared" si="84"/>
        <v/>
      </c>
      <c r="S228" s="133" t="str">
        <f t="shared" si="85"/>
        <v/>
      </c>
      <c r="T228" s="133" t="str">
        <f>IFERROR(IF($U228="ERROR","ERROR",IF($N228="00",IF(J228="1-Rate","HH 1RATE",IF(J228="2-Rate","HH 2RATE","")),IFERROR(VLOOKUP(CONCATENATE(N228,Q228,O228,P228),Lookups!$A$2:$E$4557,5,0),VLOOKUP(CONCATENATE(N228,Q228,O228),Lookups!$A$2:$E$4557,5,0)))),"ERROR")</f>
        <v>ERROR</v>
      </c>
      <c r="U228" s="133" t="str">
        <f>IFERROR(IF(NOT($N228="00"),"",VLOOKUP(CONCATENATE(Q228,P228,LOOKUP(2,1/(Lookups!$I$2:$I$11&lt;=E228)/(Lookups!$J$2:$J$11&gt;=Tool!$C$14),Lookups!$K$2:$K$11)),'HH LLFs'!$A$2:$K$500,3,0)),"ERROR")</f>
        <v/>
      </c>
      <c r="V228" s="132">
        <f>Calcs!$I$2</f>
        <v>44377</v>
      </c>
      <c r="W228" s="132">
        <f>Calcs!$I$4</f>
        <v>44592</v>
      </c>
      <c r="X228" s="153" t="str">
        <f>IF(NOT(N228="00"),"",(VLOOKUP(CONCATENATE(Q228,P228,LOOKUP(2,1/(Lookups!$I$2:$I$11&lt;=Multisite!E228)/(Lookups!$J$2:$J$11&gt;=E228),Lookups!$K$2:$K$11)),'HH LLFs'!$A$2:$F$282,6,0)*365)/12)</f>
        <v/>
      </c>
      <c r="Y228" s="153">
        <f t="shared" si="86"/>
        <v>0</v>
      </c>
      <c r="Z228" s="153" t="str">
        <f t="shared" si="95"/>
        <v/>
      </c>
      <c r="AA228" s="153" t="str">
        <f t="shared" si="87"/>
        <v/>
      </c>
      <c r="AB228" s="153" t="str">
        <f t="shared" si="96"/>
        <v/>
      </c>
      <c r="AC228" s="153" t="str">
        <f t="shared" si="88"/>
        <v/>
      </c>
      <c r="AD228" s="153" t="str">
        <f t="shared" si="89"/>
        <v/>
      </c>
      <c r="AE228" s="153" t="str">
        <f t="shared" si="90"/>
        <v/>
      </c>
      <c r="AF228" s="155" t="e">
        <f>LOOKUP(2,1/(Lookups!$I$2:$I$11&lt;=E228)/(Lookups!$J$2:$J$11&gt;=E228),Lookups!$L$2:$L$11)</f>
        <v>#N/A</v>
      </c>
      <c r="AG228" s="142" t="str">
        <f t="shared" si="91"/>
        <v/>
      </c>
      <c r="AH228" s="142" t="str">
        <f t="shared" si="92"/>
        <v/>
      </c>
      <c r="AI228" s="143" t="b">
        <f t="shared" si="97"/>
        <v>0</v>
      </c>
      <c r="AJ228" s="143" t="str">
        <f t="shared" si="93"/>
        <v>Level 1</v>
      </c>
      <c r="AK228" s="142">
        <f t="shared" si="94"/>
        <v>0</v>
      </c>
      <c r="AL228" s="157" t="str">
        <f t="shared" si="102"/>
        <v/>
      </c>
      <c r="AM228" s="144" t="str">
        <f t="shared" si="103"/>
        <v>--FALSE-0</v>
      </c>
      <c r="AN228" s="158" t="str">
        <f t="shared" si="98"/>
        <v/>
      </c>
      <c r="AO228" s="145"/>
      <c r="AP228" s="159" t="str">
        <f>IF($AN228=FALSE,"",IFERROR(INDEX('Flat Rates'!$A$1:$M$3880,MATCH($AM228,'Flat Rates'!$A$1:$A$3880,0),MATCH("Standing Charge",'Flat Rates'!$A$1:$M$1,0))*100,""))</f>
        <v/>
      </c>
      <c r="AQ228" s="148" t="str">
        <f>IF($AN228=FALSE,"",IFERROR((IF(NOT(T228="Unrestricted"),"",INDEX('Flat Rates'!$A$1:$M$3880,MATCH($AM228,'Flat Rates'!$A$1:$A$3880,0),MATCH("Uni/Day Rate",'Flat Rates'!$A$1:$M$1,0)))*100)+H228,""))</f>
        <v/>
      </c>
      <c r="AR228" s="148" t="str">
        <f>IF($AN228=FALSE,"",IFERROR((IF(T228="Unrestricted","",INDEX('Flat Rates'!$A$1:$M$3880,MATCH($AM228,'Flat Rates'!$A$1:$A$3880,0),MATCH("Uni/Day Rate",'Flat Rates'!$A$1:$M$1,0)))*100)+H228,""))</f>
        <v/>
      </c>
      <c r="AS228" s="148" t="str">
        <f>IF($AN228=FALSE,"",IFERROR(IF(INDEX('Flat Rates'!$A$1:$M$3880,MATCH($AM228,'Flat Rates'!$A$1:$A$3880,0),MATCH("Night Unit Rate",'Flat Rates'!$A$1:$M$1,0))=0,"",((INDEX('Flat Rates'!$A$1:$M$3880,MATCH($AM228,'Flat Rates'!$A$1:$A$3880,0),MATCH("Night Unit Rate",'Flat Rates'!$A$1:$M$1,0)))*100)+H228),""))</f>
        <v/>
      </c>
      <c r="AT228" s="148" t="str">
        <f>IF($AN228=FALSE,"",IFERROR(IF(INDEX('Flat Rates'!$A$1:$M$3880,MATCH($AM228,'Flat Rates'!$A$1:$A$3880,0),MATCH("Evening and Weekend Rate",'Flat Rates'!$A$1:$M$1,0))=0,"",((INDEX('Flat Rates'!$A$1:$M$3880,MATCH($AM228,'Flat Rates'!$A$1:$A$3880,0),MATCH("Evening and Weekend Rate",'Flat Rates'!$A$1:$M$1,0)))*100)+H228),""))</f>
        <v/>
      </c>
      <c r="AU228" s="152" t="str">
        <f t="shared" si="99"/>
        <v/>
      </c>
      <c r="AV228" s="152" t="str">
        <f t="shared" si="100"/>
        <v/>
      </c>
      <c r="AW228" s="152" t="str">
        <f t="shared" si="101"/>
        <v/>
      </c>
    </row>
    <row r="229" spans="2:49" ht="15" thickBot="1" x14ac:dyDescent="0.35">
      <c r="B229" s="138" t="str">
        <f t="shared" si="78"/>
        <v/>
      </c>
      <c r="C229" s="137"/>
      <c r="D229" s="139"/>
      <c r="E229" s="140"/>
      <c r="F229" s="140"/>
      <c r="G229" s="139"/>
      <c r="H229" s="151"/>
      <c r="I229" s="139"/>
      <c r="J229" s="138"/>
      <c r="K229" s="139"/>
      <c r="L229" s="141"/>
      <c r="M229" s="133" t="str">
        <f t="shared" si="79"/>
        <v/>
      </c>
      <c r="N229" s="133" t="str">
        <f t="shared" si="80"/>
        <v/>
      </c>
      <c r="O229" s="133" t="str">
        <f t="shared" si="81"/>
        <v/>
      </c>
      <c r="P229" s="133" t="str">
        <f t="shared" si="82"/>
        <v/>
      </c>
      <c r="Q229" s="133" t="str">
        <f t="shared" si="83"/>
        <v/>
      </c>
      <c r="R229" s="133" t="str">
        <f t="shared" si="84"/>
        <v/>
      </c>
      <c r="S229" s="133" t="str">
        <f t="shared" si="85"/>
        <v/>
      </c>
      <c r="T229" s="133" t="str">
        <f>IFERROR(IF($U229="ERROR","ERROR",IF($N229="00",IF(J229="1-Rate","HH 1RATE",IF(J229="2-Rate","HH 2RATE","")),IFERROR(VLOOKUP(CONCATENATE(N229,Q229,O229,P229),Lookups!$A$2:$E$4557,5,0),VLOOKUP(CONCATENATE(N229,Q229,O229),Lookups!$A$2:$E$4557,5,0)))),"ERROR")</f>
        <v>ERROR</v>
      </c>
      <c r="U229" s="133" t="str">
        <f>IFERROR(IF(NOT($N229="00"),"",VLOOKUP(CONCATENATE(Q229,P229,LOOKUP(2,1/(Lookups!$I$2:$I$11&lt;=E229)/(Lookups!$J$2:$J$11&gt;=Tool!$C$14),Lookups!$K$2:$K$11)),'HH LLFs'!$A$2:$K$500,3,0)),"ERROR")</f>
        <v/>
      </c>
      <c r="V229" s="132">
        <f>Calcs!$I$2</f>
        <v>44377</v>
      </c>
      <c r="W229" s="132">
        <f>Calcs!$I$4</f>
        <v>44592</v>
      </c>
      <c r="X229" s="153" t="str">
        <f>IF(NOT(N229="00"),"",(VLOOKUP(CONCATENATE(Q229,P229,LOOKUP(2,1/(Lookups!$I$2:$I$11&lt;=Multisite!E229)/(Lookups!$J$2:$J$11&gt;=E229),Lookups!$K$2:$K$11)),'HH LLFs'!$A$2:$F$282,6,0)*365)/12)</f>
        <v/>
      </c>
      <c r="Y229" s="153">
        <f t="shared" si="86"/>
        <v>0</v>
      </c>
      <c r="Z229" s="153" t="str">
        <f t="shared" si="95"/>
        <v/>
      </c>
      <c r="AA229" s="153" t="str">
        <f t="shared" si="87"/>
        <v/>
      </c>
      <c r="AB229" s="153" t="str">
        <f t="shared" si="96"/>
        <v/>
      </c>
      <c r="AC229" s="153" t="str">
        <f t="shared" si="88"/>
        <v/>
      </c>
      <c r="AD229" s="153" t="str">
        <f t="shared" si="89"/>
        <v/>
      </c>
      <c r="AE229" s="153" t="str">
        <f t="shared" si="90"/>
        <v/>
      </c>
      <c r="AF229" s="155" t="e">
        <f>LOOKUP(2,1/(Lookups!$I$2:$I$11&lt;=E229)/(Lookups!$J$2:$J$11&gt;=E229),Lookups!$L$2:$L$11)</f>
        <v>#N/A</v>
      </c>
      <c r="AG229" s="142" t="str">
        <f t="shared" si="91"/>
        <v/>
      </c>
      <c r="AH229" s="142" t="str">
        <f t="shared" si="92"/>
        <v/>
      </c>
      <c r="AI229" s="143" t="b">
        <f t="shared" si="97"/>
        <v>0</v>
      </c>
      <c r="AJ229" s="143" t="str">
        <f t="shared" si="93"/>
        <v>Level 1</v>
      </c>
      <c r="AK229" s="142">
        <f t="shared" si="94"/>
        <v>0</v>
      </c>
      <c r="AL229" s="157" t="str">
        <f t="shared" si="102"/>
        <v/>
      </c>
      <c r="AM229" s="144" t="str">
        <f t="shared" si="103"/>
        <v>--FALSE-0</v>
      </c>
      <c r="AN229" s="158" t="str">
        <f t="shared" si="98"/>
        <v/>
      </c>
      <c r="AO229" s="145"/>
      <c r="AP229" s="159" t="str">
        <f>IF($AN229=FALSE,"",IFERROR(INDEX('Flat Rates'!$A$1:$M$3880,MATCH($AM229,'Flat Rates'!$A$1:$A$3880,0),MATCH("Standing Charge",'Flat Rates'!$A$1:$M$1,0))*100,""))</f>
        <v/>
      </c>
      <c r="AQ229" s="148" t="str">
        <f>IF($AN229=FALSE,"",IFERROR((IF(NOT(T229="Unrestricted"),"",INDEX('Flat Rates'!$A$1:$M$3880,MATCH($AM229,'Flat Rates'!$A$1:$A$3880,0),MATCH("Uni/Day Rate",'Flat Rates'!$A$1:$M$1,0)))*100)+H229,""))</f>
        <v/>
      </c>
      <c r="AR229" s="148" t="str">
        <f>IF($AN229=FALSE,"",IFERROR((IF(T229="Unrestricted","",INDEX('Flat Rates'!$A$1:$M$3880,MATCH($AM229,'Flat Rates'!$A$1:$A$3880,0),MATCH("Uni/Day Rate",'Flat Rates'!$A$1:$M$1,0)))*100)+H229,""))</f>
        <v/>
      </c>
      <c r="AS229" s="148" t="str">
        <f>IF($AN229=FALSE,"",IFERROR(IF(INDEX('Flat Rates'!$A$1:$M$3880,MATCH($AM229,'Flat Rates'!$A$1:$A$3880,0),MATCH("Night Unit Rate",'Flat Rates'!$A$1:$M$1,0))=0,"",((INDEX('Flat Rates'!$A$1:$M$3880,MATCH($AM229,'Flat Rates'!$A$1:$A$3880,0),MATCH("Night Unit Rate",'Flat Rates'!$A$1:$M$1,0)))*100)+H229),""))</f>
        <v/>
      </c>
      <c r="AT229" s="148" t="str">
        <f>IF($AN229=FALSE,"",IFERROR(IF(INDEX('Flat Rates'!$A$1:$M$3880,MATCH($AM229,'Flat Rates'!$A$1:$A$3880,0),MATCH("Evening and Weekend Rate",'Flat Rates'!$A$1:$M$1,0))=0,"",((INDEX('Flat Rates'!$A$1:$M$3880,MATCH($AM229,'Flat Rates'!$A$1:$A$3880,0),MATCH("Evening and Weekend Rate",'Flat Rates'!$A$1:$M$1,0)))*100)+H229),""))</f>
        <v/>
      </c>
      <c r="AU229" s="152" t="str">
        <f t="shared" si="99"/>
        <v/>
      </c>
      <c r="AV229" s="152" t="str">
        <f t="shared" si="100"/>
        <v/>
      </c>
      <c r="AW229" s="152" t="str">
        <f t="shared" si="101"/>
        <v/>
      </c>
    </row>
    <row r="230" spans="2:49" ht="15" thickBot="1" x14ac:dyDescent="0.35">
      <c r="B230" s="138" t="str">
        <f t="shared" si="78"/>
        <v/>
      </c>
      <c r="C230" s="146"/>
      <c r="D230" s="147"/>
      <c r="E230" s="140"/>
      <c r="F230" s="140"/>
      <c r="G230" s="139"/>
      <c r="H230" s="151"/>
      <c r="I230" s="139"/>
      <c r="J230" s="137"/>
      <c r="K230" s="139"/>
      <c r="L230" s="141"/>
      <c r="M230" s="133" t="str">
        <f t="shared" si="79"/>
        <v/>
      </c>
      <c r="N230" s="133" t="str">
        <f t="shared" si="80"/>
        <v/>
      </c>
      <c r="O230" s="133" t="str">
        <f t="shared" si="81"/>
        <v/>
      </c>
      <c r="P230" s="133" t="str">
        <f t="shared" si="82"/>
        <v/>
      </c>
      <c r="Q230" s="133" t="str">
        <f t="shared" si="83"/>
        <v/>
      </c>
      <c r="R230" s="133" t="str">
        <f t="shared" si="84"/>
        <v/>
      </c>
      <c r="S230" s="133" t="str">
        <f t="shared" si="85"/>
        <v/>
      </c>
      <c r="T230" s="133" t="str">
        <f>IFERROR(IF($U230="ERROR","ERROR",IF($N230="00",IF(J230="1-Rate","HH 1RATE",IF(J230="2-Rate","HH 2RATE","")),IFERROR(VLOOKUP(CONCATENATE(N230,Q230,O230,P230),Lookups!$A$2:$E$4557,5,0),VLOOKUP(CONCATENATE(N230,Q230,O230),Lookups!$A$2:$E$4557,5,0)))),"ERROR")</f>
        <v>ERROR</v>
      </c>
      <c r="U230" s="133" t="str">
        <f>IFERROR(IF(NOT($N230="00"),"",VLOOKUP(CONCATENATE(Q230,P230,LOOKUP(2,1/(Lookups!$I$2:$I$11&lt;=E230)/(Lookups!$J$2:$J$11&gt;=Tool!$C$14),Lookups!$K$2:$K$11)),'HH LLFs'!$A$2:$K$500,3,0)),"ERROR")</f>
        <v/>
      </c>
      <c r="V230" s="132">
        <f>Calcs!$I$2</f>
        <v>44377</v>
      </c>
      <c r="W230" s="132">
        <f>Calcs!$I$4</f>
        <v>44592</v>
      </c>
      <c r="X230" s="153" t="str">
        <f>IF(NOT(N230="00"),"",(VLOOKUP(CONCATENATE(Q230,P230,LOOKUP(2,1/(Lookups!$I$2:$I$11&lt;=Multisite!E230)/(Lookups!$J$2:$J$11&gt;=E230),Lookups!$K$2:$K$11)),'HH LLFs'!$A$2:$F$282,6,0)*365)/12)</f>
        <v/>
      </c>
      <c r="Y230" s="153">
        <f t="shared" si="86"/>
        <v>0</v>
      </c>
      <c r="Z230" s="153" t="str">
        <f t="shared" si="95"/>
        <v/>
      </c>
      <c r="AA230" s="153" t="str">
        <f t="shared" si="87"/>
        <v/>
      </c>
      <c r="AB230" s="153" t="str">
        <f t="shared" si="96"/>
        <v/>
      </c>
      <c r="AC230" s="153" t="str">
        <f t="shared" si="88"/>
        <v/>
      </c>
      <c r="AD230" s="153" t="str">
        <f t="shared" si="89"/>
        <v/>
      </c>
      <c r="AE230" s="153" t="str">
        <f t="shared" si="90"/>
        <v/>
      </c>
      <c r="AF230" s="155" t="e">
        <f>LOOKUP(2,1/(Lookups!$I$2:$I$11&lt;=E230)/(Lookups!$J$2:$J$11&gt;=E230),Lookups!$L$2:$L$11)</f>
        <v>#N/A</v>
      </c>
      <c r="AG230" s="142" t="str">
        <f t="shared" si="91"/>
        <v/>
      </c>
      <c r="AH230" s="142" t="str">
        <f t="shared" si="92"/>
        <v/>
      </c>
      <c r="AI230" s="143" t="b">
        <f t="shared" si="97"/>
        <v>0</v>
      </c>
      <c r="AJ230" s="143" t="str">
        <f t="shared" si="93"/>
        <v>Level 1</v>
      </c>
      <c r="AK230" s="142">
        <f t="shared" si="94"/>
        <v>0</v>
      </c>
      <c r="AL230" s="157" t="str">
        <f t="shared" si="102"/>
        <v/>
      </c>
      <c r="AM230" s="144" t="str">
        <f t="shared" si="103"/>
        <v>--FALSE-0</v>
      </c>
      <c r="AN230" s="158" t="str">
        <f t="shared" si="98"/>
        <v/>
      </c>
      <c r="AO230" s="145"/>
      <c r="AP230" s="159" t="str">
        <f>IF($AN230=FALSE,"",IFERROR(INDEX('Flat Rates'!$A$1:$M$3880,MATCH($AM230,'Flat Rates'!$A$1:$A$3880,0),MATCH("Standing Charge",'Flat Rates'!$A$1:$M$1,0))*100,""))</f>
        <v/>
      </c>
      <c r="AQ230" s="148" t="str">
        <f>IF($AN230=FALSE,"",IFERROR((IF(NOT(T230="Unrestricted"),"",INDEX('Flat Rates'!$A$1:$M$3880,MATCH($AM230,'Flat Rates'!$A$1:$A$3880,0),MATCH("Uni/Day Rate",'Flat Rates'!$A$1:$M$1,0)))*100)+H230,""))</f>
        <v/>
      </c>
      <c r="AR230" s="148" t="str">
        <f>IF($AN230=FALSE,"",IFERROR((IF(T230="Unrestricted","",INDEX('Flat Rates'!$A$1:$M$3880,MATCH($AM230,'Flat Rates'!$A$1:$A$3880,0),MATCH("Uni/Day Rate",'Flat Rates'!$A$1:$M$1,0)))*100)+H230,""))</f>
        <v/>
      </c>
      <c r="AS230" s="148" t="str">
        <f>IF($AN230=FALSE,"",IFERROR(IF(INDEX('Flat Rates'!$A$1:$M$3880,MATCH($AM230,'Flat Rates'!$A$1:$A$3880,0),MATCH("Night Unit Rate",'Flat Rates'!$A$1:$M$1,0))=0,"",((INDEX('Flat Rates'!$A$1:$M$3880,MATCH($AM230,'Flat Rates'!$A$1:$A$3880,0),MATCH("Night Unit Rate",'Flat Rates'!$A$1:$M$1,0)))*100)+H230),""))</f>
        <v/>
      </c>
      <c r="AT230" s="148" t="str">
        <f>IF($AN230=FALSE,"",IFERROR(IF(INDEX('Flat Rates'!$A$1:$M$3880,MATCH($AM230,'Flat Rates'!$A$1:$A$3880,0),MATCH("Evening and Weekend Rate",'Flat Rates'!$A$1:$M$1,0))=0,"",((INDEX('Flat Rates'!$A$1:$M$3880,MATCH($AM230,'Flat Rates'!$A$1:$A$3880,0),MATCH("Evening and Weekend Rate",'Flat Rates'!$A$1:$M$1,0)))*100)+H230),""))</f>
        <v/>
      </c>
      <c r="AU230" s="152" t="str">
        <f t="shared" si="99"/>
        <v/>
      </c>
      <c r="AV230" s="152" t="str">
        <f t="shared" si="100"/>
        <v/>
      </c>
      <c r="AW230" s="152" t="str">
        <f t="shared" si="101"/>
        <v/>
      </c>
    </row>
    <row r="231" spans="2:49" ht="15" thickBot="1" x14ac:dyDescent="0.35">
      <c r="B231" s="138" t="str">
        <f t="shared" si="78"/>
        <v/>
      </c>
      <c r="C231" s="137"/>
      <c r="D231" s="139"/>
      <c r="E231" s="140"/>
      <c r="F231" s="140"/>
      <c r="G231" s="139"/>
      <c r="H231" s="151"/>
      <c r="I231" s="139"/>
      <c r="J231" s="138"/>
      <c r="K231" s="139"/>
      <c r="L231" s="141"/>
      <c r="M231" s="133" t="str">
        <f t="shared" si="79"/>
        <v/>
      </c>
      <c r="N231" s="133" t="str">
        <f t="shared" si="80"/>
        <v/>
      </c>
      <c r="O231" s="133" t="str">
        <f t="shared" si="81"/>
        <v/>
      </c>
      <c r="P231" s="133" t="str">
        <f t="shared" si="82"/>
        <v/>
      </c>
      <c r="Q231" s="133" t="str">
        <f t="shared" si="83"/>
        <v/>
      </c>
      <c r="R231" s="133" t="str">
        <f t="shared" si="84"/>
        <v/>
      </c>
      <c r="S231" s="133" t="str">
        <f t="shared" si="85"/>
        <v/>
      </c>
      <c r="T231" s="133" t="str">
        <f>IFERROR(IF($U231="ERROR","ERROR",IF($N231="00",IF(J231="1-Rate","HH 1RATE",IF(J231="2-Rate","HH 2RATE","")),IFERROR(VLOOKUP(CONCATENATE(N231,Q231,O231,P231),Lookups!$A$2:$E$4557,5,0),VLOOKUP(CONCATENATE(N231,Q231,O231),Lookups!$A$2:$E$4557,5,0)))),"ERROR")</f>
        <v>ERROR</v>
      </c>
      <c r="U231" s="133" t="str">
        <f>IFERROR(IF(NOT($N231="00"),"",VLOOKUP(CONCATENATE(Q231,P231,LOOKUP(2,1/(Lookups!$I$2:$I$11&lt;=E231)/(Lookups!$J$2:$J$11&gt;=Tool!$C$14),Lookups!$K$2:$K$11)),'HH LLFs'!$A$2:$K$500,3,0)),"ERROR")</f>
        <v/>
      </c>
      <c r="V231" s="132">
        <f>Calcs!$I$2</f>
        <v>44377</v>
      </c>
      <c r="W231" s="132">
        <f>Calcs!$I$4</f>
        <v>44592</v>
      </c>
      <c r="X231" s="153" t="str">
        <f>IF(NOT(N231="00"),"",(VLOOKUP(CONCATENATE(Q231,P231,LOOKUP(2,1/(Lookups!$I$2:$I$11&lt;=Multisite!E231)/(Lookups!$J$2:$J$11&gt;=E231),Lookups!$K$2:$K$11)),'HH LLFs'!$A$2:$F$282,6,0)*365)/12)</f>
        <v/>
      </c>
      <c r="Y231" s="153">
        <f t="shared" si="86"/>
        <v>0</v>
      </c>
      <c r="Z231" s="153" t="str">
        <f t="shared" si="95"/>
        <v/>
      </c>
      <c r="AA231" s="153" t="str">
        <f t="shared" si="87"/>
        <v/>
      </c>
      <c r="AB231" s="153" t="str">
        <f t="shared" si="96"/>
        <v/>
      </c>
      <c r="AC231" s="153" t="str">
        <f t="shared" si="88"/>
        <v/>
      </c>
      <c r="AD231" s="153" t="str">
        <f t="shared" si="89"/>
        <v/>
      </c>
      <c r="AE231" s="153" t="str">
        <f t="shared" si="90"/>
        <v/>
      </c>
      <c r="AF231" s="155" t="e">
        <f>LOOKUP(2,1/(Lookups!$I$2:$I$11&lt;=E231)/(Lookups!$J$2:$J$11&gt;=E231),Lookups!$L$2:$L$11)</f>
        <v>#N/A</v>
      </c>
      <c r="AG231" s="142" t="str">
        <f t="shared" si="91"/>
        <v/>
      </c>
      <c r="AH231" s="142" t="str">
        <f t="shared" si="92"/>
        <v/>
      </c>
      <c r="AI231" s="143" t="b">
        <f t="shared" si="97"/>
        <v>0</v>
      </c>
      <c r="AJ231" s="143" t="str">
        <f t="shared" si="93"/>
        <v>Level 1</v>
      </c>
      <c r="AK231" s="142">
        <f t="shared" si="94"/>
        <v>0</v>
      </c>
      <c r="AL231" s="157" t="str">
        <f t="shared" si="102"/>
        <v/>
      </c>
      <c r="AM231" s="144" t="str">
        <f t="shared" si="103"/>
        <v>--FALSE-0</v>
      </c>
      <c r="AN231" s="158" t="str">
        <f t="shared" si="98"/>
        <v/>
      </c>
      <c r="AO231" s="145"/>
      <c r="AP231" s="159" t="str">
        <f>IF($AN231=FALSE,"",IFERROR(INDEX('Flat Rates'!$A$1:$M$3880,MATCH($AM231,'Flat Rates'!$A$1:$A$3880,0),MATCH("Standing Charge",'Flat Rates'!$A$1:$M$1,0))*100,""))</f>
        <v/>
      </c>
      <c r="AQ231" s="148" t="str">
        <f>IF($AN231=FALSE,"",IFERROR((IF(NOT(T231="Unrestricted"),"",INDEX('Flat Rates'!$A$1:$M$3880,MATCH($AM231,'Flat Rates'!$A$1:$A$3880,0),MATCH("Uni/Day Rate",'Flat Rates'!$A$1:$M$1,0)))*100)+H231,""))</f>
        <v/>
      </c>
      <c r="AR231" s="148" t="str">
        <f>IF($AN231=FALSE,"",IFERROR((IF(T231="Unrestricted","",INDEX('Flat Rates'!$A$1:$M$3880,MATCH($AM231,'Flat Rates'!$A$1:$A$3880,0),MATCH("Uni/Day Rate",'Flat Rates'!$A$1:$M$1,0)))*100)+H231,""))</f>
        <v/>
      </c>
      <c r="AS231" s="148" t="str">
        <f>IF($AN231=FALSE,"",IFERROR(IF(INDEX('Flat Rates'!$A$1:$M$3880,MATCH($AM231,'Flat Rates'!$A$1:$A$3880,0),MATCH("Night Unit Rate",'Flat Rates'!$A$1:$M$1,0))=0,"",((INDEX('Flat Rates'!$A$1:$M$3880,MATCH($AM231,'Flat Rates'!$A$1:$A$3880,0),MATCH("Night Unit Rate",'Flat Rates'!$A$1:$M$1,0)))*100)+H231),""))</f>
        <v/>
      </c>
      <c r="AT231" s="148" t="str">
        <f>IF($AN231=FALSE,"",IFERROR(IF(INDEX('Flat Rates'!$A$1:$M$3880,MATCH($AM231,'Flat Rates'!$A$1:$A$3880,0),MATCH("Evening and Weekend Rate",'Flat Rates'!$A$1:$M$1,0))=0,"",((INDEX('Flat Rates'!$A$1:$M$3880,MATCH($AM231,'Flat Rates'!$A$1:$A$3880,0),MATCH("Evening and Weekend Rate",'Flat Rates'!$A$1:$M$1,0)))*100)+H231),""))</f>
        <v/>
      </c>
      <c r="AU231" s="152" t="str">
        <f t="shared" si="99"/>
        <v/>
      </c>
      <c r="AV231" s="152" t="str">
        <f t="shared" si="100"/>
        <v/>
      </c>
      <c r="AW231" s="152" t="str">
        <f t="shared" si="101"/>
        <v/>
      </c>
    </row>
    <row r="232" spans="2:49" ht="15" thickBot="1" x14ac:dyDescent="0.35">
      <c r="B232" s="138" t="str">
        <f t="shared" si="78"/>
        <v/>
      </c>
      <c r="C232" s="146"/>
      <c r="D232" s="147"/>
      <c r="E232" s="140"/>
      <c r="F232" s="140"/>
      <c r="G232" s="139"/>
      <c r="H232" s="151"/>
      <c r="I232" s="139"/>
      <c r="J232" s="137"/>
      <c r="K232" s="139"/>
      <c r="L232" s="141"/>
      <c r="M232" s="133" t="str">
        <f t="shared" si="79"/>
        <v/>
      </c>
      <c r="N232" s="133" t="str">
        <f t="shared" si="80"/>
        <v/>
      </c>
      <c r="O232" s="133" t="str">
        <f t="shared" si="81"/>
        <v/>
      </c>
      <c r="P232" s="133" t="str">
        <f t="shared" si="82"/>
        <v/>
      </c>
      <c r="Q232" s="133" t="str">
        <f t="shared" si="83"/>
        <v/>
      </c>
      <c r="R232" s="133" t="str">
        <f t="shared" si="84"/>
        <v/>
      </c>
      <c r="S232" s="133" t="str">
        <f t="shared" si="85"/>
        <v/>
      </c>
      <c r="T232" s="133" t="str">
        <f>IFERROR(IF($U232="ERROR","ERROR",IF($N232="00",IF(J232="1-Rate","HH 1RATE",IF(J232="2-Rate","HH 2RATE","")),IFERROR(VLOOKUP(CONCATENATE(N232,Q232,O232,P232),Lookups!$A$2:$E$4557,5,0),VLOOKUP(CONCATENATE(N232,Q232,O232),Lookups!$A$2:$E$4557,5,0)))),"ERROR")</f>
        <v>ERROR</v>
      </c>
      <c r="U232" s="133" t="str">
        <f>IFERROR(IF(NOT($N232="00"),"",VLOOKUP(CONCATENATE(Q232,P232,LOOKUP(2,1/(Lookups!$I$2:$I$11&lt;=E232)/(Lookups!$J$2:$J$11&gt;=Tool!$C$14),Lookups!$K$2:$K$11)),'HH LLFs'!$A$2:$K$500,3,0)),"ERROR")</f>
        <v/>
      </c>
      <c r="V232" s="132">
        <f>Calcs!$I$2</f>
        <v>44377</v>
      </c>
      <c r="W232" s="132">
        <f>Calcs!$I$4</f>
        <v>44592</v>
      </c>
      <c r="X232" s="153" t="str">
        <f>IF(NOT(N232="00"),"",(VLOOKUP(CONCATENATE(Q232,P232,LOOKUP(2,1/(Lookups!$I$2:$I$11&lt;=Multisite!E232)/(Lookups!$J$2:$J$11&gt;=E232),Lookups!$K$2:$K$11)),'HH LLFs'!$A$2:$F$282,6,0)*365)/12)</f>
        <v/>
      </c>
      <c r="Y232" s="153">
        <f t="shared" si="86"/>
        <v>0</v>
      </c>
      <c r="Z232" s="153" t="str">
        <f t="shared" si="95"/>
        <v/>
      </c>
      <c r="AA232" s="153" t="str">
        <f t="shared" si="87"/>
        <v/>
      </c>
      <c r="AB232" s="153" t="str">
        <f t="shared" si="96"/>
        <v/>
      </c>
      <c r="AC232" s="153" t="str">
        <f t="shared" si="88"/>
        <v/>
      </c>
      <c r="AD232" s="153" t="str">
        <f t="shared" si="89"/>
        <v/>
      </c>
      <c r="AE232" s="153" t="str">
        <f t="shared" si="90"/>
        <v/>
      </c>
      <c r="AF232" s="155" t="e">
        <f>LOOKUP(2,1/(Lookups!$I$2:$I$11&lt;=E232)/(Lookups!$J$2:$J$11&gt;=E232),Lookups!$L$2:$L$11)</f>
        <v>#N/A</v>
      </c>
      <c r="AG232" s="142" t="str">
        <f t="shared" si="91"/>
        <v/>
      </c>
      <c r="AH232" s="142" t="str">
        <f t="shared" si="92"/>
        <v/>
      </c>
      <c r="AI232" s="143" t="b">
        <f t="shared" si="97"/>
        <v>0</v>
      </c>
      <c r="AJ232" s="143" t="str">
        <f t="shared" si="93"/>
        <v>Level 1</v>
      </c>
      <c r="AK232" s="142">
        <f t="shared" si="94"/>
        <v>0</v>
      </c>
      <c r="AL232" s="157" t="str">
        <f t="shared" si="102"/>
        <v/>
      </c>
      <c r="AM232" s="144" t="str">
        <f t="shared" si="103"/>
        <v>--FALSE-0</v>
      </c>
      <c r="AN232" s="158" t="str">
        <f t="shared" si="98"/>
        <v/>
      </c>
      <c r="AO232" s="145"/>
      <c r="AP232" s="159" t="str">
        <f>IF($AN232=FALSE,"",IFERROR(INDEX('Flat Rates'!$A$1:$M$3880,MATCH($AM232,'Flat Rates'!$A$1:$A$3880,0),MATCH("Standing Charge",'Flat Rates'!$A$1:$M$1,0))*100,""))</f>
        <v/>
      </c>
      <c r="AQ232" s="148" t="str">
        <f>IF($AN232=FALSE,"",IFERROR((IF(NOT(T232="Unrestricted"),"",INDEX('Flat Rates'!$A$1:$M$3880,MATCH($AM232,'Flat Rates'!$A$1:$A$3880,0),MATCH("Uni/Day Rate",'Flat Rates'!$A$1:$M$1,0)))*100)+H232,""))</f>
        <v/>
      </c>
      <c r="AR232" s="148" t="str">
        <f>IF($AN232=FALSE,"",IFERROR((IF(T232="Unrestricted","",INDEX('Flat Rates'!$A$1:$M$3880,MATCH($AM232,'Flat Rates'!$A$1:$A$3880,0),MATCH("Uni/Day Rate",'Flat Rates'!$A$1:$M$1,0)))*100)+H232,""))</f>
        <v/>
      </c>
      <c r="AS232" s="148" t="str">
        <f>IF($AN232=FALSE,"",IFERROR(IF(INDEX('Flat Rates'!$A$1:$M$3880,MATCH($AM232,'Flat Rates'!$A$1:$A$3880,0),MATCH("Night Unit Rate",'Flat Rates'!$A$1:$M$1,0))=0,"",((INDEX('Flat Rates'!$A$1:$M$3880,MATCH($AM232,'Flat Rates'!$A$1:$A$3880,0),MATCH("Night Unit Rate",'Flat Rates'!$A$1:$M$1,0)))*100)+H232),""))</f>
        <v/>
      </c>
      <c r="AT232" s="148" t="str">
        <f>IF($AN232=FALSE,"",IFERROR(IF(INDEX('Flat Rates'!$A$1:$M$3880,MATCH($AM232,'Flat Rates'!$A$1:$A$3880,0),MATCH("Evening and Weekend Rate",'Flat Rates'!$A$1:$M$1,0))=0,"",((INDEX('Flat Rates'!$A$1:$M$3880,MATCH($AM232,'Flat Rates'!$A$1:$A$3880,0),MATCH("Evening and Weekend Rate",'Flat Rates'!$A$1:$M$1,0)))*100)+H232),""))</f>
        <v/>
      </c>
      <c r="AU232" s="152" t="str">
        <f t="shared" si="99"/>
        <v/>
      </c>
      <c r="AV232" s="152" t="str">
        <f t="shared" si="100"/>
        <v/>
      </c>
      <c r="AW232" s="152" t="str">
        <f t="shared" si="101"/>
        <v/>
      </c>
    </row>
    <row r="233" spans="2:49" ht="15" thickBot="1" x14ac:dyDescent="0.35">
      <c r="B233" s="138" t="str">
        <f t="shared" si="78"/>
        <v/>
      </c>
      <c r="C233" s="137"/>
      <c r="D233" s="139"/>
      <c r="E233" s="140"/>
      <c r="F233" s="140"/>
      <c r="G233" s="139"/>
      <c r="H233" s="151"/>
      <c r="I233" s="139"/>
      <c r="J233" s="138"/>
      <c r="K233" s="139"/>
      <c r="L233" s="141"/>
      <c r="M233" s="133" t="str">
        <f t="shared" si="79"/>
        <v/>
      </c>
      <c r="N233" s="133" t="str">
        <f t="shared" si="80"/>
        <v/>
      </c>
      <c r="O233" s="133" t="str">
        <f t="shared" si="81"/>
        <v/>
      </c>
      <c r="P233" s="133" t="str">
        <f t="shared" si="82"/>
        <v/>
      </c>
      <c r="Q233" s="133" t="str">
        <f t="shared" si="83"/>
        <v/>
      </c>
      <c r="R233" s="133" t="str">
        <f t="shared" si="84"/>
        <v/>
      </c>
      <c r="S233" s="133" t="str">
        <f t="shared" si="85"/>
        <v/>
      </c>
      <c r="T233" s="133" t="str">
        <f>IFERROR(IF($U233="ERROR","ERROR",IF($N233="00",IF(J233="1-Rate","HH 1RATE",IF(J233="2-Rate","HH 2RATE","")),IFERROR(VLOOKUP(CONCATENATE(N233,Q233,O233,P233),Lookups!$A$2:$E$4557,5,0),VLOOKUP(CONCATENATE(N233,Q233,O233),Lookups!$A$2:$E$4557,5,0)))),"ERROR")</f>
        <v>ERROR</v>
      </c>
      <c r="U233" s="133" t="str">
        <f>IFERROR(IF(NOT($N233="00"),"",VLOOKUP(CONCATENATE(Q233,P233,LOOKUP(2,1/(Lookups!$I$2:$I$11&lt;=E233)/(Lookups!$J$2:$J$11&gt;=Tool!$C$14),Lookups!$K$2:$K$11)),'HH LLFs'!$A$2:$K$500,3,0)),"ERROR")</f>
        <v/>
      </c>
      <c r="V233" s="132">
        <f>Calcs!$I$2</f>
        <v>44377</v>
      </c>
      <c r="W233" s="132">
        <f>Calcs!$I$4</f>
        <v>44592</v>
      </c>
      <c r="X233" s="153" t="str">
        <f>IF(NOT(N233="00"),"",(VLOOKUP(CONCATENATE(Q233,P233,LOOKUP(2,1/(Lookups!$I$2:$I$11&lt;=Multisite!E233)/(Lookups!$J$2:$J$11&gt;=E233),Lookups!$K$2:$K$11)),'HH LLFs'!$A$2:$F$282,6,0)*365)/12)</f>
        <v/>
      </c>
      <c r="Y233" s="153">
        <f t="shared" si="86"/>
        <v>0</v>
      </c>
      <c r="Z233" s="153" t="str">
        <f t="shared" si="95"/>
        <v/>
      </c>
      <c r="AA233" s="153" t="str">
        <f t="shared" si="87"/>
        <v/>
      </c>
      <c r="AB233" s="153" t="str">
        <f t="shared" si="96"/>
        <v/>
      </c>
      <c r="AC233" s="153" t="str">
        <f t="shared" si="88"/>
        <v/>
      </c>
      <c r="AD233" s="153" t="str">
        <f t="shared" si="89"/>
        <v/>
      </c>
      <c r="AE233" s="153" t="str">
        <f t="shared" si="90"/>
        <v/>
      </c>
      <c r="AF233" s="155" t="e">
        <f>LOOKUP(2,1/(Lookups!$I$2:$I$11&lt;=E233)/(Lookups!$J$2:$J$11&gt;=E233),Lookups!$L$2:$L$11)</f>
        <v>#N/A</v>
      </c>
      <c r="AG233" s="142" t="str">
        <f t="shared" si="91"/>
        <v/>
      </c>
      <c r="AH233" s="142" t="str">
        <f t="shared" si="92"/>
        <v/>
      </c>
      <c r="AI233" s="143" t="b">
        <f t="shared" si="97"/>
        <v>0</v>
      </c>
      <c r="AJ233" s="143" t="str">
        <f t="shared" si="93"/>
        <v>Level 1</v>
      </c>
      <c r="AK233" s="142">
        <f t="shared" si="94"/>
        <v>0</v>
      </c>
      <c r="AL233" s="157" t="str">
        <f t="shared" si="102"/>
        <v/>
      </c>
      <c r="AM233" s="144" t="str">
        <f t="shared" si="103"/>
        <v>--FALSE-0</v>
      </c>
      <c r="AN233" s="158" t="str">
        <f t="shared" si="98"/>
        <v/>
      </c>
      <c r="AO233" s="145"/>
      <c r="AP233" s="159" t="str">
        <f>IF($AN233=FALSE,"",IFERROR(INDEX('Flat Rates'!$A$1:$M$3880,MATCH($AM233,'Flat Rates'!$A$1:$A$3880,0),MATCH("Standing Charge",'Flat Rates'!$A$1:$M$1,0))*100,""))</f>
        <v/>
      </c>
      <c r="AQ233" s="148" t="str">
        <f>IF($AN233=FALSE,"",IFERROR((IF(NOT(T233="Unrestricted"),"",INDEX('Flat Rates'!$A$1:$M$3880,MATCH($AM233,'Flat Rates'!$A$1:$A$3880,0),MATCH("Uni/Day Rate",'Flat Rates'!$A$1:$M$1,0)))*100)+H233,""))</f>
        <v/>
      </c>
      <c r="AR233" s="148" t="str">
        <f>IF($AN233=FALSE,"",IFERROR((IF(T233="Unrestricted","",INDEX('Flat Rates'!$A$1:$M$3880,MATCH($AM233,'Flat Rates'!$A$1:$A$3880,0),MATCH("Uni/Day Rate",'Flat Rates'!$A$1:$M$1,0)))*100)+H233,""))</f>
        <v/>
      </c>
      <c r="AS233" s="148" t="str">
        <f>IF($AN233=FALSE,"",IFERROR(IF(INDEX('Flat Rates'!$A$1:$M$3880,MATCH($AM233,'Flat Rates'!$A$1:$A$3880,0),MATCH("Night Unit Rate",'Flat Rates'!$A$1:$M$1,0))=0,"",((INDEX('Flat Rates'!$A$1:$M$3880,MATCH($AM233,'Flat Rates'!$A$1:$A$3880,0),MATCH("Night Unit Rate",'Flat Rates'!$A$1:$M$1,0)))*100)+H233),""))</f>
        <v/>
      </c>
      <c r="AT233" s="148" t="str">
        <f>IF($AN233=FALSE,"",IFERROR(IF(INDEX('Flat Rates'!$A$1:$M$3880,MATCH($AM233,'Flat Rates'!$A$1:$A$3880,0),MATCH("Evening and Weekend Rate",'Flat Rates'!$A$1:$M$1,0))=0,"",((INDEX('Flat Rates'!$A$1:$M$3880,MATCH($AM233,'Flat Rates'!$A$1:$A$3880,0),MATCH("Evening and Weekend Rate",'Flat Rates'!$A$1:$M$1,0)))*100)+H233),""))</f>
        <v/>
      </c>
      <c r="AU233" s="152" t="str">
        <f t="shared" si="99"/>
        <v/>
      </c>
      <c r="AV233" s="152" t="str">
        <f t="shared" si="100"/>
        <v/>
      </c>
      <c r="AW233" s="152" t="str">
        <f t="shared" si="101"/>
        <v/>
      </c>
    </row>
    <row r="234" spans="2:49" ht="15" thickBot="1" x14ac:dyDescent="0.35">
      <c r="B234" s="138" t="str">
        <f t="shared" si="78"/>
        <v/>
      </c>
      <c r="C234" s="146"/>
      <c r="D234" s="147"/>
      <c r="E234" s="140"/>
      <c r="F234" s="140"/>
      <c r="G234" s="139"/>
      <c r="H234" s="151"/>
      <c r="I234" s="139"/>
      <c r="J234" s="137"/>
      <c r="K234" s="139"/>
      <c r="L234" s="141"/>
      <c r="M234" s="133" t="str">
        <f t="shared" si="79"/>
        <v/>
      </c>
      <c r="N234" s="133" t="str">
        <f t="shared" si="80"/>
        <v/>
      </c>
      <c r="O234" s="133" t="str">
        <f t="shared" si="81"/>
        <v/>
      </c>
      <c r="P234" s="133" t="str">
        <f t="shared" si="82"/>
        <v/>
      </c>
      <c r="Q234" s="133" t="str">
        <f t="shared" si="83"/>
        <v/>
      </c>
      <c r="R234" s="133" t="str">
        <f t="shared" si="84"/>
        <v/>
      </c>
      <c r="S234" s="133" t="str">
        <f t="shared" si="85"/>
        <v/>
      </c>
      <c r="T234" s="133" t="str">
        <f>IFERROR(IF($U234="ERROR","ERROR",IF($N234="00",IF(J234="1-Rate","HH 1RATE",IF(J234="2-Rate","HH 2RATE","")),IFERROR(VLOOKUP(CONCATENATE(N234,Q234,O234,P234),Lookups!$A$2:$E$4557,5,0),VLOOKUP(CONCATENATE(N234,Q234,O234),Lookups!$A$2:$E$4557,5,0)))),"ERROR")</f>
        <v>ERROR</v>
      </c>
      <c r="U234" s="133" t="str">
        <f>IFERROR(IF(NOT($N234="00"),"",VLOOKUP(CONCATENATE(Q234,P234,LOOKUP(2,1/(Lookups!$I$2:$I$11&lt;=E234)/(Lookups!$J$2:$J$11&gt;=Tool!$C$14),Lookups!$K$2:$K$11)),'HH LLFs'!$A$2:$K$500,3,0)),"ERROR")</f>
        <v/>
      </c>
      <c r="V234" s="132">
        <f>Calcs!$I$2</f>
        <v>44377</v>
      </c>
      <c r="W234" s="132">
        <f>Calcs!$I$4</f>
        <v>44592</v>
      </c>
      <c r="X234" s="153" t="str">
        <f>IF(NOT(N234="00"),"",(VLOOKUP(CONCATENATE(Q234,P234,LOOKUP(2,1/(Lookups!$I$2:$I$11&lt;=Multisite!E234)/(Lookups!$J$2:$J$11&gt;=E234),Lookups!$K$2:$K$11)),'HH LLFs'!$A$2:$F$282,6,0)*365)/12)</f>
        <v/>
      </c>
      <c r="Y234" s="153">
        <f t="shared" si="86"/>
        <v>0</v>
      </c>
      <c r="Z234" s="153" t="str">
        <f t="shared" si="95"/>
        <v/>
      </c>
      <c r="AA234" s="153" t="str">
        <f t="shared" si="87"/>
        <v/>
      </c>
      <c r="AB234" s="153" t="str">
        <f t="shared" si="96"/>
        <v/>
      </c>
      <c r="AC234" s="153" t="str">
        <f t="shared" si="88"/>
        <v/>
      </c>
      <c r="AD234" s="153" t="str">
        <f t="shared" si="89"/>
        <v/>
      </c>
      <c r="AE234" s="153" t="str">
        <f t="shared" si="90"/>
        <v/>
      </c>
      <c r="AF234" s="155" t="e">
        <f>LOOKUP(2,1/(Lookups!$I$2:$I$11&lt;=E234)/(Lookups!$J$2:$J$11&gt;=E234),Lookups!$L$2:$L$11)</f>
        <v>#N/A</v>
      </c>
      <c r="AG234" s="142" t="str">
        <f t="shared" si="91"/>
        <v/>
      </c>
      <c r="AH234" s="142" t="str">
        <f t="shared" si="92"/>
        <v/>
      </c>
      <c r="AI234" s="143" t="b">
        <f t="shared" si="97"/>
        <v>0</v>
      </c>
      <c r="AJ234" s="143" t="str">
        <f t="shared" si="93"/>
        <v>Level 1</v>
      </c>
      <c r="AK234" s="142">
        <f t="shared" si="94"/>
        <v>0</v>
      </c>
      <c r="AL234" s="157" t="str">
        <f t="shared" si="102"/>
        <v/>
      </c>
      <c r="AM234" s="144" t="str">
        <f t="shared" si="103"/>
        <v>--FALSE-0</v>
      </c>
      <c r="AN234" s="158" t="str">
        <f t="shared" si="98"/>
        <v/>
      </c>
      <c r="AO234" s="145"/>
      <c r="AP234" s="159" t="str">
        <f>IF($AN234=FALSE,"",IFERROR(INDEX('Flat Rates'!$A$1:$M$3880,MATCH($AM234,'Flat Rates'!$A$1:$A$3880,0),MATCH("Standing Charge",'Flat Rates'!$A$1:$M$1,0))*100,""))</f>
        <v/>
      </c>
      <c r="AQ234" s="148" t="str">
        <f>IF($AN234=FALSE,"",IFERROR((IF(NOT(T234="Unrestricted"),"",INDEX('Flat Rates'!$A$1:$M$3880,MATCH($AM234,'Flat Rates'!$A$1:$A$3880,0),MATCH("Uni/Day Rate",'Flat Rates'!$A$1:$M$1,0)))*100)+H234,""))</f>
        <v/>
      </c>
      <c r="AR234" s="148" t="str">
        <f>IF($AN234=FALSE,"",IFERROR((IF(T234="Unrestricted","",INDEX('Flat Rates'!$A$1:$M$3880,MATCH($AM234,'Flat Rates'!$A$1:$A$3880,0),MATCH("Uni/Day Rate",'Flat Rates'!$A$1:$M$1,0)))*100)+H234,""))</f>
        <v/>
      </c>
      <c r="AS234" s="148" t="str">
        <f>IF($AN234=FALSE,"",IFERROR(IF(INDEX('Flat Rates'!$A$1:$M$3880,MATCH($AM234,'Flat Rates'!$A$1:$A$3880,0),MATCH("Night Unit Rate",'Flat Rates'!$A$1:$M$1,0))=0,"",((INDEX('Flat Rates'!$A$1:$M$3880,MATCH($AM234,'Flat Rates'!$A$1:$A$3880,0),MATCH("Night Unit Rate",'Flat Rates'!$A$1:$M$1,0)))*100)+H234),""))</f>
        <v/>
      </c>
      <c r="AT234" s="148" t="str">
        <f>IF($AN234=FALSE,"",IFERROR(IF(INDEX('Flat Rates'!$A$1:$M$3880,MATCH($AM234,'Flat Rates'!$A$1:$A$3880,0),MATCH("Evening and Weekend Rate",'Flat Rates'!$A$1:$M$1,0))=0,"",((INDEX('Flat Rates'!$A$1:$M$3880,MATCH($AM234,'Flat Rates'!$A$1:$A$3880,0),MATCH("Evening and Weekend Rate",'Flat Rates'!$A$1:$M$1,0)))*100)+H234),""))</f>
        <v/>
      </c>
      <c r="AU234" s="152" t="str">
        <f t="shared" si="99"/>
        <v/>
      </c>
      <c r="AV234" s="152" t="str">
        <f t="shared" si="100"/>
        <v/>
      </c>
      <c r="AW234" s="152" t="str">
        <f t="shared" si="101"/>
        <v/>
      </c>
    </row>
    <row r="235" spans="2:49" ht="15" thickBot="1" x14ac:dyDescent="0.35">
      <c r="B235" s="138" t="str">
        <f t="shared" si="78"/>
        <v/>
      </c>
      <c r="C235" s="137"/>
      <c r="D235" s="139"/>
      <c r="E235" s="140"/>
      <c r="F235" s="140"/>
      <c r="G235" s="139"/>
      <c r="H235" s="151"/>
      <c r="I235" s="139"/>
      <c r="J235" s="138"/>
      <c r="K235" s="139"/>
      <c r="L235" s="141"/>
      <c r="M235" s="133" t="str">
        <f t="shared" si="79"/>
        <v/>
      </c>
      <c r="N235" s="133" t="str">
        <f t="shared" si="80"/>
        <v/>
      </c>
      <c r="O235" s="133" t="str">
        <f t="shared" si="81"/>
        <v/>
      </c>
      <c r="P235" s="133" t="str">
        <f t="shared" si="82"/>
        <v/>
      </c>
      <c r="Q235" s="133" t="str">
        <f t="shared" si="83"/>
        <v/>
      </c>
      <c r="R235" s="133" t="str">
        <f t="shared" si="84"/>
        <v/>
      </c>
      <c r="S235" s="133" t="str">
        <f t="shared" si="85"/>
        <v/>
      </c>
      <c r="T235" s="133" t="str">
        <f>IFERROR(IF($U235="ERROR","ERROR",IF($N235="00",IF(J235="1-Rate","HH 1RATE",IF(J235="2-Rate","HH 2RATE","")),IFERROR(VLOOKUP(CONCATENATE(N235,Q235,O235,P235),Lookups!$A$2:$E$4557,5,0),VLOOKUP(CONCATENATE(N235,Q235,O235),Lookups!$A$2:$E$4557,5,0)))),"ERROR")</f>
        <v>ERROR</v>
      </c>
      <c r="U235" s="133" t="str">
        <f>IFERROR(IF(NOT($N235="00"),"",VLOOKUP(CONCATENATE(Q235,P235,LOOKUP(2,1/(Lookups!$I$2:$I$11&lt;=E235)/(Lookups!$J$2:$J$11&gt;=Tool!$C$14),Lookups!$K$2:$K$11)),'HH LLFs'!$A$2:$K$500,3,0)),"ERROR")</f>
        <v/>
      </c>
      <c r="V235" s="132">
        <f>Calcs!$I$2</f>
        <v>44377</v>
      </c>
      <c r="W235" s="132">
        <f>Calcs!$I$4</f>
        <v>44592</v>
      </c>
      <c r="X235" s="153" t="str">
        <f>IF(NOT(N235="00"),"",(VLOOKUP(CONCATENATE(Q235,P235,LOOKUP(2,1/(Lookups!$I$2:$I$11&lt;=Multisite!E235)/(Lookups!$J$2:$J$11&gt;=E235),Lookups!$K$2:$K$11)),'HH LLFs'!$A$2:$F$282,6,0)*365)/12)</f>
        <v/>
      </c>
      <c r="Y235" s="153">
        <f t="shared" si="86"/>
        <v>0</v>
      </c>
      <c r="Z235" s="153" t="str">
        <f t="shared" si="95"/>
        <v/>
      </c>
      <c r="AA235" s="153" t="str">
        <f t="shared" si="87"/>
        <v/>
      </c>
      <c r="AB235" s="153" t="str">
        <f t="shared" si="96"/>
        <v/>
      </c>
      <c r="AC235" s="153" t="str">
        <f t="shared" si="88"/>
        <v/>
      </c>
      <c r="AD235" s="153" t="str">
        <f t="shared" si="89"/>
        <v/>
      </c>
      <c r="AE235" s="153" t="str">
        <f t="shared" si="90"/>
        <v/>
      </c>
      <c r="AF235" s="155" t="e">
        <f>LOOKUP(2,1/(Lookups!$I$2:$I$11&lt;=E235)/(Lookups!$J$2:$J$11&gt;=E235),Lookups!$L$2:$L$11)</f>
        <v>#N/A</v>
      </c>
      <c r="AG235" s="142" t="str">
        <f t="shared" si="91"/>
        <v/>
      </c>
      <c r="AH235" s="142" t="str">
        <f t="shared" si="92"/>
        <v/>
      </c>
      <c r="AI235" s="143" t="b">
        <f t="shared" si="97"/>
        <v>0</v>
      </c>
      <c r="AJ235" s="143" t="str">
        <f t="shared" si="93"/>
        <v>Level 1</v>
      </c>
      <c r="AK235" s="142">
        <f t="shared" si="94"/>
        <v>0</v>
      </c>
      <c r="AL235" s="157" t="str">
        <f t="shared" si="102"/>
        <v/>
      </c>
      <c r="AM235" s="144" t="str">
        <f t="shared" si="103"/>
        <v>--FALSE-0</v>
      </c>
      <c r="AN235" s="158" t="str">
        <f t="shared" si="98"/>
        <v/>
      </c>
      <c r="AO235" s="145"/>
      <c r="AP235" s="159" t="str">
        <f>IF($AN235=FALSE,"",IFERROR(INDEX('Flat Rates'!$A$1:$M$3880,MATCH($AM235,'Flat Rates'!$A$1:$A$3880,0),MATCH("Standing Charge",'Flat Rates'!$A$1:$M$1,0))*100,""))</f>
        <v/>
      </c>
      <c r="AQ235" s="148" t="str">
        <f>IF($AN235=FALSE,"",IFERROR((IF(NOT(T235="Unrestricted"),"",INDEX('Flat Rates'!$A$1:$M$3880,MATCH($AM235,'Flat Rates'!$A$1:$A$3880,0),MATCH("Uni/Day Rate",'Flat Rates'!$A$1:$M$1,0)))*100)+H235,""))</f>
        <v/>
      </c>
      <c r="AR235" s="148" t="str">
        <f>IF($AN235=FALSE,"",IFERROR((IF(T235="Unrestricted","",INDEX('Flat Rates'!$A$1:$M$3880,MATCH($AM235,'Flat Rates'!$A$1:$A$3880,0),MATCH("Uni/Day Rate",'Flat Rates'!$A$1:$M$1,0)))*100)+H235,""))</f>
        <v/>
      </c>
      <c r="AS235" s="148" t="str">
        <f>IF($AN235=FALSE,"",IFERROR(IF(INDEX('Flat Rates'!$A$1:$M$3880,MATCH($AM235,'Flat Rates'!$A$1:$A$3880,0),MATCH("Night Unit Rate",'Flat Rates'!$A$1:$M$1,0))=0,"",((INDEX('Flat Rates'!$A$1:$M$3880,MATCH($AM235,'Flat Rates'!$A$1:$A$3880,0),MATCH("Night Unit Rate",'Flat Rates'!$A$1:$M$1,0)))*100)+H235),""))</f>
        <v/>
      </c>
      <c r="AT235" s="148" t="str">
        <f>IF($AN235=FALSE,"",IFERROR(IF(INDEX('Flat Rates'!$A$1:$M$3880,MATCH($AM235,'Flat Rates'!$A$1:$A$3880,0),MATCH("Evening and Weekend Rate",'Flat Rates'!$A$1:$M$1,0))=0,"",((INDEX('Flat Rates'!$A$1:$M$3880,MATCH($AM235,'Flat Rates'!$A$1:$A$3880,0),MATCH("Evening and Weekend Rate",'Flat Rates'!$A$1:$M$1,0)))*100)+H235),""))</f>
        <v/>
      </c>
      <c r="AU235" s="152" t="str">
        <f t="shared" si="99"/>
        <v/>
      </c>
      <c r="AV235" s="152" t="str">
        <f t="shared" si="100"/>
        <v/>
      </c>
      <c r="AW235" s="152" t="str">
        <f t="shared" si="101"/>
        <v/>
      </c>
    </row>
    <row r="236" spans="2:49" ht="15" thickBot="1" x14ac:dyDescent="0.35">
      <c r="B236" s="138" t="str">
        <f t="shared" si="78"/>
        <v/>
      </c>
      <c r="C236" s="146"/>
      <c r="D236" s="147"/>
      <c r="E236" s="140"/>
      <c r="F236" s="140"/>
      <c r="G236" s="139"/>
      <c r="H236" s="151"/>
      <c r="I236" s="139"/>
      <c r="J236" s="137"/>
      <c r="K236" s="139"/>
      <c r="L236" s="141"/>
      <c r="M236" s="133" t="str">
        <f t="shared" si="79"/>
        <v/>
      </c>
      <c r="N236" s="133" t="str">
        <f t="shared" si="80"/>
        <v/>
      </c>
      <c r="O236" s="133" t="str">
        <f t="shared" si="81"/>
        <v/>
      </c>
      <c r="P236" s="133" t="str">
        <f t="shared" si="82"/>
        <v/>
      </c>
      <c r="Q236" s="133" t="str">
        <f t="shared" si="83"/>
        <v/>
      </c>
      <c r="R236" s="133" t="str">
        <f t="shared" si="84"/>
        <v/>
      </c>
      <c r="S236" s="133" t="str">
        <f t="shared" si="85"/>
        <v/>
      </c>
      <c r="T236" s="133" t="str">
        <f>IFERROR(IF($U236="ERROR","ERROR",IF($N236="00",IF(J236="1-Rate","HH 1RATE",IF(J236="2-Rate","HH 2RATE","")),IFERROR(VLOOKUP(CONCATENATE(N236,Q236,O236,P236),Lookups!$A$2:$E$4557,5,0),VLOOKUP(CONCATENATE(N236,Q236,O236),Lookups!$A$2:$E$4557,5,0)))),"ERROR")</f>
        <v>ERROR</v>
      </c>
      <c r="U236" s="133" t="str">
        <f>IFERROR(IF(NOT($N236="00"),"",VLOOKUP(CONCATENATE(Q236,P236,LOOKUP(2,1/(Lookups!$I$2:$I$11&lt;=E236)/(Lookups!$J$2:$J$11&gt;=Tool!$C$14),Lookups!$K$2:$K$11)),'HH LLFs'!$A$2:$K$500,3,0)),"ERROR")</f>
        <v/>
      </c>
      <c r="V236" s="132">
        <f>Calcs!$I$2</f>
        <v>44377</v>
      </c>
      <c r="W236" s="132">
        <f>Calcs!$I$4</f>
        <v>44592</v>
      </c>
      <c r="X236" s="153" t="str">
        <f>IF(NOT(N236="00"),"",(VLOOKUP(CONCATENATE(Q236,P236,LOOKUP(2,1/(Lookups!$I$2:$I$11&lt;=Multisite!E236)/(Lookups!$J$2:$J$11&gt;=E236),Lookups!$K$2:$K$11)),'HH LLFs'!$A$2:$F$282,6,0)*365)/12)</f>
        <v/>
      </c>
      <c r="Y236" s="153">
        <f t="shared" si="86"/>
        <v>0</v>
      </c>
      <c r="Z236" s="153" t="str">
        <f t="shared" si="95"/>
        <v/>
      </c>
      <c r="AA236" s="153" t="str">
        <f t="shared" si="87"/>
        <v/>
      </c>
      <c r="AB236" s="153" t="str">
        <f t="shared" si="96"/>
        <v/>
      </c>
      <c r="AC236" s="153" t="str">
        <f t="shared" si="88"/>
        <v/>
      </c>
      <c r="AD236" s="153" t="str">
        <f t="shared" si="89"/>
        <v/>
      </c>
      <c r="AE236" s="153" t="str">
        <f t="shared" si="90"/>
        <v/>
      </c>
      <c r="AF236" s="155" t="e">
        <f>LOOKUP(2,1/(Lookups!$I$2:$I$11&lt;=E236)/(Lookups!$J$2:$J$11&gt;=E236),Lookups!$L$2:$L$11)</f>
        <v>#N/A</v>
      </c>
      <c r="AG236" s="142" t="str">
        <f t="shared" si="91"/>
        <v/>
      </c>
      <c r="AH236" s="142" t="str">
        <f t="shared" si="92"/>
        <v/>
      </c>
      <c r="AI236" s="143" t="b">
        <f t="shared" si="97"/>
        <v>0</v>
      </c>
      <c r="AJ236" s="143" t="str">
        <f t="shared" si="93"/>
        <v>Level 1</v>
      </c>
      <c r="AK236" s="142">
        <f t="shared" si="94"/>
        <v>0</v>
      </c>
      <c r="AL236" s="157" t="str">
        <f t="shared" si="102"/>
        <v/>
      </c>
      <c r="AM236" s="144" t="str">
        <f t="shared" si="103"/>
        <v>--FALSE-0</v>
      </c>
      <c r="AN236" s="158" t="str">
        <f t="shared" si="98"/>
        <v/>
      </c>
      <c r="AO236" s="145"/>
      <c r="AP236" s="159" t="str">
        <f>IF($AN236=FALSE,"",IFERROR(INDEX('Flat Rates'!$A$1:$M$3880,MATCH($AM236,'Flat Rates'!$A$1:$A$3880,0),MATCH("Standing Charge",'Flat Rates'!$A$1:$M$1,0))*100,""))</f>
        <v/>
      </c>
      <c r="AQ236" s="148" t="str">
        <f>IF($AN236=FALSE,"",IFERROR((IF(NOT(T236="Unrestricted"),"",INDEX('Flat Rates'!$A$1:$M$3880,MATCH($AM236,'Flat Rates'!$A$1:$A$3880,0),MATCH("Uni/Day Rate",'Flat Rates'!$A$1:$M$1,0)))*100)+H236,""))</f>
        <v/>
      </c>
      <c r="AR236" s="148" t="str">
        <f>IF($AN236=FALSE,"",IFERROR((IF(T236="Unrestricted","",INDEX('Flat Rates'!$A$1:$M$3880,MATCH($AM236,'Flat Rates'!$A$1:$A$3880,0),MATCH("Uni/Day Rate",'Flat Rates'!$A$1:$M$1,0)))*100)+H236,""))</f>
        <v/>
      </c>
      <c r="AS236" s="148" t="str">
        <f>IF($AN236=FALSE,"",IFERROR(IF(INDEX('Flat Rates'!$A$1:$M$3880,MATCH($AM236,'Flat Rates'!$A$1:$A$3880,0),MATCH("Night Unit Rate",'Flat Rates'!$A$1:$M$1,0))=0,"",((INDEX('Flat Rates'!$A$1:$M$3880,MATCH($AM236,'Flat Rates'!$A$1:$A$3880,0),MATCH("Night Unit Rate",'Flat Rates'!$A$1:$M$1,0)))*100)+H236),""))</f>
        <v/>
      </c>
      <c r="AT236" s="148" t="str">
        <f>IF($AN236=FALSE,"",IFERROR(IF(INDEX('Flat Rates'!$A$1:$M$3880,MATCH($AM236,'Flat Rates'!$A$1:$A$3880,0),MATCH("Evening and Weekend Rate",'Flat Rates'!$A$1:$M$1,0))=0,"",((INDEX('Flat Rates'!$A$1:$M$3880,MATCH($AM236,'Flat Rates'!$A$1:$A$3880,0),MATCH("Evening and Weekend Rate",'Flat Rates'!$A$1:$M$1,0)))*100)+H236),""))</f>
        <v/>
      </c>
      <c r="AU236" s="152" t="str">
        <f t="shared" si="99"/>
        <v/>
      </c>
      <c r="AV236" s="152" t="str">
        <f t="shared" si="100"/>
        <v/>
      </c>
      <c r="AW236" s="152" t="str">
        <f t="shared" si="101"/>
        <v/>
      </c>
    </row>
    <row r="237" spans="2:49" ht="15" thickBot="1" x14ac:dyDescent="0.35">
      <c r="B237" s="138" t="str">
        <f t="shared" si="78"/>
        <v/>
      </c>
      <c r="C237" s="137"/>
      <c r="D237" s="139"/>
      <c r="E237" s="140"/>
      <c r="F237" s="140"/>
      <c r="G237" s="139"/>
      <c r="H237" s="151"/>
      <c r="I237" s="139"/>
      <c r="J237" s="138"/>
      <c r="K237" s="139"/>
      <c r="L237" s="141"/>
      <c r="M237" s="133" t="str">
        <f t="shared" si="79"/>
        <v/>
      </c>
      <c r="N237" s="133" t="str">
        <f t="shared" si="80"/>
        <v/>
      </c>
      <c r="O237" s="133" t="str">
        <f t="shared" si="81"/>
        <v/>
      </c>
      <c r="P237" s="133" t="str">
        <f t="shared" si="82"/>
        <v/>
      </c>
      <c r="Q237" s="133" t="str">
        <f t="shared" si="83"/>
        <v/>
      </c>
      <c r="R237" s="133" t="str">
        <f t="shared" si="84"/>
        <v/>
      </c>
      <c r="S237" s="133" t="str">
        <f t="shared" si="85"/>
        <v/>
      </c>
      <c r="T237" s="133" t="str">
        <f>IFERROR(IF($U237="ERROR","ERROR",IF($N237="00",IF(J237="1-Rate","HH 1RATE",IF(J237="2-Rate","HH 2RATE","")),IFERROR(VLOOKUP(CONCATENATE(N237,Q237,O237,P237),Lookups!$A$2:$E$4557,5,0),VLOOKUP(CONCATENATE(N237,Q237,O237),Lookups!$A$2:$E$4557,5,0)))),"ERROR")</f>
        <v>ERROR</v>
      </c>
      <c r="U237" s="133" t="str">
        <f>IFERROR(IF(NOT($N237="00"),"",VLOOKUP(CONCATENATE(Q237,P237,LOOKUP(2,1/(Lookups!$I$2:$I$11&lt;=E237)/(Lookups!$J$2:$J$11&gt;=Tool!$C$14),Lookups!$K$2:$K$11)),'HH LLFs'!$A$2:$K$500,3,0)),"ERROR")</f>
        <v/>
      </c>
      <c r="V237" s="132">
        <f>Calcs!$I$2</f>
        <v>44377</v>
      </c>
      <c r="W237" s="132">
        <f>Calcs!$I$4</f>
        <v>44592</v>
      </c>
      <c r="X237" s="153" t="str">
        <f>IF(NOT(N237="00"),"",(VLOOKUP(CONCATENATE(Q237,P237,LOOKUP(2,1/(Lookups!$I$2:$I$11&lt;=Multisite!E237)/(Lookups!$J$2:$J$11&gt;=E237),Lookups!$K$2:$K$11)),'HH LLFs'!$A$2:$F$282,6,0)*365)/12)</f>
        <v/>
      </c>
      <c r="Y237" s="153">
        <f t="shared" si="86"/>
        <v>0</v>
      </c>
      <c r="Z237" s="153" t="str">
        <f t="shared" si="95"/>
        <v/>
      </c>
      <c r="AA237" s="153" t="str">
        <f t="shared" si="87"/>
        <v/>
      </c>
      <c r="AB237" s="153" t="str">
        <f t="shared" si="96"/>
        <v/>
      </c>
      <c r="AC237" s="153" t="str">
        <f t="shared" si="88"/>
        <v/>
      </c>
      <c r="AD237" s="153" t="str">
        <f t="shared" si="89"/>
        <v/>
      </c>
      <c r="AE237" s="153" t="str">
        <f t="shared" si="90"/>
        <v/>
      </c>
      <c r="AF237" s="155" t="e">
        <f>LOOKUP(2,1/(Lookups!$I$2:$I$11&lt;=E237)/(Lookups!$J$2:$J$11&gt;=E237),Lookups!$L$2:$L$11)</f>
        <v>#N/A</v>
      </c>
      <c r="AG237" s="142" t="str">
        <f t="shared" si="91"/>
        <v/>
      </c>
      <c r="AH237" s="142" t="str">
        <f t="shared" si="92"/>
        <v/>
      </c>
      <c r="AI237" s="143" t="b">
        <f t="shared" si="97"/>
        <v>0</v>
      </c>
      <c r="AJ237" s="143" t="str">
        <f t="shared" si="93"/>
        <v>Level 1</v>
      </c>
      <c r="AK237" s="142">
        <f t="shared" si="94"/>
        <v>0</v>
      </c>
      <c r="AL237" s="157" t="str">
        <f t="shared" si="102"/>
        <v/>
      </c>
      <c r="AM237" s="144" t="str">
        <f t="shared" si="103"/>
        <v>--FALSE-0</v>
      </c>
      <c r="AN237" s="158" t="str">
        <f t="shared" si="98"/>
        <v/>
      </c>
      <c r="AO237" s="145"/>
      <c r="AP237" s="159" t="str">
        <f>IF($AN237=FALSE,"",IFERROR(INDEX('Flat Rates'!$A$1:$M$3880,MATCH($AM237,'Flat Rates'!$A$1:$A$3880,0),MATCH("Standing Charge",'Flat Rates'!$A$1:$M$1,0))*100,""))</f>
        <v/>
      </c>
      <c r="AQ237" s="148" t="str">
        <f>IF($AN237=FALSE,"",IFERROR((IF(NOT(T237="Unrestricted"),"",INDEX('Flat Rates'!$A$1:$M$3880,MATCH($AM237,'Flat Rates'!$A$1:$A$3880,0),MATCH("Uni/Day Rate",'Flat Rates'!$A$1:$M$1,0)))*100)+H237,""))</f>
        <v/>
      </c>
      <c r="AR237" s="148" t="str">
        <f>IF($AN237=FALSE,"",IFERROR((IF(T237="Unrestricted","",INDEX('Flat Rates'!$A$1:$M$3880,MATCH($AM237,'Flat Rates'!$A$1:$A$3880,0),MATCH("Uni/Day Rate",'Flat Rates'!$A$1:$M$1,0)))*100)+H237,""))</f>
        <v/>
      </c>
      <c r="AS237" s="148" t="str">
        <f>IF($AN237=FALSE,"",IFERROR(IF(INDEX('Flat Rates'!$A$1:$M$3880,MATCH($AM237,'Flat Rates'!$A$1:$A$3880,0),MATCH("Night Unit Rate",'Flat Rates'!$A$1:$M$1,0))=0,"",((INDEX('Flat Rates'!$A$1:$M$3880,MATCH($AM237,'Flat Rates'!$A$1:$A$3880,0),MATCH("Night Unit Rate",'Flat Rates'!$A$1:$M$1,0)))*100)+H237),""))</f>
        <v/>
      </c>
      <c r="AT237" s="148" t="str">
        <f>IF($AN237=FALSE,"",IFERROR(IF(INDEX('Flat Rates'!$A$1:$M$3880,MATCH($AM237,'Flat Rates'!$A$1:$A$3880,0),MATCH("Evening and Weekend Rate",'Flat Rates'!$A$1:$M$1,0))=0,"",((INDEX('Flat Rates'!$A$1:$M$3880,MATCH($AM237,'Flat Rates'!$A$1:$A$3880,0),MATCH("Evening and Weekend Rate",'Flat Rates'!$A$1:$M$1,0)))*100)+H237),""))</f>
        <v/>
      </c>
      <c r="AU237" s="152" t="str">
        <f t="shared" si="99"/>
        <v/>
      </c>
      <c r="AV237" s="152" t="str">
        <f t="shared" si="100"/>
        <v/>
      </c>
      <c r="AW237" s="152" t="str">
        <f t="shared" si="101"/>
        <v/>
      </c>
    </row>
    <row r="238" spans="2:49" ht="15" thickBot="1" x14ac:dyDescent="0.35">
      <c r="B238" s="138" t="str">
        <f t="shared" si="78"/>
        <v/>
      </c>
      <c r="C238" s="146"/>
      <c r="D238" s="147"/>
      <c r="E238" s="140"/>
      <c r="F238" s="140"/>
      <c r="G238" s="139"/>
      <c r="H238" s="151"/>
      <c r="I238" s="139"/>
      <c r="J238" s="137"/>
      <c r="K238" s="139"/>
      <c r="L238" s="141"/>
      <c r="M238" s="133" t="str">
        <f t="shared" si="79"/>
        <v/>
      </c>
      <c r="N238" s="133" t="str">
        <f t="shared" si="80"/>
        <v/>
      </c>
      <c r="O238" s="133" t="str">
        <f t="shared" si="81"/>
        <v/>
      </c>
      <c r="P238" s="133" t="str">
        <f t="shared" si="82"/>
        <v/>
      </c>
      <c r="Q238" s="133" t="str">
        <f t="shared" si="83"/>
        <v/>
      </c>
      <c r="R238" s="133" t="str">
        <f t="shared" si="84"/>
        <v/>
      </c>
      <c r="S238" s="133" t="str">
        <f t="shared" si="85"/>
        <v/>
      </c>
      <c r="T238" s="133" t="str">
        <f>IFERROR(IF($U238="ERROR","ERROR",IF($N238="00",IF(J238="1-Rate","HH 1RATE",IF(J238="2-Rate","HH 2RATE","")),IFERROR(VLOOKUP(CONCATENATE(N238,Q238,O238,P238),Lookups!$A$2:$E$4557,5,0),VLOOKUP(CONCATENATE(N238,Q238,O238),Lookups!$A$2:$E$4557,5,0)))),"ERROR")</f>
        <v>ERROR</v>
      </c>
      <c r="U238" s="133" t="str">
        <f>IFERROR(IF(NOT($N238="00"),"",VLOOKUP(CONCATENATE(Q238,P238,LOOKUP(2,1/(Lookups!$I$2:$I$11&lt;=E238)/(Lookups!$J$2:$J$11&gt;=Tool!$C$14),Lookups!$K$2:$K$11)),'HH LLFs'!$A$2:$K$500,3,0)),"ERROR")</f>
        <v/>
      </c>
      <c r="V238" s="132">
        <f>Calcs!$I$2</f>
        <v>44377</v>
      </c>
      <c r="W238" s="132">
        <f>Calcs!$I$4</f>
        <v>44592</v>
      </c>
      <c r="X238" s="153" t="str">
        <f>IF(NOT(N238="00"),"",(VLOOKUP(CONCATENATE(Q238,P238,LOOKUP(2,1/(Lookups!$I$2:$I$11&lt;=Multisite!E238)/(Lookups!$J$2:$J$11&gt;=E238),Lookups!$K$2:$K$11)),'HH LLFs'!$A$2:$F$282,6,0)*365)/12)</f>
        <v/>
      </c>
      <c r="Y238" s="153">
        <f t="shared" si="86"/>
        <v>0</v>
      </c>
      <c r="Z238" s="153" t="str">
        <f t="shared" si="95"/>
        <v/>
      </c>
      <c r="AA238" s="153" t="str">
        <f t="shared" si="87"/>
        <v/>
      </c>
      <c r="AB238" s="153" t="str">
        <f t="shared" si="96"/>
        <v/>
      </c>
      <c r="AC238" s="153" t="str">
        <f t="shared" si="88"/>
        <v/>
      </c>
      <c r="AD238" s="153" t="str">
        <f t="shared" si="89"/>
        <v/>
      </c>
      <c r="AE238" s="153" t="str">
        <f t="shared" si="90"/>
        <v/>
      </c>
      <c r="AF238" s="155" t="e">
        <f>LOOKUP(2,1/(Lookups!$I$2:$I$11&lt;=E238)/(Lookups!$J$2:$J$11&gt;=E238),Lookups!$L$2:$L$11)</f>
        <v>#N/A</v>
      </c>
      <c r="AG238" s="142" t="str">
        <f t="shared" si="91"/>
        <v/>
      </c>
      <c r="AH238" s="142" t="str">
        <f t="shared" si="92"/>
        <v/>
      </c>
      <c r="AI238" s="143" t="b">
        <f t="shared" si="97"/>
        <v>0</v>
      </c>
      <c r="AJ238" s="143" t="str">
        <f t="shared" si="93"/>
        <v>Level 1</v>
      </c>
      <c r="AK238" s="142">
        <f t="shared" si="94"/>
        <v>0</v>
      </c>
      <c r="AL238" s="157" t="str">
        <f t="shared" si="102"/>
        <v/>
      </c>
      <c r="AM238" s="144" t="str">
        <f t="shared" si="103"/>
        <v>--FALSE-0</v>
      </c>
      <c r="AN238" s="158" t="str">
        <f t="shared" si="98"/>
        <v/>
      </c>
      <c r="AO238" s="145"/>
      <c r="AP238" s="159" t="str">
        <f>IF($AN238=FALSE,"",IFERROR(INDEX('Flat Rates'!$A$1:$M$3880,MATCH($AM238,'Flat Rates'!$A$1:$A$3880,0),MATCH("Standing Charge",'Flat Rates'!$A$1:$M$1,0))*100,""))</f>
        <v/>
      </c>
      <c r="AQ238" s="148" t="str">
        <f>IF($AN238=FALSE,"",IFERROR((IF(NOT(T238="Unrestricted"),"",INDEX('Flat Rates'!$A$1:$M$3880,MATCH($AM238,'Flat Rates'!$A$1:$A$3880,0),MATCH("Uni/Day Rate",'Flat Rates'!$A$1:$M$1,0)))*100)+H238,""))</f>
        <v/>
      </c>
      <c r="AR238" s="148" t="str">
        <f>IF($AN238=FALSE,"",IFERROR((IF(T238="Unrestricted","",INDEX('Flat Rates'!$A$1:$M$3880,MATCH($AM238,'Flat Rates'!$A$1:$A$3880,0),MATCH("Uni/Day Rate",'Flat Rates'!$A$1:$M$1,0)))*100)+H238,""))</f>
        <v/>
      </c>
      <c r="AS238" s="148" t="str">
        <f>IF($AN238=FALSE,"",IFERROR(IF(INDEX('Flat Rates'!$A$1:$M$3880,MATCH($AM238,'Flat Rates'!$A$1:$A$3880,0),MATCH("Night Unit Rate",'Flat Rates'!$A$1:$M$1,0))=0,"",((INDEX('Flat Rates'!$A$1:$M$3880,MATCH($AM238,'Flat Rates'!$A$1:$A$3880,0),MATCH("Night Unit Rate",'Flat Rates'!$A$1:$M$1,0)))*100)+H238),""))</f>
        <v/>
      </c>
      <c r="AT238" s="148" t="str">
        <f>IF($AN238=FALSE,"",IFERROR(IF(INDEX('Flat Rates'!$A$1:$M$3880,MATCH($AM238,'Flat Rates'!$A$1:$A$3880,0),MATCH("Evening and Weekend Rate",'Flat Rates'!$A$1:$M$1,0))=0,"",((INDEX('Flat Rates'!$A$1:$M$3880,MATCH($AM238,'Flat Rates'!$A$1:$A$3880,0),MATCH("Evening and Weekend Rate",'Flat Rates'!$A$1:$M$1,0)))*100)+H238),""))</f>
        <v/>
      </c>
      <c r="AU238" s="152" t="str">
        <f t="shared" si="99"/>
        <v/>
      </c>
      <c r="AV238" s="152" t="str">
        <f t="shared" si="100"/>
        <v/>
      </c>
      <c r="AW238" s="152" t="str">
        <f t="shared" si="101"/>
        <v/>
      </c>
    </row>
    <row r="239" spans="2:49" ht="15" thickBot="1" x14ac:dyDescent="0.35">
      <c r="B239" s="138" t="str">
        <f t="shared" si="78"/>
        <v/>
      </c>
      <c r="C239" s="137"/>
      <c r="D239" s="139"/>
      <c r="E239" s="140"/>
      <c r="F239" s="140"/>
      <c r="G239" s="139"/>
      <c r="H239" s="151"/>
      <c r="I239" s="139"/>
      <c r="J239" s="138"/>
      <c r="K239" s="139"/>
      <c r="L239" s="141"/>
      <c r="M239" s="133" t="str">
        <f t="shared" si="79"/>
        <v/>
      </c>
      <c r="N239" s="133" t="str">
        <f t="shared" si="80"/>
        <v/>
      </c>
      <c r="O239" s="133" t="str">
        <f t="shared" si="81"/>
        <v/>
      </c>
      <c r="P239" s="133" t="str">
        <f t="shared" si="82"/>
        <v/>
      </c>
      <c r="Q239" s="133" t="str">
        <f t="shared" si="83"/>
        <v/>
      </c>
      <c r="R239" s="133" t="str">
        <f t="shared" si="84"/>
        <v/>
      </c>
      <c r="S239" s="133" t="str">
        <f t="shared" si="85"/>
        <v/>
      </c>
      <c r="T239" s="133" t="str">
        <f>IFERROR(IF($U239="ERROR","ERROR",IF($N239="00",IF(J239="1-Rate","HH 1RATE",IF(J239="2-Rate","HH 2RATE","")),IFERROR(VLOOKUP(CONCATENATE(N239,Q239,O239,P239),Lookups!$A$2:$E$4557,5,0),VLOOKUP(CONCATENATE(N239,Q239,O239),Lookups!$A$2:$E$4557,5,0)))),"ERROR")</f>
        <v>ERROR</v>
      </c>
      <c r="U239" s="133" t="str">
        <f>IFERROR(IF(NOT($N239="00"),"",VLOOKUP(CONCATENATE(Q239,P239,LOOKUP(2,1/(Lookups!$I$2:$I$11&lt;=E239)/(Lookups!$J$2:$J$11&gt;=Tool!$C$14),Lookups!$K$2:$K$11)),'HH LLFs'!$A$2:$K$500,3,0)),"ERROR")</f>
        <v/>
      </c>
      <c r="V239" s="132">
        <f>Calcs!$I$2</f>
        <v>44377</v>
      </c>
      <c r="W239" s="132">
        <f>Calcs!$I$4</f>
        <v>44592</v>
      </c>
      <c r="X239" s="153" t="str">
        <f>IF(NOT(N239="00"),"",(VLOOKUP(CONCATENATE(Q239,P239,LOOKUP(2,1/(Lookups!$I$2:$I$11&lt;=Multisite!E239)/(Lookups!$J$2:$J$11&gt;=E239),Lookups!$K$2:$K$11)),'HH LLFs'!$A$2:$F$282,6,0)*365)/12)</f>
        <v/>
      </c>
      <c r="Y239" s="153">
        <f t="shared" si="86"/>
        <v>0</v>
      </c>
      <c r="Z239" s="153" t="str">
        <f t="shared" si="95"/>
        <v/>
      </c>
      <c r="AA239" s="153" t="str">
        <f t="shared" si="87"/>
        <v/>
      </c>
      <c r="AB239" s="153" t="str">
        <f t="shared" si="96"/>
        <v/>
      </c>
      <c r="AC239" s="153" t="str">
        <f t="shared" si="88"/>
        <v/>
      </c>
      <c r="AD239" s="153" t="str">
        <f t="shared" si="89"/>
        <v/>
      </c>
      <c r="AE239" s="153" t="str">
        <f t="shared" si="90"/>
        <v/>
      </c>
      <c r="AF239" s="155" t="e">
        <f>LOOKUP(2,1/(Lookups!$I$2:$I$11&lt;=E239)/(Lookups!$J$2:$J$11&gt;=E239),Lookups!$L$2:$L$11)</f>
        <v>#N/A</v>
      </c>
      <c r="AG239" s="142" t="str">
        <f t="shared" si="91"/>
        <v/>
      </c>
      <c r="AH239" s="142" t="str">
        <f t="shared" si="92"/>
        <v/>
      </c>
      <c r="AI239" s="143" t="b">
        <f t="shared" si="97"/>
        <v>0</v>
      </c>
      <c r="AJ239" s="143" t="str">
        <f t="shared" si="93"/>
        <v>Level 1</v>
      </c>
      <c r="AK239" s="142">
        <f t="shared" si="94"/>
        <v>0</v>
      </c>
      <c r="AL239" s="157" t="str">
        <f t="shared" si="102"/>
        <v/>
      </c>
      <c r="AM239" s="144" t="str">
        <f t="shared" si="103"/>
        <v>--FALSE-0</v>
      </c>
      <c r="AN239" s="158" t="str">
        <f t="shared" si="98"/>
        <v/>
      </c>
      <c r="AO239" s="145"/>
      <c r="AP239" s="159" t="str">
        <f>IF($AN239=FALSE,"",IFERROR(INDEX('Flat Rates'!$A$1:$M$3880,MATCH($AM239,'Flat Rates'!$A$1:$A$3880,0),MATCH("Standing Charge",'Flat Rates'!$A$1:$M$1,0))*100,""))</f>
        <v/>
      </c>
      <c r="AQ239" s="148" t="str">
        <f>IF($AN239=FALSE,"",IFERROR((IF(NOT(T239="Unrestricted"),"",INDEX('Flat Rates'!$A$1:$M$3880,MATCH($AM239,'Flat Rates'!$A$1:$A$3880,0),MATCH("Uni/Day Rate",'Flat Rates'!$A$1:$M$1,0)))*100)+H239,""))</f>
        <v/>
      </c>
      <c r="AR239" s="148" t="str">
        <f>IF($AN239=FALSE,"",IFERROR((IF(T239="Unrestricted","",INDEX('Flat Rates'!$A$1:$M$3880,MATCH($AM239,'Flat Rates'!$A$1:$A$3880,0),MATCH("Uni/Day Rate",'Flat Rates'!$A$1:$M$1,0)))*100)+H239,""))</f>
        <v/>
      </c>
      <c r="AS239" s="148" t="str">
        <f>IF($AN239=FALSE,"",IFERROR(IF(INDEX('Flat Rates'!$A$1:$M$3880,MATCH($AM239,'Flat Rates'!$A$1:$A$3880,0),MATCH("Night Unit Rate",'Flat Rates'!$A$1:$M$1,0))=0,"",((INDEX('Flat Rates'!$A$1:$M$3880,MATCH($AM239,'Flat Rates'!$A$1:$A$3880,0),MATCH("Night Unit Rate",'Flat Rates'!$A$1:$M$1,0)))*100)+H239),""))</f>
        <v/>
      </c>
      <c r="AT239" s="148" t="str">
        <f>IF($AN239=FALSE,"",IFERROR(IF(INDEX('Flat Rates'!$A$1:$M$3880,MATCH($AM239,'Flat Rates'!$A$1:$A$3880,0),MATCH("Evening and Weekend Rate",'Flat Rates'!$A$1:$M$1,0))=0,"",((INDEX('Flat Rates'!$A$1:$M$3880,MATCH($AM239,'Flat Rates'!$A$1:$A$3880,0),MATCH("Evening and Weekend Rate",'Flat Rates'!$A$1:$M$1,0)))*100)+H239),""))</f>
        <v/>
      </c>
      <c r="AU239" s="152" t="str">
        <f t="shared" si="99"/>
        <v/>
      </c>
      <c r="AV239" s="152" t="str">
        <f t="shared" si="100"/>
        <v/>
      </c>
      <c r="AW239" s="152" t="str">
        <f t="shared" si="101"/>
        <v/>
      </c>
    </row>
    <row r="240" spans="2:49" ht="15" thickBot="1" x14ac:dyDescent="0.35">
      <c r="B240" s="138" t="str">
        <f t="shared" si="78"/>
        <v/>
      </c>
      <c r="C240" s="146"/>
      <c r="D240" s="147"/>
      <c r="E240" s="140"/>
      <c r="F240" s="140"/>
      <c r="G240" s="139"/>
      <c r="H240" s="151"/>
      <c r="I240" s="139"/>
      <c r="J240" s="137"/>
      <c r="K240" s="139"/>
      <c r="L240" s="141"/>
      <c r="M240" s="133" t="str">
        <f t="shared" si="79"/>
        <v/>
      </c>
      <c r="N240" s="133" t="str">
        <f t="shared" si="80"/>
        <v/>
      </c>
      <c r="O240" s="133" t="str">
        <f t="shared" si="81"/>
        <v/>
      </c>
      <c r="P240" s="133" t="str">
        <f t="shared" si="82"/>
        <v/>
      </c>
      <c r="Q240" s="133" t="str">
        <f t="shared" si="83"/>
        <v/>
      </c>
      <c r="R240" s="133" t="str">
        <f t="shared" si="84"/>
        <v/>
      </c>
      <c r="S240" s="133" t="str">
        <f t="shared" si="85"/>
        <v/>
      </c>
      <c r="T240" s="133" t="str">
        <f>IFERROR(IF($U240="ERROR","ERROR",IF($N240="00",IF(J240="1-Rate","HH 1RATE",IF(J240="2-Rate","HH 2RATE","")),IFERROR(VLOOKUP(CONCATENATE(N240,Q240,O240,P240),Lookups!$A$2:$E$4557,5,0),VLOOKUP(CONCATENATE(N240,Q240,O240),Lookups!$A$2:$E$4557,5,0)))),"ERROR")</f>
        <v>ERROR</v>
      </c>
      <c r="U240" s="133" t="str">
        <f>IFERROR(IF(NOT($N240="00"),"",VLOOKUP(CONCATENATE(Q240,P240,LOOKUP(2,1/(Lookups!$I$2:$I$11&lt;=E240)/(Lookups!$J$2:$J$11&gt;=Tool!$C$14),Lookups!$K$2:$K$11)),'HH LLFs'!$A$2:$K$500,3,0)),"ERROR")</f>
        <v/>
      </c>
      <c r="V240" s="132">
        <f>Calcs!$I$2</f>
        <v>44377</v>
      </c>
      <c r="W240" s="132">
        <f>Calcs!$I$4</f>
        <v>44592</v>
      </c>
      <c r="X240" s="153" t="str">
        <f>IF(NOT(N240="00"),"",(VLOOKUP(CONCATENATE(Q240,P240,LOOKUP(2,1/(Lookups!$I$2:$I$11&lt;=Multisite!E240)/(Lookups!$J$2:$J$11&gt;=E240),Lookups!$K$2:$K$11)),'HH LLFs'!$A$2:$F$282,6,0)*365)/12)</f>
        <v/>
      </c>
      <c r="Y240" s="153">
        <f t="shared" si="86"/>
        <v>0</v>
      </c>
      <c r="Z240" s="153" t="str">
        <f t="shared" si="95"/>
        <v/>
      </c>
      <c r="AA240" s="153" t="str">
        <f t="shared" si="87"/>
        <v/>
      </c>
      <c r="AB240" s="153" t="str">
        <f t="shared" si="96"/>
        <v/>
      </c>
      <c r="AC240" s="153" t="str">
        <f t="shared" si="88"/>
        <v/>
      </c>
      <c r="AD240" s="153" t="str">
        <f t="shared" si="89"/>
        <v/>
      </c>
      <c r="AE240" s="153" t="str">
        <f t="shared" si="90"/>
        <v/>
      </c>
      <c r="AF240" s="155" t="e">
        <f>LOOKUP(2,1/(Lookups!$I$2:$I$11&lt;=E240)/(Lookups!$J$2:$J$11&gt;=E240),Lookups!$L$2:$L$11)</f>
        <v>#N/A</v>
      </c>
      <c r="AG240" s="142" t="str">
        <f t="shared" si="91"/>
        <v/>
      </c>
      <c r="AH240" s="142" t="str">
        <f t="shared" si="92"/>
        <v/>
      </c>
      <c r="AI240" s="143" t="b">
        <f t="shared" si="97"/>
        <v>0</v>
      </c>
      <c r="AJ240" s="143" t="str">
        <f t="shared" si="93"/>
        <v>Level 1</v>
      </c>
      <c r="AK240" s="142">
        <f t="shared" si="94"/>
        <v>0</v>
      </c>
      <c r="AL240" s="157" t="str">
        <f t="shared" si="102"/>
        <v/>
      </c>
      <c r="AM240" s="144" t="str">
        <f t="shared" si="103"/>
        <v>--FALSE-0</v>
      </c>
      <c r="AN240" s="158" t="str">
        <f t="shared" si="98"/>
        <v/>
      </c>
      <c r="AO240" s="145"/>
      <c r="AP240" s="159" t="str">
        <f>IF($AN240=FALSE,"",IFERROR(INDEX('Flat Rates'!$A$1:$M$3880,MATCH($AM240,'Flat Rates'!$A$1:$A$3880,0),MATCH("Standing Charge",'Flat Rates'!$A$1:$M$1,0))*100,""))</f>
        <v/>
      </c>
      <c r="AQ240" s="148" t="str">
        <f>IF($AN240=FALSE,"",IFERROR((IF(NOT(T240="Unrestricted"),"",INDEX('Flat Rates'!$A$1:$M$3880,MATCH($AM240,'Flat Rates'!$A$1:$A$3880,0),MATCH("Uni/Day Rate",'Flat Rates'!$A$1:$M$1,0)))*100)+H240,""))</f>
        <v/>
      </c>
      <c r="AR240" s="148" t="str">
        <f>IF($AN240=FALSE,"",IFERROR((IF(T240="Unrestricted","",INDEX('Flat Rates'!$A$1:$M$3880,MATCH($AM240,'Flat Rates'!$A$1:$A$3880,0),MATCH("Uni/Day Rate",'Flat Rates'!$A$1:$M$1,0)))*100)+H240,""))</f>
        <v/>
      </c>
      <c r="AS240" s="148" t="str">
        <f>IF($AN240=FALSE,"",IFERROR(IF(INDEX('Flat Rates'!$A$1:$M$3880,MATCH($AM240,'Flat Rates'!$A$1:$A$3880,0),MATCH("Night Unit Rate",'Flat Rates'!$A$1:$M$1,0))=0,"",((INDEX('Flat Rates'!$A$1:$M$3880,MATCH($AM240,'Flat Rates'!$A$1:$A$3880,0),MATCH("Night Unit Rate",'Flat Rates'!$A$1:$M$1,0)))*100)+H240),""))</f>
        <v/>
      </c>
      <c r="AT240" s="148" t="str">
        <f>IF($AN240=FALSE,"",IFERROR(IF(INDEX('Flat Rates'!$A$1:$M$3880,MATCH($AM240,'Flat Rates'!$A$1:$A$3880,0),MATCH("Evening and Weekend Rate",'Flat Rates'!$A$1:$M$1,0))=0,"",((INDEX('Flat Rates'!$A$1:$M$3880,MATCH($AM240,'Flat Rates'!$A$1:$A$3880,0),MATCH("Evening and Weekend Rate",'Flat Rates'!$A$1:$M$1,0)))*100)+H240),""))</f>
        <v/>
      </c>
      <c r="AU240" s="152" t="str">
        <f t="shared" si="99"/>
        <v/>
      </c>
      <c r="AV240" s="152" t="str">
        <f t="shared" si="100"/>
        <v/>
      </c>
      <c r="AW240" s="152" t="str">
        <f t="shared" si="101"/>
        <v/>
      </c>
    </row>
    <row r="241" spans="2:49" ht="15" thickBot="1" x14ac:dyDescent="0.35">
      <c r="B241" s="138" t="str">
        <f t="shared" si="78"/>
        <v/>
      </c>
      <c r="C241" s="137"/>
      <c r="D241" s="139"/>
      <c r="E241" s="140"/>
      <c r="F241" s="140"/>
      <c r="G241" s="139"/>
      <c r="H241" s="151"/>
      <c r="I241" s="139"/>
      <c r="J241" s="138"/>
      <c r="K241" s="139"/>
      <c r="L241" s="141"/>
      <c r="M241" s="133" t="str">
        <f t="shared" si="79"/>
        <v/>
      </c>
      <c r="N241" s="133" t="str">
        <f t="shared" si="80"/>
        <v/>
      </c>
      <c r="O241" s="133" t="str">
        <f t="shared" si="81"/>
        <v/>
      </c>
      <c r="P241" s="133" t="str">
        <f t="shared" si="82"/>
        <v/>
      </c>
      <c r="Q241" s="133" t="str">
        <f t="shared" si="83"/>
        <v/>
      </c>
      <c r="R241" s="133" t="str">
        <f t="shared" si="84"/>
        <v/>
      </c>
      <c r="S241" s="133" t="str">
        <f t="shared" si="85"/>
        <v/>
      </c>
      <c r="T241" s="133" t="str">
        <f>IFERROR(IF($U241="ERROR","ERROR",IF($N241="00",IF(J241="1-Rate","HH 1RATE",IF(J241="2-Rate","HH 2RATE","")),IFERROR(VLOOKUP(CONCATENATE(N241,Q241,O241,P241),Lookups!$A$2:$E$4557,5,0),VLOOKUP(CONCATENATE(N241,Q241,O241),Lookups!$A$2:$E$4557,5,0)))),"ERROR")</f>
        <v>ERROR</v>
      </c>
      <c r="U241" s="133" t="str">
        <f>IFERROR(IF(NOT($N241="00"),"",VLOOKUP(CONCATENATE(Q241,P241,LOOKUP(2,1/(Lookups!$I$2:$I$11&lt;=E241)/(Lookups!$J$2:$J$11&gt;=Tool!$C$14),Lookups!$K$2:$K$11)),'HH LLFs'!$A$2:$K$500,3,0)),"ERROR")</f>
        <v/>
      </c>
      <c r="V241" s="132">
        <f>Calcs!$I$2</f>
        <v>44377</v>
      </c>
      <c r="W241" s="132">
        <f>Calcs!$I$4</f>
        <v>44592</v>
      </c>
      <c r="X241" s="153" t="str">
        <f>IF(NOT(N241="00"),"",(VLOOKUP(CONCATENATE(Q241,P241,LOOKUP(2,1/(Lookups!$I$2:$I$11&lt;=Multisite!E241)/(Lookups!$J$2:$J$11&gt;=E241),Lookups!$K$2:$K$11)),'HH LLFs'!$A$2:$F$282,6,0)*365)/12)</f>
        <v/>
      </c>
      <c r="Y241" s="153">
        <f t="shared" si="86"/>
        <v>0</v>
      </c>
      <c r="Z241" s="153" t="str">
        <f t="shared" si="95"/>
        <v/>
      </c>
      <c r="AA241" s="153" t="str">
        <f t="shared" si="87"/>
        <v/>
      </c>
      <c r="AB241" s="153" t="str">
        <f t="shared" si="96"/>
        <v/>
      </c>
      <c r="AC241" s="153" t="str">
        <f t="shared" si="88"/>
        <v/>
      </c>
      <c r="AD241" s="153" t="str">
        <f t="shared" si="89"/>
        <v/>
      </c>
      <c r="AE241" s="153" t="str">
        <f t="shared" si="90"/>
        <v/>
      </c>
      <c r="AF241" s="155" t="e">
        <f>LOOKUP(2,1/(Lookups!$I$2:$I$11&lt;=E241)/(Lookups!$J$2:$J$11&gt;=E241),Lookups!$L$2:$L$11)</f>
        <v>#N/A</v>
      </c>
      <c r="AG241" s="142" t="str">
        <f t="shared" si="91"/>
        <v/>
      </c>
      <c r="AH241" s="142" t="str">
        <f t="shared" si="92"/>
        <v/>
      </c>
      <c r="AI241" s="143" t="b">
        <f t="shared" si="97"/>
        <v>0</v>
      </c>
      <c r="AJ241" s="143" t="str">
        <f t="shared" si="93"/>
        <v>Level 1</v>
      </c>
      <c r="AK241" s="142">
        <f t="shared" si="94"/>
        <v>0</v>
      </c>
      <c r="AL241" s="157" t="str">
        <f t="shared" si="102"/>
        <v/>
      </c>
      <c r="AM241" s="144" t="str">
        <f t="shared" si="103"/>
        <v>--FALSE-0</v>
      </c>
      <c r="AN241" s="158" t="str">
        <f t="shared" si="98"/>
        <v/>
      </c>
      <c r="AO241" s="145"/>
      <c r="AP241" s="159" t="str">
        <f>IF($AN241=FALSE,"",IFERROR(INDEX('Flat Rates'!$A$1:$M$3880,MATCH($AM241,'Flat Rates'!$A$1:$A$3880,0),MATCH("Standing Charge",'Flat Rates'!$A$1:$M$1,0))*100,""))</f>
        <v/>
      </c>
      <c r="AQ241" s="148" t="str">
        <f>IF($AN241=FALSE,"",IFERROR((IF(NOT(T241="Unrestricted"),"",INDEX('Flat Rates'!$A$1:$M$3880,MATCH($AM241,'Flat Rates'!$A$1:$A$3880,0),MATCH("Uni/Day Rate",'Flat Rates'!$A$1:$M$1,0)))*100)+H241,""))</f>
        <v/>
      </c>
      <c r="AR241" s="148" t="str">
        <f>IF($AN241=FALSE,"",IFERROR((IF(T241="Unrestricted","",INDEX('Flat Rates'!$A$1:$M$3880,MATCH($AM241,'Flat Rates'!$A$1:$A$3880,0),MATCH("Uni/Day Rate",'Flat Rates'!$A$1:$M$1,0)))*100)+H241,""))</f>
        <v/>
      </c>
      <c r="AS241" s="148" t="str">
        <f>IF($AN241=FALSE,"",IFERROR(IF(INDEX('Flat Rates'!$A$1:$M$3880,MATCH($AM241,'Flat Rates'!$A$1:$A$3880,0),MATCH("Night Unit Rate",'Flat Rates'!$A$1:$M$1,0))=0,"",((INDEX('Flat Rates'!$A$1:$M$3880,MATCH($AM241,'Flat Rates'!$A$1:$A$3880,0),MATCH("Night Unit Rate",'Flat Rates'!$A$1:$M$1,0)))*100)+H241),""))</f>
        <v/>
      </c>
      <c r="AT241" s="148" t="str">
        <f>IF($AN241=FALSE,"",IFERROR(IF(INDEX('Flat Rates'!$A$1:$M$3880,MATCH($AM241,'Flat Rates'!$A$1:$A$3880,0),MATCH("Evening and Weekend Rate",'Flat Rates'!$A$1:$M$1,0))=0,"",((INDEX('Flat Rates'!$A$1:$M$3880,MATCH($AM241,'Flat Rates'!$A$1:$A$3880,0),MATCH("Evening and Weekend Rate",'Flat Rates'!$A$1:$M$1,0)))*100)+H241),""))</f>
        <v/>
      </c>
      <c r="AU241" s="152" t="str">
        <f t="shared" si="99"/>
        <v/>
      </c>
      <c r="AV241" s="152" t="str">
        <f t="shared" si="100"/>
        <v/>
      </c>
      <c r="AW241" s="152" t="str">
        <f t="shared" si="101"/>
        <v/>
      </c>
    </row>
    <row r="242" spans="2:49" ht="15" thickBot="1" x14ac:dyDescent="0.35">
      <c r="B242" s="138" t="str">
        <f t="shared" si="78"/>
        <v/>
      </c>
      <c r="C242" s="146"/>
      <c r="D242" s="147"/>
      <c r="E242" s="140"/>
      <c r="F242" s="140"/>
      <c r="G242" s="139"/>
      <c r="H242" s="151"/>
      <c r="I242" s="139"/>
      <c r="J242" s="137"/>
      <c r="K242" s="139"/>
      <c r="L242" s="141"/>
      <c r="M242" s="133" t="str">
        <f t="shared" si="79"/>
        <v/>
      </c>
      <c r="N242" s="133" t="str">
        <f t="shared" si="80"/>
        <v/>
      </c>
      <c r="O242" s="133" t="str">
        <f t="shared" si="81"/>
        <v/>
      </c>
      <c r="P242" s="133" t="str">
        <f t="shared" si="82"/>
        <v/>
      </c>
      <c r="Q242" s="133" t="str">
        <f t="shared" si="83"/>
        <v/>
      </c>
      <c r="R242" s="133" t="str">
        <f t="shared" si="84"/>
        <v/>
      </c>
      <c r="S242" s="133" t="str">
        <f t="shared" si="85"/>
        <v/>
      </c>
      <c r="T242" s="133" t="str">
        <f>IFERROR(IF($U242="ERROR","ERROR",IF($N242="00",IF(J242="1-Rate","HH 1RATE",IF(J242="2-Rate","HH 2RATE","")),IFERROR(VLOOKUP(CONCATENATE(N242,Q242,O242,P242),Lookups!$A$2:$E$4557,5,0),VLOOKUP(CONCATENATE(N242,Q242,O242),Lookups!$A$2:$E$4557,5,0)))),"ERROR")</f>
        <v>ERROR</v>
      </c>
      <c r="U242" s="133" t="str">
        <f>IFERROR(IF(NOT($N242="00"),"",VLOOKUP(CONCATENATE(Q242,P242,LOOKUP(2,1/(Lookups!$I$2:$I$11&lt;=E242)/(Lookups!$J$2:$J$11&gt;=Tool!$C$14),Lookups!$K$2:$K$11)),'HH LLFs'!$A$2:$K$500,3,0)),"ERROR")</f>
        <v/>
      </c>
      <c r="V242" s="132">
        <f>Calcs!$I$2</f>
        <v>44377</v>
      </c>
      <c r="W242" s="132">
        <f>Calcs!$I$4</f>
        <v>44592</v>
      </c>
      <c r="X242" s="153" t="str">
        <f>IF(NOT(N242="00"),"",(VLOOKUP(CONCATENATE(Q242,P242,LOOKUP(2,1/(Lookups!$I$2:$I$11&lt;=Multisite!E242)/(Lookups!$J$2:$J$11&gt;=E242),Lookups!$K$2:$K$11)),'HH LLFs'!$A$2:$F$282,6,0)*365)/12)</f>
        <v/>
      </c>
      <c r="Y242" s="153">
        <f t="shared" si="86"/>
        <v>0</v>
      </c>
      <c r="Z242" s="153" t="str">
        <f t="shared" si="95"/>
        <v/>
      </c>
      <c r="AA242" s="153" t="str">
        <f t="shared" si="87"/>
        <v/>
      </c>
      <c r="AB242" s="153" t="str">
        <f t="shared" si="96"/>
        <v/>
      </c>
      <c r="AC242" s="153" t="str">
        <f t="shared" si="88"/>
        <v/>
      </c>
      <c r="AD242" s="153" t="str">
        <f t="shared" si="89"/>
        <v/>
      </c>
      <c r="AE242" s="153" t="str">
        <f t="shared" si="90"/>
        <v/>
      </c>
      <c r="AF242" s="155" t="e">
        <f>LOOKUP(2,1/(Lookups!$I$2:$I$11&lt;=E242)/(Lookups!$J$2:$J$11&gt;=E242),Lookups!$L$2:$L$11)</f>
        <v>#N/A</v>
      </c>
      <c r="AG242" s="142" t="str">
        <f t="shared" si="91"/>
        <v/>
      </c>
      <c r="AH242" s="142" t="str">
        <f t="shared" si="92"/>
        <v/>
      </c>
      <c r="AI242" s="143" t="b">
        <f t="shared" si="97"/>
        <v>0</v>
      </c>
      <c r="AJ242" s="143" t="str">
        <f t="shared" si="93"/>
        <v>Level 1</v>
      </c>
      <c r="AK242" s="142">
        <f t="shared" si="94"/>
        <v>0</v>
      </c>
      <c r="AL242" s="157" t="str">
        <f t="shared" si="102"/>
        <v/>
      </c>
      <c r="AM242" s="144" t="str">
        <f t="shared" si="103"/>
        <v>--FALSE-0</v>
      </c>
      <c r="AN242" s="158" t="str">
        <f t="shared" si="98"/>
        <v/>
      </c>
      <c r="AO242" s="145"/>
      <c r="AP242" s="159" t="str">
        <f>IF($AN242=FALSE,"",IFERROR(INDEX('Flat Rates'!$A$1:$M$3880,MATCH($AM242,'Flat Rates'!$A$1:$A$3880,0),MATCH("Standing Charge",'Flat Rates'!$A$1:$M$1,0))*100,""))</f>
        <v/>
      </c>
      <c r="AQ242" s="148" t="str">
        <f>IF($AN242=FALSE,"",IFERROR((IF(NOT(T242="Unrestricted"),"",INDEX('Flat Rates'!$A$1:$M$3880,MATCH($AM242,'Flat Rates'!$A$1:$A$3880,0),MATCH("Uni/Day Rate",'Flat Rates'!$A$1:$M$1,0)))*100)+H242,""))</f>
        <v/>
      </c>
      <c r="AR242" s="148" t="str">
        <f>IF($AN242=FALSE,"",IFERROR((IF(T242="Unrestricted","",INDEX('Flat Rates'!$A$1:$M$3880,MATCH($AM242,'Flat Rates'!$A$1:$A$3880,0),MATCH("Uni/Day Rate",'Flat Rates'!$A$1:$M$1,0)))*100)+H242,""))</f>
        <v/>
      </c>
      <c r="AS242" s="148" t="str">
        <f>IF($AN242=FALSE,"",IFERROR(IF(INDEX('Flat Rates'!$A$1:$M$3880,MATCH($AM242,'Flat Rates'!$A$1:$A$3880,0),MATCH("Night Unit Rate",'Flat Rates'!$A$1:$M$1,0))=0,"",((INDEX('Flat Rates'!$A$1:$M$3880,MATCH($AM242,'Flat Rates'!$A$1:$A$3880,0),MATCH("Night Unit Rate",'Flat Rates'!$A$1:$M$1,0)))*100)+H242),""))</f>
        <v/>
      </c>
      <c r="AT242" s="148" t="str">
        <f>IF($AN242=FALSE,"",IFERROR(IF(INDEX('Flat Rates'!$A$1:$M$3880,MATCH($AM242,'Flat Rates'!$A$1:$A$3880,0),MATCH("Evening and Weekend Rate",'Flat Rates'!$A$1:$M$1,0))=0,"",((INDEX('Flat Rates'!$A$1:$M$3880,MATCH($AM242,'Flat Rates'!$A$1:$A$3880,0),MATCH("Evening and Weekend Rate",'Flat Rates'!$A$1:$M$1,0)))*100)+H242),""))</f>
        <v/>
      </c>
      <c r="AU242" s="152" t="str">
        <f t="shared" si="99"/>
        <v/>
      </c>
      <c r="AV242" s="152" t="str">
        <f t="shared" si="100"/>
        <v/>
      </c>
      <c r="AW242" s="152" t="str">
        <f t="shared" si="101"/>
        <v/>
      </c>
    </row>
    <row r="243" spans="2:49" ht="15" thickBot="1" x14ac:dyDescent="0.35">
      <c r="B243" s="138" t="str">
        <f t="shared" si="78"/>
        <v/>
      </c>
      <c r="C243" s="137"/>
      <c r="D243" s="139"/>
      <c r="E243" s="140"/>
      <c r="F243" s="140"/>
      <c r="G243" s="139"/>
      <c r="H243" s="151"/>
      <c r="I243" s="139"/>
      <c r="J243" s="138"/>
      <c r="K243" s="139"/>
      <c r="L243" s="141"/>
      <c r="M243" s="133" t="str">
        <f t="shared" si="79"/>
        <v/>
      </c>
      <c r="N243" s="133" t="str">
        <f t="shared" si="80"/>
        <v/>
      </c>
      <c r="O243" s="133" t="str">
        <f t="shared" si="81"/>
        <v/>
      </c>
      <c r="P243" s="133" t="str">
        <f t="shared" si="82"/>
        <v/>
      </c>
      <c r="Q243" s="133" t="str">
        <f t="shared" si="83"/>
        <v/>
      </c>
      <c r="R243" s="133" t="str">
        <f t="shared" si="84"/>
        <v/>
      </c>
      <c r="S243" s="133" t="str">
        <f t="shared" si="85"/>
        <v/>
      </c>
      <c r="T243" s="133" t="str">
        <f>IFERROR(IF($U243="ERROR","ERROR",IF($N243="00",IF(J243="1-Rate","HH 1RATE",IF(J243="2-Rate","HH 2RATE","")),IFERROR(VLOOKUP(CONCATENATE(N243,Q243,O243,P243),Lookups!$A$2:$E$4557,5,0),VLOOKUP(CONCATENATE(N243,Q243,O243),Lookups!$A$2:$E$4557,5,0)))),"ERROR")</f>
        <v>ERROR</v>
      </c>
      <c r="U243" s="133" t="str">
        <f>IFERROR(IF(NOT($N243="00"),"",VLOOKUP(CONCATENATE(Q243,P243,LOOKUP(2,1/(Lookups!$I$2:$I$11&lt;=E243)/(Lookups!$J$2:$J$11&gt;=Tool!$C$14),Lookups!$K$2:$K$11)),'HH LLFs'!$A$2:$K$500,3,0)),"ERROR")</f>
        <v/>
      </c>
      <c r="V243" s="132">
        <f>Calcs!$I$2</f>
        <v>44377</v>
      </c>
      <c r="W243" s="132">
        <f>Calcs!$I$4</f>
        <v>44592</v>
      </c>
      <c r="X243" s="153" t="str">
        <f>IF(NOT(N243="00"),"",(VLOOKUP(CONCATENATE(Q243,P243,LOOKUP(2,1/(Lookups!$I$2:$I$11&lt;=Multisite!E243)/(Lookups!$J$2:$J$11&gt;=E243),Lookups!$K$2:$K$11)),'HH LLFs'!$A$2:$F$282,6,0)*365)/12)</f>
        <v/>
      </c>
      <c r="Y243" s="153">
        <f t="shared" si="86"/>
        <v>0</v>
      </c>
      <c r="Z243" s="153" t="str">
        <f t="shared" si="95"/>
        <v/>
      </c>
      <c r="AA243" s="153" t="str">
        <f t="shared" si="87"/>
        <v/>
      </c>
      <c r="AB243" s="153" t="str">
        <f t="shared" si="96"/>
        <v/>
      </c>
      <c r="AC243" s="153" t="str">
        <f t="shared" si="88"/>
        <v/>
      </c>
      <c r="AD243" s="153" t="str">
        <f t="shared" si="89"/>
        <v/>
      </c>
      <c r="AE243" s="153" t="str">
        <f t="shared" si="90"/>
        <v/>
      </c>
      <c r="AF243" s="155" t="e">
        <f>LOOKUP(2,1/(Lookups!$I$2:$I$11&lt;=E243)/(Lookups!$J$2:$J$11&gt;=E243),Lookups!$L$2:$L$11)</f>
        <v>#N/A</v>
      </c>
      <c r="AG243" s="142" t="str">
        <f t="shared" si="91"/>
        <v/>
      </c>
      <c r="AH243" s="142" t="str">
        <f t="shared" si="92"/>
        <v/>
      </c>
      <c r="AI243" s="143" t="b">
        <f t="shared" si="97"/>
        <v>0</v>
      </c>
      <c r="AJ243" s="143" t="str">
        <f t="shared" si="93"/>
        <v>Level 1</v>
      </c>
      <c r="AK243" s="142">
        <f t="shared" si="94"/>
        <v>0</v>
      </c>
      <c r="AL243" s="157" t="str">
        <f t="shared" si="102"/>
        <v/>
      </c>
      <c r="AM243" s="144" t="str">
        <f t="shared" si="103"/>
        <v>--FALSE-0</v>
      </c>
      <c r="AN243" s="158" t="str">
        <f t="shared" si="98"/>
        <v/>
      </c>
      <c r="AO243" s="145"/>
      <c r="AP243" s="159" t="str">
        <f>IF($AN243=FALSE,"",IFERROR(INDEX('Flat Rates'!$A$1:$M$3880,MATCH($AM243,'Flat Rates'!$A$1:$A$3880,0),MATCH("Standing Charge",'Flat Rates'!$A$1:$M$1,0))*100,""))</f>
        <v/>
      </c>
      <c r="AQ243" s="148" t="str">
        <f>IF($AN243=FALSE,"",IFERROR((IF(NOT(T243="Unrestricted"),"",INDEX('Flat Rates'!$A$1:$M$3880,MATCH($AM243,'Flat Rates'!$A$1:$A$3880,0),MATCH("Uni/Day Rate",'Flat Rates'!$A$1:$M$1,0)))*100)+H243,""))</f>
        <v/>
      </c>
      <c r="AR243" s="148" t="str">
        <f>IF($AN243=FALSE,"",IFERROR((IF(T243="Unrestricted","",INDEX('Flat Rates'!$A$1:$M$3880,MATCH($AM243,'Flat Rates'!$A$1:$A$3880,0),MATCH("Uni/Day Rate",'Flat Rates'!$A$1:$M$1,0)))*100)+H243,""))</f>
        <v/>
      </c>
      <c r="AS243" s="148" t="str">
        <f>IF($AN243=FALSE,"",IFERROR(IF(INDEX('Flat Rates'!$A$1:$M$3880,MATCH($AM243,'Flat Rates'!$A$1:$A$3880,0),MATCH("Night Unit Rate",'Flat Rates'!$A$1:$M$1,0))=0,"",((INDEX('Flat Rates'!$A$1:$M$3880,MATCH($AM243,'Flat Rates'!$A$1:$A$3880,0),MATCH("Night Unit Rate",'Flat Rates'!$A$1:$M$1,0)))*100)+H243),""))</f>
        <v/>
      </c>
      <c r="AT243" s="148" t="str">
        <f>IF($AN243=FALSE,"",IFERROR(IF(INDEX('Flat Rates'!$A$1:$M$3880,MATCH($AM243,'Flat Rates'!$A$1:$A$3880,0),MATCH("Evening and Weekend Rate",'Flat Rates'!$A$1:$M$1,0))=0,"",((INDEX('Flat Rates'!$A$1:$M$3880,MATCH($AM243,'Flat Rates'!$A$1:$A$3880,0),MATCH("Evening and Weekend Rate",'Flat Rates'!$A$1:$M$1,0)))*100)+H243),""))</f>
        <v/>
      </c>
      <c r="AU243" s="152" t="str">
        <f t="shared" si="99"/>
        <v/>
      </c>
      <c r="AV243" s="152" t="str">
        <f t="shared" si="100"/>
        <v/>
      </c>
      <c r="AW243" s="152" t="str">
        <f t="shared" si="101"/>
        <v/>
      </c>
    </row>
    <row r="244" spans="2:49" ht="15" thickBot="1" x14ac:dyDescent="0.35">
      <c r="B244" s="138" t="str">
        <f t="shared" si="78"/>
        <v/>
      </c>
      <c r="C244" s="146"/>
      <c r="D244" s="147"/>
      <c r="E244" s="140"/>
      <c r="F244" s="140"/>
      <c r="G244" s="139"/>
      <c r="H244" s="151"/>
      <c r="I244" s="139"/>
      <c r="J244" s="137"/>
      <c r="K244" s="139"/>
      <c r="L244" s="141"/>
      <c r="M244" s="133" t="str">
        <f t="shared" si="79"/>
        <v/>
      </c>
      <c r="N244" s="133" t="str">
        <f t="shared" si="80"/>
        <v/>
      </c>
      <c r="O244" s="133" t="str">
        <f t="shared" si="81"/>
        <v/>
      </c>
      <c r="P244" s="133" t="str">
        <f t="shared" si="82"/>
        <v/>
      </c>
      <c r="Q244" s="133" t="str">
        <f t="shared" si="83"/>
        <v/>
      </c>
      <c r="R244" s="133" t="str">
        <f t="shared" si="84"/>
        <v/>
      </c>
      <c r="S244" s="133" t="str">
        <f t="shared" si="85"/>
        <v/>
      </c>
      <c r="T244" s="133" t="str">
        <f>IFERROR(IF($U244="ERROR","ERROR",IF($N244="00",IF(J244="1-Rate","HH 1RATE",IF(J244="2-Rate","HH 2RATE","")),IFERROR(VLOOKUP(CONCATENATE(N244,Q244,O244,P244),Lookups!$A$2:$E$4557,5,0),VLOOKUP(CONCATENATE(N244,Q244,O244),Lookups!$A$2:$E$4557,5,0)))),"ERROR")</f>
        <v>ERROR</v>
      </c>
      <c r="U244" s="133" t="str">
        <f>IFERROR(IF(NOT($N244="00"),"",VLOOKUP(CONCATENATE(Q244,P244,LOOKUP(2,1/(Lookups!$I$2:$I$11&lt;=E244)/(Lookups!$J$2:$J$11&gt;=Tool!$C$14),Lookups!$K$2:$K$11)),'HH LLFs'!$A$2:$K$500,3,0)),"ERROR")</f>
        <v/>
      </c>
      <c r="V244" s="132">
        <f>Calcs!$I$2</f>
        <v>44377</v>
      </c>
      <c r="W244" s="132">
        <f>Calcs!$I$4</f>
        <v>44592</v>
      </c>
      <c r="X244" s="153" t="str">
        <f>IF(NOT(N244="00"),"",(VLOOKUP(CONCATENATE(Q244,P244,LOOKUP(2,1/(Lookups!$I$2:$I$11&lt;=Multisite!E244)/(Lookups!$J$2:$J$11&gt;=E244),Lookups!$K$2:$K$11)),'HH LLFs'!$A$2:$F$282,6,0)*365)/12)</f>
        <v/>
      </c>
      <c r="Y244" s="153">
        <f t="shared" si="86"/>
        <v>0</v>
      </c>
      <c r="Z244" s="153" t="str">
        <f t="shared" si="95"/>
        <v/>
      </c>
      <c r="AA244" s="153" t="str">
        <f t="shared" si="87"/>
        <v/>
      </c>
      <c r="AB244" s="153" t="str">
        <f t="shared" si="96"/>
        <v/>
      </c>
      <c r="AC244" s="153" t="str">
        <f t="shared" si="88"/>
        <v/>
      </c>
      <c r="AD244" s="153" t="str">
        <f t="shared" si="89"/>
        <v/>
      </c>
      <c r="AE244" s="153" t="str">
        <f t="shared" si="90"/>
        <v/>
      </c>
      <c r="AF244" s="155" t="e">
        <f>LOOKUP(2,1/(Lookups!$I$2:$I$11&lt;=E244)/(Lookups!$J$2:$J$11&gt;=E244),Lookups!$L$2:$L$11)</f>
        <v>#N/A</v>
      </c>
      <c r="AG244" s="142" t="str">
        <f t="shared" si="91"/>
        <v/>
      </c>
      <c r="AH244" s="142" t="str">
        <f t="shared" si="92"/>
        <v/>
      </c>
      <c r="AI244" s="143" t="b">
        <f t="shared" si="97"/>
        <v>0</v>
      </c>
      <c r="AJ244" s="143" t="str">
        <f t="shared" si="93"/>
        <v>Level 1</v>
      </c>
      <c r="AK244" s="142">
        <f t="shared" si="94"/>
        <v>0</v>
      </c>
      <c r="AL244" s="157" t="str">
        <f t="shared" si="102"/>
        <v/>
      </c>
      <c r="AM244" s="144" t="str">
        <f t="shared" si="103"/>
        <v>--FALSE-0</v>
      </c>
      <c r="AN244" s="158" t="str">
        <f t="shared" si="98"/>
        <v/>
      </c>
      <c r="AO244" s="145"/>
      <c r="AP244" s="159" t="str">
        <f>IF($AN244=FALSE,"",IFERROR(INDEX('Flat Rates'!$A$1:$M$3880,MATCH($AM244,'Flat Rates'!$A$1:$A$3880,0),MATCH("Standing Charge",'Flat Rates'!$A$1:$M$1,0))*100,""))</f>
        <v/>
      </c>
      <c r="AQ244" s="148" t="str">
        <f>IF($AN244=FALSE,"",IFERROR((IF(NOT(T244="Unrestricted"),"",INDEX('Flat Rates'!$A$1:$M$3880,MATCH($AM244,'Flat Rates'!$A$1:$A$3880,0),MATCH("Uni/Day Rate",'Flat Rates'!$A$1:$M$1,0)))*100)+H244,""))</f>
        <v/>
      </c>
      <c r="AR244" s="148" t="str">
        <f>IF($AN244=FALSE,"",IFERROR((IF(T244="Unrestricted","",INDEX('Flat Rates'!$A$1:$M$3880,MATCH($AM244,'Flat Rates'!$A$1:$A$3880,0),MATCH("Uni/Day Rate",'Flat Rates'!$A$1:$M$1,0)))*100)+H244,""))</f>
        <v/>
      </c>
      <c r="AS244" s="148" t="str">
        <f>IF($AN244=FALSE,"",IFERROR(IF(INDEX('Flat Rates'!$A$1:$M$3880,MATCH($AM244,'Flat Rates'!$A$1:$A$3880,0),MATCH("Night Unit Rate",'Flat Rates'!$A$1:$M$1,0))=0,"",((INDEX('Flat Rates'!$A$1:$M$3880,MATCH($AM244,'Flat Rates'!$A$1:$A$3880,0),MATCH("Night Unit Rate",'Flat Rates'!$A$1:$M$1,0)))*100)+H244),""))</f>
        <v/>
      </c>
      <c r="AT244" s="148" t="str">
        <f>IF($AN244=FALSE,"",IFERROR(IF(INDEX('Flat Rates'!$A$1:$M$3880,MATCH($AM244,'Flat Rates'!$A$1:$A$3880,0),MATCH("Evening and Weekend Rate",'Flat Rates'!$A$1:$M$1,0))=0,"",((INDEX('Flat Rates'!$A$1:$M$3880,MATCH($AM244,'Flat Rates'!$A$1:$A$3880,0),MATCH("Evening and Weekend Rate",'Flat Rates'!$A$1:$M$1,0)))*100)+H244),""))</f>
        <v/>
      </c>
      <c r="AU244" s="152" t="str">
        <f t="shared" si="99"/>
        <v/>
      </c>
      <c r="AV244" s="152" t="str">
        <f t="shared" si="100"/>
        <v/>
      </c>
      <c r="AW244" s="152" t="str">
        <f t="shared" si="101"/>
        <v/>
      </c>
    </row>
    <row r="245" spans="2:49" ht="15" thickBot="1" x14ac:dyDescent="0.35">
      <c r="B245" s="138" t="str">
        <f t="shared" si="78"/>
        <v/>
      </c>
      <c r="C245" s="137"/>
      <c r="D245" s="139"/>
      <c r="E245" s="140"/>
      <c r="F245" s="140"/>
      <c r="G245" s="139"/>
      <c r="H245" s="151"/>
      <c r="I245" s="139"/>
      <c r="J245" s="138"/>
      <c r="K245" s="139"/>
      <c r="L245" s="141"/>
      <c r="M245" s="133" t="str">
        <f t="shared" si="79"/>
        <v/>
      </c>
      <c r="N245" s="133" t="str">
        <f t="shared" si="80"/>
        <v/>
      </c>
      <c r="O245" s="133" t="str">
        <f t="shared" si="81"/>
        <v/>
      </c>
      <c r="P245" s="133" t="str">
        <f t="shared" si="82"/>
        <v/>
      </c>
      <c r="Q245" s="133" t="str">
        <f t="shared" si="83"/>
        <v/>
      </c>
      <c r="R245" s="133" t="str">
        <f t="shared" si="84"/>
        <v/>
      </c>
      <c r="S245" s="133" t="str">
        <f t="shared" si="85"/>
        <v/>
      </c>
      <c r="T245" s="133" t="str">
        <f>IFERROR(IF($U245="ERROR","ERROR",IF($N245="00",IF(J245="1-Rate","HH 1RATE",IF(J245="2-Rate","HH 2RATE","")),IFERROR(VLOOKUP(CONCATENATE(N245,Q245,O245,P245),Lookups!$A$2:$E$4557,5,0),VLOOKUP(CONCATENATE(N245,Q245,O245),Lookups!$A$2:$E$4557,5,0)))),"ERROR")</f>
        <v>ERROR</v>
      </c>
      <c r="U245" s="133" t="str">
        <f>IFERROR(IF(NOT($N245="00"),"",VLOOKUP(CONCATENATE(Q245,P245,LOOKUP(2,1/(Lookups!$I$2:$I$11&lt;=E245)/(Lookups!$J$2:$J$11&gt;=Tool!$C$14),Lookups!$K$2:$K$11)),'HH LLFs'!$A$2:$K$500,3,0)),"ERROR")</f>
        <v/>
      </c>
      <c r="V245" s="132">
        <f>Calcs!$I$2</f>
        <v>44377</v>
      </c>
      <c r="W245" s="132">
        <f>Calcs!$I$4</f>
        <v>44592</v>
      </c>
      <c r="X245" s="153" t="str">
        <f>IF(NOT(N245="00"),"",(VLOOKUP(CONCATENATE(Q245,P245,LOOKUP(2,1/(Lookups!$I$2:$I$11&lt;=Multisite!E245)/(Lookups!$J$2:$J$11&gt;=E245),Lookups!$K$2:$K$11)),'HH LLFs'!$A$2:$F$282,6,0)*365)/12)</f>
        <v/>
      </c>
      <c r="Y245" s="153">
        <f t="shared" si="86"/>
        <v>0</v>
      </c>
      <c r="Z245" s="153" t="str">
        <f t="shared" si="95"/>
        <v/>
      </c>
      <c r="AA245" s="153" t="str">
        <f t="shared" si="87"/>
        <v/>
      </c>
      <c r="AB245" s="153" t="str">
        <f t="shared" si="96"/>
        <v/>
      </c>
      <c r="AC245" s="153" t="str">
        <f t="shared" si="88"/>
        <v/>
      </c>
      <c r="AD245" s="153" t="str">
        <f t="shared" si="89"/>
        <v/>
      </c>
      <c r="AE245" s="153" t="str">
        <f t="shared" si="90"/>
        <v/>
      </c>
      <c r="AF245" s="155" t="e">
        <f>LOOKUP(2,1/(Lookups!$I$2:$I$11&lt;=E245)/(Lookups!$J$2:$J$11&gt;=E245),Lookups!$L$2:$L$11)</f>
        <v>#N/A</v>
      </c>
      <c r="AG245" s="142" t="str">
        <f t="shared" si="91"/>
        <v/>
      </c>
      <c r="AH245" s="142" t="str">
        <f t="shared" si="92"/>
        <v/>
      </c>
      <c r="AI245" s="143" t="b">
        <f t="shared" si="97"/>
        <v>0</v>
      </c>
      <c r="AJ245" s="143" t="str">
        <f t="shared" si="93"/>
        <v>Level 1</v>
      </c>
      <c r="AK245" s="142">
        <f t="shared" si="94"/>
        <v>0</v>
      </c>
      <c r="AL245" s="157" t="str">
        <f t="shared" si="102"/>
        <v/>
      </c>
      <c r="AM245" s="144" t="str">
        <f t="shared" si="103"/>
        <v>--FALSE-0</v>
      </c>
      <c r="AN245" s="158" t="str">
        <f t="shared" si="98"/>
        <v/>
      </c>
      <c r="AO245" s="145"/>
      <c r="AP245" s="159" t="str">
        <f>IF($AN245=FALSE,"",IFERROR(INDEX('Flat Rates'!$A$1:$M$3880,MATCH($AM245,'Flat Rates'!$A$1:$A$3880,0),MATCH("Standing Charge",'Flat Rates'!$A$1:$M$1,0))*100,""))</f>
        <v/>
      </c>
      <c r="AQ245" s="148" t="str">
        <f>IF($AN245=FALSE,"",IFERROR((IF(NOT(T245="Unrestricted"),"",INDEX('Flat Rates'!$A$1:$M$3880,MATCH($AM245,'Flat Rates'!$A$1:$A$3880,0),MATCH("Uni/Day Rate",'Flat Rates'!$A$1:$M$1,0)))*100)+H245,""))</f>
        <v/>
      </c>
      <c r="AR245" s="148" t="str">
        <f>IF($AN245=FALSE,"",IFERROR((IF(T245="Unrestricted","",INDEX('Flat Rates'!$A$1:$M$3880,MATCH($AM245,'Flat Rates'!$A$1:$A$3880,0),MATCH("Uni/Day Rate",'Flat Rates'!$A$1:$M$1,0)))*100)+H245,""))</f>
        <v/>
      </c>
      <c r="AS245" s="148" t="str">
        <f>IF($AN245=FALSE,"",IFERROR(IF(INDEX('Flat Rates'!$A$1:$M$3880,MATCH($AM245,'Flat Rates'!$A$1:$A$3880,0),MATCH("Night Unit Rate",'Flat Rates'!$A$1:$M$1,0))=0,"",((INDEX('Flat Rates'!$A$1:$M$3880,MATCH($AM245,'Flat Rates'!$A$1:$A$3880,0),MATCH("Night Unit Rate",'Flat Rates'!$A$1:$M$1,0)))*100)+H245),""))</f>
        <v/>
      </c>
      <c r="AT245" s="148" t="str">
        <f>IF($AN245=FALSE,"",IFERROR(IF(INDEX('Flat Rates'!$A$1:$M$3880,MATCH($AM245,'Flat Rates'!$A$1:$A$3880,0),MATCH("Evening and Weekend Rate",'Flat Rates'!$A$1:$M$1,0))=0,"",((INDEX('Flat Rates'!$A$1:$M$3880,MATCH($AM245,'Flat Rates'!$A$1:$A$3880,0),MATCH("Evening and Weekend Rate",'Flat Rates'!$A$1:$M$1,0)))*100)+H245),""))</f>
        <v/>
      </c>
      <c r="AU245" s="152" t="str">
        <f t="shared" si="99"/>
        <v/>
      </c>
      <c r="AV245" s="152" t="str">
        <f t="shared" si="100"/>
        <v/>
      </c>
      <c r="AW245" s="152" t="str">
        <f t="shared" si="101"/>
        <v/>
      </c>
    </row>
    <row r="246" spans="2:49" ht="15" thickBot="1" x14ac:dyDescent="0.35">
      <c r="B246" s="138" t="str">
        <f t="shared" si="78"/>
        <v/>
      </c>
      <c r="C246" s="146"/>
      <c r="D246" s="147"/>
      <c r="E246" s="140"/>
      <c r="F246" s="140"/>
      <c r="G246" s="139"/>
      <c r="H246" s="151"/>
      <c r="I246" s="139"/>
      <c r="J246" s="137"/>
      <c r="K246" s="139"/>
      <c r="L246" s="141"/>
      <c r="M246" s="133" t="str">
        <f t="shared" si="79"/>
        <v/>
      </c>
      <c r="N246" s="133" t="str">
        <f t="shared" si="80"/>
        <v/>
      </c>
      <c r="O246" s="133" t="str">
        <f t="shared" si="81"/>
        <v/>
      </c>
      <c r="P246" s="133" t="str">
        <f t="shared" si="82"/>
        <v/>
      </c>
      <c r="Q246" s="133" t="str">
        <f t="shared" si="83"/>
        <v/>
      </c>
      <c r="R246" s="133" t="str">
        <f t="shared" si="84"/>
        <v/>
      </c>
      <c r="S246" s="133" t="str">
        <f t="shared" si="85"/>
        <v/>
      </c>
      <c r="T246" s="133" t="str">
        <f>IFERROR(IF($U246="ERROR","ERROR",IF($N246="00",IF(J246="1-Rate","HH 1RATE",IF(J246="2-Rate","HH 2RATE","")),IFERROR(VLOOKUP(CONCATENATE(N246,Q246,O246,P246),Lookups!$A$2:$E$4557,5,0),VLOOKUP(CONCATENATE(N246,Q246,O246),Lookups!$A$2:$E$4557,5,0)))),"ERROR")</f>
        <v>ERROR</v>
      </c>
      <c r="U246" s="133" t="str">
        <f>IFERROR(IF(NOT($N246="00"),"",VLOOKUP(CONCATENATE(Q246,P246,LOOKUP(2,1/(Lookups!$I$2:$I$11&lt;=E246)/(Lookups!$J$2:$J$11&gt;=Tool!$C$14),Lookups!$K$2:$K$11)),'HH LLFs'!$A$2:$K$500,3,0)),"ERROR")</f>
        <v/>
      </c>
      <c r="V246" s="132">
        <f>Calcs!$I$2</f>
        <v>44377</v>
      </c>
      <c r="W246" s="132">
        <f>Calcs!$I$4</f>
        <v>44592</v>
      </c>
      <c r="X246" s="153" t="str">
        <f>IF(NOT(N246="00"),"",(VLOOKUP(CONCATENATE(Q246,P246,LOOKUP(2,1/(Lookups!$I$2:$I$11&lt;=Multisite!E246)/(Lookups!$J$2:$J$11&gt;=E246),Lookups!$K$2:$K$11)),'HH LLFs'!$A$2:$F$282,6,0)*365)/12)</f>
        <v/>
      </c>
      <c r="Y246" s="153">
        <f t="shared" si="86"/>
        <v>0</v>
      </c>
      <c r="Z246" s="153" t="str">
        <f t="shared" si="95"/>
        <v/>
      </c>
      <c r="AA246" s="153" t="str">
        <f t="shared" si="87"/>
        <v/>
      </c>
      <c r="AB246" s="153" t="str">
        <f t="shared" si="96"/>
        <v/>
      </c>
      <c r="AC246" s="153" t="str">
        <f t="shared" si="88"/>
        <v/>
      </c>
      <c r="AD246" s="153" t="str">
        <f t="shared" si="89"/>
        <v/>
      </c>
      <c r="AE246" s="153" t="str">
        <f t="shared" si="90"/>
        <v/>
      </c>
      <c r="AF246" s="155" t="e">
        <f>LOOKUP(2,1/(Lookups!$I$2:$I$11&lt;=E246)/(Lookups!$J$2:$J$11&gt;=E246),Lookups!$L$2:$L$11)</f>
        <v>#N/A</v>
      </c>
      <c r="AG246" s="142" t="str">
        <f t="shared" si="91"/>
        <v/>
      </c>
      <c r="AH246" s="142" t="str">
        <f t="shared" si="92"/>
        <v/>
      </c>
      <c r="AI246" s="143" t="b">
        <f t="shared" si="97"/>
        <v>0</v>
      </c>
      <c r="AJ246" s="143" t="str">
        <f t="shared" si="93"/>
        <v>Level 1</v>
      </c>
      <c r="AK246" s="142">
        <f t="shared" si="94"/>
        <v>0</v>
      </c>
      <c r="AL246" s="157" t="str">
        <f t="shared" si="102"/>
        <v/>
      </c>
      <c r="AM246" s="144" t="str">
        <f t="shared" si="103"/>
        <v>--FALSE-0</v>
      </c>
      <c r="AN246" s="158" t="str">
        <f t="shared" si="98"/>
        <v/>
      </c>
      <c r="AO246" s="145"/>
      <c r="AP246" s="159" t="str">
        <f>IF($AN246=FALSE,"",IFERROR(INDEX('Flat Rates'!$A$1:$M$3880,MATCH($AM246,'Flat Rates'!$A$1:$A$3880,0),MATCH("Standing Charge",'Flat Rates'!$A$1:$M$1,0))*100,""))</f>
        <v/>
      </c>
      <c r="AQ246" s="148" t="str">
        <f>IF($AN246=FALSE,"",IFERROR((IF(NOT(T246="Unrestricted"),"",INDEX('Flat Rates'!$A$1:$M$3880,MATCH($AM246,'Flat Rates'!$A$1:$A$3880,0),MATCH("Uni/Day Rate",'Flat Rates'!$A$1:$M$1,0)))*100)+H246,""))</f>
        <v/>
      </c>
      <c r="AR246" s="148" t="str">
        <f>IF($AN246=FALSE,"",IFERROR((IF(T246="Unrestricted","",INDEX('Flat Rates'!$A$1:$M$3880,MATCH($AM246,'Flat Rates'!$A$1:$A$3880,0),MATCH("Uni/Day Rate",'Flat Rates'!$A$1:$M$1,0)))*100)+H246,""))</f>
        <v/>
      </c>
      <c r="AS246" s="148" t="str">
        <f>IF($AN246=FALSE,"",IFERROR(IF(INDEX('Flat Rates'!$A$1:$M$3880,MATCH($AM246,'Flat Rates'!$A$1:$A$3880,0),MATCH("Night Unit Rate",'Flat Rates'!$A$1:$M$1,0))=0,"",((INDEX('Flat Rates'!$A$1:$M$3880,MATCH($AM246,'Flat Rates'!$A$1:$A$3880,0),MATCH("Night Unit Rate",'Flat Rates'!$A$1:$M$1,0)))*100)+H246),""))</f>
        <v/>
      </c>
      <c r="AT246" s="148" t="str">
        <f>IF($AN246=FALSE,"",IFERROR(IF(INDEX('Flat Rates'!$A$1:$M$3880,MATCH($AM246,'Flat Rates'!$A$1:$A$3880,0),MATCH("Evening and Weekend Rate",'Flat Rates'!$A$1:$M$1,0))=0,"",((INDEX('Flat Rates'!$A$1:$M$3880,MATCH($AM246,'Flat Rates'!$A$1:$A$3880,0),MATCH("Evening and Weekend Rate",'Flat Rates'!$A$1:$M$1,0)))*100)+H246),""))</f>
        <v/>
      </c>
      <c r="AU246" s="152" t="str">
        <f t="shared" si="99"/>
        <v/>
      </c>
      <c r="AV246" s="152" t="str">
        <f t="shared" si="100"/>
        <v/>
      </c>
      <c r="AW246" s="152" t="str">
        <f t="shared" si="101"/>
        <v/>
      </c>
    </row>
    <row r="247" spans="2:49" ht="15" thickBot="1" x14ac:dyDescent="0.35">
      <c r="B247" s="138" t="str">
        <f t="shared" si="78"/>
        <v/>
      </c>
      <c r="C247" s="137"/>
      <c r="D247" s="139"/>
      <c r="E247" s="140"/>
      <c r="F247" s="140"/>
      <c r="G247" s="139"/>
      <c r="H247" s="151"/>
      <c r="I247" s="139"/>
      <c r="J247" s="138"/>
      <c r="K247" s="139"/>
      <c r="L247" s="141"/>
      <c r="M247" s="133" t="str">
        <f t="shared" si="79"/>
        <v/>
      </c>
      <c r="N247" s="133" t="str">
        <f t="shared" si="80"/>
        <v/>
      </c>
      <c r="O247" s="133" t="str">
        <f t="shared" si="81"/>
        <v/>
      </c>
      <c r="P247" s="133" t="str">
        <f t="shared" si="82"/>
        <v/>
      </c>
      <c r="Q247" s="133" t="str">
        <f t="shared" si="83"/>
        <v/>
      </c>
      <c r="R247" s="133" t="str">
        <f t="shared" si="84"/>
        <v/>
      </c>
      <c r="S247" s="133" t="str">
        <f t="shared" si="85"/>
        <v/>
      </c>
      <c r="T247" s="133" t="str">
        <f>IFERROR(IF($U247="ERROR","ERROR",IF($N247="00",IF(J247="1-Rate","HH 1RATE",IF(J247="2-Rate","HH 2RATE","")),IFERROR(VLOOKUP(CONCATENATE(N247,Q247,O247,P247),Lookups!$A$2:$E$4557,5,0),VLOOKUP(CONCATENATE(N247,Q247,O247),Lookups!$A$2:$E$4557,5,0)))),"ERROR")</f>
        <v>ERROR</v>
      </c>
      <c r="U247" s="133" t="str">
        <f>IFERROR(IF(NOT($N247="00"),"",VLOOKUP(CONCATENATE(Q247,P247,LOOKUP(2,1/(Lookups!$I$2:$I$11&lt;=E247)/(Lookups!$J$2:$J$11&gt;=Tool!$C$14),Lookups!$K$2:$K$11)),'HH LLFs'!$A$2:$K$500,3,0)),"ERROR")</f>
        <v/>
      </c>
      <c r="V247" s="132">
        <f>Calcs!$I$2</f>
        <v>44377</v>
      </c>
      <c r="W247" s="132">
        <f>Calcs!$I$4</f>
        <v>44592</v>
      </c>
      <c r="X247" s="153" t="str">
        <f>IF(NOT(N247="00"),"",(VLOOKUP(CONCATENATE(Q247,P247,LOOKUP(2,1/(Lookups!$I$2:$I$11&lt;=Multisite!E247)/(Lookups!$J$2:$J$11&gt;=E247),Lookups!$K$2:$K$11)),'HH LLFs'!$A$2:$F$282,6,0)*365)/12)</f>
        <v/>
      </c>
      <c r="Y247" s="153">
        <f t="shared" si="86"/>
        <v>0</v>
      </c>
      <c r="Z247" s="153" t="str">
        <f t="shared" si="95"/>
        <v/>
      </c>
      <c r="AA247" s="153" t="str">
        <f t="shared" si="87"/>
        <v/>
      </c>
      <c r="AB247" s="153" t="str">
        <f t="shared" si="96"/>
        <v/>
      </c>
      <c r="AC247" s="153" t="str">
        <f t="shared" si="88"/>
        <v/>
      </c>
      <c r="AD247" s="153" t="str">
        <f t="shared" si="89"/>
        <v/>
      </c>
      <c r="AE247" s="153" t="str">
        <f t="shared" si="90"/>
        <v/>
      </c>
      <c r="AF247" s="155" t="e">
        <f>LOOKUP(2,1/(Lookups!$I$2:$I$11&lt;=E247)/(Lookups!$J$2:$J$11&gt;=E247),Lookups!$L$2:$L$11)</f>
        <v>#N/A</v>
      </c>
      <c r="AG247" s="142" t="str">
        <f t="shared" si="91"/>
        <v/>
      </c>
      <c r="AH247" s="142" t="str">
        <f t="shared" si="92"/>
        <v/>
      </c>
      <c r="AI247" s="143" t="b">
        <f t="shared" si="97"/>
        <v>0</v>
      </c>
      <c r="AJ247" s="143" t="str">
        <f t="shared" si="93"/>
        <v>Level 1</v>
      </c>
      <c r="AK247" s="142">
        <f t="shared" si="94"/>
        <v>0</v>
      </c>
      <c r="AL247" s="157" t="str">
        <f t="shared" si="102"/>
        <v/>
      </c>
      <c r="AM247" s="144" t="str">
        <f t="shared" si="103"/>
        <v>--FALSE-0</v>
      </c>
      <c r="AN247" s="158" t="str">
        <f t="shared" si="98"/>
        <v/>
      </c>
      <c r="AO247" s="145"/>
      <c r="AP247" s="159" t="str">
        <f>IF($AN247=FALSE,"",IFERROR(INDEX('Flat Rates'!$A$1:$M$3880,MATCH($AM247,'Flat Rates'!$A$1:$A$3880,0),MATCH("Standing Charge",'Flat Rates'!$A$1:$M$1,0))*100,""))</f>
        <v/>
      </c>
      <c r="AQ247" s="148" t="str">
        <f>IF($AN247=FALSE,"",IFERROR((IF(NOT(T247="Unrestricted"),"",INDEX('Flat Rates'!$A$1:$M$3880,MATCH($AM247,'Flat Rates'!$A$1:$A$3880,0),MATCH("Uni/Day Rate",'Flat Rates'!$A$1:$M$1,0)))*100)+H247,""))</f>
        <v/>
      </c>
      <c r="AR247" s="148" t="str">
        <f>IF($AN247=FALSE,"",IFERROR((IF(T247="Unrestricted","",INDEX('Flat Rates'!$A$1:$M$3880,MATCH($AM247,'Flat Rates'!$A$1:$A$3880,0),MATCH("Uni/Day Rate",'Flat Rates'!$A$1:$M$1,0)))*100)+H247,""))</f>
        <v/>
      </c>
      <c r="AS247" s="148" t="str">
        <f>IF($AN247=FALSE,"",IFERROR(IF(INDEX('Flat Rates'!$A$1:$M$3880,MATCH($AM247,'Flat Rates'!$A$1:$A$3880,0),MATCH("Night Unit Rate",'Flat Rates'!$A$1:$M$1,0))=0,"",((INDEX('Flat Rates'!$A$1:$M$3880,MATCH($AM247,'Flat Rates'!$A$1:$A$3880,0),MATCH("Night Unit Rate",'Flat Rates'!$A$1:$M$1,0)))*100)+H247),""))</f>
        <v/>
      </c>
      <c r="AT247" s="148" t="str">
        <f>IF($AN247=FALSE,"",IFERROR(IF(INDEX('Flat Rates'!$A$1:$M$3880,MATCH($AM247,'Flat Rates'!$A$1:$A$3880,0),MATCH("Evening and Weekend Rate",'Flat Rates'!$A$1:$M$1,0))=0,"",((INDEX('Flat Rates'!$A$1:$M$3880,MATCH($AM247,'Flat Rates'!$A$1:$A$3880,0),MATCH("Evening and Weekend Rate",'Flat Rates'!$A$1:$M$1,0)))*100)+H247),""))</f>
        <v/>
      </c>
      <c r="AU247" s="152" t="str">
        <f t="shared" si="99"/>
        <v/>
      </c>
      <c r="AV247" s="152" t="str">
        <f t="shared" si="100"/>
        <v/>
      </c>
      <c r="AW247" s="152" t="str">
        <f t="shared" si="101"/>
        <v/>
      </c>
    </row>
    <row r="248" spans="2:49" ht="15" thickBot="1" x14ac:dyDescent="0.35">
      <c r="B248" s="138" t="str">
        <f t="shared" si="78"/>
        <v/>
      </c>
      <c r="C248" s="146"/>
      <c r="D248" s="147"/>
      <c r="E248" s="140"/>
      <c r="F248" s="140"/>
      <c r="G248" s="139"/>
      <c r="H248" s="151"/>
      <c r="I248" s="139"/>
      <c r="J248" s="137"/>
      <c r="K248" s="139"/>
      <c r="L248" s="141"/>
      <c r="M248" s="133" t="str">
        <f t="shared" si="79"/>
        <v/>
      </c>
      <c r="N248" s="133" t="str">
        <f t="shared" si="80"/>
        <v/>
      </c>
      <c r="O248" s="133" t="str">
        <f t="shared" si="81"/>
        <v/>
      </c>
      <c r="P248" s="133" t="str">
        <f t="shared" si="82"/>
        <v/>
      </c>
      <c r="Q248" s="133" t="str">
        <f t="shared" si="83"/>
        <v/>
      </c>
      <c r="R248" s="133" t="str">
        <f t="shared" si="84"/>
        <v/>
      </c>
      <c r="S248" s="133" t="str">
        <f t="shared" si="85"/>
        <v/>
      </c>
      <c r="T248" s="133" t="str">
        <f>IFERROR(IF($U248="ERROR","ERROR",IF($N248="00",IF(J248="1-Rate","HH 1RATE",IF(J248="2-Rate","HH 2RATE","")),IFERROR(VLOOKUP(CONCATENATE(N248,Q248,O248,P248),Lookups!$A$2:$E$4557,5,0),VLOOKUP(CONCATENATE(N248,Q248,O248),Lookups!$A$2:$E$4557,5,0)))),"ERROR")</f>
        <v>ERROR</v>
      </c>
      <c r="U248" s="133" t="str">
        <f>IFERROR(IF(NOT($N248="00"),"",VLOOKUP(CONCATENATE(Q248,P248,LOOKUP(2,1/(Lookups!$I$2:$I$11&lt;=E248)/(Lookups!$J$2:$J$11&gt;=Tool!$C$14),Lookups!$K$2:$K$11)),'HH LLFs'!$A$2:$K$500,3,0)),"ERROR")</f>
        <v/>
      </c>
      <c r="V248" s="132">
        <f>Calcs!$I$2</f>
        <v>44377</v>
      </c>
      <c r="W248" s="132">
        <f>Calcs!$I$4</f>
        <v>44592</v>
      </c>
      <c r="X248" s="153" t="str">
        <f>IF(NOT(N248="00"),"",(VLOOKUP(CONCATENATE(Q248,P248,LOOKUP(2,1/(Lookups!$I$2:$I$11&lt;=Multisite!E248)/(Lookups!$J$2:$J$11&gt;=E248),Lookups!$K$2:$K$11)),'HH LLFs'!$A$2:$F$282,6,0)*365)/12)</f>
        <v/>
      </c>
      <c r="Y248" s="153">
        <f t="shared" si="86"/>
        <v>0</v>
      </c>
      <c r="Z248" s="153" t="str">
        <f t="shared" si="95"/>
        <v/>
      </c>
      <c r="AA248" s="153" t="str">
        <f t="shared" si="87"/>
        <v/>
      </c>
      <c r="AB248" s="153" t="str">
        <f t="shared" si="96"/>
        <v/>
      </c>
      <c r="AC248" s="153" t="str">
        <f t="shared" si="88"/>
        <v/>
      </c>
      <c r="AD248" s="153" t="str">
        <f t="shared" si="89"/>
        <v/>
      </c>
      <c r="AE248" s="153" t="str">
        <f t="shared" si="90"/>
        <v/>
      </c>
      <c r="AF248" s="155" t="e">
        <f>LOOKUP(2,1/(Lookups!$I$2:$I$11&lt;=E248)/(Lookups!$J$2:$J$11&gt;=E248),Lookups!$L$2:$L$11)</f>
        <v>#N/A</v>
      </c>
      <c r="AG248" s="142" t="str">
        <f t="shared" si="91"/>
        <v/>
      </c>
      <c r="AH248" s="142" t="str">
        <f t="shared" si="92"/>
        <v/>
      </c>
      <c r="AI248" s="143" t="b">
        <f t="shared" si="97"/>
        <v>0</v>
      </c>
      <c r="AJ248" s="143" t="str">
        <f t="shared" si="93"/>
        <v>Level 1</v>
      </c>
      <c r="AK248" s="142">
        <f t="shared" si="94"/>
        <v>0</v>
      </c>
      <c r="AL248" s="157" t="str">
        <f t="shared" si="102"/>
        <v/>
      </c>
      <c r="AM248" s="144" t="str">
        <f t="shared" si="103"/>
        <v>--FALSE-0</v>
      </c>
      <c r="AN248" s="158" t="str">
        <f t="shared" si="98"/>
        <v/>
      </c>
      <c r="AO248" s="145"/>
      <c r="AP248" s="159" t="str">
        <f>IF($AN248=FALSE,"",IFERROR(INDEX('Flat Rates'!$A$1:$M$3880,MATCH($AM248,'Flat Rates'!$A$1:$A$3880,0),MATCH("Standing Charge",'Flat Rates'!$A$1:$M$1,0))*100,""))</f>
        <v/>
      </c>
      <c r="AQ248" s="148" t="str">
        <f>IF($AN248=FALSE,"",IFERROR((IF(NOT(T248="Unrestricted"),"",INDEX('Flat Rates'!$A$1:$M$3880,MATCH($AM248,'Flat Rates'!$A$1:$A$3880,0),MATCH("Uni/Day Rate",'Flat Rates'!$A$1:$M$1,0)))*100)+H248,""))</f>
        <v/>
      </c>
      <c r="AR248" s="148" t="str">
        <f>IF($AN248=FALSE,"",IFERROR((IF(T248="Unrestricted","",INDEX('Flat Rates'!$A$1:$M$3880,MATCH($AM248,'Flat Rates'!$A$1:$A$3880,0),MATCH("Uni/Day Rate",'Flat Rates'!$A$1:$M$1,0)))*100)+H248,""))</f>
        <v/>
      </c>
      <c r="AS248" s="148" t="str">
        <f>IF($AN248=FALSE,"",IFERROR(IF(INDEX('Flat Rates'!$A$1:$M$3880,MATCH($AM248,'Flat Rates'!$A$1:$A$3880,0),MATCH("Night Unit Rate",'Flat Rates'!$A$1:$M$1,0))=0,"",((INDEX('Flat Rates'!$A$1:$M$3880,MATCH($AM248,'Flat Rates'!$A$1:$A$3880,0),MATCH("Night Unit Rate",'Flat Rates'!$A$1:$M$1,0)))*100)+H248),""))</f>
        <v/>
      </c>
      <c r="AT248" s="148" t="str">
        <f>IF($AN248=FALSE,"",IFERROR(IF(INDEX('Flat Rates'!$A$1:$M$3880,MATCH($AM248,'Flat Rates'!$A$1:$A$3880,0),MATCH("Evening and Weekend Rate",'Flat Rates'!$A$1:$M$1,0))=0,"",((INDEX('Flat Rates'!$A$1:$M$3880,MATCH($AM248,'Flat Rates'!$A$1:$A$3880,0),MATCH("Evening and Weekend Rate",'Flat Rates'!$A$1:$M$1,0)))*100)+H248),""))</f>
        <v/>
      </c>
      <c r="AU248" s="152" t="str">
        <f t="shared" si="99"/>
        <v/>
      </c>
      <c r="AV248" s="152" t="str">
        <f t="shared" si="100"/>
        <v/>
      </c>
      <c r="AW248" s="152" t="str">
        <f t="shared" si="101"/>
        <v/>
      </c>
    </row>
    <row r="249" spans="2:49" ht="15" thickBot="1" x14ac:dyDescent="0.35">
      <c r="B249" s="138" t="str">
        <f t="shared" si="78"/>
        <v/>
      </c>
      <c r="C249" s="137"/>
      <c r="D249" s="139"/>
      <c r="E249" s="140"/>
      <c r="F249" s="140"/>
      <c r="G249" s="139"/>
      <c r="H249" s="151"/>
      <c r="I249" s="139"/>
      <c r="J249" s="138"/>
      <c r="K249" s="139"/>
      <c r="L249" s="141"/>
      <c r="M249" s="133" t="str">
        <f t="shared" si="79"/>
        <v/>
      </c>
      <c r="N249" s="133" t="str">
        <f t="shared" si="80"/>
        <v/>
      </c>
      <c r="O249" s="133" t="str">
        <f t="shared" si="81"/>
        <v/>
      </c>
      <c r="P249" s="133" t="str">
        <f t="shared" si="82"/>
        <v/>
      </c>
      <c r="Q249" s="133" t="str">
        <f t="shared" si="83"/>
        <v/>
      </c>
      <c r="R249" s="133" t="str">
        <f t="shared" si="84"/>
        <v/>
      </c>
      <c r="S249" s="133" t="str">
        <f t="shared" si="85"/>
        <v/>
      </c>
      <c r="T249" s="133" t="str">
        <f>IFERROR(IF($U249="ERROR","ERROR",IF($N249="00",IF(J249="1-Rate","HH 1RATE",IF(J249="2-Rate","HH 2RATE","")),IFERROR(VLOOKUP(CONCATENATE(N249,Q249,O249,P249),Lookups!$A$2:$E$4557,5,0),VLOOKUP(CONCATENATE(N249,Q249,O249),Lookups!$A$2:$E$4557,5,0)))),"ERROR")</f>
        <v>ERROR</v>
      </c>
      <c r="U249" s="133" t="str">
        <f>IFERROR(IF(NOT($N249="00"),"",VLOOKUP(CONCATENATE(Q249,P249,LOOKUP(2,1/(Lookups!$I$2:$I$11&lt;=E249)/(Lookups!$J$2:$J$11&gt;=Tool!$C$14),Lookups!$K$2:$K$11)),'HH LLFs'!$A$2:$K$500,3,0)),"ERROR")</f>
        <v/>
      </c>
      <c r="V249" s="132">
        <f>Calcs!$I$2</f>
        <v>44377</v>
      </c>
      <c r="W249" s="132">
        <f>Calcs!$I$4</f>
        <v>44592</v>
      </c>
      <c r="X249" s="153" t="str">
        <f>IF(NOT(N249="00"),"",(VLOOKUP(CONCATENATE(Q249,P249,LOOKUP(2,1/(Lookups!$I$2:$I$11&lt;=Multisite!E249)/(Lookups!$J$2:$J$11&gt;=E249),Lookups!$K$2:$K$11)),'HH LLFs'!$A$2:$F$282,6,0)*365)/12)</f>
        <v/>
      </c>
      <c r="Y249" s="153">
        <f t="shared" si="86"/>
        <v>0</v>
      </c>
      <c r="Z249" s="153" t="str">
        <f t="shared" si="95"/>
        <v/>
      </c>
      <c r="AA249" s="153" t="str">
        <f t="shared" si="87"/>
        <v/>
      </c>
      <c r="AB249" s="153" t="str">
        <f t="shared" si="96"/>
        <v/>
      </c>
      <c r="AC249" s="153" t="str">
        <f t="shared" si="88"/>
        <v/>
      </c>
      <c r="AD249" s="153" t="str">
        <f t="shared" si="89"/>
        <v/>
      </c>
      <c r="AE249" s="153" t="str">
        <f t="shared" si="90"/>
        <v/>
      </c>
      <c r="AF249" s="155" t="e">
        <f>LOOKUP(2,1/(Lookups!$I$2:$I$11&lt;=E249)/(Lookups!$J$2:$J$11&gt;=E249),Lookups!$L$2:$L$11)</f>
        <v>#N/A</v>
      </c>
      <c r="AG249" s="142" t="str">
        <f t="shared" si="91"/>
        <v/>
      </c>
      <c r="AH249" s="142" t="str">
        <f t="shared" si="92"/>
        <v/>
      </c>
      <c r="AI249" s="143" t="b">
        <f t="shared" si="97"/>
        <v>0</v>
      </c>
      <c r="AJ249" s="143" t="str">
        <f t="shared" si="93"/>
        <v>Level 1</v>
      </c>
      <c r="AK249" s="142">
        <f t="shared" si="94"/>
        <v>0</v>
      </c>
      <c r="AL249" s="157" t="str">
        <f t="shared" si="102"/>
        <v/>
      </c>
      <c r="AM249" s="144" t="str">
        <f t="shared" si="103"/>
        <v>--FALSE-0</v>
      </c>
      <c r="AN249" s="158" t="str">
        <f t="shared" si="98"/>
        <v/>
      </c>
      <c r="AO249" s="145"/>
      <c r="AP249" s="159" t="str">
        <f>IF($AN249=FALSE,"",IFERROR(INDEX('Flat Rates'!$A$1:$M$3880,MATCH($AM249,'Flat Rates'!$A$1:$A$3880,0),MATCH("Standing Charge",'Flat Rates'!$A$1:$M$1,0))*100,""))</f>
        <v/>
      </c>
      <c r="AQ249" s="148" t="str">
        <f>IF($AN249=FALSE,"",IFERROR((IF(NOT(T249="Unrestricted"),"",INDEX('Flat Rates'!$A$1:$M$3880,MATCH($AM249,'Flat Rates'!$A$1:$A$3880,0),MATCH("Uni/Day Rate",'Flat Rates'!$A$1:$M$1,0)))*100)+H249,""))</f>
        <v/>
      </c>
      <c r="AR249" s="148" t="str">
        <f>IF($AN249=FALSE,"",IFERROR((IF(T249="Unrestricted","",INDEX('Flat Rates'!$A$1:$M$3880,MATCH($AM249,'Flat Rates'!$A$1:$A$3880,0),MATCH("Uni/Day Rate",'Flat Rates'!$A$1:$M$1,0)))*100)+H249,""))</f>
        <v/>
      </c>
      <c r="AS249" s="148" t="str">
        <f>IF($AN249=FALSE,"",IFERROR(IF(INDEX('Flat Rates'!$A$1:$M$3880,MATCH($AM249,'Flat Rates'!$A$1:$A$3880,0),MATCH("Night Unit Rate",'Flat Rates'!$A$1:$M$1,0))=0,"",((INDEX('Flat Rates'!$A$1:$M$3880,MATCH($AM249,'Flat Rates'!$A$1:$A$3880,0),MATCH("Night Unit Rate",'Flat Rates'!$A$1:$M$1,0)))*100)+H249),""))</f>
        <v/>
      </c>
      <c r="AT249" s="148" t="str">
        <f>IF($AN249=FALSE,"",IFERROR(IF(INDEX('Flat Rates'!$A$1:$M$3880,MATCH($AM249,'Flat Rates'!$A$1:$A$3880,0),MATCH("Evening and Weekend Rate",'Flat Rates'!$A$1:$M$1,0))=0,"",((INDEX('Flat Rates'!$A$1:$M$3880,MATCH($AM249,'Flat Rates'!$A$1:$A$3880,0),MATCH("Evening and Weekend Rate",'Flat Rates'!$A$1:$M$1,0)))*100)+H249),""))</f>
        <v/>
      </c>
      <c r="AU249" s="152" t="str">
        <f t="shared" si="99"/>
        <v/>
      </c>
      <c r="AV249" s="152" t="str">
        <f t="shared" si="100"/>
        <v/>
      </c>
      <c r="AW249" s="152" t="str">
        <f t="shared" si="101"/>
        <v/>
      </c>
    </row>
    <row r="250" spans="2:49" ht="15" thickBot="1" x14ac:dyDescent="0.35">
      <c r="B250" s="138" t="str">
        <f t="shared" si="78"/>
        <v/>
      </c>
      <c r="C250" s="146"/>
      <c r="D250" s="147"/>
      <c r="E250" s="140"/>
      <c r="F250" s="140"/>
      <c r="G250" s="139"/>
      <c r="H250" s="151"/>
      <c r="I250" s="139"/>
      <c r="J250" s="137"/>
      <c r="K250" s="139"/>
      <c r="L250" s="141"/>
      <c r="M250" s="133" t="str">
        <f t="shared" si="79"/>
        <v/>
      </c>
      <c r="N250" s="133" t="str">
        <f t="shared" si="80"/>
        <v/>
      </c>
      <c r="O250" s="133" t="str">
        <f t="shared" si="81"/>
        <v/>
      </c>
      <c r="P250" s="133" t="str">
        <f t="shared" si="82"/>
        <v/>
      </c>
      <c r="Q250" s="133" t="str">
        <f t="shared" si="83"/>
        <v/>
      </c>
      <c r="R250" s="133" t="str">
        <f t="shared" si="84"/>
        <v/>
      </c>
      <c r="S250" s="133" t="str">
        <f t="shared" si="85"/>
        <v/>
      </c>
      <c r="T250" s="133" t="str">
        <f>IFERROR(IF($U250="ERROR","ERROR",IF($N250="00",IF(J250="1-Rate","HH 1RATE",IF(J250="2-Rate","HH 2RATE","")),IFERROR(VLOOKUP(CONCATENATE(N250,Q250,O250,P250),Lookups!$A$2:$E$4557,5,0),VLOOKUP(CONCATENATE(N250,Q250,O250),Lookups!$A$2:$E$4557,5,0)))),"ERROR")</f>
        <v>ERROR</v>
      </c>
      <c r="U250" s="133" t="str">
        <f>IFERROR(IF(NOT($N250="00"),"",VLOOKUP(CONCATENATE(Q250,P250,LOOKUP(2,1/(Lookups!$I$2:$I$11&lt;=E250)/(Lookups!$J$2:$J$11&gt;=Tool!$C$14),Lookups!$K$2:$K$11)),'HH LLFs'!$A$2:$K$500,3,0)),"ERROR")</f>
        <v/>
      </c>
      <c r="V250" s="132">
        <f>Calcs!$I$2</f>
        <v>44377</v>
      </c>
      <c r="W250" s="132">
        <f>Calcs!$I$4</f>
        <v>44592</v>
      </c>
      <c r="X250" s="153" t="str">
        <f>IF(NOT(N250="00"),"",(VLOOKUP(CONCATENATE(Q250,P250,LOOKUP(2,1/(Lookups!$I$2:$I$11&lt;=Multisite!E250)/(Lookups!$J$2:$J$11&gt;=E250),Lookups!$K$2:$K$11)),'HH LLFs'!$A$2:$F$282,6,0)*365)/12)</f>
        <v/>
      </c>
      <c r="Y250" s="153">
        <f t="shared" si="86"/>
        <v>0</v>
      </c>
      <c r="Z250" s="153" t="str">
        <f t="shared" si="95"/>
        <v/>
      </c>
      <c r="AA250" s="153" t="str">
        <f t="shared" si="87"/>
        <v/>
      </c>
      <c r="AB250" s="153" t="str">
        <f t="shared" si="96"/>
        <v/>
      </c>
      <c r="AC250" s="153" t="str">
        <f t="shared" si="88"/>
        <v/>
      </c>
      <c r="AD250" s="153" t="str">
        <f t="shared" si="89"/>
        <v/>
      </c>
      <c r="AE250" s="153" t="str">
        <f t="shared" si="90"/>
        <v/>
      </c>
      <c r="AF250" s="155" t="e">
        <f>LOOKUP(2,1/(Lookups!$I$2:$I$11&lt;=E250)/(Lookups!$J$2:$J$11&gt;=E250),Lookups!$L$2:$L$11)</f>
        <v>#N/A</v>
      </c>
      <c r="AG250" s="142" t="str">
        <f t="shared" si="91"/>
        <v/>
      </c>
      <c r="AH250" s="142" t="str">
        <f t="shared" si="92"/>
        <v/>
      </c>
      <c r="AI250" s="143" t="b">
        <f t="shared" si="97"/>
        <v>0</v>
      </c>
      <c r="AJ250" s="143" t="str">
        <f t="shared" si="93"/>
        <v>Level 1</v>
      </c>
      <c r="AK250" s="142">
        <f t="shared" si="94"/>
        <v>0</v>
      </c>
      <c r="AL250" s="157" t="str">
        <f t="shared" si="102"/>
        <v/>
      </c>
      <c r="AM250" s="144" t="str">
        <f t="shared" si="103"/>
        <v>--FALSE-0</v>
      </c>
      <c r="AN250" s="158" t="str">
        <f t="shared" si="98"/>
        <v/>
      </c>
      <c r="AO250" s="145"/>
      <c r="AP250" s="159" t="str">
        <f>IF($AN250=FALSE,"",IFERROR(INDEX('Flat Rates'!$A$1:$M$3880,MATCH($AM250,'Flat Rates'!$A$1:$A$3880,0),MATCH("Standing Charge",'Flat Rates'!$A$1:$M$1,0))*100,""))</f>
        <v/>
      </c>
      <c r="AQ250" s="148" t="str">
        <f>IF($AN250=FALSE,"",IFERROR((IF(NOT(T250="Unrestricted"),"",INDEX('Flat Rates'!$A$1:$M$3880,MATCH($AM250,'Flat Rates'!$A$1:$A$3880,0),MATCH("Uni/Day Rate",'Flat Rates'!$A$1:$M$1,0)))*100)+H250,""))</f>
        <v/>
      </c>
      <c r="AR250" s="148" t="str">
        <f>IF($AN250=FALSE,"",IFERROR((IF(T250="Unrestricted","",INDEX('Flat Rates'!$A$1:$M$3880,MATCH($AM250,'Flat Rates'!$A$1:$A$3880,0),MATCH("Uni/Day Rate",'Flat Rates'!$A$1:$M$1,0)))*100)+H250,""))</f>
        <v/>
      </c>
      <c r="AS250" s="148" t="str">
        <f>IF($AN250=FALSE,"",IFERROR(IF(INDEX('Flat Rates'!$A$1:$M$3880,MATCH($AM250,'Flat Rates'!$A$1:$A$3880,0),MATCH("Night Unit Rate",'Flat Rates'!$A$1:$M$1,0))=0,"",((INDEX('Flat Rates'!$A$1:$M$3880,MATCH($AM250,'Flat Rates'!$A$1:$A$3880,0),MATCH("Night Unit Rate",'Flat Rates'!$A$1:$M$1,0)))*100)+H250),""))</f>
        <v/>
      </c>
      <c r="AT250" s="148" t="str">
        <f>IF($AN250=FALSE,"",IFERROR(IF(INDEX('Flat Rates'!$A$1:$M$3880,MATCH($AM250,'Flat Rates'!$A$1:$A$3880,0),MATCH("Evening and Weekend Rate",'Flat Rates'!$A$1:$M$1,0))=0,"",((INDEX('Flat Rates'!$A$1:$M$3880,MATCH($AM250,'Flat Rates'!$A$1:$A$3880,0),MATCH("Evening and Weekend Rate",'Flat Rates'!$A$1:$M$1,0)))*100)+H250),""))</f>
        <v/>
      </c>
      <c r="AU250" s="152" t="str">
        <f t="shared" si="99"/>
        <v/>
      </c>
      <c r="AV250" s="152" t="str">
        <f t="shared" si="100"/>
        <v/>
      </c>
      <c r="AW250" s="152" t="str">
        <f t="shared" si="101"/>
        <v/>
      </c>
    </row>
    <row r="251" spans="2:49" ht="15" thickBot="1" x14ac:dyDescent="0.35">
      <c r="B251" s="138" t="str">
        <f t="shared" si="78"/>
        <v/>
      </c>
      <c r="C251" s="137"/>
      <c r="D251" s="139"/>
      <c r="E251" s="140"/>
      <c r="F251" s="140"/>
      <c r="G251" s="139"/>
      <c r="H251" s="151"/>
      <c r="I251" s="139"/>
      <c r="J251" s="138"/>
      <c r="K251" s="139"/>
      <c r="L251" s="141"/>
      <c r="M251" s="133" t="str">
        <f t="shared" si="79"/>
        <v/>
      </c>
      <c r="N251" s="133" t="str">
        <f t="shared" si="80"/>
        <v/>
      </c>
      <c r="O251" s="133" t="str">
        <f t="shared" si="81"/>
        <v/>
      </c>
      <c r="P251" s="133" t="str">
        <f t="shared" si="82"/>
        <v/>
      </c>
      <c r="Q251" s="133" t="str">
        <f t="shared" si="83"/>
        <v/>
      </c>
      <c r="R251" s="133" t="str">
        <f t="shared" si="84"/>
        <v/>
      </c>
      <c r="S251" s="133" t="str">
        <f t="shared" si="85"/>
        <v/>
      </c>
      <c r="T251" s="133" t="str">
        <f>IFERROR(IF($U251="ERROR","ERROR",IF($N251="00",IF(J251="1-Rate","HH 1RATE",IF(J251="2-Rate","HH 2RATE","")),IFERROR(VLOOKUP(CONCATENATE(N251,Q251,O251,P251),Lookups!$A$2:$E$4557,5,0),VLOOKUP(CONCATENATE(N251,Q251,O251),Lookups!$A$2:$E$4557,5,0)))),"ERROR")</f>
        <v>ERROR</v>
      </c>
      <c r="U251" s="133" t="str">
        <f>IFERROR(IF(NOT($N251="00"),"",VLOOKUP(CONCATENATE(Q251,P251,LOOKUP(2,1/(Lookups!$I$2:$I$11&lt;=E251)/(Lookups!$J$2:$J$11&gt;=Tool!$C$14),Lookups!$K$2:$K$11)),'HH LLFs'!$A$2:$K$500,3,0)),"ERROR")</f>
        <v/>
      </c>
      <c r="V251" s="132">
        <f>Calcs!$I$2</f>
        <v>44377</v>
      </c>
      <c r="W251" s="132">
        <f>Calcs!$I$4</f>
        <v>44592</v>
      </c>
      <c r="X251" s="153" t="str">
        <f>IF(NOT(N251="00"),"",(VLOOKUP(CONCATENATE(Q251,P251,LOOKUP(2,1/(Lookups!$I$2:$I$11&lt;=Multisite!E251)/(Lookups!$J$2:$J$11&gt;=E251),Lookups!$K$2:$K$11)),'HH LLFs'!$A$2:$F$282,6,0)*365)/12)</f>
        <v/>
      </c>
      <c r="Y251" s="153">
        <f t="shared" si="86"/>
        <v>0</v>
      </c>
      <c r="Z251" s="153" t="str">
        <f t="shared" si="95"/>
        <v/>
      </c>
      <c r="AA251" s="153" t="str">
        <f t="shared" si="87"/>
        <v/>
      </c>
      <c r="AB251" s="153" t="str">
        <f t="shared" si="96"/>
        <v/>
      </c>
      <c r="AC251" s="153" t="str">
        <f t="shared" si="88"/>
        <v/>
      </c>
      <c r="AD251" s="153" t="str">
        <f t="shared" si="89"/>
        <v/>
      </c>
      <c r="AE251" s="153" t="str">
        <f t="shared" si="90"/>
        <v/>
      </c>
      <c r="AF251" s="155" t="e">
        <f>LOOKUP(2,1/(Lookups!$I$2:$I$11&lt;=E251)/(Lookups!$J$2:$J$11&gt;=E251),Lookups!$L$2:$L$11)</f>
        <v>#N/A</v>
      </c>
      <c r="AG251" s="142" t="str">
        <f t="shared" si="91"/>
        <v/>
      </c>
      <c r="AH251" s="142" t="str">
        <f t="shared" si="92"/>
        <v/>
      </c>
      <c r="AI251" s="143" t="b">
        <f t="shared" si="97"/>
        <v>0</v>
      </c>
      <c r="AJ251" s="143" t="str">
        <f t="shared" si="93"/>
        <v>Level 1</v>
      </c>
      <c r="AK251" s="142">
        <f t="shared" si="94"/>
        <v>0</v>
      </c>
      <c r="AL251" s="157" t="str">
        <f t="shared" si="102"/>
        <v/>
      </c>
      <c r="AM251" s="144" t="str">
        <f t="shared" si="103"/>
        <v>--FALSE-0</v>
      </c>
      <c r="AN251" s="158" t="str">
        <f t="shared" si="98"/>
        <v/>
      </c>
      <c r="AO251" s="145"/>
      <c r="AP251" s="159" t="str">
        <f>IF($AN251=FALSE,"",IFERROR(INDEX('Flat Rates'!$A$1:$M$3880,MATCH($AM251,'Flat Rates'!$A$1:$A$3880,0),MATCH("Standing Charge",'Flat Rates'!$A$1:$M$1,0))*100,""))</f>
        <v/>
      </c>
      <c r="AQ251" s="148" t="str">
        <f>IF($AN251=FALSE,"",IFERROR((IF(NOT(T251="Unrestricted"),"",INDEX('Flat Rates'!$A$1:$M$3880,MATCH($AM251,'Flat Rates'!$A$1:$A$3880,0),MATCH("Uni/Day Rate",'Flat Rates'!$A$1:$M$1,0)))*100)+H251,""))</f>
        <v/>
      </c>
      <c r="AR251" s="148" t="str">
        <f>IF($AN251=FALSE,"",IFERROR((IF(T251="Unrestricted","",INDEX('Flat Rates'!$A$1:$M$3880,MATCH($AM251,'Flat Rates'!$A$1:$A$3880,0),MATCH("Uni/Day Rate",'Flat Rates'!$A$1:$M$1,0)))*100)+H251,""))</f>
        <v/>
      </c>
      <c r="AS251" s="148" t="str">
        <f>IF($AN251=FALSE,"",IFERROR(IF(INDEX('Flat Rates'!$A$1:$M$3880,MATCH($AM251,'Flat Rates'!$A$1:$A$3880,0),MATCH("Night Unit Rate",'Flat Rates'!$A$1:$M$1,0))=0,"",((INDEX('Flat Rates'!$A$1:$M$3880,MATCH($AM251,'Flat Rates'!$A$1:$A$3880,0),MATCH("Night Unit Rate",'Flat Rates'!$A$1:$M$1,0)))*100)+H251),""))</f>
        <v/>
      </c>
      <c r="AT251" s="148" t="str">
        <f>IF($AN251=FALSE,"",IFERROR(IF(INDEX('Flat Rates'!$A$1:$M$3880,MATCH($AM251,'Flat Rates'!$A$1:$A$3880,0),MATCH("Evening and Weekend Rate",'Flat Rates'!$A$1:$M$1,0))=0,"",((INDEX('Flat Rates'!$A$1:$M$3880,MATCH($AM251,'Flat Rates'!$A$1:$A$3880,0),MATCH("Evening and Weekend Rate",'Flat Rates'!$A$1:$M$1,0)))*100)+H251),""))</f>
        <v/>
      </c>
      <c r="AU251" s="152" t="str">
        <f t="shared" si="99"/>
        <v/>
      </c>
      <c r="AV251" s="152" t="str">
        <f t="shared" si="100"/>
        <v/>
      </c>
      <c r="AW251" s="152" t="str">
        <f t="shared" si="101"/>
        <v/>
      </c>
    </row>
    <row r="252" spans="2:49" ht="15" thickBot="1" x14ac:dyDescent="0.35">
      <c r="B252" s="138" t="str">
        <f t="shared" si="78"/>
        <v/>
      </c>
      <c r="C252" s="146"/>
      <c r="D252" s="147"/>
      <c r="E252" s="140"/>
      <c r="F252" s="140"/>
      <c r="G252" s="139"/>
      <c r="H252" s="151"/>
      <c r="I252" s="139"/>
      <c r="J252" s="137"/>
      <c r="K252" s="139"/>
      <c r="L252" s="141"/>
      <c r="M252" s="133" t="str">
        <f t="shared" si="79"/>
        <v/>
      </c>
      <c r="N252" s="133" t="str">
        <f t="shared" si="80"/>
        <v/>
      </c>
      <c r="O252" s="133" t="str">
        <f t="shared" si="81"/>
        <v/>
      </c>
      <c r="P252" s="133" t="str">
        <f t="shared" si="82"/>
        <v/>
      </c>
      <c r="Q252" s="133" t="str">
        <f t="shared" si="83"/>
        <v/>
      </c>
      <c r="R252" s="133" t="str">
        <f t="shared" si="84"/>
        <v/>
      </c>
      <c r="S252" s="133" t="str">
        <f t="shared" si="85"/>
        <v/>
      </c>
      <c r="T252" s="133" t="str">
        <f>IFERROR(IF($U252="ERROR","ERROR",IF($N252="00",IF(J252="1-Rate","HH 1RATE",IF(J252="2-Rate","HH 2RATE","")),IFERROR(VLOOKUP(CONCATENATE(N252,Q252,O252,P252),Lookups!$A$2:$E$4557,5,0),VLOOKUP(CONCATENATE(N252,Q252,O252),Lookups!$A$2:$E$4557,5,0)))),"ERROR")</f>
        <v>ERROR</v>
      </c>
      <c r="U252" s="133" t="str">
        <f>IFERROR(IF(NOT($N252="00"),"",VLOOKUP(CONCATENATE(Q252,P252,LOOKUP(2,1/(Lookups!$I$2:$I$11&lt;=E252)/(Lookups!$J$2:$J$11&gt;=Tool!$C$14),Lookups!$K$2:$K$11)),'HH LLFs'!$A$2:$K$500,3,0)),"ERROR")</f>
        <v/>
      </c>
      <c r="V252" s="132">
        <f>Calcs!$I$2</f>
        <v>44377</v>
      </c>
      <c r="W252" s="132">
        <f>Calcs!$I$4</f>
        <v>44592</v>
      </c>
      <c r="X252" s="153" t="str">
        <f>IF(NOT(N252="00"),"",(VLOOKUP(CONCATENATE(Q252,P252,LOOKUP(2,1/(Lookups!$I$2:$I$11&lt;=Multisite!E252)/(Lookups!$J$2:$J$11&gt;=E252),Lookups!$K$2:$K$11)),'HH LLFs'!$A$2:$F$282,6,0)*365)/12)</f>
        <v/>
      </c>
      <c r="Y252" s="153">
        <f t="shared" si="86"/>
        <v>0</v>
      </c>
      <c r="Z252" s="153" t="str">
        <f t="shared" si="95"/>
        <v/>
      </c>
      <c r="AA252" s="153" t="str">
        <f t="shared" si="87"/>
        <v/>
      </c>
      <c r="AB252" s="153" t="str">
        <f t="shared" si="96"/>
        <v/>
      </c>
      <c r="AC252" s="153" t="str">
        <f t="shared" si="88"/>
        <v/>
      </c>
      <c r="AD252" s="153" t="str">
        <f t="shared" si="89"/>
        <v/>
      </c>
      <c r="AE252" s="153" t="str">
        <f t="shared" si="90"/>
        <v/>
      </c>
      <c r="AF252" s="155" t="e">
        <f>LOOKUP(2,1/(Lookups!$I$2:$I$11&lt;=E252)/(Lookups!$J$2:$J$11&gt;=E252),Lookups!$L$2:$L$11)</f>
        <v>#N/A</v>
      </c>
      <c r="AG252" s="142" t="str">
        <f t="shared" si="91"/>
        <v/>
      </c>
      <c r="AH252" s="142" t="str">
        <f t="shared" si="92"/>
        <v/>
      </c>
      <c r="AI252" s="143" t="b">
        <f t="shared" si="97"/>
        <v>0</v>
      </c>
      <c r="AJ252" s="143" t="str">
        <f t="shared" si="93"/>
        <v>Level 1</v>
      </c>
      <c r="AK252" s="142">
        <f t="shared" si="94"/>
        <v>0</v>
      </c>
      <c r="AL252" s="157" t="str">
        <f t="shared" si="102"/>
        <v/>
      </c>
      <c r="AM252" s="144" t="str">
        <f t="shared" si="103"/>
        <v>--FALSE-0</v>
      </c>
      <c r="AN252" s="158" t="str">
        <f t="shared" si="98"/>
        <v/>
      </c>
      <c r="AO252" s="145"/>
      <c r="AP252" s="159" t="str">
        <f>IF($AN252=FALSE,"",IFERROR(INDEX('Flat Rates'!$A$1:$M$3880,MATCH($AM252,'Flat Rates'!$A$1:$A$3880,0),MATCH("Standing Charge",'Flat Rates'!$A$1:$M$1,0))*100,""))</f>
        <v/>
      </c>
      <c r="AQ252" s="148" t="str">
        <f>IF($AN252=FALSE,"",IFERROR((IF(NOT(T252="Unrestricted"),"",INDEX('Flat Rates'!$A$1:$M$3880,MATCH($AM252,'Flat Rates'!$A$1:$A$3880,0),MATCH("Uni/Day Rate",'Flat Rates'!$A$1:$M$1,0)))*100)+H252,""))</f>
        <v/>
      </c>
      <c r="AR252" s="148" t="str">
        <f>IF($AN252=FALSE,"",IFERROR((IF(T252="Unrestricted","",INDEX('Flat Rates'!$A$1:$M$3880,MATCH($AM252,'Flat Rates'!$A$1:$A$3880,0),MATCH("Uni/Day Rate",'Flat Rates'!$A$1:$M$1,0)))*100)+H252,""))</f>
        <v/>
      </c>
      <c r="AS252" s="148" t="str">
        <f>IF($AN252=FALSE,"",IFERROR(IF(INDEX('Flat Rates'!$A$1:$M$3880,MATCH($AM252,'Flat Rates'!$A$1:$A$3880,0),MATCH("Night Unit Rate",'Flat Rates'!$A$1:$M$1,0))=0,"",((INDEX('Flat Rates'!$A$1:$M$3880,MATCH($AM252,'Flat Rates'!$A$1:$A$3880,0),MATCH("Night Unit Rate",'Flat Rates'!$A$1:$M$1,0)))*100)+H252),""))</f>
        <v/>
      </c>
      <c r="AT252" s="148" t="str">
        <f>IF($AN252=FALSE,"",IFERROR(IF(INDEX('Flat Rates'!$A$1:$M$3880,MATCH($AM252,'Flat Rates'!$A$1:$A$3880,0),MATCH("Evening and Weekend Rate",'Flat Rates'!$A$1:$M$1,0))=0,"",((INDEX('Flat Rates'!$A$1:$M$3880,MATCH($AM252,'Flat Rates'!$A$1:$A$3880,0),MATCH("Evening and Weekend Rate",'Flat Rates'!$A$1:$M$1,0)))*100)+H252),""))</f>
        <v/>
      </c>
      <c r="AU252" s="152" t="str">
        <f t="shared" si="99"/>
        <v/>
      </c>
      <c r="AV252" s="152" t="str">
        <f t="shared" si="100"/>
        <v/>
      </c>
      <c r="AW252" s="152" t="str">
        <f t="shared" si="101"/>
        <v/>
      </c>
    </row>
    <row r="253" spans="2:49" ht="15" thickBot="1" x14ac:dyDescent="0.35">
      <c r="B253" s="138" t="str">
        <f t="shared" si="78"/>
        <v/>
      </c>
      <c r="C253" s="137"/>
      <c r="D253" s="139"/>
      <c r="E253" s="140"/>
      <c r="F253" s="140"/>
      <c r="G253" s="139"/>
      <c r="H253" s="151"/>
      <c r="I253" s="139"/>
      <c r="J253" s="138"/>
      <c r="K253" s="139"/>
      <c r="L253" s="141"/>
      <c r="M253" s="133" t="str">
        <f t="shared" si="79"/>
        <v/>
      </c>
      <c r="N253" s="133" t="str">
        <f t="shared" si="80"/>
        <v/>
      </c>
      <c r="O253" s="133" t="str">
        <f t="shared" si="81"/>
        <v/>
      </c>
      <c r="P253" s="133" t="str">
        <f t="shared" si="82"/>
        <v/>
      </c>
      <c r="Q253" s="133" t="str">
        <f t="shared" si="83"/>
        <v/>
      </c>
      <c r="R253" s="133" t="str">
        <f t="shared" si="84"/>
        <v/>
      </c>
      <c r="S253" s="133" t="str">
        <f t="shared" si="85"/>
        <v/>
      </c>
      <c r="T253" s="133" t="str">
        <f>IFERROR(IF($U253="ERROR","ERROR",IF($N253="00",IF(J253="1-Rate","HH 1RATE",IF(J253="2-Rate","HH 2RATE","")),IFERROR(VLOOKUP(CONCATENATE(N253,Q253,O253,P253),Lookups!$A$2:$E$4557,5,0),VLOOKUP(CONCATENATE(N253,Q253,O253),Lookups!$A$2:$E$4557,5,0)))),"ERROR")</f>
        <v>ERROR</v>
      </c>
      <c r="U253" s="133" t="str">
        <f>IFERROR(IF(NOT($N253="00"),"",VLOOKUP(CONCATENATE(Q253,P253,LOOKUP(2,1/(Lookups!$I$2:$I$11&lt;=E253)/(Lookups!$J$2:$J$11&gt;=Tool!$C$14),Lookups!$K$2:$K$11)),'HH LLFs'!$A$2:$K$500,3,0)),"ERROR")</f>
        <v/>
      </c>
      <c r="V253" s="132">
        <f>Calcs!$I$2</f>
        <v>44377</v>
      </c>
      <c r="W253" s="132">
        <f>Calcs!$I$4</f>
        <v>44592</v>
      </c>
      <c r="X253" s="153" t="str">
        <f>IF(NOT(N253="00"),"",(VLOOKUP(CONCATENATE(Q253,P253,LOOKUP(2,1/(Lookups!$I$2:$I$11&lt;=Multisite!E253)/(Lookups!$J$2:$J$11&gt;=E253),Lookups!$K$2:$K$11)),'HH LLFs'!$A$2:$F$282,6,0)*365)/12)</f>
        <v/>
      </c>
      <c r="Y253" s="153">
        <f t="shared" si="86"/>
        <v>0</v>
      </c>
      <c r="Z253" s="153" t="str">
        <f t="shared" si="95"/>
        <v/>
      </c>
      <c r="AA253" s="153" t="str">
        <f t="shared" si="87"/>
        <v/>
      </c>
      <c r="AB253" s="153" t="str">
        <f t="shared" si="96"/>
        <v/>
      </c>
      <c r="AC253" s="153" t="str">
        <f t="shared" si="88"/>
        <v/>
      </c>
      <c r="AD253" s="153" t="str">
        <f t="shared" si="89"/>
        <v/>
      </c>
      <c r="AE253" s="153" t="str">
        <f t="shared" si="90"/>
        <v/>
      </c>
      <c r="AF253" s="155" t="e">
        <f>LOOKUP(2,1/(Lookups!$I$2:$I$11&lt;=E253)/(Lookups!$J$2:$J$11&gt;=E253),Lookups!$L$2:$L$11)</f>
        <v>#N/A</v>
      </c>
      <c r="AG253" s="142" t="str">
        <f t="shared" si="91"/>
        <v/>
      </c>
      <c r="AH253" s="142" t="str">
        <f t="shared" si="92"/>
        <v/>
      </c>
      <c r="AI253" s="143" t="b">
        <f t="shared" si="97"/>
        <v>0</v>
      </c>
      <c r="AJ253" s="143" t="str">
        <f t="shared" si="93"/>
        <v>Level 1</v>
      </c>
      <c r="AK253" s="142">
        <f t="shared" si="94"/>
        <v>0</v>
      </c>
      <c r="AL253" s="157" t="str">
        <f t="shared" si="102"/>
        <v/>
      </c>
      <c r="AM253" s="144" t="str">
        <f t="shared" si="103"/>
        <v>--FALSE-0</v>
      </c>
      <c r="AN253" s="158" t="str">
        <f t="shared" si="98"/>
        <v/>
      </c>
      <c r="AO253" s="145"/>
      <c r="AP253" s="159" t="str">
        <f>IF($AN253=FALSE,"",IFERROR(INDEX('Flat Rates'!$A$1:$M$3880,MATCH($AM253,'Flat Rates'!$A$1:$A$3880,0),MATCH("Standing Charge",'Flat Rates'!$A$1:$M$1,0))*100,""))</f>
        <v/>
      </c>
      <c r="AQ253" s="148" t="str">
        <f>IF($AN253=FALSE,"",IFERROR((IF(NOT(T253="Unrestricted"),"",INDEX('Flat Rates'!$A$1:$M$3880,MATCH($AM253,'Flat Rates'!$A$1:$A$3880,0),MATCH("Uni/Day Rate",'Flat Rates'!$A$1:$M$1,0)))*100)+H253,""))</f>
        <v/>
      </c>
      <c r="AR253" s="148" t="str">
        <f>IF($AN253=FALSE,"",IFERROR((IF(T253="Unrestricted","",INDEX('Flat Rates'!$A$1:$M$3880,MATCH($AM253,'Flat Rates'!$A$1:$A$3880,0),MATCH("Uni/Day Rate",'Flat Rates'!$A$1:$M$1,0)))*100)+H253,""))</f>
        <v/>
      </c>
      <c r="AS253" s="148" t="str">
        <f>IF($AN253=FALSE,"",IFERROR(IF(INDEX('Flat Rates'!$A$1:$M$3880,MATCH($AM253,'Flat Rates'!$A$1:$A$3880,0),MATCH("Night Unit Rate",'Flat Rates'!$A$1:$M$1,0))=0,"",((INDEX('Flat Rates'!$A$1:$M$3880,MATCH($AM253,'Flat Rates'!$A$1:$A$3880,0),MATCH("Night Unit Rate",'Flat Rates'!$A$1:$M$1,0)))*100)+H253),""))</f>
        <v/>
      </c>
      <c r="AT253" s="148" t="str">
        <f>IF($AN253=FALSE,"",IFERROR(IF(INDEX('Flat Rates'!$A$1:$M$3880,MATCH($AM253,'Flat Rates'!$A$1:$A$3880,0),MATCH("Evening and Weekend Rate",'Flat Rates'!$A$1:$M$1,0))=0,"",((INDEX('Flat Rates'!$A$1:$M$3880,MATCH($AM253,'Flat Rates'!$A$1:$A$3880,0),MATCH("Evening and Weekend Rate",'Flat Rates'!$A$1:$M$1,0)))*100)+H253),""))</f>
        <v/>
      </c>
      <c r="AU253" s="152" t="str">
        <f t="shared" si="99"/>
        <v/>
      </c>
      <c r="AV253" s="152" t="str">
        <f t="shared" si="100"/>
        <v/>
      </c>
      <c r="AW253" s="152" t="str">
        <f t="shared" si="101"/>
        <v/>
      </c>
    </row>
    <row r="254" spans="2:49" ht="15" thickBot="1" x14ac:dyDescent="0.35">
      <c r="B254" s="138" t="str">
        <f t="shared" si="78"/>
        <v/>
      </c>
      <c r="C254" s="146"/>
      <c r="D254" s="147"/>
      <c r="E254" s="140"/>
      <c r="F254" s="140"/>
      <c r="G254" s="139"/>
      <c r="H254" s="151"/>
      <c r="I254" s="139"/>
      <c r="J254" s="137"/>
      <c r="K254" s="139"/>
      <c r="L254" s="141"/>
      <c r="M254" s="133" t="str">
        <f t="shared" si="79"/>
        <v/>
      </c>
      <c r="N254" s="133" t="str">
        <f t="shared" si="80"/>
        <v/>
      </c>
      <c r="O254" s="133" t="str">
        <f t="shared" si="81"/>
        <v/>
      </c>
      <c r="P254" s="133" t="str">
        <f t="shared" si="82"/>
        <v/>
      </c>
      <c r="Q254" s="133" t="str">
        <f t="shared" si="83"/>
        <v/>
      </c>
      <c r="R254" s="133" t="str">
        <f t="shared" si="84"/>
        <v/>
      </c>
      <c r="S254" s="133" t="str">
        <f t="shared" si="85"/>
        <v/>
      </c>
      <c r="T254" s="133" t="str">
        <f>IFERROR(IF($U254="ERROR","ERROR",IF($N254="00",IF(J254="1-Rate","HH 1RATE",IF(J254="2-Rate","HH 2RATE","")),IFERROR(VLOOKUP(CONCATENATE(N254,Q254,O254,P254),Lookups!$A$2:$E$4557,5,0),VLOOKUP(CONCATENATE(N254,Q254,O254),Lookups!$A$2:$E$4557,5,0)))),"ERROR")</f>
        <v>ERROR</v>
      </c>
      <c r="U254" s="133" t="str">
        <f>IFERROR(IF(NOT($N254="00"),"",VLOOKUP(CONCATENATE(Q254,P254,LOOKUP(2,1/(Lookups!$I$2:$I$11&lt;=E254)/(Lookups!$J$2:$J$11&gt;=Tool!$C$14),Lookups!$K$2:$K$11)),'HH LLFs'!$A$2:$K$500,3,0)),"ERROR")</f>
        <v/>
      </c>
      <c r="V254" s="132">
        <f>Calcs!$I$2</f>
        <v>44377</v>
      </c>
      <c r="W254" s="132">
        <f>Calcs!$I$4</f>
        <v>44592</v>
      </c>
      <c r="X254" s="153" t="str">
        <f>IF(NOT(N254="00"),"",(VLOOKUP(CONCATENATE(Q254,P254,LOOKUP(2,1/(Lookups!$I$2:$I$11&lt;=Multisite!E254)/(Lookups!$J$2:$J$11&gt;=E254),Lookups!$K$2:$K$11)),'HH LLFs'!$A$2:$F$282,6,0)*365)/12)</f>
        <v/>
      </c>
      <c r="Y254" s="153">
        <f t="shared" si="86"/>
        <v>0</v>
      </c>
      <c r="Z254" s="153" t="str">
        <f t="shared" si="95"/>
        <v/>
      </c>
      <c r="AA254" s="153" t="str">
        <f t="shared" si="87"/>
        <v/>
      </c>
      <c r="AB254" s="153" t="str">
        <f t="shared" si="96"/>
        <v/>
      </c>
      <c r="AC254" s="153" t="str">
        <f t="shared" si="88"/>
        <v/>
      </c>
      <c r="AD254" s="153" t="str">
        <f t="shared" si="89"/>
        <v/>
      </c>
      <c r="AE254" s="153" t="str">
        <f t="shared" si="90"/>
        <v/>
      </c>
      <c r="AF254" s="155" t="e">
        <f>LOOKUP(2,1/(Lookups!$I$2:$I$11&lt;=E254)/(Lookups!$J$2:$J$11&gt;=E254),Lookups!$L$2:$L$11)</f>
        <v>#N/A</v>
      </c>
      <c r="AG254" s="142" t="str">
        <f t="shared" si="91"/>
        <v/>
      </c>
      <c r="AH254" s="142" t="str">
        <f t="shared" si="92"/>
        <v/>
      </c>
      <c r="AI254" s="143" t="b">
        <f t="shared" si="97"/>
        <v>0</v>
      </c>
      <c r="AJ254" s="143" t="str">
        <f t="shared" si="93"/>
        <v>Level 1</v>
      </c>
      <c r="AK254" s="142">
        <f t="shared" si="94"/>
        <v>0</v>
      </c>
      <c r="AL254" s="157" t="str">
        <f t="shared" si="102"/>
        <v/>
      </c>
      <c r="AM254" s="144" t="str">
        <f t="shared" si="103"/>
        <v>--FALSE-0</v>
      </c>
      <c r="AN254" s="158" t="str">
        <f t="shared" si="98"/>
        <v/>
      </c>
      <c r="AO254" s="145"/>
      <c r="AP254" s="159" t="str">
        <f>IF($AN254=FALSE,"",IFERROR(INDEX('Flat Rates'!$A$1:$M$3880,MATCH($AM254,'Flat Rates'!$A$1:$A$3880,0),MATCH("Standing Charge",'Flat Rates'!$A$1:$M$1,0))*100,""))</f>
        <v/>
      </c>
      <c r="AQ254" s="148" t="str">
        <f>IF($AN254=FALSE,"",IFERROR((IF(NOT(T254="Unrestricted"),"",INDEX('Flat Rates'!$A$1:$M$3880,MATCH($AM254,'Flat Rates'!$A$1:$A$3880,0),MATCH("Uni/Day Rate",'Flat Rates'!$A$1:$M$1,0)))*100)+H254,""))</f>
        <v/>
      </c>
      <c r="AR254" s="148" t="str">
        <f>IF($AN254=FALSE,"",IFERROR((IF(T254="Unrestricted","",INDEX('Flat Rates'!$A$1:$M$3880,MATCH($AM254,'Flat Rates'!$A$1:$A$3880,0),MATCH("Uni/Day Rate",'Flat Rates'!$A$1:$M$1,0)))*100)+H254,""))</f>
        <v/>
      </c>
      <c r="AS254" s="148" t="str">
        <f>IF($AN254=FALSE,"",IFERROR(IF(INDEX('Flat Rates'!$A$1:$M$3880,MATCH($AM254,'Flat Rates'!$A$1:$A$3880,0),MATCH("Night Unit Rate",'Flat Rates'!$A$1:$M$1,0))=0,"",((INDEX('Flat Rates'!$A$1:$M$3880,MATCH($AM254,'Flat Rates'!$A$1:$A$3880,0),MATCH("Night Unit Rate",'Flat Rates'!$A$1:$M$1,0)))*100)+H254),""))</f>
        <v/>
      </c>
      <c r="AT254" s="148" t="str">
        <f>IF($AN254=FALSE,"",IFERROR(IF(INDEX('Flat Rates'!$A$1:$M$3880,MATCH($AM254,'Flat Rates'!$A$1:$A$3880,0),MATCH("Evening and Weekend Rate",'Flat Rates'!$A$1:$M$1,0))=0,"",((INDEX('Flat Rates'!$A$1:$M$3880,MATCH($AM254,'Flat Rates'!$A$1:$A$3880,0),MATCH("Evening and Weekend Rate",'Flat Rates'!$A$1:$M$1,0)))*100)+H254),""))</f>
        <v/>
      </c>
      <c r="AU254" s="152" t="str">
        <f t="shared" si="99"/>
        <v/>
      </c>
      <c r="AV254" s="152" t="str">
        <f t="shared" si="100"/>
        <v/>
      </c>
      <c r="AW254" s="152" t="str">
        <f t="shared" si="101"/>
        <v/>
      </c>
    </row>
    <row r="255" spans="2:49" ht="15" thickBot="1" x14ac:dyDescent="0.35">
      <c r="B255" s="138" t="str">
        <f t="shared" si="78"/>
        <v/>
      </c>
      <c r="C255" s="137"/>
      <c r="D255" s="139"/>
      <c r="E255" s="140"/>
      <c r="F255" s="140"/>
      <c r="G255" s="139"/>
      <c r="H255" s="151"/>
      <c r="I255" s="139"/>
      <c r="J255" s="138"/>
      <c r="K255" s="139"/>
      <c r="L255" s="141"/>
      <c r="M255" s="133" t="str">
        <f t="shared" si="79"/>
        <v/>
      </c>
      <c r="N255" s="133" t="str">
        <f t="shared" si="80"/>
        <v/>
      </c>
      <c r="O255" s="133" t="str">
        <f t="shared" si="81"/>
        <v/>
      </c>
      <c r="P255" s="133" t="str">
        <f t="shared" si="82"/>
        <v/>
      </c>
      <c r="Q255" s="133" t="str">
        <f t="shared" si="83"/>
        <v/>
      </c>
      <c r="R255" s="133" t="str">
        <f t="shared" si="84"/>
        <v/>
      </c>
      <c r="S255" s="133" t="str">
        <f t="shared" si="85"/>
        <v/>
      </c>
      <c r="T255" s="133" t="str">
        <f>IFERROR(IF($U255="ERROR","ERROR",IF($N255="00",IF(J255="1-Rate","HH 1RATE",IF(J255="2-Rate","HH 2RATE","")),IFERROR(VLOOKUP(CONCATENATE(N255,Q255,O255,P255),Lookups!$A$2:$E$4557,5,0),VLOOKUP(CONCATENATE(N255,Q255,O255),Lookups!$A$2:$E$4557,5,0)))),"ERROR")</f>
        <v>ERROR</v>
      </c>
      <c r="U255" s="133" t="str">
        <f>IFERROR(IF(NOT($N255="00"),"",VLOOKUP(CONCATENATE(Q255,P255,LOOKUP(2,1/(Lookups!$I$2:$I$11&lt;=E255)/(Lookups!$J$2:$J$11&gt;=Tool!$C$14),Lookups!$K$2:$K$11)),'HH LLFs'!$A$2:$K$500,3,0)),"ERROR")</f>
        <v/>
      </c>
      <c r="V255" s="132">
        <f>Calcs!$I$2</f>
        <v>44377</v>
      </c>
      <c r="W255" s="132">
        <f>Calcs!$I$4</f>
        <v>44592</v>
      </c>
      <c r="X255" s="153" t="str">
        <f>IF(NOT(N255="00"),"",(VLOOKUP(CONCATENATE(Q255,P255,LOOKUP(2,1/(Lookups!$I$2:$I$11&lt;=Multisite!E255)/(Lookups!$J$2:$J$11&gt;=E255),Lookups!$K$2:$K$11)),'HH LLFs'!$A$2:$F$282,6,0)*365)/12)</f>
        <v/>
      </c>
      <c r="Y255" s="153">
        <f t="shared" si="86"/>
        <v>0</v>
      </c>
      <c r="Z255" s="153" t="str">
        <f t="shared" si="95"/>
        <v/>
      </c>
      <c r="AA255" s="153" t="str">
        <f t="shared" si="87"/>
        <v/>
      </c>
      <c r="AB255" s="153" t="str">
        <f t="shared" si="96"/>
        <v/>
      </c>
      <c r="AC255" s="153" t="str">
        <f t="shared" si="88"/>
        <v/>
      </c>
      <c r="AD255" s="153" t="str">
        <f t="shared" si="89"/>
        <v/>
      </c>
      <c r="AE255" s="153" t="str">
        <f t="shared" si="90"/>
        <v/>
      </c>
      <c r="AF255" s="155" t="e">
        <f>LOOKUP(2,1/(Lookups!$I$2:$I$11&lt;=E255)/(Lookups!$J$2:$J$11&gt;=E255),Lookups!$L$2:$L$11)</f>
        <v>#N/A</v>
      </c>
      <c r="AG255" s="142" t="str">
        <f t="shared" si="91"/>
        <v/>
      </c>
      <c r="AH255" s="142" t="str">
        <f t="shared" si="92"/>
        <v/>
      </c>
      <c r="AI255" s="143" t="b">
        <f t="shared" si="97"/>
        <v>0</v>
      </c>
      <c r="AJ255" s="143" t="str">
        <f t="shared" si="93"/>
        <v>Level 1</v>
      </c>
      <c r="AK255" s="142">
        <f t="shared" si="94"/>
        <v>0</v>
      </c>
      <c r="AL255" s="157" t="str">
        <f t="shared" si="102"/>
        <v/>
      </c>
      <c r="AM255" s="144" t="str">
        <f t="shared" si="103"/>
        <v>--FALSE-0</v>
      </c>
      <c r="AN255" s="158" t="str">
        <f t="shared" si="98"/>
        <v/>
      </c>
      <c r="AO255" s="145"/>
      <c r="AP255" s="159" t="str">
        <f>IF($AN255=FALSE,"",IFERROR(INDEX('Flat Rates'!$A$1:$M$3880,MATCH($AM255,'Flat Rates'!$A$1:$A$3880,0),MATCH("Standing Charge",'Flat Rates'!$A$1:$M$1,0))*100,""))</f>
        <v/>
      </c>
      <c r="AQ255" s="148" t="str">
        <f>IF($AN255=FALSE,"",IFERROR((IF(NOT(T255="Unrestricted"),"",INDEX('Flat Rates'!$A$1:$M$3880,MATCH($AM255,'Flat Rates'!$A$1:$A$3880,0),MATCH("Uni/Day Rate",'Flat Rates'!$A$1:$M$1,0)))*100)+H255,""))</f>
        <v/>
      </c>
      <c r="AR255" s="148" t="str">
        <f>IF($AN255=FALSE,"",IFERROR((IF(T255="Unrestricted","",INDEX('Flat Rates'!$A$1:$M$3880,MATCH($AM255,'Flat Rates'!$A$1:$A$3880,0),MATCH("Uni/Day Rate",'Flat Rates'!$A$1:$M$1,0)))*100)+H255,""))</f>
        <v/>
      </c>
      <c r="AS255" s="148" t="str">
        <f>IF($AN255=FALSE,"",IFERROR(IF(INDEX('Flat Rates'!$A$1:$M$3880,MATCH($AM255,'Flat Rates'!$A$1:$A$3880,0),MATCH("Night Unit Rate",'Flat Rates'!$A$1:$M$1,0))=0,"",((INDEX('Flat Rates'!$A$1:$M$3880,MATCH($AM255,'Flat Rates'!$A$1:$A$3880,0),MATCH("Night Unit Rate",'Flat Rates'!$A$1:$M$1,0)))*100)+H255),""))</f>
        <v/>
      </c>
      <c r="AT255" s="148" t="str">
        <f>IF($AN255=FALSE,"",IFERROR(IF(INDEX('Flat Rates'!$A$1:$M$3880,MATCH($AM255,'Flat Rates'!$A$1:$A$3880,0),MATCH("Evening and Weekend Rate",'Flat Rates'!$A$1:$M$1,0))=0,"",((INDEX('Flat Rates'!$A$1:$M$3880,MATCH($AM255,'Flat Rates'!$A$1:$A$3880,0),MATCH("Evening and Weekend Rate",'Flat Rates'!$A$1:$M$1,0)))*100)+H255),""))</f>
        <v/>
      </c>
      <c r="AU255" s="152" t="str">
        <f t="shared" si="99"/>
        <v/>
      </c>
      <c r="AV255" s="152" t="str">
        <f t="shared" si="100"/>
        <v/>
      </c>
      <c r="AW255" s="152" t="str">
        <f t="shared" si="101"/>
        <v/>
      </c>
    </row>
    <row r="256" spans="2:49" ht="15" thickBot="1" x14ac:dyDescent="0.35">
      <c r="B256" s="138" t="str">
        <f t="shared" si="78"/>
        <v/>
      </c>
      <c r="C256" s="146"/>
      <c r="D256" s="147"/>
      <c r="E256" s="140"/>
      <c r="F256" s="140"/>
      <c r="G256" s="139"/>
      <c r="H256" s="151"/>
      <c r="I256" s="139"/>
      <c r="J256" s="137"/>
      <c r="K256" s="139"/>
      <c r="L256" s="141"/>
      <c r="M256" s="133" t="str">
        <f t="shared" si="79"/>
        <v/>
      </c>
      <c r="N256" s="133" t="str">
        <f t="shared" si="80"/>
        <v/>
      </c>
      <c r="O256" s="133" t="str">
        <f t="shared" si="81"/>
        <v/>
      </c>
      <c r="P256" s="133" t="str">
        <f t="shared" si="82"/>
        <v/>
      </c>
      <c r="Q256" s="133" t="str">
        <f t="shared" si="83"/>
        <v/>
      </c>
      <c r="R256" s="133" t="str">
        <f t="shared" si="84"/>
        <v/>
      </c>
      <c r="S256" s="133" t="str">
        <f t="shared" si="85"/>
        <v/>
      </c>
      <c r="T256" s="133" t="str">
        <f>IFERROR(IF($U256="ERROR","ERROR",IF($N256="00",IF(J256="1-Rate","HH 1RATE",IF(J256="2-Rate","HH 2RATE","")),IFERROR(VLOOKUP(CONCATENATE(N256,Q256,O256,P256),Lookups!$A$2:$E$4557,5,0),VLOOKUP(CONCATENATE(N256,Q256,O256),Lookups!$A$2:$E$4557,5,0)))),"ERROR")</f>
        <v>ERROR</v>
      </c>
      <c r="U256" s="133" t="str">
        <f>IFERROR(IF(NOT($N256="00"),"",VLOOKUP(CONCATENATE(Q256,P256,LOOKUP(2,1/(Lookups!$I$2:$I$11&lt;=E256)/(Lookups!$J$2:$J$11&gt;=Tool!$C$14),Lookups!$K$2:$K$11)),'HH LLFs'!$A$2:$K$500,3,0)),"ERROR")</f>
        <v/>
      </c>
      <c r="V256" s="132">
        <f>Calcs!$I$2</f>
        <v>44377</v>
      </c>
      <c r="W256" s="132">
        <f>Calcs!$I$4</f>
        <v>44592</v>
      </c>
      <c r="X256" s="153" t="str">
        <f>IF(NOT(N256="00"),"",(VLOOKUP(CONCATENATE(Q256,P256,LOOKUP(2,1/(Lookups!$I$2:$I$11&lt;=Multisite!E256)/(Lookups!$J$2:$J$11&gt;=E256),Lookups!$K$2:$K$11)),'HH LLFs'!$A$2:$F$282,6,0)*365)/12)</f>
        <v/>
      </c>
      <c r="Y256" s="153">
        <f t="shared" si="86"/>
        <v>0</v>
      </c>
      <c r="Z256" s="153" t="str">
        <f t="shared" si="95"/>
        <v/>
      </c>
      <c r="AA256" s="153" t="str">
        <f t="shared" si="87"/>
        <v/>
      </c>
      <c r="AB256" s="153" t="str">
        <f t="shared" si="96"/>
        <v/>
      </c>
      <c r="AC256" s="153" t="str">
        <f t="shared" si="88"/>
        <v/>
      </c>
      <c r="AD256" s="153" t="str">
        <f t="shared" si="89"/>
        <v/>
      </c>
      <c r="AE256" s="153" t="str">
        <f t="shared" si="90"/>
        <v/>
      </c>
      <c r="AF256" s="155" t="e">
        <f>LOOKUP(2,1/(Lookups!$I$2:$I$11&lt;=E256)/(Lookups!$J$2:$J$11&gt;=E256),Lookups!$L$2:$L$11)</f>
        <v>#N/A</v>
      </c>
      <c r="AG256" s="142" t="str">
        <f t="shared" si="91"/>
        <v/>
      </c>
      <c r="AH256" s="142" t="str">
        <f t="shared" si="92"/>
        <v/>
      </c>
      <c r="AI256" s="143" t="b">
        <f t="shared" si="97"/>
        <v>0</v>
      </c>
      <c r="AJ256" s="143" t="str">
        <f t="shared" si="93"/>
        <v>Level 1</v>
      </c>
      <c r="AK256" s="142">
        <f t="shared" si="94"/>
        <v>0</v>
      </c>
      <c r="AL256" s="157" t="str">
        <f t="shared" si="102"/>
        <v/>
      </c>
      <c r="AM256" s="144" t="str">
        <f t="shared" si="103"/>
        <v>--FALSE-0</v>
      </c>
      <c r="AN256" s="158" t="str">
        <f t="shared" si="98"/>
        <v/>
      </c>
      <c r="AO256" s="145"/>
      <c r="AP256" s="159" t="str">
        <f>IF($AN256=FALSE,"",IFERROR(INDEX('Flat Rates'!$A$1:$M$3880,MATCH($AM256,'Flat Rates'!$A$1:$A$3880,0),MATCH("Standing Charge",'Flat Rates'!$A$1:$M$1,0))*100,""))</f>
        <v/>
      </c>
      <c r="AQ256" s="148" t="str">
        <f>IF($AN256=FALSE,"",IFERROR((IF(NOT(T256="Unrestricted"),"",INDEX('Flat Rates'!$A$1:$M$3880,MATCH($AM256,'Flat Rates'!$A$1:$A$3880,0),MATCH("Uni/Day Rate",'Flat Rates'!$A$1:$M$1,0)))*100)+H256,""))</f>
        <v/>
      </c>
      <c r="AR256" s="148" t="str">
        <f>IF($AN256=FALSE,"",IFERROR((IF(T256="Unrestricted","",INDEX('Flat Rates'!$A$1:$M$3880,MATCH($AM256,'Flat Rates'!$A$1:$A$3880,0),MATCH("Uni/Day Rate",'Flat Rates'!$A$1:$M$1,0)))*100)+H256,""))</f>
        <v/>
      </c>
      <c r="AS256" s="148" t="str">
        <f>IF($AN256=FALSE,"",IFERROR(IF(INDEX('Flat Rates'!$A$1:$M$3880,MATCH($AM256,'Flat Rates'!$A$1:$A$3880,0),MATCH("Night Unit Rate",'Flat Rates'!$A$1:$M$1,0))=0,"",((INDEX('Flat Rates'!$A$1:$M$3880,MATCH($AM256,'Flat Rates'!$A$1:$A$3880,0),MATCH("Night Unit Rate",'Flat Rates'!$A$1:$M$1,0)))*100)+H256),""))</f>
        <v/>
      </c>
      <c r="AT256" s="148" t="str">
        <f>IF($AN256=FALSE,"",IFERROR(IF(INDEX('Flat Rates'!$A$1:$M$3880,MATCH($AM256,'Flat Rates'!$A$1:$A$3880,0),MATCH("Evening and Weekend Rate",'Flat Rates'!$A$1:$M$1,0))=0,"",((INDEX('Flat Rates'!$A$1:$M$3880,MATCH($AM256,'Flat Rates'!$A$1:$A$3880,0),MATCH("Evening and Weekend Rate",'Flat Rates'!$A$1:$M$1,0)))*100)+H256),""))</f>
        <v/>
      </c>
      <c r="AU256" s="152" t="str">
        <f t="shared" si="99"/>
        <v/>
      </c>
      <c r="AV256" s="152" t="str">
        <f t="shared" si="100"/>
        <v/>
      </c>
      <c r="AW256" s="152" t="str">
        <f t="shared" si="101"/>
        <v/>
      </c>
    </row>
    <row r="257" spans="2:49" ht="15" thickBot="1" x14ac:dyDescent="0.35">
      <c r="B257" s="138" t="str">
        <f t="shared" si="78"/>
        <v/>
      </c>
      <c r="C257" s="137"/>
      <c r="D257" s="139"/>
      <c r="E257" s="140"/>
      <c r="F257" s="140"/>
      <c r="G257" s="139"/>
      <c r="H257" s="151"/>
      <c r="I257" s="139"/>
      <c r="J257" s="138"/>
      <c r="K257" s="139"/>
      <c r="L257" s="141"/>
      <c r="M257" s="133" t="str">
        <f t="shared" si="79"/>
        <v/>
      </c>
      <c r="N257" s="133" t="str">
        <f t="shared" si="80"/>
        <v/>
      </c>
      <c r="O257" s="133" t="str">
        <f t="shared" si="81"/>
        <v/>
      </c>
      <c r="P257" s="133" t="str">
        <f t="shared" si="82"/>
        <v/>
      </c>
      <c r="Q257" s="133" t="str">
        <f t="shared" si="83"/>
        <v/>
      </c>
      <c r="R257" s="133" t="str">
        <f t="shared" si="84"/>
        <v/>
      </c>
      <c r="S257" s="133" t="str">
        <f t="shared" si="85"/>
        <v/>
      </c>
      <c r="T257" s="133" t="str">
        <f>IFERROR(IF($U257="ERROR","ERROR",IF($N257="00",IF(J257="1-Rate","HH 1RATE",IF(J257="2-Rate","HH 2RATE","")),IFERROR(VLOOKUP(CONCATENATE(N257,Q257,O257,P257),Lookups!$A$2:$E$4557,5,0),VLOOKUP(CONCATENATE(N257,Q257,O257),Lookups!$A$2:$E$4557,5,0)))),"ERROR")</f>
        <v>ERROR</v>
      </c>
      <c r="U257" s="133" t="str">
        <f>IFERROR(IF(NOT($N257="00"),"",VLOOKUP(CONCATENATE(Q257,P257,LOOKUP(2,1/(Lookups!$I$2:$I$11&lt;=E257)/(Lookups!$J$2:$J$11&gt;=Tool!$C$14),Lookups!$K$2:$K$11)),'HH LLFs'!$A$2:$K$500,3,0)),"ERROR")</f>
        <v/>
      </c>
      <c r="V257" s="132">
        <f>Calcs!$I$2</f>
        <v>44377</v>
      </c>
      <c r="W257" s="132">
        <f>Calcs!$I$4</f>
        <v>44592</v>
      </c>
      <c r="X257" s="153" t="str">
        <f>IF(NOT(N257="00"),"",(VLOOKUP(CONCATENATE(Q257,P257,LOOKUP(2,1/(Lookups!$I$2:$I$11&lt;=Multisite!E257)/(Lookups!$J$2:$J$11&gt;=E257),Lookups!$K$2:$K$11)),'HH LLFs'!$A$2:$F$282,6,0)*365)/12)</f>
        <v/>
      </c>
      <c r="Y257" s="153">
        <f t="shared" si="86"/>
        <v>0</v>
      </c>
      <c r="Z257" s="153" t="str">
        <f t="shared" si="95"/>
        <v/>
      </c>
      <c r="AA257" s="153" t="str">
        <f t="shared" si="87"/>
        <v/>
      </c>
      <c r="AB257" s="153" t="str">
        <f t="shared" si="96"/>
        <v/>
      </c>
      <c r="AC257" s="153" t="str">
        <f t="shared" si="88"/>
        <v/>
      </c>
      <c r="AD257" s="153" t="str">
        <f t="shared" si="89"/>
        <v/>
      </c>
      <c r="AE257" s="153" t="str">
        <f t="shared" si="90"/>
        <v/>
      </c>
      <c r="AF257" s="155" t="e">
        <f>LOOKUP(2,1/(Lookups!$I$2:$I$11&lt;=E257)/(Lookups!$J$2:$J$11&gt;=E257),Lookups!$L$2:$L$11)</f>
        <v>#N/A</v>
      </c>
      <c r="AG257" s="142" t="str">
        <f t="shared" si="91"/>
        <v/>
      </c>
      <c r="AH257" s="142" t="str">
        <f t="shared" si="92"/>
        <v/>
      </c>
      <c r="AI257" s="143" t="b">
        <f t="shared" si="97"/>
        <v>0</v>
      </c>
      <c r="AJ257" s="143" t="str">
        <f t="shared" si="93"/>
        <v>Level 1</v>
      </c>
      <c r="AK257" s="142">
        <f t="shared" si="94"/>
        <v>0</v>
      </c>
      <c r="AL257" s="157" t="str">
        <f t="shared" si="102"/>
        <v/>
      </c>
      <c r="AM257" s="144" t="str">
        <f t="shared" si="103"/>
        <v>--FALSE-0</v>
      </c>
      <c r="AN257" s="158" t="str">
        <f t="shared" si="98"/>
        <v/>
      </c>
      <c r="AO257" s="145"/>
      <c r="AP257" s="159" t="str">
        <f>IF($AN257=FALSE,"",IFERROR(INDEX('Flat Rates'!$A$1:$M$3880,MATCH($AM257,'Flat Rates'!$A$1:$A$3880,0),MATCH("Standing Charge",'Flat Rates'!$A$1:$M$1,0))*100,""))</f>
        <v/>
      </c>
      <c r="AQ257" s="148" t="str">
        <f>IF($AN257=FALSE,"",IFERROR((IF(NOT(T257="Unrestricted"),"",INDEX('Flat Rates'!$A$1:$M$3880,MATCH($AM257,'Flat Rates'!$A$1:$A$3880,0),MATCH("Uni/Day Rate",'Flat Rates'!$A$1:$M$1,0)))*100)+H257,""))</f>
        <v/>
      </c>
      <c r="AR257" s="148" t="str">
        <f>IF($AN257=FALSE,"",IFERROR((IF(T257="Unrestricted","",INDEX('Flat Rates'!$A$1:$M$3880,MATCH($AM257,'Flat Rates'!$A$1:$A$3880,0),MATCH("Uni/Day Rate",'Flat Rates'!$A$1:$M$1,0)))*100)+H257,""))</f>
        <v/>
      </c>
      <c r="AS257" s="148" t="str">
        <f>IF($AN257=FALSE,"",IFERROR(IF(INDEX('Flat Rates'!$A$1:$M$3880,MATCH($AM257,'Flat Rates'!$A$1:$A$3880,0),MATCH("Night Unit Rate",'Flat Rates'!$A$1:$M$1,0))=0,"",((INDEX('Flat Rates'!$A$1:$M$3880,MATCH($AM257,'Flat Rates'!$A$1:$A$3880,0),MATCH("Night Unit Rate",'Flat Rates'!$A$1:$M$1,0)))*100)+H257),""))</f>
        <v/>
      </c>
      <c r="AT257" s="148" t="str">
        <f>IF($AN257=FALSE,"",IFERROR(IF(INDEX('Flat Rates'!$A$1:$M$3880,MATCH($AM257,'Flat Rates'!$A$1:$A$3880,0),MATCH("Evening and Weekend Rate",'Flat Rates'!$A$1:$M$1,0))=0,"",((INDEX('Flat Rates'!$A$1:$M$3880,MATCH($AM257,'Flat Rates'!$A$1:$A$3880,0),MATCH("Evening and Weekend Rate",'Flat Rates'!$A$1:$M$1,0)))*100)+H257),""))</f>
        <v/>
      </c>
      <c r="AU257" s="152" t="str">
        <f t="shared" si="99"/>
        <v/>
      </c>
      <c r="AV257" s="152" t="str">
        <f t="shared" si="100"/>
        <v/>
      </c>
      <c r="AW257" s="152" t="str">
        <f t="shared" si="101"/>
        <v/>
      </c>
    </row>
    <row r="258" spans="2:49" ht="15" thickBot="1" x14ac:dyDescent="0.35">
      <c r="B258" s="138" t="str">
        <f t="shared" si="78"/>
        <v/>
      </c>
      <c r="C258" s="146"/>
      <c r="D258" s="147"/>
      <c r="E258" s="140"/>
      <c r="F258" s="140"/>
      <c r="G258" s="139"/>
      <c r="H258" s="151"/>
      <c r="I258" s="139"/>
      <c r="J258" s="137"/>
      <c r="K258" s="139"/>
      <c r="L258" s="141"/>
      <c r="M258" s="133" t="str">
        <f t="shared" si="79"/>
        <v/>
      </c>
      <c r="N258" s="133" t="str">
        <f t="shared" si="80"/>
        <v/>
      </c>
      <c r="O258" s="133" t="str">
        <f t="shared" si="81"/>
        <v/>
      </c>
      <c r="P258" s="133" t="str">
        <f t="shared" si="82"/>
        <v/>
      </c>
      <c r="Q258" s="133" t="str">
        <f t="shared" si="83"/>
        <v/>
      </c>
      <c r="R258" s="133" t="str">
        <f t="shared" si="84"/>
        <v/>
      </c>
      <c r="S258" s="133" t="str">
        <f t="shared" si="85"/>
        <v/>
      </c>
      <c r="T258" s="133" t="str">
        <f>IFERROR(IF($U258="ERROR","ERROR",IF($N258="00",IF(J258="1-Rate","HH 1RATE",IF(J258="2-Rate","HH 2RATE","")),IFERROR(VLOOKUP(CONCATENATE(N258,Q258,O258,P258),Lookups!$A$2:$E$4557,5,0),VLOOKUP(CONCATENATE(N258,Q258,O258),Lookups!$A$2:$E$4557,5,0)))),"ERROR")</f>
        <v>ERROR</v>
      </c>
      <c r="U258" s="133" t="str">
        <f>IFERROR(IF(NOT($N258="00"),"",VLOOKUP(CONCATENATE(Q258,P258,LOOKUP(2,1/(Lookups!$I$2:$I$11&lt;=E258)/(Lookups!$J$2:$J$11&gt;=Tool!$C$14),Lookups!$K$2:$K$11)),'HH LLFs'!$A$2:$K$500,3,0)),"ERROR")</f>
        <v/>
      </c>
      <c r="V258" s="132">
        <f>Calcs!$I$2</f>
        <v>44377</v>
      </c>
      <c r="W258" s="132">
        <f>Calcs!$I$4</f>
        <v>44592</v>
      </c>
      <c r="X258" s="153" t="str">
        <f>IF(NOT(N258="00"),"",(VLOOKUP(CONCATENATE(Q258,P258,LOOKUP(2,1/(Lookups!$I$2:$I$11&lt;=Multisite!E258)/(Lookups!$J$2:$J$11&gt;=E258),Lookups!$K$2:$K$11)),'HH LLFs'!$A$2:$F$282,6,0)*365)/12)</f>
        <v/>
      </c>
      <c r="Y258" s="153">
        <f t="shared" si="86"/>
        <v>0</v>
      </c>
      <c r="Z258" s="153" t="str">
        <f t="shared" si="95"/>
        <v/>
      </c>
      <c r="AA258" s="153" t="str">
        <f t="shared" si="87"/>
        <v/>
      </c>
      <c r="AB258" s="153" t="str">
        <f t="shared" si="96"/>
        <v/>
      </c>
      <c r="AC258" s="153" t="str">
        <f t="shared" si="88"/>
        <v/>
      </c>
      <c r="AD258" s="153" t="str">
        <f t="shared" si="89"/>
        <v/>
      </c>
      <c r="AE258" s="153" t="str">
        <f t="shared" si="90"/>
        <v/>
      </c>
      <c r="AF258" s="155" t="e">
        <f>LOOKUP(2,1/(Lookups!$I$2:$I$11&lt;=E258)/(Lookups!$J$2:$J$11&gt;=E258),Lookups!$L$2:$L$11)</f>
        <v>#N/A</v>
      </c>
      <c r="AG258" s="142" t="str">
        <f t="shared" si="91"/>
        <v/>
      </c>
      <c r="AH258" s="142" t="str">
        <f t="shared" si="92"/>
        <v/>
      </c>
      <c r="AI258" s="143" t="b">
        <f t="shared" si="97"/>
        <v>0</v>
      </c>
      <c r="AJ258" s="143" t="str">
        <f t="shared" si="93"/>
        <v>Level 1</v>
      </c>
      <c r="AK258" s="142">
        <f t="shared" si="94"/>
        <v>0</v>
      </c>
      <c r="AL258" s="157" t="str">
        <f t="shared" si="102"/>
        <v/>
      </c>
      <c r="AM258" s="144" t="str">
        <f t="shared" si="103"/>
        <v>--FALSE-0</v>
      </c>
      <c r="AN258" s="158" t="str">
        <f t="shared" si="98"/>
        <v/>
      </c>
      <c r="AO258" s="145"/>
      <c r="AP258" s="159" t="str">
        <f>IF($AN258=FALSE,"",IFERROR(INDEX('Flat Rates'!$A$1:$M$3880,MATCH($AM258,'Flat Rates'!$A$1:$A$3880,0),MATCH("Standing Charge",'Flat Rates'!$A$1:$M$1,0))*100,""))</f>
        <v/>
      </c>
      <c r="AQ258" s="148" t="str">
        <f>IF($AN258=FALSE,"",IFERROR((IF(NOT(T258="Unrestricted"),"",INDEX('Flat Rates'!$A$1:$M$3880,MATCH($AM258,'Flat Rates'!$A$1:$A$3880,0),MATCH("Uni/Day Rate",'Flat Rates'!$A$1:$M$1,0)))*100)+H258,""))</f>
        <v/>
      </c>
      <c r="AR258" s="148" t="str">
        <f>IF($AN258=FALSE,"",IFERROR((IF(T258="Unrestricted","",INDEX('Flat Rates'!$A$1:$M$3880,MATCH($AM258,'Flat Rates'!$A$1:$A$3880,0),MATCH("Uni/Day Rate",'Flat Rates'!$A$1:$M$1,0)))*100)+H258,""))</f>
        <v/>
      </c>
      <c r="AS258" s="148" t="str">
        <f>IF($AN258=FALSE,"",IFERROR(IF(INDEX('Flat Rates'!$A$1:$M$3880,MATCH($AM258,'Flat Rates'!$A$1:$A$3880,0),MATCH("Night Unit Rate",'Flat Rates'!$A$1:$M$1,0))=0,"",((INDEX('Flat Rates'!$A$1:$M$3880,MATCH($AM258,'Flat Rates'!$A$1:$A$3880,0),MATCH("Night Unit Rate",'Flat Rates'!$A$1:$M$1,0)))*100)+H258),""))</f>
        <v/>
      </c>
      <c r="AT258" s="148" t="str">
        <f>IF($AN258=FALSE,"",IFERROR(IF(INDEX('Flat Rates'!$A$1:$M$3880,MATCH($AM258,'Flat Rates'!$A$1:$A$3880,0),MATCH("Evening and Weekend Rate",'Flat Rates'!$A$1:$M$1,0))=0,"",((INDEX('Flat Rates'!$A$1:$M$3880,MATCH($AM258,'Flat Rates'!$A$1:$A$3880,0),MATCH("Evening and Weekend Rate",'Flat Rates'!$A$1:$M$1,0)))*100)+H258),""))</f>
        <v/>
      </c>
      <c r="AU258" s="152" t="str">
        <f t="shared" si="99"/>
        <v/>
      </c>
      <c r="AV258" s="152" t="str">
        <f t="shared" si="100"/>
        <v/>
      </c>
      <c r="AW258" s="152" t="str">
        <f t="shared" si="101"/>
        <v/>
      </c>
    </row>
    <row r="259" spans="2:49" ht="15" thickBot="1" x14ac:dyDescent="0.35">
      <c r="B259" s="138" t="str">
        <f t="shared" si="78"/>
        <v/>
      </c>
      <c r="C259" s="137"/>
      <c r="D259" s="139"/>
      <c r="E259" s="140"/>
      <c r="F259" s="140"/>
      <c r="G259" s="139"/>
      <c r="H259" s="151"/>
      <c r="I259" s="139"/>
      <c r="J259" s="138"/>
      <c r="K259" s="139"/>
      <c r="L259" s="141"/>
      <c r="M259" s="133" t="str">
        <f t="shared" si="79"/>
        <v/>
      </c>
      <c r="N259" s="133" t="str">
        <f t="shared" si="80"/>
        <v/>
      </c>
      <c r="O259" s="133" t="str">
        <f t="shared" si="81"/>
        <v/>
      </c>
      <c r="P259" s="133" t="str">
        <f t="shared" si="82"/>
        <v/>
      </c>
      <c r="Q259" s="133" t="str">
        <f t="shared" si="83"/>
        <v/>
      </c>
      <c r="R259" s="133" t="str">
        <f t="shared" si="84"/>
        <v/>
      </c>
      <c r="S259" s="133" t="str">
        <f t="shared" si="85"/>
        <v/>
      </c>
      <c r="T259" s="133" t="str">
        <f>IFERROR(IF($U259="ERROR","ERROR",IF($N259="00",IF(J259="1-Rate","HH 1RATE",IF(J259="2-Rate","HH 2RATE","")),IFERROR(VLOOKUP(CONCATENATE(N259,Q259,O259,P259),Lookups!$A$2:$E$4557,5,0),VLOOKUP(CONCATENATE(N259,Q259,O259),Lookups!$A$2:$E$4557,5,0)))),"ERROR")</f>
        <v>ERROR</v>
      </c>
      <c r="U259" s="133" t="str">
        <f>IFERROR(IF(NOT($N259="00"),"",VLOOKUP(CONCATENATE(Q259,P259,LOOKUP(2,1/(Lookups!$I$2:$I$11&lt;=E259)/(Lookups!$J$2:$J$11&gt;=Tool!$C$14),Lookups!$K$2:$K$11)),'HH LLFs'!$A$2:$K$500,3,0)),"ERROR")</f>
        <v/>
      </c>
      <c r="V259" s="132">
        <f>Calcs!$I$2</f>
        <v>44377</v>
      </c>
      <c r="W259" s="132">
        <f>Calcs!$I$4</f>
        <v>44592</v>
      </c>
      <c r="X259" s="153" t="str">
        <f>IF(NOT(N259="00"),"",(VLOOKUP(CONCATENATE(Q259,P259,LOOKUP(2,1/(Lookups!$I$2:$I$11&lt;=Multisite!E259)/(Lookups!$J$2:$J$11&gt;=E259),Lookups!$K$2:$K$11)),'HH LLFs'!$A$2:$F$282,6,0)*365)/12)</f>
        <v/>
      </c>
      <c r="Y259" s="153">
        <f t="shared" si="86"/>
        <v>0</v>
      </c>
      <c r="Z259" s="153" t="str">
        <f t="shared" si="95"/>
        <v/>
      </c>
      <c r="AA259" s="153" t="str">
        <f t="shared" si="87"/>
        <v/>
      </c>
      <c r="AB259" s="153" t="str">
        <f t="shared" si="96"/>
        <v/>
      </c>
      <c r="AC259" s="153" t="str">
        <f t="shared" si="88"/>
        <v/>
      </c>
      <c r="AD259" s="153" t="str">
        <f t="shared" si="89"/>
        <v/>
      </c>
      <c r="AE259" s="153" t="str">
        <f t="shared" si="90"/>
        <v/>
      </c>
      <c r="AF259" s="155" t="e">
        <f>LOOKUP(2,1/(Lookups!$I$2:$I$11&lt;=E259)/(Lookups!$J$2:$J$11&gt;=E259),Lookups!$L$2:$L$11)</f>
        <v>#N/A</v>
      </c>
      <c r="AG259" s="142" t="str">
        <f t="shared" si="91"/>
        <v/>
      </c>
      <c r="AH259" s="142" t="str">
        <f t="shared" si="92"/>
        <v/>
      </c>
      <c r="AI259" s="143" t="b">
        <f t="shared" si="97"/>
        <v>0</v>
      </c>
      <c r="AJ259" s="143" t="str">
        <f t="shared" si="93"/>
        <v>Level 1</v>
      </c>
      <c r="AK259" s="142">
        <f t="shared" si="94"/>
        <v>0</v>
      </c>
      <c r="AL259" s="157" t="str">
        <f t="shared" si="102"/>
        <v/>
      </c>
      <c r="AM259" s="144" t="str">
        <f t="shared" si="103"/>
        <v>--FALSE-0</v>
      </c>
      <c r="AN259" s="158" t="str">
        <f t="shared" si="98"/>
        <v/>
      </c>
      <c r="AO259" s="145"/>
      <c r="AP259" s="159" t="str">
        <f>IF($AN259=FALSE,"",IFERROR(INDEX('Flat Rates'!$A$1:$M$3880,MATCH($AM259,'Flat Rates'!$A$1:$A$3880,0),MATCH("Standing Charge",'Flat Rates'!$A$1:$M$1,0))*100,""))</f>
        <v/>
      </c>
      <c r="AQ259" s="148" t="str">
        <f>IF($AN259=FALSE,"",IFERROR((IF(NOT(T259="Unrestricted"),"",INDEX('Flat Rates'!$A$1:$M$3880,MATCH($AM259,'Flat Rates'!$A$1:$A$3880,0),MATCH("Uni/Day Rate",'Flat Rates'!$A$1:$M$1,0)))*100)+H259,""))</f>
        <v/>
      </c>
      <c r="AR259" s="148" t="str">
        <f>IF($AN259=FALSE,"",IFERROR((IF(T259="Unrestricted","",INDEX('Flat Rates'!$A$1:$M$3880,MATCH($AM259,'Flat Rates'!$A$1:$A$3880,0),MATCH("Uni/Day Rate",'Flat Rates'!$A$1:$M$1,0)))*100)+H259,""))</f>
        <v/>
      </c>
      <c r="AS259" s="148" t="str">
        <f>IF($AN259=FALSE,"",IFERROR(IF(INDEX('Flat Rates'!$A$1:$M$3880,MATCH($AM259,'Flat Rates'!$A$1:$A$3880,0),MATCH("Night Unit Rate",'Flat Rates'!$A$1:$M$1,0))=0,"",((INDEX('Flat Rates'!$A$1:$M$3880,MATCH($AM259,'Flat Rates'!$A$1:$A$3880,0),MATCH("Night Unit Rate",'Flat Rates'!$A$1:$M$1,0)))*100)+H259),""))</f>
        <v/>
      </c>
      <c r="AT259" s="148" t="str">
        <f>IF($AN259=FALSE,"",IFERROR(IF(INDEX('Flat Rates'!$A$1:$M$3880,MATCH($AM259,'Flat Rates'!$A$1:$A$3880,0),MATCH("Evening and Weekend Rate",'Flat Rates'!$A$1:$M$1,0))=0,"",((INDEX('Flat Rates'!$A$1:$M$3880,MATCH($AM259,'Flat Rates'!$A$1:$A$3880,0),MATCH("Evening and Weekend Rate",'Flat Rates'!$A$1:$M$1,0)))*100)+H259),""))</f>
        <v/>
      </c>
      <c r="AU259" s="152" t="str">
        <f t="shared" si="99"/>
        <v/>
      </c>
      <c r="AV259" s="152" t="str">
        <f t="shared" si="100"/>
        <v/>
      </c>
      <c r="AW259" s="152" t="str">
        <f t="shared" si="101"/>
        <v/>
      </c>
    </row>
    <row r="260" spans="2:49" ht="15" thickBot="1" x14ac:dyDescent="0.35">
      <c r="B260" s="138" t="str">
        <f t="shared" si="78"/>
        <v/>
      </c>
      <c r="C260" s="146"/>
      <c r="D260" s="147"/>
      <c r="E260" s="140"/>
      <c r="F260" s="140"/>
      <c r="G260" s="139"/>
      <c r="H260" s="151"/>
      <c r="I260" s="139"/>
      <c r="J260" s="137"/>
      <c r="K260" s="139"/>
      <c r="L260" s="141"/>
      <c r="M260" s="133" t="str">
        <f t="shared" si="79"/>
        <v/>
      </c>
      <c r="N260" s="133" t="str">
        <f t="shared" si="80"/>
        <v/>
      </c>
      <c r="O260" s="133" t="str">
        <f t="shared" si="81"/>
        <v/>
      </c>
      <c r="P260" s="133" t="str">
        <f t="shared" si="82"/>
        <v/>
      </c>
      <c r="Q260" s="133" t="str">
        <f t="shared" si="83"/>
        <v/>
      </c>
      <c r="R260" s="133" t="str">
        <f t="shared" si="84"/>
        <v/>
      </c>
      <c r="S260" s="133" t="str">
        <f t="shared" si="85"/>
        <v/>
      </c>
      <c r="T260" s="133" t="str">
        <f>IFERROR(IF($U260="ERROR","ERROR",IF($N260="00",IF(J260="1-Rate","HH 1RATE",IF(J260="2-Rate","HH 2RATE","")),IFERROR(VLOOKUP(CONCATENATE(N260,Q260,O260,P260),Lookups!$A$2:$E$4557,5,0),VLOOKUP(CONCATENATE(N260,Q260,O260),Lookups!$A$2:$E$4557,5,0)))),"ERROR")</f>
        <v>ERROR</v>
      </c>
      <c r="U260" s="133" t="str">
        <f>IFERROR(IF(NOT($N260="00"),"",VLOOKUP(CONCATENATE(Q260,P260,LOOKUP(2,1/(Lookups!$I$2:$I$11&lt;=E260)/(Lookups!$J$2:$J$11&gt;=Tool!$C$14),Lookups!$K$2:$K$11)),'HH LLFs'!$A$2:$K$500,3,0)),"ERROR")</f>
        <v/>
      </c>
      <c r="V260" s="132">
        <f>Calcs!$I$2</f>
        <v>44377</v>
      </c>
      <c r="W260" s="132">
        <f>Calcs!$I$4</f>
        <v>44592</v>
      </c>
      <c r="X260" s="153" t="str">
        <f>IF(NOT(N260="00"),"",(VLOOKUP(CONCATENATE(Q260,P260,LOOKUP(2,1/(Lookups!$I$2:$I$11&lt;=Multisite!E260)/(Lookups!$J$2:$J$11&gt;=E260),Lookups!$K$2:$K$11)),'HH LLFs'!$A$2:$F$282,6,0)*365)/12)</f>
        <v/>
      </c>
      <c r="Y260" s="153">
        <f t="shared" si="86"/>
        <v>0</v>
      </c>
      <c r="Z260" s="153" t="str">
        <f t="shared" si="95"/>
        <v/>
      </c>
      <c r="AA260" s="153" t="str">
        <f t="shared" si="87"/>
        <v/>
      </c>
      <c r="AB260" s="153" t="str">
        <f t="shared" si="96"/>
        <v/>
      </c>
      <c r="AC260" s="153" t="str">
        <f t="shared" si="88"/>
        <v/>
      </c>
      <c r="AD260" s="153" t="str">
        <f t="shared" si="89"/>
        <v/>
      </c>
      <c r="AE260" s="153" t="str">
        <f t="shared" si="90"/>
        <v/>
      </c>
      <c r="AF260" s="155" t="e">
        <f>LOOKUP(2,1/(Lookups!$I$2:$I$11&lt;=E260)/(Lookups!$J$2:$J$11&gt;=E260),Lookups!$L$2:$L$11)</f>
        <v>#N/A</v>
      </c>
      <c r="AG260" s="142" t="str">
        <f t="shared" si="91"/>
        <v/>
      </c>
      <c r="AH260" s="142" t="str">
        <f t="shared" si="92"/>
        <v/>
      </c>
      <c r="AI260" s="143" t="b">
        <f t="shared" si="97"/>
        <v>0</v>
      </c>
      <c r="AJ260" s="143" t="str">
        <f t="shared" si="93"/>
        <v>Level 1</v>
      </c>
      <c r="AK260" s="142">
        <f t="shared" si="94"/>
        <v>0</v>
      </c>
      <c r="AL260" s="157" t="str">
        <f t="shared" si="102"/>
        <v/>
      </c>
      <c r="AM260" s="144" t="str">
        <f t="shared" si="103"/>
        <v>--FALSE-0</v>
      </c>
      <c r="AN260" s="158" t="str">
        <f t="shared" si="98"/>
        <v/>
      </c>
      <c r="AO260" s="145"/>
      <c r="AP260" s="159" t="str">
        <f>IF($AN260=FALSE,"",IFERROR(INDEX('Flat Rates'!$A$1:$M$3880,MATCH($AM260,'Flat Rates'!$A$1:$A$3880,0),MATCH("Standing Charge",'Flat Rates'!$A$1:$M$1,0))*100,""))</f>
        <v/>
      </c>
      <c r="AQ260" s="148" t="str">
        <f>IF($AN260=FALSE,"",IFERROR((IF(NOT(T260="Unrestricted"),"",INDEX('Flat Rates'!$A$1:$M$3880,MATCH($AM260,'Flat Rates'!$A$1:$A$3880,0),MATCH("Uni/Day Rate",'Flat Rates'!$A$1:$M$1,0)))*100)+H260,""))</f>
        <v/>
      </c>
      <c r="AR260" s="148" t="str">
        <f>IF($AN260=FALSE,"",IFERROR((IF(T260="Unrestricted","",INDEX('Flat Rates'!$A$1:$M$3880,MATCH($AM260,'Flat Rates'!$A$1:$A$3880,0),MATCH("Uni/Day Rate",'Flat Rates'!$A$1:$M$1,0)))*100)+H260,""))</f>
        <v/>
      </c>
      <c r="AS260" s="148" t="str">
        <f>IF($AN260=FALSE,"",IFERROR(IF(INDEX('Flat Rates'!$A$1:$M$3880,MATCH($AM260,'Flat Rates'!$A$1:$A$3880,0),MATCH("Night Unit Rate",'Flat Rates'!$A$1:$M$1,0))=0,"",((INDEX('Flat Rates'!$A$1:$M$3880,MATCH($AM260,'Flat Rates'!$A$1:$A$3880,0),MATCH("Night Unit Rate",'Flat Rates'!$A$1:$M$1,0)))*100)+H260),""))</f>
        <v/>
      </c>
      <c r="AT260" s="148" t="str">
        <f>IF($AN260=FALSE,"",IFERROR(IF(INDEX('Flat Rates'!$A$1:$M$3880,MATCH($AM260,'Flat Rates'!$A$1:$A$3880,0),MATCH("Evening and Weekend Rate",'Flat Rates'!$A$1:$M$1,0))=0,"",((INDEX('Flat Rates'!$A$1:$M$3880,MATCH($AM260,'Flat Rates'!$A$1:$A$3880,0),MATCH("Evening and Weekend Rate",'Flat Rates'!$A$1:$M$1,0)))*100)+H260),""))</f>
        <v/>
      </c>
      <c r="AU260" s="152" t="str">
        <f t="shared" si="99"/>
        <v/>
      </c>
      <c r="AV260" s="152" t="str">
        <f t="shared" si="100"/>
        <v/>
      </c>
      <c r="AW260" s="152" t="str">
        <f t="shared" si="101"/>
        <v/>
      </c>
    </row>
    <row r="261" spans="2:49" ht="15" thickBot="1" x14ac:dyDescent="0.35">
      <c r="B261" s="138" t="str">
        <f t="shared" si="78"/>
        <v/>
      </c>
      <c r="C261" s="137"/>
      <c r="D261" s="139"/>
      <c r="E261" s="140"/>
      <c r="F261" s="140"/>
      <c r="G261" s="139"/>
      <c r="H261" s="151"/>
      <c r="I261" s="139"/>
      <c r="J261" s="138"/>
      <c r="K261" s="139"/>
      <c r="L261" s="141"/>
      <c r="M261" s="133" t="str">
        <f t="shared" si="79"/>
        <v/>
      </c>
      <c r="N261" s="133" t="str">
        <f t="shared" si="80"/>
        <v/>
      </c>
      <c r="O261" s="133" t="str">
        <f t="shared" si="81"/>
        <v/>
      </c>
      <c r="P261" s="133" t="str">
        <f t="shared" si="82"/>
        <v/>
      </c>
      <c r="Q261" s="133" t="str">
        <f t="shared" si="83"/>
        <v/>
      </c>
      <c r="R261" s="133" t="str">
        <f t="shared" si="84"/>
        <v/>
      </c>
      <c r="S261" s="133" t="str">
        <f t="shared" si="85"/>
        <v/>
      </c>
      <c r="T261" s="133" t="str">
        <f>IFERROR(IF($U261="ERROR","ERROR",IF($N261="00",IF(J261="1-Rate","HH 1RATE",IF(J261="2-Rate","HH 2RATE","")),IFERROR(VLOOKUP(CONCATENATE(N261,Q261,O261,P261),Lookups!$A$2:$E$4557,5,0),VLOOKUP(CONCATENATE(N261,Q261,O261),Lookups!$A$2:$E$4557,5,0)))),"ERROR")</f>
        <v>ERROR</v>
      </c>
      <c r="U261" s="133" t="str">
        <f>IFERROR(IF(NOT($N261="00"),"",VLOOKUP(CONCATENATE(Q261,P261,LOOKUP(2,1/(Lookups!$I$2:$I$11&lt;=E261)/(Lookups!$J$2:$J$11&gt;=Tool!$C$14),Lookups!$K$2:$K$11)),'HH LLFs'!$A$2:$K$500,3,0)),"ERROR")</f>
        <v/>
      </c>
      <c r="V261" s="132">
        <f>Calcs!$I$2</f>
        <v>44377</v>
      </c>
      <c r="W261" s="132">
        <f>Calcs!$I$4</f>
        <v>44592</v>
      </c>
      <c r="X261" s="153" t="str">
        <f>IF(NOT(N261="00"),"",(VLOOKUP(CONCATENATE(Q261,P261,LOOKUP(2,1/(Lookups!$I$2:$I$11&lt;=Multisite!E261)/(Lookups!$J$2:$J$11&gt;=E261),Lookups!$K$2:$K$11)),'HH LLFs'!$A$2:$F$282,6,0)*365)/12)</f>
        <v/>
      </c>
      <c r="Y261" s="153">
        <f t="shared" si="86"/>
        <v>0</v>
      </c>
      <c r="Z261" s="153" t="str">
        <f t="shared" si="95"/>
        <v/>
      </c>
      <c r="AA261" s="153" t="str">
        <f t="shared" si="87"/>
        <v/>
      </c>
      <c r="AB261" s="153" t="str">
        <f t="shared" si="96"/>
        <v/>
      </c>
      <c r="AC261" s="153" t="str">
        <f t="shared" si="88"/>
        <v/>
      </c>
      <c r="AD261" s="153" t="str">
        <f t="shared" si="89"/>
        <v/>
      </c>
      <c r="AE261" s="153" t="str">
        <f t="shared" si="90"/>
        <v/>
      </c>
      <c r="AF261" s="155" t="e">
        <f>LOOKUP(2,1/(Lookups!$I$2:$I$11&lt;=E261)/(Lookups!$J$2:$J$11&gt;=E261),Lookups!$L$2:$L$11)</f>
        <v>#N/A</v>
      </c>
      <c r="AG261" s="142" t="str">
        <f t="shared" si="91"/>
        <v/>
      </c>
      <c r="AH261" s="142" t="str">
        <f t="shared" si="92"/>
        <v/>
      </c>
      <c r="AI261" s="143" t="b">
        <f t="shared" si="97"/>
        <v>0</v>
      </c>
      <c r="AJ261" s="143" t="str">
        <f t="shared" si="93"/>
        <v>Level 1</v>
      </c>
      <c r="AK261" s="142">
        <f t="shared" si="94"/>
        <v>0</v>
      </c>
      <c r="AL261" s="157" t="str">
        <f t="shared" si="102"/>
        <v/>
      </c>
      <c r="AM261" s="144" t="str">
        <f t="shared" si="103"/>
        <v>--FALSE-0</v>
      </c>
      <c r="AN261" s="158" t="str">
        <f t="shared" si="98"/>
        <v/>
      </c>
      <c r="AO261" s="145"/>
      <c r="AP261" s="159" t="str">
        <f>IF($AN261=FALSE,"",IFERROR(INDEX('Flat Rates'!$A$1:$M$3880,MATCH($AM261,'Flat Rates'!$A$1:$A$3880,0),MATCH("Standing Charge",'Flat Rates'!$A$1:$M$1,0))*100,""))</f>
        <v/>
      </c>
      <c r="AQ261" s="148" t="str">
        <f>IF($AN261=FALSE,"",IFERROR((IF(NOT(T261="Unrestricted"),"",INDEX('Flat Rates'!$A$1:$M$3880,MATCH($AM261,'Flat Rates'!$A$1:$A$3880,0),MATCH("Uni/Day Rate",'Flat Rates'!$A$1:$M$1,0)))*100)+H261,""))</f>
        <v/>
      </c>
      <c r="AR261" s="148" t="str">
        <f>IF($AN261=FALSE,"",IFERROR((IF(T261="Unrestricted","",INDEX('Flat Rates'!$A$1:$M$3880,MATCH($AM261,'Flat Rates'!$A$1:$A$3880,0),MATCH("Uni/Day Rate",'Flat Rates'!$A$1:$M$1,0)))*100)+H261,""))</f>
        <v/>
      </c>
      <c r="AS261" s="148" t="str">
        <f>IF($AN261=FALSE,"",IFERROR(IF(INDEX('Flat Rates'!$A$1:$M$3880,MATCH($AM261,'Flat Rates'!$A$1:$A$3880,0),MATCH("Night Unit Rate",'Flat Rates'!$A$1:$M$1,0))=0,"",((INDEX('Flat Rates'!$A$1:$M$3880,MATCH($AM261,'Flat Rates'!$A$1:$A$3880,0),MATCH("Night Unit Rate",'Flat Rates'!$A$1:$M$1,0)))*100)+H261),""))</f>
        <v/>
      </c>
      <c r="AT261" s="148" t="str">
        <f>IF($AN261=FALSE,"",IFERROR(IF(INDEX('Flat Rates'!$A$1:$M$3880,MATCH($AM261,'Flat Rates'!$A$1:$A$3880,0),MATCH("Evening and Weekend Rate",'Flat Rates'!$A$1:$M$1,0))=0,"",((INDEX('Flat Rates'!$A$1:$M$3880,MATCH($AM261,'Flat Rates'!$A$1:$A$3880,0),MATCH("Evening and Weekend Rate",'Flat Rates'!$A$1:$M$1,0)))*100)+H261),""))</f>
        <v/>
      </c>
      <c r="AU261" s="152" t="str">
        <f t="shared" si="99"/>
        <v/>
      </c>
      <c r="AV261" s="152" t="str">
        <f t="shared" si="100"/>
        <v/>
      </c>
      <c r="AW261" s="152" t="str">
        <f t="shared" si="101"/>
        <v/>
      </c>
    </row>
    <row r="262" spans="2:49" ht="15" thickBot="1" x14ac:dyDescent="0.35">
      <c r="B262" s="138" t="str">
        <f t="shared" si="78"/>
        <v/>
      </c>
      <c r="C262" s="146"/>
      <c r="D262" s="147"/>
      <c r="E262" s="140"/>
      <c r="F262" s="140"/>
      <c r="G262" s="139"/>
      <c r="H262" s="151"/>
      <c r="I262" s="139"/>
      <c r="J262" s="137"/>
      <c r="K262" s="139"/>
      <c r="L262" s="141"/>
      <c r="M262" s="133" t="str">
        <f t="shared" si="79"/>
        <v/>
      </c>
      <c r="N262" s="133" t="str">
        <f t="shared" si="80"/>
        <v/>
      </c>
      <c r="O262" s="133" t="str">
        <f t="shared" si="81"/>
        <v/>
      </c>
      <c r="P262" s="133" t="str">
        <f t="shared" si="82"/>
        <v/>
      </c>
      <c r="Q262" s="133" t="str">
        <f t="shared" si="83"/>
        <v/>
      </c>
      <c r="R262" s="133" t="str">
        <f t="shared" si="84"/>
        <v/>
      </c>
      <c r="S262" s="133" t="str">
        <f t="shared" si="85"/>
        <v/>
      </c>
      <c r="T262" s="133" t="str">
        <f>IFERROR(IF($U262="ERROR","ERROR",IF($N262="00",IF(J262="1-Rate","HH 1RATE",IF(J262="2-Rate","HH 2RATE","")),IFERROR(VLOOKUP(CONCATENATE(N262,Q262,O262,P262),Lookups!$A$2:$E$4557,5,0),VLOOKUP(CONCATENATE(N262,Q262,O262),Lookups!$A$2:$E$4557,5,0)))),"ERROR")</f>
        <v>ERROR</v>
      </c>
      <c r="U262" s="133" t="str">
        <f>IFERROR(IF(NOT($N262="00"),"",VLOOKUP(CONCATENATE(Q262,P262,LOOKUP(2,1/(Lookups!$I$2:$I$11&lt;=E262)/(Lookups!$J$2:$J$11&gt;=Tool!$C$14),Lookups!$K$2:$K$11)),'HH LLFs'!$A$2:$K$500,3,0)),"ERROR")</f>
        <v/>
      </c>
      <c r="V262" s="132">
        <f>Calcs!$I$2</f>
        <v>44377</v>
      </c>
      <c r="W262" s="132">
        <f>Calcs!$I$4</f>
        <v>44592</v>
      </c>
      <c r="X262" s="153" t="str">
        <f>IF(NOT(N262="00"),"",(VLOOKUP(CONCATENATE(Q262,P262,LOOKUP(2,1/(Lookups!$I$2:$I$11&lt;=Multisite!E262)/(Lookups!$J$2:$J$11&gt;=E262),Lookups!$K$2:$K$11)),'HH LLFs'!$A$2:$F$282,6,0)*365)/12)</f>
        <v/>
      </c>
      <c r="Y262" s="153">
        <f t="shared" si="86"/>
        <v>0</v>
      </c>
      <c r="Z262" s="153" t="str">
        <f t="shared" si="95"/>
        <v/>
      </c>
      <c r="AA262" s="153" t="str">
        <f t="shared" si="87"/>
        <v/>
      </c>
      <c r="AB262" s="153" t="str">
        <f t="shared" si="96"/>
        <v/>
      </c>
      <c r="AC262" s="153" t="str">
        <f t="shared" si="88"/>
        <v/>
      </c>
      <c r="AD262" s="153" t="str">
        <f t="shared" si="89"/>
        <v/>
      </c>
      <c r="AE262" s="153" t="str">
        <f t="shared" si="90"/>
        <v/>
      </c>
      <c r="AF262" s="155" t="e">
        <f>LOOKUP(2,1/(Lookups!$I$2:$I$11&lt;=E262)/(Lookups!$J$2:$J$11&gt;=E262),Lookups!$L$2:$L$11)</f>
        <v>#N/A</v>
      </c>
      <c r="AG262" s="142" t="str">
        <f t="shared" si="91"/>
        <v/>
      </c>
      <c r="AH262" s="142" t="str">
        <f t="shared" si="92"/>
        <v/>
      </c>
      <c r="AI262" s="143" t="b">
        <f t="shared" si="97"/>
        <v>0</v>
      </c>
      <c r="AJ262" s="143" t="str">
        <f t="shared" si="93"/>
        <v>Level 1</v>
      </c>
      <c r="AK262" s="142">
        <f t="shared" si="94"/>
        <v>0</v>
      </c>
      <c r="AL262" s="157" t="str">
        <f t="shared" si="102"/>
        <v/>
      </c>
      <c r="AM262" s="144" t="str">
        <f t="shared" si="103"/>
        <v>--FALSE-0</v>
      </c>
      <c r="AN262" s="158" t="str">
        <f t="shared" si="98"/>
        <v/>
      </c>
      <c r="AO262" s="145"/>
      <c r="AP262" s="159" t="str">
        <f>IF($AN262=FALSE,"",IFERROR(INDEX('Flat Rates'!$A$1:$M$3880,MATCH($AM262,'Flat Rates'!$A$1:$A$3880,0),MATCH("Standing Charge",'Flat Rates'!$A$1:$M$1,0))*100,""))</f>
        <v/>
      </c>
      <c r="AQ262" s="148" t="str">
        <f>IF($AN262=FALSE,"",IFERROR((IF(NOT(T262="Unrestricted"),"",INDEX('Flat Rates'!$A$1:$M$3880,MATCH($AM262,'Flat Rates'!$A$1:$A$3880,0),MATCH("Uni/Day Rate",'Flat Rates'!$A$1:$M$1,0)))*100)+H262,""))</f>
        <v/>
      </c>
      <c r="AR262" s="148" t="str">
        <f>IF($AN262=FALSE,"",IFERROR((IF(T262="Unrestricted","",INDEX('Flat Rates'!$A$1:$M$3880,MATCH($AM262,'Flat Rates'!$A$1:$A$3880,0),MATCH("Uni/Day Rate",'Flat Rates'!$A$1:$M$1,0)))*100)+H262,""))</f>
        <v/>
      </c>
      <c r="AS262" s="148" t="str">
        <f>IF($AN262=FALSE,"",IFERROR(IF(INDEX('Flat Rates'!$A$1:$M$3880,MATCH($AM262,'Flat Rates'!$A$1:$A$3880,0),MATCH("Night Unit Rate",'Flat Rates'!$A$1:$M$1,0))=0,"",((INDEX('Flat Rates'!$A$1:$M$3880,MATCH($AM262,'Flat Rates'!$A$1:$A$3880,0),MATCH("Night Unit Rate",'Flat Rates'!$A$1:$M$1,0)))*100)+H262),""))</f>
        <v/>
      </c>
      <c r="AT262" s="148" t="str">
        <f>IF($AN262=FALSE,"",IFERROR(IF(INDEX('Flat Rates'!$A$1:$M$3880,MATCH($AM262,'Flat Rates'!$A$1:$A$3880,0),MATCH("Evening and Weekend Rate",'Flat Rates'!$A$1:$M$1,0))=0,"",((INDEX('Flat Rates'!$A$1:$M$3880,MATCH($AM262,'Flat Rates'!$A$1:$A$3880,0),MATCH("Evening and Weekend Rate",'Flat Rates'!$A$1:$M$1,0)))*100)+H262),""))</f>
        <v/>
      </c>
      <c r="AU262" s="152" t="str">
        <f t="shared" si="99"/>
        <v/>
      </c>
      <c r="AV262" s="152" t="str">
        <f t="shared" si="100"/>
        <v/>
      </c>
      <c r="AW262" s="152" t="str">
        <f t="shared" si="101"/>
        <v/>
      </c>
    </row>
    <row r="263" spans="2:49" ht="15" thickBot="1" x14ac:dyDescent="0.35">
      <c r="B263" s="138" t="str">
        <f t="shared" si="78"/>
        <v/>
      </c>
      <c r="C263" s="137"/>
      <c r="D263" s="139"/>
      <c r="E263" s="140"/>
      <c r="F263" s="140"/>
      <c r="G263" s="139"/>
      <c r="H263" s="151"/>
      <c r="I263" s="139"/>
      <c r="J263" s="138"/>
      <c r="K263" s="139"/>
      <c r="L263" s="141"/>
      <c r="M263" s="133" t="str">
        <f t="shared" si="79"/>
        <v/>
      </c>
      <c r="N263" s="133" t="str">
        <f t="shared" si="80"/>
        <v/>
      </c>
      <c r="O263" s="133" t="str">
        <f t="shared" si="81"/>
        <v/>
      </c>
      <c r="P263" s="133" t="str">
        <f t="shared" si="82"/>
        <v/>
      </c>
      <c r="Q263" s="133" t="str">
        <f t="shared" si="83"/>
        <v/>
      </c>
      <c r="R263" s="133" t="str">
        <f t="shared" si="84"/>
        <v/>
      </c>
      <c r="S263" s="133" t="str">
        <f t="shared" si="85"/>
        <v/>
      </c>
      <c r="T263" s="133" t="str">
        <f>IFERROR(IF($U263="ERROR","ERROR",IF($N263="00",IF(J263="1-Rate","HH 1RATE",IF(J263="2-Rate","HH 2RATE","")),IFERROR(VLOOKUP(CONCATENATE(N263,Q263,O263,P263),Lookups!$A$2:$E$4557,5,0),VLOOKUP(CONCATENATE(N263,Q263,O263),Lookups!$A$2:$E$4557,5,0)))),"ERROR")</f>
        <v>ERROR</v>
      </c>
      <c r="U263" s="133" t="str">
        <f>IFERROR(IF(NOT($N263="00"),"",VLOOKUP(CONCATENATE(Q263,P263,LOOKUP(2,1/(Lookups!$I$2:$I$11&lt;=E263)/(Lookups!$J$2:$J$11&gt;=Tool!$C$14),Lookups!$K$2:$K$11)),'HH LLFs'!$A$2:$K$500,3,0)),"ERROR")</f>
        <v/>
      </c>
      <c r="V263" s="132">
        <f>Calcs!$I$2</f>
        <v>44377</v>
      </c>
      <c r="W263" s="132">
        <f>Calcs!$I$4</f>
        <v>44592</v>
      </c>
      <c r="X263" s="153" t="str">
        <f>IF(NOT(N263="00"),"",(VLOOKUP(CONCATENATE(Q263,P263,LOOKUP(2,1/(Lookups!$I$2:$I$11&lt;=Multisite!E263)/(Lookups!$J$2:$J$11&gt;=E263),Lookups!$K$2:$K$11)),'HH LLFs'!$A$2:$F$282,6,0)*365)/12)</f>
        <v/>
      </c>
      <c r="Y263" s="153">
        <f t="shared" si="86"/>
        <v>0</v>
      </c>
      <c r="Z263" s="153" t="str">
        <f t="shared" si="95"/>
        <v/>
      </c>
      <c r="AA263" s="153" t="str">
        <f t="shared" si="87"/>
        <v/>
      </c>
      <c r="AB263" s="153" t="str">
        <f t="shared" si="96"/>
        <v/>
      </c>
      <c r="AC263" s="153" t="str">
        <f t="shared" si="88"/>
        <v/>
      </c>
      <c r="AD263" s="153" t="str">
        <f t="shared" si="89"/>
        <v/>
      </c>
      <c r="AE263" s="153" t="str">
        <f t="shared" si="90"/>
        <v/>
      </c>
      <c r="AF263" s="155" t="e">
        <f>LOOKUP(2,1/(Lookups!$I$2:$I$11&lt;=E263)/(Lookups!$J$2:$J$11&gt;=E263),Lookups!$L$2:$L$11)</f>
        <v>#N/A</v>
      </c>
      <c r="AG263" s="142" t="str">
        <f t="shared" si="91"/>
        <v/>
      </c>
      <c r="AH263" s="142" t="str">
        <f t="shared" si="92"/>
        <v/>
      </c>
      <c r="AI263" s="143" t="b">
        <f t="shared" si="97"/>
        <v>0</v>
      </c>
      <c r="AJ263" s="143" t="str">
        <f t="shared" si="93"/>
        <v>Level 1</v>
      </c>
      <c r="AK263" s="142">
        <f t="shared" si="94"/>
        <v>0</v>
      </c>
      <c r="AL263" s="157" t="str">
        <f t="shared" si="102"/>
        <v/>
      </c>
      <c r="AM263" s="144" t="str">
        <f t="shared" si="103"/>
        <v>--FALSE-0</v>
      </c>
      <c r="AN263" s="158" t="str">
        <f t="shared" si="98"/>
        <v/>
      </c>
      <c r="AO263" s="145"/>
      <c r="AP263" s="159" t="str">
        <f>IF($AN263=FALSE,"",IFERROR(INDEX('Flat Rates'!$A$1:$M$3880,MATCH($AM263,'Flat Rates'!$A$1:$A$3880,0),MATCH("Standing Charge",'Flat Rates'!$A$1:$M$1,0))*100,""))</f>
        <v/>
      </c>
      <c r="AQ263" s="148" t="str">
        <f>IF($AN263=FALSE,"",IFERROR((IF(NOT(T263="Unrestricted"),"",INDEX('Flat Rates'!$A$1:$M$3880,MATCH($AM263,'Flat Rates'!$A$1:$A$3880,0),MATCH("Uni/Day Rate",'Flat Rates'!$A$1:$M$1,0)))*100)+H263,""))</f>
        <v/>
      </c>
      <c r="AR263" s="148" t="str">
        <f>IF($AN263=FALSE,"",IFERROR((IF(T263="Unrestricted","",INDEX('Flat Rates'!$A$1:$M$3880,MATCH($AM263,'Flat Rates'!$A$1:$A$3880,0),MATCH("Uni/Day Rate",'Flat Rates'!$A$1:$M$1,0)))*100)+H263,""))</f>
        <v/>
      </c>
      <c r="AS263" s="148" t="str">
        <f>IF($AN263=FALSE,"",IFERROR(IF(INDEX('Flat Rates'!$A$1:$M$3880,MATCH($AM263,'Flat Rates'!$A$1:$A$3880,0),MATCH("Night Unit Rate",'Flat Rates'!$A$1:$M$1,0))=0,"",((INDEX('Flat Rates'!$A$1:$M$3880,MATCH($AM263,'Flat Rates'!$A$1:$A$3880,0),MATCH("Night Unit Rate",'Flat Rates'!$A$1:$M$1,0)))*100)+H263),""))</f>
        <v/>
      </c>
      <c r="AT263" s="148" t="str">
        <f>IF($AN263=FALSE,"",IFERROR(IF(INDEX('Flat Rates'!$A$1:$M$3880,MATCH($AM263,'Flat Rates'!$A$1:$A$3880,0),MATCH("Evening and Weekend Rate",'Flat Rates'!$A$1:$M$1,0))=0,"",((INDEX('Flat Rates'!$A$1:$M$3880,MATCH($AM263,'Flat Rates'!$A$1:$A$3880,0),MATCH("Evening and Weekend Rate",'Flat Rates'!$A$1:$M$1,0)))*100)+H263),""))</f>
        <v/>
      </c>
      <c r="AU263" s="152" t="str">
        <f t="shared" si="99"/>
        <v/>
      </c>
      <c r="AV263" s="152" t="str">
        <f t="shared" si="100"/>
        <v/>
      </c>
      <c r="AW263" s="152" t="str">
        <f t="shared" si="101"/>
        <v/>
      </c>
    </row>
    <row r="264" spans="2:49" ht="15" thickBot="1" x14ac:dyDescent="0.35">
      <c r="B264" s="138" t="str">
        <f t="shared" si="78"/>
        <v/>
      </c>
      <c r="C264" s="146"/>
      <c r="D264" s="147"/>
      <c r="E264" s="140"/>
      <c r="F264" s="140"/>
      <c r="G264" s="139"/>
      <c r="H264" s="151"/>
      <c r="I264" s="139"/>
      <c r="J264" s="137"/>
      <c r="K264" s="139"/>
      <c r="L264" s="141"/>
      <c r="M264" s="133" t="str">
        <f t="shared" si="79"/>
        <v/>
      </c>
      <c r="N264" s="133" t="str">
        <f t="shared" si="80"/>
        <v/>
      </c>
      <c r="O264" s="133" t="str">
        <f t="shared" si="81"/>
        <v/>
      </c>
      <c r="P264" s="133" t="str">
        <f t="shared" si="82"/>
        <v/>
      </c>
      <c r="Q264" s="133" t="str">
        <f t="shared" si="83"/>
        <v/>
      </c>
      <c r="R264" s="133" t="str">
        <f t="shared" si="84"/>
        <v/>
      </c>
      <c r="S264" s="133" t="str">
        <f t="shared" si="85"/>
        <v/>
      </c>
      <c r="T264" s="133" t="str">
        <f>IFERROR(IF($U264="ERROR","ERROR",IF($N264="00",IF(J264="1-Rate","HH 1RATE",IF(J264="2-Rate","HH 2RATE","")),IFERROR(VLOOKUP(CONCATENATE(N264,Q264,O264,P264),Lookups!$A$2:$E$4557,5,0),VLOOKUP(CONCATENATE(N264,Q264,O264),Lookups!$A$2:$E$4557,5,0)))),"ERROR")</f>
        <v>ERROR</v>
      </c>
      <c r="U264" s="133" t="str">
        <f>IFERROR(IF(NOT($N264="00"),"",VLOOKUP(CONCATENATE(Q264,P264,LOOKUP(2,1/(Lookups!$I$2:$I$11&lt;=E264)/(Lookups!$J$2:$J$11&gt;=Tool!$C$14),Lookups!$K$2:$K$11)),'HH LLFs'!$A$2:$K$500,3,0)),"ERROR")</f>
        <v/>
      </c>
      <c r="V264" s="132">
        <f>Calcs!$I$2</f>
        <v>44377</v>
      </c>
      <c r="W264" s="132">
        <f>Calcs!$I$4</f>
        <v>44592</v>
      </c>
      <c r="X264" s="153" t="str">
        <f>IF(NOT(N264="00"),"",(VLOOKUP(CONCATENATE(Q264,P264,LOOKUP(2,1/(Lookups!$I$2:$I$11&lt;=Multisite!E264)/(Lookups!$J$2:$J$11&gt;=E264),Lookups!$K$2:$K$11)),'HH LLFs'!$A$2:$F$282,6,0)*365)/12)</f>
        <v/>
      </c>
      <c r="Y264" s="153">
        <f t="shared" si="86"/>
        <v>0</v>
      </c>
      <c r="Z264" s="153" t="str">
        <f t="shared" si="95"/>
        <v/>
      </c>
      <c r="AA264" s="153" t="str">
        <f t="shared" si="87"/>
        <v/>
      </c>
      <c r="AB264" s="153" t="str">
        <f t="shared" si="96"/>
        <v/>
      </c>
      <c r="AC264" s="153" t="str">
        <f t="shared" si="88"/>
        <v/>
      </c>
      <c r="AD264" s="153" t="str">
        <f t="shared" si="89"/>
        <v/>
      </c>
      <c r="AE264" s="153" t="str">
        <f t="shared" si="90"/>
        <v/>
      </c>
      <c r="AF264" s="155" t="e">
        <f>LOOKUP(2,1/(Lookups!$I$2:$I$11&lt;=E264)/(Lookups!$J$2:$J$11&gt;=E264),Lookups!$L$2:$L$11)</f>
        <v>#N/A</v>
      </c>
      <c r="AG264" s="142" t="str">
        <f t="shared" si="91"/>
        <v/>
      </c>
      <c r="AH264" s="142" t="str">
        <f t="shared" si="92"/>
        <v/>
      </c>
      <c r="AI264" s="143" t="b">
        <f t="shared" si="97"/>
        <v>0</v>
      </c>
      <c r="AJ264" s="143" t="str">
        <f t="shared" si="93"/>
        <v>Level 1</v>
      </c>
      <c r="AK264" s="142">
        <f t="shared" si="94"/>
        <v>0</v>
      </c>
      <c r="AL264" s="157" t="str">
        <f t="shared" si="102"/>
        <v/>
      </c>
      <c r="AM264" s="144" t="str">
        <f t="shared" si="103"/>
        <v>--FALSE-0</v>
      </c>
      <c r="AN264" s="158" t="str">
        <f t="shared" si="98"/>
        <v/>
      </c>
      <c r="AO264" s="145"/>
      <c r="AP264" s="159" t="str">
        <f>IF($AN264=FALSE,"",IFERROR(INDEX('Flat Rates'!$A$1:$M$3880,MATCH($AM264,'Flat Rates'!$A$1:$A$3880,0),MATCH("Standing Charge",'Flat Rates'!$A$1:$M$1,0))*100,""))</f>
        <v/>
      </c>
      <c r="AQ264" s="148" t="str">
        <f>IF($AN264=FALSE,"",IFERROR((IF(NOT(T264="Unrestricted"),"",INDEX('Flat Rates'!$A$1:$M$3880,MATCH($AM264,'Flat Rates'!$A$1:$A$3880,0),MATCH("Uni/Day Rate",'Flat Rates'!$A$1:$M$1,0)))*100)+H264,""))</f>
        <v/>
      </c>
      <c r="AR264" s="148" t="str">
        <f>IF($AN264=FALSE,"",IFERROR((IF(T264="Unrestricted","",INDEX('Flat Rates'!$A$1:$M$3880,MATCH($AM264,'Flat Rates'!$A$1:$A$3880,0),MATCH("Uni/Day Rate",'Flat Rates'!$A$1:$M$1,0)))*100)+H264,""))</f>
        <v/>
      </c>
      <c r="AS264" s="148" t="str">
        <f>IF($AN264=FALSE,"",IFERROR(IF(INDEX('Flat Rates'!$A$1:$M$3880,MATCH($AM264,'Flat Rates'!$A$1:$A$3880,0),MATCH("Night Unit Rate",'Flat Rates'!$A$1:$M$1,0))=0,"",((INDEX('Flat Rates'!$A$1:$M$3880,MATCH($AM264,'Flat Rates'!$A$1:$A$3880,0),MATCH("Night Unit Rate",'Flat Rates'!$A$1:$M$1,0)))*100)+H264),""))</f>
        <v/>
      </c>
      <c r="AT264" s="148" t="str">
        <f>IF($AN264=FALSE,"",IFERROR(IF(INDEX('Flat Rates'!$A$1:$M$3880,MATCH($AM264,'Flat Rates'!$A$1:$A$3880,0),MATCH("Evening and Weekend Rate",'Flat Rates'!$A$1:$M$1,0))=0,"",((INDEX('Flat Rates'!$A$1:$M$3880,MATCH($AM264,'Flat Rates'!$A$1:$A$3880,0),MATCH("Evening and Weekend Rate",'Flat Rates'!$A$1:$M$1,0)))*100)+H264),""))</f>
        <v/>
      </c>
      <c r="AU264" s="152" t="str">
        <f t="shared" si="99"/>
        <v/>
      </c>
      <c r="AV264" s="152" t="str">
        <f t="shared" si="100"/>
        <v/>
      </c>
      <c r="AW264" s="152" t="str">
        <f t="shared" si="101"/>
        <v/>
      </c>
    </row>
    <row r="265" spans="2:49" ht="15" thickBot="1" x14ac:dyDescent="0.35">
      <c r="B265" s="138" t="str">
        <f t="shared" si="78"/>
        <v/>
      </c>
      <c r="C265" s="137"/>
      <c r="D265" s="139"/>
      <c r="E265" s="140"/>
      <c r="F265" s="140"/>
      <c r="G265" s="139"/>
      <c r="H265" s="151"/>
      <c r="I265" s="139"/>
      <c r="J265" s="138"/>
      <c r="K265" s="139"/>
      <c r="L265" s="141"/>
      <c r="M265" s="133" t="str">
        <f t="shared" si="79"/>
        <v/>
      </c>
      <c r="N265" s="133" t="str">
        <f t="shared" si="80"/>
        <v/>
      </c>
      <c r="O265" s="133" t="str">
        <f t="shared" si="81"/>
        <v/>
      </c>
      <c r="P265" s="133" t="str">
        <f t="shared" si="82"/>
        <v/>
      </c>
      <c r="Q265" s="133" t="str">
        <f t="shared" si="83"/>
        <v/>
      </c>
      <c r="R265" s="133" t="str">
        <f t="shared" si="84"/>
        <v/>
      </c>
      <c r="S265" s="133" t="str">
        <f t="shared" si="85"/>
        <v/>
      </c>
      <c r="T265" s="133" t="str">
        <f>IFERROR(IF($U265="ERROR","ERROR",IF($N265="00",IF(J265="1-Rate","HH 1RATE",IF(J265="2-Rate","HH 2RATE","")),IFERROR(VLOOKUP(CONCATENATE(N265,Q265,O265,P265),Lookups!$A$2:$E$4557,5,0),VLOOKUP(CONCATENATE(N265,Q265,O265),Lookups!$A$2:$E$4557,5,0)))),"ERROR")</f>
        <v>ERROR</v>
      </c>
      <c r="U265" s="133" t="str">
        <f>IFERROR(IF(NOT($N265="00"),"",VLOOKUP(CONCATENATE(Q265,P265,LOOKUP(2,1/(Lookups!$I$2:$I$11&lt;=E265)/(Lookups!$J$2:$J$11&gt;=Tool!$C$14),Lookups!$K$2:$K$11)),'HH LLFs'!$A$2:$K$500,3,0)),"ERROR")</f>
        <v/>
      </c>
      <c r="V265" s="132">
        <f>Calcs!$I$2</f>
        <v>44377</v>
      </c>
      <c r="W265" s="132">
        <f>Calcs!$I$4</f>
        <v>44592</v>
      </c>
      <c r="X265" s="153" t="str">
        <f>IF(NOT(N265="00"),"",(VLOOKUP(CONCATENATE(Q265,P265,LOOKUP(2,1/(Lookups!$I$2:$I$11&lt;=Multisite!E265)/(Lookups!$J$2:$J$11&gt;=E265),Lookups!$K$2:$K$11)),'HH LLFs'!$A$2:$F$282,6,0)*365)/12)</f>
        <v/>
      </c>
      <c r="Y265" s="153">
        <f t="shared" si="86"/>
        <v>0</v>
      </c>
      <c r="Z265" s="153" t="str">
        <f t="shared" si="95"/>
        <v/>
      </c>
      <c r="AA265" s="153" t="str">
        <f t="shared" si="87"/>
        <v/>
      </c>
      <c r="AB265" s="153" t="str">
        <f t="shared" si="96"/>
        <v/>
      </c>
      <c r="AC265" s="153" t="str">
        <f t="shared" si="88"/>
        <v/>
      </c>
      <c r="AD265" s="153" t="str">
        <f t="shared" si="89"/>
        <v/>
      </c>
      <c r="AE265" s="153" t="str">
        <f t="shared" si="90"/>
        <v/>
      </c>
      <c r="AF265" s="155" t="e">
        <f>LOOKUP(2,1/(Lookups!$I$2:$I$11&lt;=E265)/(Lookups!$J$2:$J$11&gt;=E265),Lookups!$L$2:$L$11)</f>
        <v>#N/A</v>
      </c>
      <c r="AG265" s="142" t="str">
        <f t="shared" si="91"/>
        <v/>
      </c>
      <c r="AH265" s="142" t="str">
        <f t="shared" si="92"/>
        <v/>
      </c>
      <c r="AI265" s="143" t="b">
        <f t="shared" si="97"/>
        <v>0</v>
      </c>
      <c r="AJ265" s="143" t="str">
        <f t="shared" si="93"/>
        <v>Level 1</v>
      </c>
      <c r="AK265" s="142">
        <f t="shared" si="94"/>
        <v>0</v>
      </c>
      <c r="AL265" s="157" t="str">
        <f t="shared" si="102"/>
        <v/>
      </c>
      <c r="AM265" s="144" t="str">
        <f t="shared" si="103"/>
        <v>--FALSE-0</v>
      </c>
      <c r="AN265" s="158" t="str">
        <f t="shared" si="98"/>
        <v/>
      </c>
      <c r="AO265" s="145"/>
      <c r="AP265" s="159" t="str">
        <f>IF($AN265=FALSE,"",IFERROR(INDEX('Flat Rates'!$A$1:$M$3880,MATCH($AM265,'Flat Rates'!$A$1:$A$3880,0),MATCH("Standing Charge",'Flat Rates'!$A$1:$M$1,0))*100,""))</f>
        <v/>
      </c>
      <c r="AQ265" s="148" t="str">
        <f>IF($AN265=FALSE,"",IFERROR((IF(NOT(T265="Unrestricted"),"",INDEX('Flat Rates'!$A$1:$M$3880,MATCH($AM265,'Flat Rates'!$A$1:$A$3880,0),MATCH("Uni/Day Rate",'Flat Rates'!$A$1:$M$1,0)))*100)+H265,""))</f>
        <v/>
      </c>
      <c r="AR265" s="148" t="str">
        <f>IF($AN265=FALSE,"",IFERROR((IF(T265="Unrestricted","",INDEX('Flat Rates'!$A$1:$M$3880,MATCH($AM265,'Flat Rates'!$A$1:$A$3880,0),MATCH("Uni/Day Rate",'Flat Rates'!$A$1:$M$1,0)))*100)+H265,""))</f>
        <v/>
      </c>
      <c r="AS265" s="148" t="str">
        <f>IF($AN265=FALSE,"",IFERROR(IF(INDEX('Flat Rates'!$A$1:$M$3880,MATCH($AM265,'Flat Rates'!$A$1:$A$3880,0),MATCH("Night Unit Rate",'Flat Rates'!$A$1:$M$1,0))=0,"",((INDEX('Flat Rates'!$A$1:$M$3880,MATCH($AM265,'Flat Rates'!$A$1:$A$3880,0),MATCH("Night Unit Rate",'Flat Rates'!$A$1:$M$1,0)))*100)+H265),""))</f>
        <v/>
      </c>
      <c r="AT265" s="148" t="str">
        <f>IF($AN265=FALSE,"",IFERROR(IF(INDEX('Flat Rates'!$A$1:$M$3880,MATCH($AM265,'Flat Rates'!$A$1:$A$3880,0),MATCH("Evening and Weekend Rate",'Flat Rates'!$A$1:$M$1,0))=0,"",((INDEX('Flat Rates'!$A$1:$M$3880,MATCH($AM265,'Flat Rates'!$A$1:$A$3880,0),MATCH("Evening and Weekend Rate",'Flat Rates'!$A$1:$M$1,0)))*100)+H265),""))</f>
        <v/>
      </c>
      <c r="AU265" s="152" t="str">
        <f t="shared" si="99"/>
        <v/>
      </c>
      <c r="AV265" s="152" t="str">
        <f t="shared" si="100"/>
        <v/>
      </c>
      <c r="AW265" s="152" t="str">
        <f t="shared" si="101"/>
        <v/>
      </c>
    </row>
    <row r="266" spans="2:49" ht="15" thickBot="1" x14ac:dyDescent="0.35">
      <c r="B266" s="138" t="str">
        <f t="shared" si="78"/>
        <v/>
      </c>
      <c r="C266" s="146"/>
      <c r="D266" s="147"/>
      <c r="E266" s="140"/>
      <c r="F266" s="140"/>
      <c r="G266" s="139"/>
      <c r="H266" s="151"/>
      <c r="I266" s="139"/>
      <c r="J266" s="137"/>
      <c r="K266" s="139"/>
      <c r="L266" s="141"/>
      <c r="M266" s="133" t="str">
        <f t="shared" si="79"/>
        <v/>
      </c>
      <c r="N266" s="133" t="str">
        <f t="shared" si="80"/>
        <v/>
      </c>
      <c r="O266" s="133" t="str">
        <f t="shared" si="81"/>
        <v/>
      </c>
      <c r="P266" s="133" t="str">
        <f t="shared" si="82"/>
        <v/>
      </c>
      <c r="Q266" s="133" t="str">
        <f t="shared" si="83"/>
        <v/>
      </c>
      <c r="R266" s="133" t="str">
        <f t="shared" si="84"/>
        <v/>
      </c>
      <c r="S266" s="133" t="str">
        <f t="shared" si="85"/>
        <v/>
      </c>
      <c r="T266" s="133" t="str">
        <f>IFERROR(IF($U266="ERROR","ERROR",IF($N266="00",IF(J266="1-Rate","HH 1RATE",IF(J266="2-Rate","HH 2RATE","")),IFERROR(VLOOKUP(CONCATENATE(N266,Q266,O266,P266),Lookups!$A$2:$E$4557,5,0),VLOOKUP(CONCATENATE(N266,Q266,O266),Lookups!$A$2:$E$4557,5,0)))),"ERROR")</f>
        <v>ERROR</v>
      </c>
      <c r="U266" s="133" t="str">
        <f>IFERROR(IF(NOT($N266="00"),"",VLOOKUP(CONCATENATE(Q266,P266,LOOKUP(2,1/(Lookups!$I$2:$I$11&lt;=E266)/(Lookups!$J$2:$J$11&gt;=Tool!$C$14),Lookups!$K$2:$K$11)),'HH LLFs'!$A$2:$K$500,3,0)),"ERROR")</f>
        <v/>
      </c>
      <c r="V266" s="132">
        <f>Calcs!$I$2</f>
        <v>44377</v>
      </c>
      <c r="W266" s="132">
        <f>Calcs!$I$4</f>
        <v>44592</v>
      </c>
      <c r="X266" s="153" t="str">
        <f>IF(NOT(N266="00"),"",(VLOOKUP(CONCATENATE(Q266,P266,LOOKUP(2,1/(Lookups!$I$2:$I$11&lt;=Multisite!E266)/(Lookups!$J$2:$J$11&gt;=E266),Lookups!$K$2:$K$11)),'HH LLFs'!$A$2:$F$282,6,0)*365)/12)</f>
        <v/>
      </c>
      <c r="Y266" s="153">
        <f t="shared" si="86"/>
        <v>0</v>
      </c>
      <c r="Z266" s="153" t="str">
        <f t="shared" si="95"/>
        <v/>
      </c>
      <c r="AA266" s="153" t="str">
        <f t="shared" si="87"/>
        <v/>
      </c>
      <c r="AB266" s="153" t="str">
        <f t="shared" si="96"/>
        <v/>
      </c>
      <c r="AC266" s="153" t="str">
        <f t="shared" si="88"/>
        <v/>
      </c>
      <c r="AD266" s="153" t="str">
        <f t="shared" si="89"/>
        <v/>
      </c>
      <c r="AE266" s="153" t="str">
        <f t="shared" si="90"/>
        <v/>
      </c>
      <c r="AF266" s="155" t="e">
        <f>LOOKUP(2,1/(Lookups!$I$2:$I$11&lt;=E266)/(Lookups!$J$2:$J$11&gt;=E266),Lookups!$L$2:$L$11)</f>
        <v>#N/A</v>
      </c>
      <c r="AG266" s="142" t="str">
        <f t="shared" si="91"/>
        <v/>
      </c>
      <c r="AH266" s="142" t="str">
        <f t="shared" si="92"/>
        <v/>
      </c>
      <c r="AI266" s="143" t="b">
        <f t="shared" si="97"/>
        <v>0</v>
      </c>
      <c r="AJ266" s="143" t="str">
        <f t="shared" si="93"/>
        <v>Level 1</v>
      </c>
      <c r="AK266" s="142">
        <f t="shared" si="94"/>
        <v>0</v>
      </c>
      <c r="AL266" s="157" t="str">
        <f t="shared" si="102"/>
        <v/>
      </c>
      <c r="AM266" s="144" t="str">
        <f t="shared" si="103"/>
        <v>--FALSE-0</v>
      </c>
      <c r="AN266" s="158" t="str">
        <f t="shared" si="98"/>
        <v/>
      </c>
      <c r="AO266" s="145"/>
      <c r="AP266" s="159" t="str">
        <f>IF($AN266=FALSE,"",IFERROR(INDEX('Flat Rates'!$A$1:$M$3880,MATCH($AM266,'Flat Rates'!$A$1:$A$3880,0),MATCH("Standing Charge",'Flat Rates'!$A$1:$M$1,0))*100,""))</f>
        <v/>
      </c>
      <c r="AQ266" s="148" t="str">
        <f>IF($AN266=FALSE,"",IFERROR((IF(NOT(T266="Unrestricted"),"",INDEX('Flat Rates'!$A$1:$M$3880,MATCH($AM266,'Flat Rates'!$A$1:$A$3880,0),MATCH("Uni/Day Rate",'Flat Rates'!$A$1:$M$1,0)))*100)+H266,""))</f>
        <v/>
      </c>
      <c r="AR266" s="148" t="str">
        <f>IF($AN266=FALSE,"",IFERROR((IF(T266="Unrestricted","",INDEX('Flat Rates'!$A$1:$M$3880,MATCH($AM266,'Flat Rates'!$A$1:$A$3880,0),MATCH("Uni/Day Rate",'Flat Rates'!$A$1:$M$1,0)))*100)+H266,""))</f>
        <v/>
      </c>
      <c r="AS266" s="148" t="str">
        <f>IF($AN266=FALSE,"",IFERROR(IF(INDEX('Flat Rates'!$A$1:$M$3880,MATCH($AM266,'Flat Rates'!$A$1:$A$3880,0),MATCH("Night Unit Rate",'Flat Rates'!$A$1:$M$1,0))=0,"",((INDEX('Flat Rates'!$A$1:$M$3880,MATCH($AM266,'Flat Rates'!$A$1:$A$3880,0),MATCH("Night Unit Rate",'Flat Rates'!$A$1:$M$1,0)))*100)+H266),""))</f>
        <v/>
      </c>
      <c r="AT266" s="148" t="str">
        <f>IF($AN266=FALSE,"",IFERROR(IF(INDEX('Flat Rates'!$A$1:$M$3880,MATCH($AM266,'Flat Rates'!$A$1:$A$3880,0),MATCH("Evening and Weekend Rate",'Flat Rates'!$A$1:$M$1,0))=0,"",((INDEX('Flat Rates'!$A$1:$M$3880,MATCH($AM266,'Flat Rates'!$A$1:$A$3880,0),MATCH("Evening and Weekend Rate",'Flat Rates'!$A$1:$M$1,0)))*100)+H266),""))</f>
        <v/>
      </c>
      <c r="AU266" s="152" t="str">
        <f t="shared" si="99"/>
        <v/>
      </c>
      <c r="AV266" s="152" t="str">
        <f t="shared" si="100"/>
        <v/>
      </c>
      <c r="AW266" s="152" t="str">
        <f t="shared" si="101"/>
        <v/>
      </c>
    </row>
    <row r="267" spans="2:49" ht="15" thickBot="1" x14ac:dyDescent="0.35">
      <c r="B267" s="138" t="str">
        <f t="shared" si="78"/>
        <v/>
      </c>
      <c r="C267" s="137"/>
      <c r="D267" s="139"/>
      <c r="E267" s="140"/>
      <c r="F267" s="140"/>
      <c r="G267" s="139"/>
      <c r="H267" s="151"/>
      <c r="I267" s="139"/>
      <c r="J267" s="138"/>
      <c r="K267" s="139"/>
      <c r="L267" s="141"/>
      <c r="M267" s="133" t="str">
        <f t="shared" si="79"/>
        <v/>
      </c>
      <c r="N267" s="133" t="str">
        <f t="shared" si="80"/>
        <v/>
      </c>
      <c r="O267" s="133" t="str">
        <f t="shared" si="81"/>
        <v/>
      </c>
      <c r="P267" s="133" t="str">
        <f t="shared" si="82"/>
        <v/>
      </c>
      <c r="Q267" s="133" t="str">
        <f t="shared" si="83"/>
        <v/>
      </c>
      <c r="R267" s="133" t="str">
        <f t="shared" si="84"/>
        <v/>
      </c>
      <c r="S267" s="133" t="str">
        <f t="shared" si="85"/>
        <v/>
      </c>
      <c r="T267" s="133" t="str">
        <f>IFERROR(IF($U267="ERROR","ERROR",IF($N267="00",IF(J267="1-Rate","HH 1RATE",IF(J267="2-Rate","HH 2RATE","")),IFERROR(VLOOKUP(CONCATENATE(N267,Q267,O267,P267),Lookups!$A$2:$E$4557,5,0),VLOOKUP(CONCATENATE(N267,Q267,O267),Lookups!$A$2:$E$4557,5,0)))),"ERROR")</f>
        <v>ERROR</v>
      </c>
      <c r="U267" s="133" t="str">
        <f>IFERROR(IF(NOT($N267="00"),"",VLOOKUP(CONCATENATE(Q267,P267,LOOKUP(2,1/(Lookups!$I$2:$I$11&lt;=E267)/(Lookups!$J$2:$J$11&gt;=Tool!$C$14),Lookups!$K$2:$K$11)),'HH LLFs'!$A$2:$K$500,3,0)),"ERROR")</f>
        <v/>
      </c>
      <c r="V267" s="132">
        <f>Calcs!$I$2</f>
        <v>44377</v>
      </c>
      <c r="W267" s="132">
        <f>Calcs!$I$4</f>
        <v>44592</v>
      </c>
      <c r="X267" s="153" t="str">
        <f>IF(NOT(N267="00"),"",(VLOOKUP(CONCATENATE(Q267,P267,LOOKUP(2,1/(Lookups!$I$2:$I$11&lt;=Multisite!E267)/(Lookups!$J$2:$J$11&gt;=E267),Lookups!$K$2:$K$11)),'HH LLFs'!$A$2:$F$282,6,0)*365)/12)</f>
        <v/>
      </c>
      <c r="Y267" s="153">
        <f t="shared" si="86"/>
        <v>0</v>
      </c>
      <c r="Z267" s="153" t="str">
        <f t="shared" si="95"/>
        <v/>
      </c>
      <c r="AA267" s="153" t="str">
        <f t="shared" si="87"/>
        <v/>
      </c>
      <c r="AB267" s="153" t="str">
        <f t="shared" si="96"/>
        <v/>
      </c>
      <c r="AC267" s="153" t="str">
        <f t="shared" si="88"/>
        <v/>
      </c>
      <c r="AD267" s="153" t="str">
        <f t="shared" si="89"/>
        <v/>
      </c>
      <c r="AE267" s="153" t="str">
        <f t="shared" si="90"/>
        <v/>
      </c>
      <c r="AF267" s="155" t="e">
        <f>LOOKUP(2,1/(Lookups!$I$2:$I$11&lt;=E267)/(Lookups!$J$2:$J$11&gt;=E267),Lookups!$L$2:$L$11)</f>
        <v>#N/A</v>
      </c>
      <c r="AG267" s="142" t="str">
        <f t="shared" si="91"/>
        <v/>
      </c>
      <c r="AH267" s="142" t="str">
        <f t="shared" si="92"/>
        <v/>
      </c>
      <c r="AI267" s="143" t="b">
        <f t="shared" si="97"/>
        <v>0</v>
      </c>
      <c r="AJ267" s="143" t="str">
        <f t="shared" si="93"/>
        <v>Level 1</v>
      </c>
      <c r="AK267" s="142">
        <f t="shared" si="94"/>
        <v>0</v>
      </c>
      <c r="AL267" s="157" t="str">
        <f t="shared" si="102"/>
        <v/>
      </c>
      <c r="AM267" s="144" t="str">
        <f t="shared" si="103"/>
        <v>--FALSE-0</v>
      </c>
      <c r="AN267" s="158" t="str">
        <f t="shared" si="98"/>
        <v/>
      </c>
      <c r="AO267" s="145"/>
      <c r="AP267" s="159" t="str">
        <f>IF($AN267=FALSE,"",IFERROR(INDEX('Flat Rates'!$A$1:$M$3880,MATCH($AM267,'Flat Rates'!$A$1:$A$3880,0),MATCH("Standing Charge",'Flat Rates'!$A$1:$M$1,0))*100,""))</f>
        <v/>
      </c>
      <c r="AQ267" s="148" t="str">
        <f>IF($AN267=FALSE,"",IFERROR((IF(NOT(T267="Unrestricted"),"",INDEX('Flat Rates'!$A$1:$M$3880,MATCH($AM267,'Flat Rates'!$A$1:$A$3880,0),MATCH("Uni/Day Rate",'Flat Rates'!$A$1:$M$1,0)))*100)+H267,""))</f>
        <v/>
      </c>
      <c r="AR267" s="148" t="str">
        <f>IF($AN267=FALSE,"",IFERROR((IF(T267="Unrestricted","",INDEX('Flat Rates'!$A$1:$M$3880,MATCH($AM267,'Flat Rates'!$A$1:$A$3880,0),MATCH("Uni/Day Rate",'Flat Rates'!$A$1:$M$1,0)))*100)+H267,""))</f>
        <v/>
      </c>
      <c r="AS267" s="148" t="str">
        <f>IF($AN267=FALSE,"",IFERROR(IF(INDEX('Flat Rates'!$A$1:$M$3880,MATCH($AM267,'Flat Rates'!$A$1:$A$3880,0),MATCH("Night Unit Rate",'Flat Rates'!$A$1:$M$1,0))=0,"",((INDEX('Flat Rates'!$A$1:$M$3880,MATCH($AM267,'Flat Rates'!$A$1:$A$3880,0),MATCH("Night Unit Rate",'Flat Rates'!$A$1:$M$1,0)))*100)+H267),""))</f>
        <v/>
      </c>
      <c r="AT267" s="148" t="str">
        <f>IF($AN267=FALSE,"",IFERROR(IF(INDEX('Flat Rates'!$A$1:$M$3880,MATCH($AM267,'Flat Rates'!$A$1:$A$3880,0),MATCH("Evening and Weekend Rate",'Flat Rates'!$A$1:$M$1,0))=0,"",((INDEX('Flat Rates'!$A$1:$M$3880,MATCH($AM267,'Flat Rates'!$A$1:$A$3880,0),MATCH("Evening and Weekend Rate",'Flat Rates'!$A$1:$M$1,0)))*100)+H267),""))</f>
        <v/>
      </c>
      <c r="AU267" s="152" t="str">
        <f t="shared" si="99"/>
        <v/>
      </c>
      <c r="AV267" s="152" t="str">
        <f t="shared" si="100"/>
        <v/>
      </c>
      <c r="AW267" s="152" t="str">
        <f t="shared" si="101"/>
        <v/>
      </c>
    </row>
    <row r="268" spans="2:49" ht="15" thickBot="1" x14ac:dyDescent="0.35">
      <c r="B268" s="138" t="str">
        <f t="shared" si="78"/>
        <v/>
      </c>
      <c r="C268" s="146"/>
      <c r="D268" s="147"/>
      <c r="E268" s="140"/>
      <c r="F268" s="140"/>
      <c r="G268" s="139"/>
      <c r="H268" s="151"/>
      <c r="I268" s="139"/>
      <c r="J268" s="137"/>
      <c r="K268" s="139"/>
      <c r="L268" s="141"/>
      <c r="M268" s="133" t="str">
        <f t="shared" si="79"/>
        <v/>
      </c>
      <c r="N268" s="133" t="str">
        <f t="shared" si="80"/>
        <v/>
      </c>
      <c r="O268" s="133" t="str">
        <f t="shared" si="81"/>
        <v/>
      </c>
      <c r="P268" s="133" t="str">
        <f t="shared" si="82"/>
        <v/>
      </c>
      <c r="Q268" s="133" t="str">
        <f t="shared" si="83"/>
        <v/>
      </c>
      <c r="R268" s="133" t="str">
        <f t="shared" si="84"/>
        <v/>
      </c>
      <c r="S268" s="133" t="str">
        <f t="shared" si="85"/>
        <v/>
      </c>
      <c r="T268" s="133" t="str">
        <f>IFERROR(IF($U268="ERROR","ERROR",IF($N268="00",IF(J268="1-Rate","HH 1RATE",IF(J268="2-Rate","HH 2RATE","")),IFERROR(VLOOKUP(CONCATENATE(N268,Q268,O268,P268),Lookups!$A$2:$E$4557,5,0),VLOOKUP(CONCATENATE(N268,Q268,O268),Lookups!$A$2:$E$4557,5,0)))),"ERROR")</f>
        <v>ERROR</v>
      </c>
      <c r="U268" s="133" t="str">
        <f>IFERROR(IF(NOT($N268="00"),"",VLOOKUP(CONCATENATE(Q268,P268,LOOKUP(2,1/(Lookups!$I$2:$I$11&lt;=E268)/(Lookups!$J$2:$J$11&gt;=Tool!$C$14),Lookups!$K$2:$K$11)),'HH LLFs'!$A$2:$K$500,3,0)),"ERROR")</f>
        <v/>
      </c>
      <c r="V268" s="132">
        <f>Calcs!$I$2</f>
        <v>44377</v>
      </c>
      <c r="W268" s="132">
        <f>Calcs!$I$4</f>
        <v>44592</v>
      </c>
      <c r="X268" s="153" t="str">
        <f>IF(NOT(N268="00"),"",(VLOOKUP(CONCATENATE(Q268,P268,LOOKUP(2,1/(Lookups!$I$2:$I$11&lt;=Multisite!E268)/(Lookups!$J$2:$J$11&gt;=E268),Lookups!$K$2:$K$11)),'HH LLFs'!$A$2:$F$282,6,0)*365)/12)</f>
        <v/>
      </c>
      <c r="Y268" s="153">
        <f t="shared" si="86"/>
        <v>0</v>
      </c>
      <c r="Z268" s="153" t="str">
        <f t="shared" si="95"/>
        <v/>
      </c>
      <c r="AA268" s="153" t="str">
        <f t="shared" si="87"/>
        <v/>
      </c>
      <c r="AB268" s="153" t="str">
        <f t="shared" si="96"/>
        <v/>
      </c>
      <c r="AC268" s="153" t="str">
        <f t="shared" si="88"/>
        <v/>
      </c>
      <c r="AD268" s="153" t="str">
        <f t="shared" si="89"/>
        <v/>
      </c>
      <c r="AE268" s="153" t="str">
        <f t="shared" si="90"/>
        <v/>
      </c>
      <c r="AF268" s="155" t="e">
        <f>LOOKUP(2,1/(Lookups!$I$2:$I$11&lt;=E268)/(Lookups!$J$2:$J$11&gt;=E268),Lookups!$L$2:$L$11)</f>
        <v>#N/A</v>
      </c>
      <c r="AG268" s="142" t="str">
        <f t="shared" si="91"/>
        <v/>
      </c>
      <c r="AH268" s="142" t="str">
        <f t="shared" si="92"/>
        <v/>
      </c>
      <c r="AI268" s="143" t="b">
        <f t="shared" si="97"/>
        <v>0</v>
      </c>
      <c r="AJ268" s="143" t="str">
        <f t="shared" si="93"/>
        <v>Level 1</v>
      </c>
      <c r="AK268" s="142">
        <f t="shared" si="94"/>
        <v>0</v>
      </c>
      <c r="AL268" s="157" t="str">
        <f t="shared" si="102"/>
        <v/>
      </c>
      <c r="AM268" s="144" t="str">
        <f t="shared" si="103"/>
        <v>--FALSE-0</v>
      </c>
      <c r="AN268" s="158" t="str">
        <f t="shared" si="98"/>
        <v/>
      </c>
      <c r="AO268" s="145"/>
      <c r="AP268" s="159" t="str">
        <f>IF($AN268=FALSE,"",IFERROR(INDEX('Flat Rates'!$A$1:$M$3880,MATCH($AM268,'Flat Rates'!$A$1:$A$3880,0),MATCH("Standing Charge",'Flat Rates'!$A$1:$M$1,0))*100,""))</f>
        <v/>
      </c>
      <c r="AQ268" s="148" t="str">
        <f>IF($AN268=FALSE,"",IFERROR((IF(NOT(T268="Unrestricted"),"",INDEX('Flat Rates'!$A$1:$M$3880,MATCH($AM268,'Flat Rates'!$A$1:$A$3880,0),MATCH("Uni/Day Rate",'Flat Rates'!$A$1:$M$1,0)))*100)+H268,""))</f>
        <v/>
      </c>
      <c r="AR268" s="148" t="str">
        <f>IF($AN268=FALSE,"",IFERROR((IF(T268="Unrestricted","",INDEX('Flat Rates'!$A$1:$M$3880,MATCH($AM268,'Flat Rates'!$A$1:$A$3880,0),MATCH("Uni/Day Rate",'Flat Rates'!$A$1:$M$1,0)))*100)+H268,""))</f>
        <v/>
      </c>
      <c r="AS268" s="148" t="str">
        <f>IF($AN268=FALSE,"",IFERROR(IF(INDEX('Flat Rates'!$A$1:$M$3880,MATCH($AM268,'Flat Rates'!$A$1:$A$3880,0),MATCH("Night Unit Rate",'Flat Rates'!$A$1:$M$1,0))=0,"",((INDEX('Flat Rates'!$A$1:$M$3880,MATCH($AM268,'Flat Rates'!$A$1:$A$3880,0),MATCH("Night Unit Rate",'Flat Rates'!$A$1:$M$1,0)))*100)+H268),""))</f>
        <v/>
      </c>
      <c r="AT268" s="148" t="str">
        <f>IF($AN268=FALSE,"",IFERROR(IF(INDEX('Flat Rates'!$A$1:$M$3880,MATCH($AM268,'Flat Rates'!$A$1:$A$3880,0),MATCH("Evening and Weekend Rate",'Flat Rates'!$A$1:$M$1,0))=0,"",((INDEX('Flat Rates'!$A$1:$M$3880,MATCH($AM268,'Flat Rates'!$A$1:$A$3880,0),MATCH("Evening and Weekend Rate",'Flat Rates'!$A$1:$M$1,0)))*100)+H268),""))</f>
        <v/>
      </c>
      <c r="AU268" s="152" t="str">
        <f t="shared" si="99"/>
        <v/>
      </c>
      <c r="AV268" s="152" t="str">
        <f t="shared" si="100"/>
        <v/>
      </c>
      <c r="AW268" s="152" t="str">
        <f t="shared" si="101"/>
        <v/>
      </c>
    </row>
    <row r="269" spans="2:49" ht="15" thickBot="1" x14ac:dyDescent="0.35">
      <c r="B269" s="138" t="str">
        <f t="shared" si="78"/>
        <v/>
      </c>
      <c r="C269" s="137"/>
      <c r="D269" s="139"/>
      <c r="E269" s="140"/>
      <c r="F269" s="140"/>
      <c r="G269" s="139"/>
      <c r="H269" s="151"/>
      <c r="I269" s="139"/>
      <c r="J269" s="138"/>
      <c r="K269" s="139"/>
      <c r="L269" s="141"/>
      <c r="M269" s="133" t="str">
        <f t="shared" si="79"/>
        <v/>
      </c>
      <c r="N269" s="133" t="str">
        <f t="shared" si="80"/>
        <v/>
      </c>
      <c r="O269" s="133" t="str">
        <f t="shared" si="81"/>
        <v/>
      </c>
      <c r="P269" s="133" t="str">
        <f t="shared" si="82"/>
        <v/>
      </c>
      <c r="Q269" s="133" t="str">
        <f t="shared" si="83"/>
        <v/>
      </c>
      <c r="R269" s="133" t="str">
        <f t="shared" si="84"/>
        <v/>
      </c>
      <c r="S269" s="133" t="str">
        <f t="shared" si="85"/>
        <v/>
      </c>
      <c r="T269" s="133" t="str">
        <f>IFERROR(IF($U269="ERROR","ERROR",IF($N269="00",IF(J269="1-Rate","HH 1RATE",IF(J269="2-Rate","HH 2RATE","")),IFERROR(VLOOKUP(CONCATENATE(N269,Q269,O269,P269),Lookups!$A$2:$E$4557,5,0),VLOOKUP(CONCATENATE(N269,Q269,O269),Lookups!$A$2:$E$4557,5,0)))),"ERROR")</f>
        <v>ERROR</v>
      </c>
      <c r="U269" s="133" t="str">
        <f>IFERROR(IF(NOT($N269="00"),"",VLOOKUP(CONCATENATE(Q269,P269,LOOKUP(2,1/(Lookups!$I$2:$I$11&lt;=E269)/(Lookups!$J$2:$J$11&gt;=Tool!$C$14),Lookups!$K$2:$K$11)),'HH LLFs'!$A$2:$K$500,3,0)),"ERROR")</f>
        <v/>
      </c>
      <c r="V269" s="132">
        <f>Calcs!$I$2</f>
        <v>44377</v>
      </c>
      <c r="W269" s="132">
        <f>Calcs!$I$4</f>
        <v>44592</v>
      </c>
      <c r="X269" s="153" t="str">
        <f>IF(NOT(N269="00"),"",(VLOOKUP(CONCATENATE(Q269,P269,LOOKUP(2,1/(Lookups!$I$2:$I$11&lt;=Multisite!E269)/(Lookups!$J$2:$J$11&gt;=E269),Lookups!$K$2:$K$11)),'HH LLFs'!$A$2:$F$282,6,0)*365)/12)</f>
        <v/>
      </c>
      <c r="Y269" s="153">
        <f t="shared" si="86"/>
        <v>0</v>
      </c>
      <c r="Z269" s="153" t="str">
        <f t="shared" si="95"/>
        <v/>
      </c>
      <c r="AA269" s="153" t="str">
        <f t="shared" si="87"/>
        <v/>
      </c>
      <c r="AB269" s="153" t="str">
        <f t="shared" si="96"/>
        <v/>
      </c>
      <c r="AC269" s="153" t="str">
        <f t="shared" si="88"/>
        <v/>
      </c>
      <c r="AD269" s="153" t="str">
        <f t="shared" si="89"/>
        <v/>
      </c>
      <c r="AE269" s="153" t="str">
        <f t="shared" si="90"/>
        <v/>
      </c>
      <c r="AF269" s="155" t="e">
        <f>LOOKUP(2,1/(Lookups!$I$2:$I$11&lt;=E269)/(Lookups!$J$2:$J$11&gt;=E269),Lookups!$L$2:$L$11)</f>
        <v>#N/A</v>
      </c>
      <c r="AG269" s="142" t="str">
        <f t="shared" si="91"/>
        <v/>
      </c>
      <c r="AH269" s="142" t="str">
        <f t="shared" si="92"/>
        <v/>
      </c>
      <c r="AI269" s="143" t="b">
        <f t="shared" si="97"/>
        <v>0</v>
      </c>
      <c r="AJ269" s="143" t="str">
        <f t="shared" si="93"/>
        <v>Level 1</v>
      </c>
      <c r="AK269" s="142">
        <f t="shared" si="94"/>
        <v>0</v>
      </c>
      <c r="AL269" s="157" t="str">
        <f t="shared" si="102"/>
        <v/>
      </c>
      <c r="AM269" s="144" t="str">
        <f t="shared" si="103"/>
        <v>--FALSE-0</v>
      </c>
      <c r="AN269" s="158" t="str">
        <f t="shared" si="98"/>
        <v/>
      </c>
      <c r="AO269" s="145"/>
      <c r="AP269" s="159" t="str">
        <f>IF($AN269=FALSE,"",IFERROR(INDEX('Flat Rates'!$A$1:$M$3880,MATCH($AM269,'Flat Rates'!$A$1:$A$3880,0),MATCH("Standing Charge",'Flat Rates'!$A$1:$M$1,0))*100,""))</f>
        <v/>
      </c>
      <c r="AQ269" s="148" t="str">
        <f>IF($AN269=FALSE,"",IFERROR((IF(NOT(T269="Unrestricted"),"",INDEX('Flat Rates'!$A$1:$M$3880,MATCH($AM269,'Flat Rates'!$A$1:$A$3880,0),MATCH("Uni/Day Rate",'Flat Rates'!$A$1:$M$1,0)))*100)+H269,""))</f>
        <v/>
      </c>
      <c r="AR269" s="148" t="str">
        <f>IF($AN269=FALSE,"",IFERROR((IF(T269="Unrestricted","",INDEX('Flat Rates'!$A$1:$M$3880,MATCH($AM269,'Flat Rates'!$A$1:$A$3880,0),MATCH("Uni/Day Rate",'Flat Rates'!$A$1:$M$1,0)))*100)+H269,""))</f>
        <v/>
      </c>
      <c r="AS269" s="148" t="str">
        <f>IF($AN269=FALSE,"",IFERROR(IF(INDEX('Flat Rates'!$A$1:$M$3880,MATCH($AM269,'Flat Rates'!$A$1:$A$3880,0),MATCH("Night Unit Rate",'Flat Rates'!$A$1:$M$1,0))=0,"",((INDEX('Flat Rates'!$A$1:$M$3880,MATCH($AM269,'Flat Rates'!$A$1:$A$3880,0),MATCH("Night Unit Rate",'Flat Rates'!$A$1:$M$1,0)))*100)+H269),""))</f>
        <v/>
      </c>
      <c r="AT269" s="148" t="str">
        <f>IF($AN269=FALSE,"",IFERROR(IF(INDEX('Flat Rates'!$A$1:$M$3880,MATCH($AM269,'Flat Rates'!$A$1:$A$3880,0),MATCH("Evening and Weekend Rate",'Flat Rates'!$A$1:$M$1,0))=0,"",((INDEX('Flat Rates'!$A$1:$M$3880,MATCH($AM269,'Flat Rates'!$A$1:$A$3880,0),MATCH("Evening and Weekend Rate",'Flat Rates'!$A$1:$M$1,0)))*100)+H269),""))</f>
        <v/>
      </c>
      <c r="AU269" s="152" t="str">
        <f t="shared" si="99"/>
        <v/>
      </c>
      <c r="AV269" s="152" t="str">
        <f t="shared" si="100"/>
        <v/>
      </c>
      <c r="AW269" s="152" t="str">
        <f t="shared" si="101"/>
        <v/>
      </c>
    </row>
    <row r="270" spans="2:49" ht="15" thickBot="1" x14ac:dyDescent="0.35">
      <c r="B270" s="138" t="str">
        <f t="shared" si="78"/>
        <v/>
      </c>
      <c r="C270" s="146"/>
      <c r="D270" s="147"/>
      <c r="E270" s="140"/>
      <c r="F270" s="140"/>
      <c r="G270" s="139"/>
      <c r="H270" s="151"/>
      <c r="I270" s="139"/>
      <c r="J270" s="137"/>
      <c r="K270" s="139"/>
      <c r="L270" s="141"/>
      <c r="M270" s="133" t="str">
        <f t="shared" si="79"/>
        <v/>
      </c>
      <c r="N270" s="133" t="str">
        <f t="shared" si="80"/>
        <v/>
      </c>
      <c r="O270" s="133" t="str">
        <f t="shared" si="81"/>
        <v/>
      </c>
      <c r="P270" s="133" t="str">
        <f t="shared" si="82"/>
        <v/>
      </c>
      <c r="Q270" s="133" t="str">
        <f t="shared" si="83"/>
        <v/>
      </c>
      <c r="R270" s="133" t="str">
        <f t="shared" si="84"/>
        <v/>
      </c>
      <c r="S270" s="133" t="str">
        <f t="shared" si="85"/>
        <v/>
      </c>
      <c r="T270" s="133" t="str">
        <f>IFERROR(IF($U270="ERROR","ERROR",IF($N270="00",IF(J270="1-Rate","HH 1RATE",IF(J270="2-Rate","HH 2RATE","")),IFERROR(VLOOKUP(CONCATENATE(N270,Q270,O270,P270),Lookups!$A$2:$E$4557,5,0),VLOOKUP(CONCATENATE(N270,Q270,O270),Lookups!$A$2:$E$4557,5,0)))),"ERROR")</f>
        <v>ERROR</v>
      </c>
      <c r="U270" s="133" t="str">
        <f>IFERROR(IF(NOT($N270="00"),"",VLOOKUP(CONCATENATE(Q270,P270,LOOKUP(2,1/(Lookups!$I$2:$I$11&lt;=E270)/(Lookups!$J$2:$J$11&gt;=Tool!$C$14),Lookups!$K$2:$K$11)),'HH LLFs'!$A$2:$K$500,3,0)),"ERROR")</f>
        <v/>
      </c>
      <c r="V270" s="132">
        <f>Calcs!$I$2</f>
        <v>44377</v>
      </c>
      <c r="W270" s="132">
        <f>Calcs!$I$4</f>
        <v>44592</v>
      </c>
      <c r="X270" s="153" t="str">
        <f>IF(NOT(N270="00"),"",(VLOOKUP(CONCATENATE(Q270,P270,LOOKUP(2,1/(Lookups!$I$2:$I$11&lt;=Multisite!E270)/(Lookups!$J$2:$J$11&gt;=E270),Lookups!$K$2:$K$11)),'HH LLFs'!$A$2:$F$282,6,0)*365)/12)</f>
        <v/>
      </c>
      <c r="Y270" s="153">
        <f t="shared" si="86"/>
        <v>0</v>
      </c>
      <c r="Z270" s="153" t="str">
        <f t="shared" si="95"/>
        <v/>
      </c>
      <c r="AA270" s="153" t="str">
        <f t="shared" si="87"/>
        <v/>
      </c>
      <c r="AB270" s="153" t="str">
        <f t="shared" si="96"/>
        <v/>
      </c>
      <c r="AC270" s="153" t="str">
        <f t="shared" si="88"/>
        <v/>
      </c>
      <c r="AD270" s="153" t="str">
        <f t="shared" si="89"/>
        <v/>
      </c>
      <c r="AE270" s="153" t="str">
        <f t="shared" si="90"/>
        <v/>
      </c>
      <c r="AF270" s="155" t="e">
        <f>LOOKUP(2,1/(Lookups!$I$2:$I$11&lt;=E270)/(Lookups!$J$2:$J$11&gt;=E270),Lookups!$L$2:$L$11)</f>
        <v>#N/A</v>
      </c>
      <c r="AG270" s="142" t="str">
        <f t="shared" si="91"/>
        <v/>
      </c>
      <c r="AH270" s="142" t="str">
        <f t="shared" si="92"/>
        <v/>
      </c>
      <c r="AI270" s="143" t="b">
        <f t="shared" si="97"/>
        <v>0</v>
      </c>
      <c r="AJ270" s="143" t="str">
        <f t="shared" si="93"/>
        <v>Level 1</v>
      </c>
      <c r="AK270" s="142">
        <f t="shared" si="94"/>
        <v>0</v>
      </c>
      <c r="AL270" s="157" t="str">
        <f t="shared" si="102"/>
        <v/>
      </c>
      <c r="AM270" s="144" t="str">
        <f t="shared" si="103"/>
        <v>--FALSE-0</v>
      </c>
      <c r="AN270" s="158" t="str">
        <f t="shared" si="98"/>
        <v/>
      </c>
      <c r="AO270" s="145"/>
      <c r="AP270" s="159" t="str">
        <f>IF($AN270=FALSE,"",IFERROR(INDEX('Flat Rates'!$A$1:$M$3880,MATCH($AM270,'Flat Rates'!$A$1:$A$3880,0),MATCH("Standing Charge",'Flat Rates'!$A$1:$M$1,0))*100,""))</f>
        <v/>
      </c>
      <c r="AQ270" s="148" t="str">
        <f>IF($AN270=FALSE,"",IFERROR((IF(NOT(T270="Unrestricted"),"",INDEX('Flat Rates'!$A$1:$M$3880,MATCH($AM270,'Flat Rates'!$A$1:$A$3880,0),MATCH("Uni/Day Rate",'Flat Rates'!$A$1:$M$1,0)))*100)+H270,""))</f>
        <v/>
      </c>
      <c r="AR270" s="148" t="str">
        <f>IF($AN270=FALSE,"",IFERROR((IF(T270="Unrestricted","",INDEX('Flat Rates'!$A$1:$M$3880,MATCH($AM270,'Flat Rates'!$A$1:$A$3880,0),MATCH("Uni/Day Rate",'Flat Rates'!$A$1:$M$1,0)))*100)+H270,""))</f>
        <v/>
      </c>
      <c r="AS270" s="148" t="str">
        <f>IF($AN270=FALSE,"",IFERROR(IF(INDEX('Flat Rates'!$A$1:$M$3880,MATCH($AM270,'Flat Rates'!$A$1:$A$3880,0),MATCH("Night Unit Rate",'Flat Rates'!$A$1:$M$1,0))=0,"",((INDEX('Flat Rates'!$A$1:$M$3880,MATCH($AM270,'Flat Rates'!$A$1:$A$3880,0),MATCH("Night Unit Rate",'Flat Rates'!$A$1:$M$1,0)))*100)+H270),""))</f>
        <v/>
      </c>
      <c r="AT270" s="148" t="str">
        <f>IF($AN270=FALSE,"",IFERROR(IF(INDEX('Flat Rates'!$A$1:$M$3880,MATCH($AM270,'Flat Rates'!$A$1:$A$3880,0),MATCH("Evening and Weekend Rate",'Flat Rates'!$A$1:$M$1,0))=0,"",((INDEX('Flat Rates'!$A$1:$M$3880,MATCH($AM270,'Flat Rates'!$A$1:$A$3880,0),MATCH("Evening and Weekend Rate",'Flat Rates'!$A$1:$M$1,0)))*100)+H270),""))</f>
        <v/>
      </c>
      <c r="AU270" s="152" t="str">
        <f t="shared" si="99"/>
        <v/>
      </c>
      <c r="AV270" s="152" t="str">
        <f t="shared" si="100"/>
        <v/>
      </c>
      <c r="AW270" s="152" t="str">
        <f t="shared" si="101"/>
        <v/>
      </c>
    </row>
    <row r="271" spans="2:49" ht="15" thickBot="1" x14ac:dyDescent="0.35">
      <c r="B271" s="138" t="str">
        <f t="shared" si="78"/>
        <v/>
      </c>
      <c r="C271" s="137"/>
      <c r="D271" s="139"/>
      <c r="E271" s="140"/>
      <c r="F271" s="140"/>
      <c r="G271" s="139"/>
      <c r="H271" s="151"/>
      <c r="I271" s="139"/>
      <c r="J271" s="138"/>
      <c r="K271" s="139"/>
      <c r="L271" s="141"/>
      <c r="M271" s="133" t="str">
        <f t="shared" si="79"/>
        <v/>
      </c>
      <c r="N271" s="133" t="str">
        <f t="shared" si="80"/>
        <v/>
      </c>
      <c r="O271" s="133" t="str">
        <f t="shared" si="81"/>
        <v/>
      </c>
      <c r="P271" s="133" t="str">
        <f t="shared" si="82"/>
        <v/>
      </c>
      <c r="Q271" s="133" t="str">
        <f t="shared" si="83"/>
        <v/>
      </c>
      <c r="R271" s="133" t="str">
        <f t="shared" si="84"/>
        <v/>
      </c>
      <c r="S271" s="133" t="str">
        <f t="shared" si="85"/>
        <v/>
      </c>
      <c r="T271" s="133" t="str">
        <f>IFERROR(IF($U271="ERROR","ERROR",IF($N271="00",IF(J271="1-Rate","HH 1RATE",IF(J271="2-Rate","HH 2RATE","")),IFERROR(VLOOKUP(CONCATENATE(N271,Q271,O271,P271),Lookups!$A$2:$E$4557,5,0),VLOOKUP(CONCATENATE(N271,Q271,O271),Lookups!$A$2:$E$4557,5,0)))),"ERROR")</f>
        <v>ERROR</v>
      </c>
      <c r="U271" s="133" t="str">
        <f>IFERROR(IF(NOT($N271="00"),"",VLOOKUP(CONCATENATE(Q271,P271,LOOKUP(2,1/(Lookups!$I$2:$I$11&lt;=E271)/(Lookups!$J$2:$J$11&gt;=Tool!$C$14),Lookups!$K$2:$K$11)),'HH LLFs'!$A$2:$K$500,3,0)),"ERROR")</f>
        <v/>
      </c>
      <c r="V271" s="132">
        <f>Calcs!$I$2</f>
        <v>44377</v>
      </c>
      <c r="W271" s="132">
        <f>Calcs!$I$4</f>
        <v>44592</v>
      </c>
      <c r="X271" s="153" t="str">
        <f>IF(NOT(N271="00"),"",(VLOOKUP(CONCATENATE(Q271,P271,LOOKUP(2,1/(Lookups!$I$2:$I$11&lt;=Multisite!E271)/(Lookups!$J$2:$J$11&gt;=E271),Lookups!$K$2:$K$11)),'HH LLFs'!$A$2:$F$282,6,0)*365)/12)</f>
        <v/>
      </c>
      <c r="Y271" s="153">
        <f t="shared" si="86"/>
        <v>0</v>
      </c>
      <c r="Z271" s="153" t="str">
        <f t="shared" si="95"/>
        <v/>
      </c>
      <c r="AA271" s="153" t="str">
        <f t="shared" si="87"/>
        <v/>
      </c>
      <c r="AB271" s="153" t="str">
        <f t="shared" si="96"/>
        <v/>
      </c>
      <c r="AC271" s="153" t="str">
        <f t="shared" si="88"/>
        <v/>
      </c>
      <c r="AD271" s="153" t="str">
        <f t="shared" si="89"/>
        <v/>
      </c>
      <c r="AE271" s="153" t="str">
        <f t="shared" si="90"/>
        <v/>
      </c>
      <c r="AF271" s="155" t="e">
        <f>LOOKUP(2,1/(Lookups!$I$2:$I$11&lt;=E271)/(Lookups!$J$2:$J$11&gt;=E271),Lookups!$L$2:$L$11)</f>
        <v>#N/A</v>
      </c>
      <c r="AG271" s="142" t="str">
        <f t="shared" si="91"/>
        <v/>
      </c>
      <c r="AH271" s="142" t="str">
        <f t="shared" si="92"/>
        <v/>
      </c>
      <c r="AI271" s="143" t="b">
        <f t="shared" si="97"/>
        <v>0</v>
      </c>
      <c r="AJ271" s="143" t="str">
        <f t="shared" si="93"/>
        <v>Level 1</v>
      </c>
      <c r="AK271" s="142">
        <f t="shared" si="94"/>
        <v>0</v>
      </c>
      <c r="AL271" s="157" t="str">
        <f t="shared" si="102"/>
        <v/>
      </c>
      <c r="AM271" s="144" t="str">
        <f t="shared" si="103"/>
        <v>--FALSE-0</v>
      </c>
      <c r="AN271" s="158" t="str">
        <f t="shared" si="98"/>
        <v/>
      </c>
      <c r="AO271" s="145"/>
      <c r="AP271" s="159" t="str">
        <f>IF($AN271=FALSE,"",IFERROR(INDEX('Flat Rates'!$A$1:$M$3880,MATCH($AM271,'Flat Rates'!$A$1:$A$3880,0),MATCH("Standing Charge",'Flat Rates'!$A$1:$M$1,0))*100,""))</f>
        <v/>
      </c>
      <c r="AQ271" s="148" t="str">
        <f>IF($AN271=FALSE,"",IFERROR((IF(NOT(T271="Unrestricted"),"",INDEX('Flat Rates'!$A$1:$M$3880,MATCH($AM271,'Flat Rates'!$A$1:$A$3880,0),MATCH("Uni/Day Rate",'Flat Rates'!$A$1:$M$1,0)))*100)+H271,""))</f>
        <v/>
      </c>
      <c r="AR271" s="148" t="str">
        <f>IF($AN271=FALSE,"",IFERROR((IF(T271="Unrestricted","",INDEX('Flat Rates'!$A$1:$M$3880,MATCH($AM271,'Flat Rates'!$A$1:$A$3880,0),MATCH("Uni/Day Rate",'Flat Rates'!$A$1:$M$1,0)))*100)+H271,""))</f>
        <v/>
      </c>
      <c r="AS271" s="148" t="str">
        <f>IF($AN271=FALSE,"",IFERROR(IF(INDEX('Flat Rates'!$A$1:$M$3880,MATCH($AM271,'Flat Rates'!$A$1:$A$3880,0),MATCH("Night Unit Rate",'Flat Rates'!$A$1:$M$1,0))=0,"",((INDEX('Flat Rates'!$A$1:$M$3880,MATCH($AM271,'Flat Rates'!$A$1:$A$3880,0),MATCH("Night Unit Rate",'Flat Rates'!$A$1:$M$1,0)))*100)+H271),""))</f>
        <v/>
      </c>
      <c r="AT271" s="148" t="str">
        <f>IF($AN271=FALSE,"",IFERROR(IF(INDEX('Flat Rates'!$A$1:$M$3880,MATCH($AM271,'Flat Rates'!$A$1:$A$3880,0),MATCH("Evening and Weekend Rate",'Flat Rates'!$A$1:$M$1,0))=0,"",((INDEX('Flat Rates'!$A$1:$M$3880,MATCH($AM271,'Flat Rates'!$A$1:$A$3880,0),MATCH("Evening and Weekend Rate",'Flat Rates'!$A$1:$M$1,0)))*100)+H271),""))</f>
        <v/>
      </c>
      <c r="AU271" s="152" t="str">
        <f t="shared" si="99"/>
        <v/>
      </c>
      <c r="AV271" s="152" t="str">
        <f t="shared" si="100"/>
        <v/>
      </c>
      <c r="AW271" s="152" t="str">
        <f t="shared" si="101"/>
        <v/>
      </c>
    </row>
    <row r="272" spans="2:49" ht="15" thickBot="1" x14ac:dyDescent="0.35">
      <c r="B272" s="138" t="str">
        <f t="shared" si="78"/>
        <v/>
      </c>
      <c r="C272" s="146"/>
      <c r="D272" s="147"/>
      <c r="E272" s="140"/>
      <c r="F272" s="140"/>
      <c r="G272" s="139"/>
      <c r="H272" s="151"/>
      <c r="I272" s="139"/>
      <c r="J272" s="137"/>
      <c r="K272" s="139"/>
      <c r="L272" s="141"/>
      <c r="M272" s="133" t="str">
        <f t="shared" si="79"/>
        <v/>
      </c>
      <c r="N272" s="133" t="str">
        <f t="shared" si="80"/>
        <v/>
      </c>
      <c r="O272" s="133" t="str">
        <f t="shared" si="81"/>
        <v/>
      </c>
      <c r="P272" s="133" t="str">
        <f t="shared" si="82"/>
        <v/>
      </c>
      <c r="Q272" s="133" t="str">
        <f t="shared" si="83"/>
        <v/>
      </c>
      <c r="R272" s="133" t="str">
        <f t="shared" si="84"/>
        <v/>
      </c>
      <c r="S272" s="133" t="str">
        <f t="shared" si="85"/>
        <v/>
      </c>
      <c r="T272" s="133" t="str">
        <f>IFERROR(IF($U272="ERROR","ERROR",IF($N272="00",IF(J272="1-Rate","HH 1RATE",IF(J272="2-Rate","HH 2RATE","")),IFERROR(VLOOKUP(CONCATENATE(N272,Q272,O272,P272),Lookups!$A$2:$E$4557,5,0),VLOOKUP(CONCATENATE(N272,Q272,O272),Lookups!$A$2:$E$4557,5,0)))),"ERROR")</f>
        <v>ERROR</v>
      </c>
      <c r="U272" s="133" t="str">
        <f>IFERROR(IF(NOT($N272="00"),"",VLOOKUP(CONCATENATE(Q272,P272,LOOKUP(2,1/(Lookups!$I$2:$I$11&lt;=E272)/(Lookups!$J$2:$J$11&gt;=Tool!$C$14),Lookups!$K$2:$K$11)),'HH LLFs'!$A$2:$K$500,3,0)),"ERROR")</f>
        <v/>
      </c>
      <c r="V272" s="132">
        <f>Calcs!$I$2</f>
        <v>44377</v>
      </c>
      <c r="W272" s="132">
        <f>Calcs!$I$4</f>
        <v>44592</v>
      </c>
      <c r="X272" s="153" t="str">
        <f>IF(NOT(N272="00"),"",(VLOOKUP(CONCATENATE(Q272,P272,LOOKUP(2,1/(Lookups!$I$2:$I$11&lt;=Multisite!E272)/(Lookups!$J$2:$J$11&gt;=E272),Lookups!$K$2:$K$11)),'HH LLFs'!$A$2:$F$282,6,0)*365)/12)</f>
        <v/>
      </c>
      <c r="Y272" s="153">
        <f t="shared" si="86"/>
        <v>0</v>
      </c>
      <c r="Z272" s="153" t="str">
        <f t="shared" si="95"/>
        <v/>
      </c>
      <c r="AA272" s="153" t="str">
        <f t="shared" si="87"/>
        <v/>
      </c>
      <c r="AB272" s="153" t="str">
        <f t="shared" si="96"/>
        <v/>
      </c>
      <c r="AC272" s="153" t="str">
        <f t="shared" si="88"/>
        <v/>
      </c>
      <c r="AD272" s="153" t="str">
        <f t="shared" si="89"/>
        <v/>
      </c>
      <c r="AE272" s="153" t="str">
        <f t="shared" si="90"/>
        <v/>
      </c>
      <c r="AF272" s="155" t="e">
        <f>LOOKUP(2,1/(Lookups!$I$2:$I$11&lt;=E272)/(Lookups!$J$2:$J$11&gt;=E272),Lookups!$L$2:$L$11)</f>
        <v>#N/A</v>
      </c>
      <c r="AG272" s="142" t="str">
        <f t="shared" si="91"/>
        <v/>
      </c>
      <c r="AH272" s="142" t="str">
        <f t="shared" si="92"/>
        <v/>
      </c>
      <c r="AI272" s="143" t="b">
        <f t="shared" si="97"/>
        <v>0</v>
      </c>
      <c r="AJ272" s="143" t="str">
        <f t="shared" si="93"/>
        <v>Level 1</v>
      </c>
      <c r="AK272" s="142">
        <f t="shared" si="94"/>
        <v>0</v>
      </c>
      <c r="AL272" s="157" t="str">
        <f t="shared" si="102"/>
        <v/>
      </c>
      <c r="AM272" s="144" t="str">
        <f t="shared" si="103"/>
        <v>--FALSE-0</v>
      </c>
      <c r="AN272" s="158" t="str">
        <f t="shared" si="98"/>
        <v/>
      </c>
      <c r="AO272" s="145"/>
      <c r="AP272" s="159" t="str">
        <f>IF($AN272=FALSE,"",IFERROR(INDEX('Flat Rates'!$A$1:$M$3880,MATCH($AM272,'Flat Rates'!$A$1:$A$3880,0),MATCH("Standing Charge",'Flat Rates'!$A$1:$M$1,0))*100,""))</f>
        <v/>
      </c>
      <c r="AQ272" s="148" t="str">
        <f>IF($AN272=FALSE,"",IFERROR((IF(NOT(T272="Unrestricted"),"",INDEX('Flat Rates'!$A$1:$M$3880,MATCH($AM272,'Flat Rates'!$A$1:$A$3880,0),MATCH("Uni/Day Rate",'Flat Rates'!$A$1:$M$1,0)))*100)+H272,""))</f>
        <v/>
      </c>
      <c r="AR272" s="148" t="str">
        <f>IF($AN272=FALSE,"",IFERROR((IF(T272="Unrestricted","",INDEX('Flat Rates'!$A$1:$M$3880,MATCH($AM272,'Flat Rates'!$A$1:$A$3880,0),MATCH("Uni/Day Rate",'Flat Rates'!$A$1:$M$1,0)))*100)+H272,""))</f>
        <v/>
      </c>
      <c r="AS272" s="148" t="str">
        <f>IF($AN272=FALSE,"",IFERROR(IF(INDEX('Flat Rates'!$A$1:$M$3880,MATCH($AM272,'Flat Rates'!$A$1:$A$3880,0),MATCH("Night Unit Rate",'Flat Rates'!$A$1:$M$1,0))=0,"",((INDEX('Flat Rates'!$A$1:$M$3880,MATCH($AM272,'Flat Rates'!$A$1:$A$3880,0),MATCH("Night Unit Rate",'Flat Rates'!$A$1:$M$1,0)))*100)+H272),""))</f>
        <v/>
      </c>
      <c r="AT272" s="148" t="str">
        <f>IF($AN272=FALSE,"",IFERROR(IF(INDEX('Flat Rates'!$A$1:$M$3880,MATCH($AM272,'Flat Rates'!$A$1:$A$3880,0),MATCH("Evening and Weekend Rate",'Flat Rates'!$A$1:$M$1,0))=0,"",((INDEX('Flat Rates'!$A$1:$M$3880,MATCH($AM272,'Flat Rates'!$A$1:$A$3880,0),MATCH("Evening and Weekend Rate",'Flat Rates'!$A$1:$M$1,0)))*100)+H272),""))</f>
        <v/>
      </c>
      <c r="AU272" s="152" t="str">
        <f t="shared" si="99"/>
        <v/>
      </c>
      <c r="AV272" s="152" t="str">
        <f t="shared" si="100"/>
        <v/>
      </c>
      <c r="AW272" s="152" t="str">
        <f t="shared" si="101"/>
        <v/>
      </c>
    </row>
    <row r="273" spans="2:49" ht="15" thickBot="1" x14ac:dyDescent="0.35">
      <c r="B273" s="138" t="str">
        <f t="shared" si="78"/>
        <v/>
      </c>
      <c r="C273" s="137"/>
      <c r="D273" s="139"/>
      <c r="E273" s="140"/>
      <c r="F273" s="140"/>
      <c r="G273" s="139"/>
      <c r="H273" s="151"/>
      <c r="I273" s="139"/>
      <c r="J273" s="138"/>
      <c r="K273" s="139"/>
      <c r="L273" s="141"/>
      <c r="M273" s="133" t="str">
        <f t="shared" si="79"/>
        <v/>
      </c>
      <c r="N273" s="133" t="str">
        <f t="shared" si="80"/>
        <v/>
      </c>
      <c r="O273" s="133" t="str">
        <f t="shared" si="81"/>
        <v/>
      </c>
      <c r="P273" s="133" t="str">
        <f t="shared" si="82"/>
        <v/>
      </c>
      <c r="Q273" s="133" t="str">
        <f t="shared" si="83"/>
        <v/>
      </c>
      <c r="R273" s="133" t="str">
        <f t="shared" si="84"/>
        <v/>
      </c>
      <c r="S273" s="133" t="str">
        <f t="shared" si="85"/>
        <v/>
      </c>
      <c r="T273" s="133" t="str">
        <f>IFERROR(IF($U273="ERROR","ERROR",IF($N273="00",IF(J273="1-Rate","HH 1RATE",IF(J273="2-Rate","HH 2RATE","")),IFERROR(VLOOKUP(CONCATENATE(N273,Q273,O273,P273),Lookups!$A$2:$E$4557,5,0),VLOOKUP(CONCATENATE(N273,Q273,O273),Lookups!$A$2:$E$4557,5,0)))),"ERROR")</f>
        <v>ERROR</v>
      </c>
      <c r="U273" s="133" t="str">
        <f>IFERROR(IF(NOT($N273="00"),"",VLOOKUP(CONCATENATE(Q273,P273,LOOKUP(2,1/(Lookups!$I$2:$I$11&lt;=E273)/(Lookups!$J$2:$J$11&gt;=Tool!$C$14),Lookups!$K$2:$K$11)),'HH LLFs'!$A$2:$K$500,3,0)),"ERROR")</f>
        <v/>
      </c>
      <c r="V273" s="132">
        <f>Calcs!$I$2</f>
        <v>44377</v>
      </c>
      <c r="W273" s="132">
        <f>Calcs!$I$4</f>
        <v>44592</v>
      </c>
      <c r="X273" s="153" t="str">
        <f>IF(NOT(N273="00"),"",(VLOOKUP(CONCATENATE(Q273,P273,LOOKUP(2,1/(Lookups!$I$2:$I$11&lt;=Multisite!E273)/(Lookups!$J$2:$J$11&gt;=E273),Lookups!$K$2:$K$11)),'HH LLFs'!$A$2:$F$282,6,0)*365)/12)</f>
        <v/>
      </c>
      <c r="Y273" s="153">
        <f t="shared" si="86"/>
        <v>0</v>
      </c>
      <c r="Z273" s="153" t="str">
        <f t="shared" si="95"/>
        <v/>
      </c>
      <c r="AA273" s="153" t="str">
        <f t="shared" si="87"/>
        <v/>
      </c>
      <c r="AB273" s="153" t="str">
        <f t="shared" si="96"/>
        <v/>
      </c>
      <c r="AC273" s="153" t="str">
        <f t="shared" si="88"/>
        <v/>
      </c>
      <c r="AD273" s="153" t="str">
        <f t="shared" si="89"/>
        <v/>
      </c>
      <c r="AE273" s="153" t="str">
        <f t="shared" si="90"/>
        <v/>
      </c>
      <c r="AF273" s="155" t="e">
        <f>LOOKUP(2,1/(Lookups!$I$2:$I$11&lt;=E273)/(Lookups!$J$2:$J$11&gt;=E273),Lookups!$L$2:$L$11)</f>
        <v>#N/A</v>
      </c>
      <c r="AG273" s="142" t="str">
        <f t="shared" si="91"/>
        <v/>
      </c>
      <c r="AH273" s="142" t="str">
        <f t="shared" si="92"/>
        <v/>
      </c>
      <c r="AI273" s="143" t="b">
        <f t="shared" si="97"/>
        <v>0</v>
      </c>
      <c r="AJ273" s="143" t="str">
        <f t="shared" si="93"/>
        <v>Level 1</v>
      </c>
      <c r="AK273" s="142">
        <f t="shared" si="94"/>
        <v>0</v>
      </c>
      <c r="AL273" s="157" t="str">
        <f t="shared" si="102"/>
        <v/>
      </c>
      <c r="AM273" s="144" t="str">
        <f t="shared" si="103"/>
        <v>--FALSE-0</v>
      </c>
      <c r="AN273" s="158" t="str">
        <f t="shared" si="98"/>
        <v/>
      </c>
      <c r="AO273" s="145"/>
      <c r="AP273" s="159" t="str">
        <f>IF($AN273=FALSE,"",IFERROR(INDEX('Flat Rates'!$A$1:$M$3880,MATCH($AM273,'Flat Rates'!$A$1:$A$3880,0),MATCH("Standing Charge",'Flat Rates'!$A$1:$M$1,0))*100,""))</f>
        <v/>
      </c>
      <c r="AQ273" s="148" t="str">
        <f>IF($AN273=FALSE,"",IFERROR((IF(NOT(T273="Unrestricted"),"",INDEX('Flat Rates'!$A$1:$M$3880,MATCH($AM273,'Flat Rates'!$A$1:$A$3880,0),MATCH("Uni/Day Rate",'Flat Rates'!$A$1:$M$1,0)))*100)+H273,""))</f>
        <v/>
      </c>
      <c r="AR273" s="148" t="str">
        <f>IF($AN273=FALSE,"",IFERROR((IF(T273="Unrestricted","",INDEX('Flat Rates'!$A$1:$M$3880,MATCH($AM273,'Flat Rates'!$A$1:$A$3880,0),MATCH("Uni/Day Rate",'Flat Rates'!$A$1:$M$1,0)))*100)+H273,""))</f>
        <v/>
      </c>
      <c r="AS273" s="148" t="str">
        <f>IF($AN273=FALSE,"",IFERROR(IF(INDEX('Flat Rates'!$A$1:$M$3880,MATCH($AM273,'Flat Rates'!$A$1:$A$3880,0),MATCH("Night Unit Rate",'Flat Rates'!$A$1:$M$1,0))=0,"",((INDEX('Flat Rates'!$A$1:$M$3880,MATCH($AM273,'Flat Rates'!$A$1:$A$3880,0),MATCH("Night Unit Rate",'Flat Rates'!$A$1:$M$1,0)))*100)+H273),""))</f>
        <v/>
      </c>
      <c r="AT273" s="148" t="str">
        <f>IF($AN273=FALSE,"",IFERROR(IF(INDEX('Flat Rates'!$A$1:$M$3880,MATCH($AM273,'Flat Rates'!$A$1:$A$3880,0),MATCH("Evening and Weekend Rate",'Flat Rates'!$A$1:$M$1,0))=0,"",((INDEX('Flat Rates'!$A$1:$M$3880,MATCH($AM273,'Flat Rates'!$A$1:$A$3880,0),MATCH("Evening and Weekend Rate",'Flat Rates'!$A$1:$M$1,0)))*100)+H273),""))</f>
        <v/>
      </c>
      <c r="AU273" s="152" t="str">
        <f t="shared" si="99"/>
        <v/>
      </c>
      <c r="AV273" s="152" t="str">
        <f t="shared" si="100"/>
        <v/>
      </c>
      <c r="AW273" s="152" t="str">
        <f t="shared" si="101"/>
        <v/>
      </c>
    </row>
    <row r="274" spans="2:49" ht="15" thickBot="1" x14ac:dyDescent="0.35">
      <c r="B274" s="138" t="str">
        <f t="shared" si="78"/>
        <v/>
      </c>
      <c r="C274" s="146"/>
      <c r="D274" s="147"/>
      <c r="E274" s="140"/>
      <c r="F274" s="140"/>
      <c r="G274" s="139"/>
      <c r="H274" s="151"/>
      <c r="I274" s="139"/>
      <c r="J274" s="137"/>
      <c r="K274" s="139"/>
      <c r="L274" s="141"/>
      <c r="M274" s="133" t="str">
        <f t="shared" si="79"/>
        <v/>
      </c>
      <c r="N274" s="133" t="str">
        <f t="shared" si="80"/>
        <v/>
      </c>
      <c r="O274" s="133" t="str">
        <f t="shared" si="81"/>
        <v/>
      </c>
      <c r="P274" s="133" t="str">
        <f t="shared" si="82"/>
        <v/>
      </c>
      <c r="Q274" s="133" t="str">
        <f t="shared" si="83"/>
        <v/>
      </c>
      <c r="R274" s="133" t="str">
        <f t="shared" si="84"/>
        <v/>
      </c>
      <c r="S274" s="133" t="str">
        <f t="shared" si="85"/>
        <v/>
      </c>
      <c r="T274" s="133" t="str">
        <f>IFERROR(IF($U274="ERROR","ERROR",IF($N274="00",IF(J274="1-Rate","HH 1RATE",IF(J274="2-Rate","HH 2RATE","")),IFERROR(VLOOKUP(CONCATENATE(N274,Q274,O274,P274),Lookups!$A$2:$E$4557,5,0),VLOOKUP(CONCATENATE(N274,Q274,O274),Lookups!$A$2:$E$4557,5,0)))),"ERROR")</f>
        <v>ERROR</v>
      </c>
      <c r="U274" s="133" t="str">
        <f>IFERROR(IF(NOT($N274="00"),"",VLOOKUP(CONCATENATE(Q274,P274,LOOKUP(2,1/(Lookups!$I$2:$I$11&lt;=E274)/(Lookups!$J$2:$J$11&gt;=Tool!$C$14),Lookups!$K$2:$K$11)),'HH LLFs'!$A$2:$K$500,3,0)),"ERROR")</f>
        <v/>
      </c>
      <c r="V274" s="132">
        <f>Calcs!$I$2</f>
        <v>44377</v>
      </c>
      <c r="W274" s="132">
        <f>Calcs!$I$4</f>
        <v>44592</v>
      </c>
      <c r="X274" s="153" t="str">
        <f>IF(NOT(N274="00"),"",(VLOOKUP(CONCATENATE(Q274,P274,LOOKUP(2,1/(Lookups!$I$2:$I$11&lt;=Multisite!E274)/(Lookups!$J$2:$J$11&gt;=E274),Lookups!$K$2:$K$11)),'HH LLFs'!$A$2:$F$282,6,0)*365)/12)</f>
        <v/>
      </c>
      <c r="Y274" s="153">
        <f t="shared" si="86"/>
        <v>0</v>
      </c>
      <c r="Z274" s="153" t="str">
        <f t="shared" si="95"/>
        <v/>
      </c>
      <c r="AA274" s="153" t="str">
        <f t="shared" si="87"/>
        <v/>
      </c>
      <c r="AB274" s="153" t="str">
        <f t="shared" si="96"/>
        <v/>
      </c>
      <c r="AC274" s="153" t="str">
        <f t="shared" si="88"/>
        <v/>
      </c>
      <c r="AD274" s="153" t="str">
        <f t="shared" si="89"/>
        <v/>
      </c>
      <c r="AE274" s="153" t="str">
        <f t="shared" si="90"/>
        <v/>
      </c>
      <c r="AF274" s="155" t="e">
        <f>LOOKUP(2,1/(Lookups!$I$2:$I$11&lt;=E274)/(Lookups!$J$2:$J$11&gt;=E274),Lookups!$L$2:$L$11)</f>
        <v>#N/A</v>
      </c>
      <c r="AG274" s="142" t="str">
        <f t="shared" si="91"/>
        <v/>
      </c>
      <c r="AH274" s="142" t="str">
        <f t="shared" si="92"/>
        <v/>
      </c>
      <c r="AI274" s="143" t="b">
        <f t="shared" si="97"/>
        <v>0</v>
      </c>
      <c r="AJ274" s="143" t="str">
        <f t="shared" si="93"/>
        <v>Level 1</v>
      </c>
      <c r="AK274" s="142">
        <f t="shared" si="94"/>
        <v>0</v>
      </c>
      <c r="AL274" s="157" t="str">
        <f t="shared" si="102"/>
        <v/>
      </c>
      <c r="AM274" s="144" t="str">
        <f t="shared" si="103"/>
        <v>--FALSE-0</v>
      </c>
      <c r="AN274" s="158" t="str">
        <f t="shared" si="98"/>
        <v/>
      </c>
      <c r="AO274" s="145"/>
      <c r="AP274" s="159" t="str">
        <f>IF($AN274=FALSE,"",IFERROR(INDEX('Flat Rates'!$A$1:$M$3880,MATCH($AM274,'Flat Rates'!$A$1:$A$3880,0),MATCH("Standing Charge",'Flat Rates'!$A$1:$M$1,0))*100,""))</f>
        <v/>
      </c>
      <c r="AQ274" s="148" t="str">
        <f>IF($AN274=FALSE,"",IFERROR((IF(NOT(T274="Unrestricted"),"",INDEX('Flat Rates'!$A$1:$M$3880,MATCH($AM274,'Flat Rates'!$A$1:$A$3880,0),MATCH("Uni/Day Rate",'Flat Rates'!$A$1:$M$1,0)))*100)+H274,""))</f>
        <v/>
      </c>
      <c r="AR274" s="148" t="str">
        <f>IF($AN274=FALSE,"",IFERROR((IF(T274="Unrestricted","",INDEX('Flat Rates'!$A$1:$M$3880,MATCH($AM274,'Flat Rates'!$A$1:$A$3880,0),MATCH("Uni/Day Rate",'Flat Rates'!$A$1:$M$1,0)))*100)+H274,""))</f>
        <v/>
      </c>
      <c r="AS274" s="148" t="str">
        <f>IF($AN274=FALSE,"",IFERROR(IF(INDEX('Flat Rates'!$A$1:$M$3880,MATCH($AM274,'Flat Rates'!$A$1:$A$3880,0),MATCH("Night Unit Rate",'Flat Rates'!$A$1:$M$1,0))=0,"",((INDEX('Flat Rates'!$A$1:$M$3880,MATCH($AM274,'Flat Rates'!$A$1:$A$3880,0),MATCH("Night Unit Rate",'Flat Rates'!$A$1:$M$1,0)))*100)+H274),""))</f>
        <v/>
      </c>
      <c r="AT274" s="148" t="str">
        <f>IF($AN274=FALSE,"",IFERROR(IF(INDEX('Flat Rates'!$A$1:$M$3880,MATCH($AM274,'Flat Rates'!$A$1:$A$3880,0),MATCH("Evening and Weekend Rate",'Flat Rates'!$A$1:$M$1,0))=0,"",((INDEX('Flat Rates'!$A$1:$M$3880,MATCH($AM274,'Flat Rates'!$A$1:$A$3880,0),MATCH("Evening and Weekend Rate",'Flat Rates'!$A$1:$M$1,0)))*100)+H274),""))</f>
        <v/>
      </c>
      <c r="AU274" s="152" t="str">
        <f t="shared" si="99"/>
        <v/>
      </c>
      <c r="AV274" s="152" t="str">
        <f t="shared" si="100"/>
        <v/>
      </c>
      <c r="AW274" s="152" t="str">
        <f t="shared" si="101"/>
        <v/>
      </c>
    </row>
    <row r="275" spans="2:49" ht="15" thickBot="1" x14ac:dyDescent="0.35">
      <c r="B275" s="138" t="str">
        <f t="shared" ref="B275:B338" si="104">SUBSTITUTE(C275," ","")</f>
        <v/>
      </c>
      <c r="C275" s="137"/>
      <c r="D275" s="139"/>
      <c r="E275" s="140"/>
      <c r="F275" s="140"/>
      <c r="G275" s="139"/>
      <c r="H275" s="151"/>
      <c r="I275" s="139"/>
      <c r="J275" s="138"/>
      <c r="K275" s="139"/>
      <c r="L275" s="141"/>
      <c r="M275" s="133" t="str">
        <f t="shared" ref="M275:M338" si="105">CONCATENATE(LEFT(B275,2),LEFT(D275,2),MID(B275,3,3))</f>
        <v/>
      </c>
      <c r="N275" s="133" t="str">
        <f t="shared" ref="N275:N338" si="106">IF(LEFT(B275,2)="01","03",IF(LEFT(B275,2)="02","04",LEFT(B275,2)))</f>
        <v/>
      </c>
      <c r="O275" s="133" t="str">
        <f t="shared" ref="O275:O338" si="107">MID(B275,3,3)</f>
        <v/>
      </c>
      <c r="P275" s="133" t="str">
        <f t="shared" ref="P275:P338" si="108">RIGHT(B275,3)</f>
        <v/>
      </c>
      <c r="Q275" s="133" t="str">
        <f t="shared" ref="Q275:Q338" si="109">LEFT(D275,2)</f>
        <v/>
      </c>
      <c r="R275" s="133" t="str">
        <f t="shared" ref="R275:R338" si="110">MID(D275,3,8)</f>
        <v/>
      </c>
      <c r="S275" s="133" t="str">
        <f t="shared" ref="S275:S338" si="111">RIGHT(D275,3)</f>
        <v/>
      </c>
      <c r="T275" s="133" t="str">
        <f>IFERROR(IF($U275="ERROR","ERROR",IF($N275="00",IF(J275="1-Rate","HH 1RATE",IF(J275="2-Rate","HH 2RATE","")),IFERROR(VLOOKUP(CONCATENATE(N275,Q275,O275,P275),Lookups!$A$2:$E$4557,5,0),VLOOKUP(CONCATENATE(N275,Q275,O275),Lookups!$A$2:$E$4557,5,0)))),"ERROR")</f>
        <v>ERROR</v>
      </c>
      <c r="U275" s="133" t="str">
        <f>IFERROR(IF(NOT($N275="00"),"",VLOOKUP(CONCATENATE(Q275,P275,LOOKUP(2,1/(Lookups!$I$2:$I$11&lt;=E275)/(Lookups!$J$2:$J$11&gt;=Tool!$C$14),Lookups!$K$2:$K$11)),'HH LLFs'!$A$2:$K$500,3,0)),"ERROR")</f>
        <v/>
      </c>
      <c r="V275" s="132">
        <f>Calcs!$I$2</f>
        <v>44377</v>
      </c>
      <c r="W275" s="132">
        <f>Calcs!$I$4</f>
        <v>44592</v>
      </c>
      <c r="X275" s="153" t="str">
        <f>IF(NOT(N275="00"),"",(VLOOKUP(CONCATENATE(Q275,P275,LOOKUP(2,1/(Lookups!$I$2:$I$11&lt;=Multisite!E275)/(Lookups!$J$2:$J$11&gt;=E275),Lookups!$K$2:$K$11)),'HH LLFs'!$A$2:$F$282,6,0)*365)/12)</f>
        <v/>
      </c>
      <c r="Y275" s="153">
        <f t="shared" ref="Y275:Y338" si="112">K275</f>
        <v>0</v>
      </c>
      <c r="Z275" s="153" t="str">
        <f t="shared" si="95"/>
        <v/>
      </c>
      <c r="AA275" s="153" t="str">
        <f t="shared" ref="AA275:AA338" si="113">IFERROR(((AQ275*I275)/100),"")</f>
        <v/>
      </c>
      <c r="AB275" s="153" t="str">
        <f t="shared" si="96"/>
        <v/>
      </c>
      <c r="AC275" s="153" t="str">
        <f t="shared" ref="AC275:AC338" si="114">IFERROR((IF(T275="E7",((AS275*I275)*0.3),IF(T275="3-Rate",((AS275*I275)*0.2),IF(T275="HH 2RATE",((AS275*I275)*0.3),"")))/100),"")</f>
        <v/>
      </c>
      <c r="AD275" s="153" t="str">
        <f t="shared" ref="AD275:AD338" si="115">IFERROR((IF(T275="EW",((AT275*I275)*0.4),IF(T275="3-Rate",((AT275*I275)*0.2),""))/100),"")</f>
        <v/>
      </c>
      <c r="AE275" s="153" t="str">
        <f t="shared" ref="AE275:AE338" si="116">IF(Z275="","",IF(T275="3 Rate Half Hourly","",SUM(Z275:AD275,AW275)))</f>
        <v/>
      </c>
      <c r="AF275" s="155" t="e">
        <f>LOOKUP(2,1/(Lookups!$I$2:$I$11&lt;=E275)/(Lookups!$J$2:$J$11&gt;=E275),Lookups!$L$2:$L$11)</f>
        <v>#N/A</v>
      </c>
      <c r="AG275" s="142" t="str">
        <f t="shared" ref="AG275:AG338" si="117">Q275</f>
        <v/>
      </c>
      <c r="AH275" s="142" t="str">
        <f t="shared" ref="AH275:AH338" si="118">IF(E275&gt;W275,"",RIGHT(N275,1))</f>
        <v/>
      </c>
      <c r="AI275" s="143" t="b">
        <f t="shared" si="97"/>
        <v>0</v>
      </c>
      <c r="AJ275" s="143" t="str">
        <f t="shared" ref="AJ275:AJ338" si="119">IF($E275&lt;=$V275,"Level 1",IF($E275&lt;=$W275,"Level 2",""))</f>
        <v>Level 1</v>
      </c>
      <c r="AK275" s="142">
        <f t="shared" ref="AK275:AK338" si="120">IF($G275="SmartFIX – 1 Year","SmartFIX – 1 Year",IF($G275="SmartFIX – 2 Year","SmartFIX – 2 Year",IF($G275="SmartFIX – 3 Year","SmartFIX – 3 Year",IF($G275="SmartPAY12","SmartPAY12",IF($G275="SmartPAY24","SmartPAY24",IF($G275="SmartPAY36","SmartPAY36",IF($G275="SmartFIX – 5 Year","SmartFIX – 5 Year",IF($G275="SmartTRACKER","SmartTRACKER",IF($G275="SmartTRACKER","SmartTRACKER",)))))))))</f>
        <v>0</v>
      </c>
      <c r="AL275" s="157" t="str">
        <f t="shared" si="102"/>
        <v/>
      </c>
      <c r="AM275" s="144" t="str">
        <f t="shared" si="103"/>
        <v>--FALSE-0</v>
      </c>
      <c r="AN275" s="158" t="str">
        <f t="shared" si="98"/>
        <v/>
      </c>
      <c r="AO275" s="145"/>
      <c r="AP275" s="159" t="str">
        <f>IF($AN275=FALSE,"",IFERROR(INDEX('Flat Rates'!$A$1:$M$3880,MATCH($AM275,'Flat Rates'!$A$1:$A$3880,0),MATCH("Standing Charge",'Flat Rates'!$A$1:$M$1,0))*100,""))</f>
        <v/>
      </c>
      <c r="AQ275" s="148" t="str">
        <f>IF($AN275=FALSE,"",IFERROR((IF(NOT(T275="Unrestricted"),"",INDEX('Flat Rates'!$A$1:$M$3880,MATCH($AM275,'Flat Rates'!$A$1:$A$3880,0),MATCH("Uni/Day Rate",'Flat Rates'!$A$1:$M$1,0)))*100)+H275,""))</f>
        <v/>
      </c>
      <c r="AR275" s="148" t="str">
        <f>IF($AN275=FALSE,"",IFERROR((IF(T275="Unrestricted","",INDEX('Flat Rates'!$A$1:$M$3880,MATCH($AM275,'Flat Rates'!$A$1:$A$3880,0),MATCH("Uni/Day Rate",'Flat Rates'!$A$1:$M$1,0)))*100)+H275,""))</f>
        <v/>
      </c>
      <c r="AS275" s="148" t="str">
        <f>IF($AN275=FALSE,"",IFERROR(IF(INDEX('Flat Rates'!$A$1:$M$3880,MATCH($AM275,'Flat Rates'!$A$1:$A$3880,0),MATCH("Night Unit Rate",'Flat Rates'!$A$1:$M$1,0))=0,"",((INDEX('Flat Rates'!$A$1:$M$3880,MATCH($AM275,'Flat Rates'!$A$1:$A$3880,0),MATCH("Night Unit Rate",'Flat Rates'!$A$1:$M$1,0)))*100)+H275),""))</f>
        <v/>
      </c>
      <c r="AT275" s="148" t="str">
        <f>IF($AN275=FALSE,"",IFERROR(IF(INDEX('Flat Rates'!$A$1:$M$3880,MATCH($AM275,'Flat Rates'!$A$1:$A$3880,0),MATCH("Evening and Weekend Rate",'Flat Rates'!$A$1:$M$1,0))=0,"",((INDEX('Flat Rates'!$A$1:$M$3880,MATCH($AM275,'Flat Rates'!$A$1:$A$3880,0),MATCH("Evening and Weekend Rate",'Flat Rates'!$A$1:$M$1,0)))*100)+H275),""))</f>
        <v/>
      </c>
      <c r="AU275" s="152" t="str">
        <f t="shared" si="99"/>
        <v/>
      </c>
      <c r="AV275" s="152" t="str">
        <f t="shared" si="100"/>
        <v/>
      </c>
      <c r="AW275" s="152" t="str">
        <f t="shared" si="101"/>
        <v/>
      </c>
    </row>
    <row r="276" spans="2:49" ht="15" thickBot="1" x14ac:dyDescent="0.35">
      <c r="B276" s="138" t="str">
        <f t="shared" si="104"/>
        <v/>
      </c>
      <c r="C276" s="146"/>
      <c r="D276" s="147"/>
      <c r="E276" s="140"/>
      <c r="F276" s="140"/>
      <c r="G276" s="139"/>
      <c r="H276" s="151"/>
      <c r="I276" s="139"/>
      <c r="J276" s="137"/>
      <c r="K276" s="139"/>
      <c r="L276" s="141"/>
      <c r="M276" s="133" t="str">
        <f t="shared" si="105"/>
        <v/>
      </c>
      <c r="N276" s="133" t="str">
        <f t="shared" si="106"/>
        <v/>
      </c>
      <c r="O276" s="133" t="str">
        <f t="shared" si="107"/>
        <v/>
      </c>
      <c r="P276" s="133" t="str">
        <f t="shared" si="108"/>
        <v/>
      </c>
      <c r="Q276" s="133" t="str">
        <f t="shared" si="109"/>
        <v/>
      </c>
      <c r="R276" s="133" t="str">
        <f t="shared" si="110"/>
        <v/>
      </c>
      <c r="S276" s="133" t="str">
        <f t="shared" si="111"/>
        <v/>
      </c>
      <c r="T276" s="133" t="str">
        <f>IFERROR(IF($U276="ERROR","ERROR",IF($N276="00",IF(J276="1-Rate","HH 1RATE",IF(J276="2-Rate","HH 2RATE","")),IFERROR(VLOOKUP(CONCATENATE(N276,Q276,O276,P276),Lookups!$A$2:$E$4557,5,0),VLOOKUP(CONCATENATE(N276,Q276,O276),Lookups!$A$2:$E$4557,5,0)))),"ERROR")</f>
        <v>ERROR</v>
      </c>
      <c r="U276" s="133" t="str">
        <f>IFERROR(IF(NOT($N276="00"),"",VLOOKUP(CONCATENATE(Q276,P276,LOOKUP(2,1/(Lookups!$I$2:$I$11&lt;=E276)/(Lookups!$J$2:$J$11&gt;=Tool!$C$14),Lookups!$K$2:$K$11)),'HH LLFs'!$A$2:$K$500,3,0)),"ERROR")</f>
        <v/>
      </c>
      <c r="V276" s="132">
        <f>Calcs!$I$2</f>
        <v>44377</v>
      </c>
      <c r="W276" s="132">
        <f>Calcs!$I$4</f>
        <v>44592</v>
      </c>
      <c r="X276" s="153" t="str">
        <f>IF(NOT(N276="00"),"",(VLOOKUP(CONCATENATE(Q276,P276,LOOKUP(2,1/(Lookups!$I$2:$I$11&lt;=Multisite!E276)/(Lookups!$J$2:$J$11&gt;=E276),Lookups!$K$2:$K$11)),'HH LLFs'!$A$2:$F$282,6,0)*365)/12)</f>
        <v/>
      </c>
      <c r="Y276" s="153">
        <f t="shared" si="112"/>
        <v>0</v>
      </c>
      <c r="Z276" s="153" t="str">
        <f t="shared" ref="Z276:Z339" si="121">IFERROR(((IF(I276="3 `Rate Half Hourly","",AP276*365)/100)),"")</f>
        <v/>
      </c>
      <c r="AA276" s="153" t="str">
        <f t="shared" si="113"/>
        <v/>
      </c>
      <c r="AB276" s="153" t="str">
        <f t="shared" ref="AB276:AB339" si="122">IFERROR((IF(T276="E7",((AR276*I276)*0.7),IF(T276="EW",((AR276*I276)*0.6),IF(T276="3-Rate",((AR276*I276)*0.6),IF(T276="HH 2RATE",((AR276*I276)*0.7),IF(T276="HH 1RATE",(AR276*I276),"")))))/100),"")</f>
        <v/>
      </c>
      <c r="AC276" s="153" t="str">
        <f t="shared" si="114"/>
        <v/>
      </c>
      <c r="AD276" s="153" t="str">
        <f t="shared" si="115"/>
        <v/>
      </c>
      <c r="AE276" s="153" t="str">
        <f t="shared" si="116"/>
        <v/>
      </c>
      <c r="AF276" s="155" t="e">
        <f>LOOKUP(2,1/(Lookups!$I$2:$I$11&lt;=E276)/(Lookups!$J$2:$J$11&gt;=E276),Lookups!$L$2:$L$11)</f>
        <v>#N/A</v>
      </c>
      <c r="AG276" s="142" t="str">
        <f t="shared" si="117"/>
        <v/>
      </c>
      <c r="AH276" s="142" t="str">
        <f t="shared" si="118"/>
        <v/>
      </c>
      <c r="AI276" s="143" t="b">
        <f t="shared" ref="AI276:AI339" si="123">IF(T276="Unrestricted","U",IF(T276="E7","E7",IF(T276="EW","EW",IF(T276="3-Rate","3RATE",IF(T276="3 Rate Half Hourly","TOU",IF(T276="HH 2RATE",CONCATENATE("HH 2RATE ",U276),IF(T276="HH 1RATE",CONCATENATE("HH 1RATE ",U276))))))))</f>
        <v>0</v>
      </c>
      <c r="AJ276" s="143" t="str">
        <f t="shared" si="119"/>
        <v>Level 1</v>
      </c>
      <c r="AK276" s="142">
        <f t="shared" si="120"/>
        <v>0</v>
      </c>
      <c r="AL276" s="157" t="str">
        <f t="shared" si="102"/>
        <v/>
      </c>
      <c r="AM276" s="144" t="str">
        <f t="shared" si="103"/>
        <v>--FALSE-0</v>
      </c>
      <c r="AN276" s="158" t="str">
        <f t="shared" ref="AN276:AN339" si="124">IFERROR(CHOOSE(IF(OR(F276="Acquisition",F276="Renewal"),1,0)+IF(OR(F276="Smartpay",F276="Smartpay_Renewal"),2,0),IF(OR(ISNUMBER(SEARCH("fix",G276)),ISNUMBER(SEARCH("Tracker",G276))),TRUE,FALSE),IF(ISNUMBER(SEARCH("pay",G276)),TRUE,FALSE)),"")</f>
        <v/>
      </c>
      <c r="AO276" s="145"/>
      <c r="AP276" s="159" t="str">
        <f>IF($AN276=FALSE,"",IFERROR(INDEX('Flat Rates'!$A$1:$M$3880,MATCH($AM276,'Flat Rates'!$A$1:$A$3880,0),MATCH("Standing Charge",'Flat Rates'!$A$1:$M$1,0))*100,""))</f>
        <v/>
      </c>
      <c r="AQ276" s="148" t="str">
        <f>IF($AN276=FALSE,"",IFERROR((IF(NOT(T276="Unrestricted"),"",INDEX('Flat Rates'!$A$1:$M$3880,MATCH($AM276,'Flat Rates'!$A$1:$A$3880,0),MATCH("Uni/Day Rate",'Flat Rates'!$A$1:$M$1,0)))*100)+H276,""))</f>
        <v/>
      </c>
      <c r="AR276" s="148" t="str">
        <f>IF($AN276=FALSE,"",IFERROR((IF(T276="Unrestricted","",INDEX('Flat Rates'!$A$1:$M$3880,MATCH($AM276,'Flat Rates'!$A$1:$A$3880,0),MATCH("Uni/Day Rate",'Flat Rates'!$A$1:$M$1,0)))*100)+H276,""))</f>
        <v/>
      </c>
      <c r="AS276" s="148" t="str">
        <f>IF($AN276=FALSE,"",IFERROR(IF(INDEX('Flat Rates'!$A$1:$M$3880,MATCH($AM276,'Flat Rates'!$A$1:$A$3880,0),MATCH("Night Unit Rate",'Flat Rates'!$A$1:$M$1,0))=0,"",((INDEX('Flat Rates'!$A$1:$M$3880,MATCH($AM276,'Flat Rates'!$A$1:$A$3880,0),MATCH("Night Unit Rate",'Flat Rates'!$A$1:$M$1,0)))*100)+H276),""))</f>
        <v/>
      </c>
      <c r="AT276" s="148" t="str">
        <f>IF($AN276=FALSE,"",IFERROR(IF(INDEX('Flat Rates'!$A$1:$M$3880,MATCH($AM276,'Flat Rates'!$A$1:$A$3880,0),MATCH("Evening and Weekend Rate",'Flat Rates'!$A$1:$M$1,0))=0,"",((INDEX('Flat Rates'!$A$1:$M$3880,MATCH($AM276,'Flat Rates'!$A$1:$A$3880,0),MATCH("Evening and Weekend Rate",'Flat Rates'!$A$1:$M$1,0)))*100)+H276),""))</f>
        <v/>
      </c>
      <c r="AU276" s="152" t="str">
        <f t="shared" ref="AU276:AU339" si="125">IF($AN276=FALSE,"",IF(I276="","",AE276))</f>
        <v/>
      </c>
      <c r="AV276" s="152" t="str">
        <f t="shared" ref="AV276:AV339" si="126">IF($AN276=FALSE,"",IF(AU276="","",IF(I276&lt;12000,((AE276*1.05)/12),(((I276*AF276)+AE276)*1.2)/12)))</f>
        <v/>
      </c>
      <c r="AW276" s="152" t="str">
        <f t="shared" ref="AW276:AW339" si="127">IF($AN276=FALSE,"",IF(NOT(N276="00"),"",IFERROR(((X276/100)*Y276)*12,"")))</f>
        <v/>
      </c>
    </row>
    <row r="277" spans="2:49" ht="15" thickBot="1" x14ac:dyDescent="0.35">
      <c r="B277" s="138" t="str">
        <f t="shared" si="104"/>
        <v/>
      </c>
      <c r="C277" s="137"/>
      <c r="D277" s="139"/>
      <c r="E277" s="140"/>
      <c r="F277" s="140"/>
      <c r="G277" s="139"/>
      <c r="H277" s="151"/>
      <c r="I277" s="139"/>
      <c r="J277" s="138"/>
      <c r="K277" s="139"/>
      <c r="L277" s="141"/>
      <c r="M277" s="133" t="str">
        <f t="shared" si="105"/>
        <v/>
      </c>
      <c r="N277" s="133" t="str">
        <f t="shared" si="106"/>
        <v/>
      </c>
      <c r="O277" s="133" t="str">
        <f t="shared" si="107"/>
        <v/>
      </c>
      <c r="P277" s="133" t="str">
        <f t="shared" si="108"/>
        <v/>
      </c>
      <c r="Q277" s="133" t="str">
        <f t="shared" si="109"/>
        <v/>
      </c>
      <c r="R277" s="133" t="str">
        <f t="shared" si="110"/>
        <v/>
      </c>
      <c r="S277" s="133" t="str">
        <f t="shared" si="111"/>
        <v/>
      </c>
      <c r="T277" s="133" t="str">
        <f>IFERROR(IF($U277="ERROR","ERROR",IF($N277="00",IF(J277="1-Rate","HH 1RATE",IF(J277="2-Rate","HH 2RATE","")),IFERROR(VLOOKUP(CONCATENATE(N277,Q277,O277,P277),Lookups!$A$2:$E$4557,5,0),VLOOKUP(CONCATENATE(N277,Q277,O277),Lookups!$A$2:$E$4557,5,0)))),"ERROR")</f>
        <v>ERROR</v>
      </c>
      <c r="U277" s="133" t="str">
        <f>IFERROR(IF(NOT($N277="00"),"",VLOOKUP(CONCATENATE(Q277,P277,LOOKUP(2,1/(Lookups!$I$2:$I$11&lt;=E277)/(Lookups!$J$2:$J$11&gt;=Tool!$C$14),Lookups!$K$2:$K$11)),'HH LLFs'!$A$2:$K$500,3,0)),"ERROR")</f>
        <v/>
      </c>
      <c r="V277" s="132">
        <f>Calcs!$I$2</f>
        <v>44377</v>
      </c>
      <c r="W277" s="132">
        <f>Calcs!$I$4</f>
        <v>44592</v>
      </c>
      <c r="X277" s="153" t="str">
        <f>IF(NOT(N277="00"),"",(VLOOKUP(CONCATENATE(Q277,P277,LOOKUP(2,1/(Lookups!$I$2:$I$11&lt;=Multisite!E277)/(Lookups!$J$2:$J$11&gt;=E277),Lookups!$K$2:$K$11)),'HH LLFs'!$A$2:$F$282,6,0)*365)/12)</f>
        <v/>
      </c>
      <c r="Y277" s="153">
        <f t="shared" si="112"/>
        <v>0</v>
      </c>
      <c r="Z277" s="153" t="str">
        <f t="shared" si="121"/>
        <v/>
      </c>
      <c r="AA277" s="153" t="str">
        <f t="shared" si="113"/>
        <v/>
      </c>
      <c r="AB277" s="153" t="str">
        <f t="shared" si="122"/>
        <v/>
      </c>
      <c r="AC277" s="153" t="str">
        <f t="shared" si="114"/>
        <v/>
      </c>
      <c r="AD277" s="153" t="str">
        <f t="shared" si="115"/>
        <v/>
      </c>
      <c r="AE277" s="153" t="str">
        <f t="shared" si="116"/>
        <v/>
      </c>
      <c r="AF277" s="155" t="e">
        <f>LOOKUP(2,1/(Lookups!$I$2:$I$11&lt;=E277)/(Lookups!$J$2:$J$11&gt;=E277),Lookups!$L$2:$L$11)</f>
        <v>#N/A</v>
      </c>
      <c r="AG277" s="142" t="str">
        <f t="shared" si="117"/>
        <v/>
      </c>
      <c r="AH277" s="142" t="str">
        <f t="shared" si="118"/>
        <v/>
      </c>
      <c r="AI277" s="143" t="b">
        <f t="shared" si="123"/>
        <v>0</v>
      </c>
      <c r="AJ277" s="143" t="str">
        <f t="shared" si="119"/>
        <v>Level 1</v>
      </c>
      <c r="AK277" s="142">
        <f t="shared" si="120"/>
        <v>0</v>
      </c>
      <c r="AL277" s="157" t="str">
        <f t="shared" ref="AL277:AL340" si="128">IF(F277="Renewal"," Renewal",IF(F277="Smartpay_Renewal","_Renewal",""))</f>
        <v/>
      </c>
      <c r="AM277" s="144" t="str">
        <f t="shared" ref="AM277:AM340" si="129">IF(NOT($AI277="TOU"),CONCATENATE($AG277,"-",$AH277,"-",$AI277,"-",$AK277,$AL277,IF(AJ277="Level 2",CONCATENATE(" (",AJ277,")"),"")),CONCATENATE($AG277,"-",$AH277,"-",$AI277,"-",$AK277,$AL277,IF(AJ277="Level 2",CONCATENATE(" (",AJ277,")"),"")))</f>
        <v>--FALSE-0</v>
      </c>
      <c r="AN277" s="158" t="str">
        <f t="shared" si="124"/>
        <v/>
      </c>
      <c r="AO277" s="145"/>
      <c r="AP277" s="159" t="str">
        <f>IF($AN277=FALSE,"",IFERROR(INDEX('Flat Rates'!$A$1:$M$3880,MATCH($AM277,'Flat Rates'!$A$1:$A$3880,0),MATCH("Standing Charge",'Flat Rates'!$A$1:$M$1,0))*100,""))</f>
        <v/>
      </c>
      <c r="AQ277" s="148" t="str">
        <f>IF($AN277=FALSE,"",IFERROR((IF(NOT(T277="Unrestricted"),"",INDEX('Flat Rates'!$A$1:$M$3880,MATCH($AM277,'Flat Rates'!$A$1:$A$3880,0),MATCH("Uni/Day Rate",'Flat Rates'!$A$1:$M$1,0)))*100)+H277,""))</f>
        <v/>
      </c>
      <c r="AR277" s="148" t="str">
        <f>IF($AN277=FALSE,"",IFERROR((IF(T277="Unrestricted","",INDEX('Flat Rates'!$A$1:$M$3880,MATCH($AM277,'Flat Rates'!$A$1:$A$3880,0),MATCH("Uni/Day Rate",'Flat Rates'!$A$1:$M$1,0)))*100)+H277,""))</f>
        <v/>
      </c>
      <c r="AS277" s="148" t="str">
        <f>IF($AN277=FALSE,"",IFERROR(IF(INDEX('Flat Rates'!$A$1:$M$3880,MATCH($AM277,'Flat Rates'!$A$1:$A$3880,0),MATCH("Night Unit Rate",'Flat Rates'!$A$1:$M$1,0))=0,"",((INDEX('Flat Rates'!$A$1:$M$3880,MATCH($AM277,'Flat Rates'!$A$1:$A$3880,0),MATCH("Night Unit Rate",'Flat Rates'!$A$1:$M$1,0)))*100)+H277),""))</f>
        <v/>
      </c>
      <c r="AT277" s="148" t="str">
        <f>IF($AN277=FALSE,"",IFERROR(IF(INDEX('Flat Rates'!$A$1:$M$3880,MATCH($AM277,'Flat Rates'!$A$1:$A$3880,0),MATCH("Evening and Weekend Rate",'Flat Rates'!$A$1:$M$1,0))=0,"",((INDEX('Flat Rates'!$A$1:$M$3880,MATCH($AM277,'Flat Rates'!$A$1:$A$3880,0),MATCH("Evening and Weekend Rate",'Flat Rates'!$A$1:$M$1,0)))*100)+H277),""))</f>
        <v/>
      </c>
      <c r="AU277" s="152" t="str">
        <f t="shared" si="125"/>
        <v/>
      </c>
      <c r="AV277" s="152" t="str">
        <f t="shared" si="126"/>
        <v/>
      </c>
      <c r="AW277" s="152" t="str">
        <f t="shared" si="127"/>
        <v/>
      </c>
    </row>
    <row r="278" spans="2:49" ht="15" thickBot="1" x14ac:dyDescent="0.35">
      <c r="B278" s="138" t="str">
        <f t="shared" si="104"/>
        <v/>
      </c>
      <c r="C278" s="146"/>
      <c r="D278" s="147"/>
      <c r="E278" s="140"/>
      <c r="F278" s="140"/>
      <c r="G278" s="139"/>
      <c r="H278" s="151"/>
      <c r="I278" s="139"/>
      <c r="J278" s="137"/>
      <c r="K278" s="139"/>
      <c r="L278" s="141"/>
      <c r="M278" s="133" t="str">
        <f t="shared" si="105"/>
        <v/>
      </c>
      <c r="N278" s="133" t="str">
        <f t="shared" si="106"/>
        <v/>
      </c>
      <c r="O278" s="133" t="str">
        <f t="shared" si="107"/>
        <v/>
      </c>
      <c r="P278" s="133" t="str">
        <f t="shared" si="108"/>
        <v/>
      </c>
      <c r="Q278" s="133" t="str">
        <f t="shared" si="109"/>
        <v/>
      </c>
      <c r="R278" s="133" t="str">
        <f t="shared" si="110"/>
        <v/>
      </c>
      <c r="S278" s="133" t="str">
        <f t="shared" si="111"/>
        <v/>
      </c>
      <c r="T278" s="133" t="str">
        <f>IFERROR(IF($U278="ERROR","ERROR",IF($N278="00",IF(J278="1-Rate","HH 1RATE",IF(J278="2-Rate","HH 2RATE","")),IFERROR(VLOOKUP(CONCATENATE(N278,Q278,O278,P278),Lookups!$A$2:$E$4557,5,0),VLOOKUP(CONCATENATE(N278,Q278,O278),Lookups!$A$2:$E$4557,5,0)))),"ERROR")</f>
        <v>ERROR</v>
      </c>
      <c r="U278" s="133" t="str">
        <f>IFERROR(IF(NOT($N278="00"),"",VLOOKUP(CONCATENATE(Q278,P278,LOOKUP(2,1/(Lookups!$I$2:$I$11&lt;=E278)/(Lookups!$J$2:$J$11&gt;=Tool!$C$14),Lookups!$K$2:$K$11)),'HH LLFs'!$A$2:$K$500,3,0)),"ERROR")</f>
        <v/>
      </c>
      <c r="V278" s="132">
        <f>Calcs!$I$2</f>
        <v>44377</v>
      </c>
      <c r="W278" s="132">
        <f>Calcs!$I$4</f>
        <v>44592</v>
      </c>
      <c r="X278" s="153" t="str">
        <f>IF(NOT(N278="00"),"",(VLOOKUP(CONCATENATE(Q278,P278,LOOKUP(2,1/(Lookups!$I$2:$I$11&lt;=Multisite!E278)/(Lookups!$J$2:$J$11&gt;=E278),Lookups!$K$2:$K$11)),'HH LLFs'!$A$2:$F$282,6,0)*365)/12)</f>
        <v/>
      </c>
      <c r="Y278" s="153">
        <f t="shared" si="112"/>
        <v>0</v>
      </c>
      <c r="Z278" s="153" t="str">
        <f t="shared" si="121"/>
        <v/>
      </c>
      <c r="AA278" s="153" t="str">
        <f t="shared" si="113"/>
        <v/>
      </c>
      <c r="AB278" s="153" t="str">
        <f t="shared" si="122"/>
        <v/>
      </c>
      <c r="AC278" s="153" t="str">
        <f t="shared" si="114"/>
        <v/>
      </c>
      <c r="AD278" s="153" t="str">
        <f t="shared" si="115"/>
        <v/>
      </c>
      <c r="AE278" s="153" t="str">
        <f t="shared" si="116"/>
        <v/>
      </c>
      <c r="AF278" s="155" t="e">
        <f>LOOKUP(2,1/(Lookups!$I$2:$I$11&lt;=E278)/(Lookups!$J$2:$J$11&gt;=E278),Lookups!$L$2:$L$11)</f>
        <v>#N/A</v>
      </c>
      <c r="AG278" s="142" t="str">
        <f t="shared" si="117"/>
        <v/>
      </c>
      <c r="AH278" s="142" t="str">
        <f t="shared" si="118"/>
        <v/>
      </c>
      <c r="AI278" s="143" t="b">
        <f t="shared" si="123"/>
        <v>0</v>
      </c>
      <c r="AJ278" s="143" t="str">
        <f t="shared" si="119"/>
        <v>Level 1</v>
      </c>
      <c r="AK278" s="142">
        <f t="shared" si="120"/>
        <v>0</v>
      </c>
      <c r="AL278" s="157" t="str">
        <f t="shared" si="128"/>
        <v/>
      </c>
      <c r="AM278" s="144" t="str">
        <f t="shared" si="129"/>
        <v>--FALSE-0</v>
      </c>
      <c r="AN278" s="158" t="str">
        <f t="shared" si="124"/>
        <v/>
      </c>
      <c r="AO278" s="145"/>
      <c r="AP278" s="159" t="str">
        <f>IF($AN278=FALSE,"",IFERROR(INDEX('Flat Rates'!$A$1:$M$3880,MATCH($AM278,'Flat Rates'!$A$1:$A$3880,0),MATCH("Standing Charge",'Flat Rates'!$A$1:$M$1,0))*100,""))</f>
        <v/>
      </c>
      <c r="AQ278" s="148" t="str">
        <f>IF($AN278=FALSE,"",IFERROR((IF(NOT(T278="Unrestricted"),"",INDEX('Flat Rates'!$A$1:$M$3880,MATCH($AM278,'Flat Rates'!$A$1:$A$3880,0),MATCH("Uni/Day Rate",'Flat Rates'!$A$1:$M$1,0)))*100)+H278,""))</f>
        <v/>
      </c>
      <c r="AR278" s="148" t="str">
        <f>IF($AN278=FALSE,"",IFERROR((IF(T278="Unrestricted","",INDEX('Flat Rates'!$A$1:$M$3880,MATCH($AM278,'Flat Rates'!$A$1:$A$3880,0),MATCH("Uni/Day Rate",'Flat Rates'!$A$1:$M$1,0)))*100)+H278,""))</f>
        <v/>
      </c>
      <c r="AS278" s="148" t="str">
        <f>IF($AN278=FALSE,"",IFERROR(IF(INDEX('Flat Rates'!$A$1:$M$3880,MATCH($AM278,'Flat Rates'!$A$1:$A$3880,0),MATCH("Night Unit Rate",'Flat Rates'!$A$1:$M$1,0))=0,"",((INDEX('Flat Rates'!$A$1:$M$3880,MATCH($AM278,'Flat Rates'!$A$1:$A$3880,0),MATCH("Night Unit Rate",'Flat Rates'!$A$1:$M$1,0)))*100)+H278),""))</f>
        <v/>
      </c>
      <c r="AT278" s="148" t="str">
        <f>IF($AN278=FALSE,"",IFERROR(IF(INDEX('Flat Rates'!$A$1:$M$3880,MATCH($AM278,'Flat Rates'!$A$1:$A$3880,0),MATCH("Evening and Weekend Rate",'Flat Rates'!$A$1:$M$1,0))=0,"",((INDEX('Flat Rates'!$A$1:$M$3880,MATCH($AM278,'Flat Rates'!$A$1:$A$3880,0),MATCH("Evening and Weekend Rate",'Flat Rates'!$A$1:$M$1,0)))*100)+H278),""))</f>
        <v/>
      </c>
      <c r="AU278" s="152" t="str">
        <f t="shared" si="125"/>
        <v/>
      </c>
      <c r="AV278" s="152" t="str">
        <f t="shared" si="126"/>
        <v/>
      </c>
      <c r="AW278" s="152" t="str">
        <f t="shared" si="127"/>
        <v/>
      </c>
    </row>
    <row r="279" spans="2:49" ht="15" thickBot="1" x14ac:dyDescent="0.35">
      <c r="B279" s="138" t="str">
        <f t="shared" si="104"/>
        <v/>
      </c>
      <c r="C279" s="137"/>
      <c r="D279" s="139"/>
      <c r="E279" s="140"/>
      <c r="F279" s="140"/>
      <c r="G279" s="139"/>
      <c r="H279" s="151"/>
      <c r="I279" s="139"/>
      <c r="J279" s="138"/>
      <c r="K279" s="139"/>
      <c r="L279" s="141"/>
      <c r="M279" s="133" t="str">
        <f t="shared" si="105"/>
        <v/>
      </c>
      <c r="N279" s="133" t="str">
        <f t="shared" si="106"/>
        <v/>
      </c>
      <c r="O279" s="133" t="str">
        <f t="shared" si="107"/>
        <v/>
      </c>
      <c r="P279" s="133" t="str">
        <f t="shared" si="108"/>
        <v/>
      </c>
      <c r="Q279" s="133" t="str">
        <f t="shared" si="109"/>
        <v/>
      </c>
      <c r="R279" s="133" t="str">
        <f t="shared" si="110"/>
        <v/>
      </c>
      <c r="S279" s="133" t="str">
        <f t="shared" si="111"/>
        <v/>
      </c>
      <c r="T279" s="133" t="str">
        <f>IFERROR(IF($U279="ERROR","ERROR",IF($N279="00",IF(J279="1-Rate","HH 1RATE",IF(J279="2-Rate","HH 2RATE","")),IFERROR(VLOOKUP(CONCATENATE(N279,Q279,O279,P279),Lookups!$A$2:$E$4557,5,0),VLOOKUP(CONCATENATE(N279,Q279,O279),Lookups!$A$2:$E$4557,5,0)))),"ERROR")</f>
        <v>ERROR</v>
      </c>
      <c r="U279" s="133" t="str">
        <f>IFERROR(IF(NOT($N279="00"),"",VLOOKUP(CONCATENATE(Q279,P279,LOOKUP(2,1/(Lookups!$I$2:$I$11&lt;=E279)/(Lookups!$J$2:$J$11&gt;=Tool!$C$14),Lookups!$K$2:$K$11)),'HH LLFs'!$A$2:$K$500,3,0)),"ERROR")</f>
        <v/>
      </c>
      <c r="V279" s="132">
        <f>Calcs!$I$2</f>
        <v>44377</v>
      </c>
      <c r="W279" s="132">
        <f>Calcs!$I$4</f>
        <v>44592</v>
      </c>
      <c r="X279" s="153" t="str">
        <f>IF(NOT(N279="00"),"",(VLOOKUP(CONCATENATE(Q279,P279,LOOKUP(2,1/(Lookups!$I$2:$I$11&lt;=Multisite!E279)/(Lookups!$J$2:$J$11&gt;=E279),Lookups!$K$2:$K$11)),'HH LLFs'!$A$2:$F$282,6,0)*365)/12)</f>
        <v/>
      </c>
      <c r="Y279" s="153">
        <f t="shared" si="112"/>
        <v>0</v>
      </c>
      <c r="Z279" s="153" t="str">
        <f t="shared" si="121"/>
        <v/>
      </c>
      <c r="AA279" s="153" t="str">
        <f t="shared" si="113"/>
        <v/>
      </c>
      <c r="AB279" s="153" t="str">
        <f t="shared" si="122"/>
        <v/>
      </c>
      <c r="AC279" s="153" t="str">
        <f t="shared" si="114"/>
        <v/>
      </c>
      <c r="AD279" s="153" t="str">
        <f t="shared" si="115"/>
        <v/>
      </c>
      <c r="AE279" s="153" t="str">
        <f t="shared" si="116"/>
        <v/>
      </c>
      <c r="AF279" s="155" t="e">
        <f>LOOKUP(2,1/(Lookups!$I$2:$I$11&lt;=E279)/(Lookups!$J$2:$J$11&gt;=E279),Lookups!$L$2:$L$11)</f>
        <v>#N/A</v>
      </c>
      <c r="AG279" s="142" t="str">
        <f t="shared" si="117"/>
        <v/>
      </c>
      <c r="AH279" s="142" t="str">
        <f t="shared" si="118"/>
        <v/>
      </c>
      <c r="AI279" s="143" t="b">
        <f t="shared" si="123"/>
        <v>0</v>
      </c>
      <c r="AJ279" s="143" t="str">
        <f t="shared" si="119"/>
        <v>Level 1</v>
      </c>
      <c r="AK279" s="142">
        <f t="shared" si="120"/>
        <v>0</v>
      </c>
      <c r="AL279" s="157" t="str">
        <f t="shared" si="128"/>
        <v/>
      </c>
      <c r="AM279" s="144" t="str">
        <f t="shared" si="129"/>
        <v>--FALSE-0</v>
      </c>
      <c r="AN279" s="158" t="str">
        <f t="shared" si="124"/>
        <v/>
      </c>
      <c r="AO279" s="145"/>
      <c r="AP279" s="159" t="str">
        <f>IF($AN279=FALSE,"",IFERROR(INDEX('Flat Rates'!$A$1:$M$3880,MATCH($AM279,'Flat Rates'!$A$1:$A$3880,0),MATCH("Standing Charge",'Flat Rates'!$A$1:$M$1,0))*100,""))</f>
        <v/>
      </c>
      <c r="AQ279" s="148" t="str">
        <f>IF($AN279=FALSE,"",IFERROR((IF(NOT(T279="Unrestricted"),"",INDEX('Flat Rates'!$A$1:$M$3880,MATCH($AM279,'Flat Rates'!$A$1:$A$3880,0),MATCH("Uni/Day Rate",'Flat Rates'!$A$1:$M$1,0)))*100)+H279,""))</f>
        <v/>
      </c>
      <c r="AR279" s="148" t="str">
        <f>IF($AN279=FALSE,"",IFERROR((IF(T279="Unrestricted","",INDEX('Flat Rates'!$A$1:$M$3880,MATCH($AM279,'Flat Rates'!$A$1:$A$3880,0),MATCH("Uni/Day Rate",'Flat Rates'!$A$1:$M$1,0)))*100)+H279,""))</f>
        <v/>
      </c>
      <c r="AS279" s="148" t="str">
        <f>IF($AN279=FALSE,"",IFERROR(IF(INDEX('Flat Rates'!$A$1:$M$3880,MATCH($AM279,'Flat Rates'!$A$1:$A$3880,0),MATCH("Night Unit Rate",'Flat Rates'!$A$1:$M$1,0))=0,"",((INDEX('Flat Rates'!$A$1:$M$3880,MATCH($AM279,'Flat Rates'!$A$1:$A$3880,0),MATCH("Night Unit Rate",'Flat Rates'!$A$1:$M$1,0)))*100)+H279),""))</f>
        <v/>
      </c>
      <c r="AT279" s="148" t="str">
        <f>IF($AN279=FALSE,"",IFERROR(IF(INDEX('Flat Rates'!$A$1:$M$3880,MATCH($AM279,'Flat Rates'!$A$1:$A$3880,0),MATCH("Evening and Weekend Rate",'Flat Rates'!$A$1:$M$1,0))=0,"",((INDEX('Flat Rates'!$A$1:$M$3880,MATCH($AM279,'Flat Rates'!$A$1:$A$3880,0),MATCH("Evening and Weekend Rate",'Flat Rates'!$A$1:$M$1,0)))*100)+H279),""))</f>
        <v/>
      </c>
      <c r="AU279" s="152" t="str">
        <f t="shared" si="125"/>
        <v/>
      </c>
      <c r="AV279" s="152" t="str">
        <f t="shared" si="126"/>
        <v/>
      </c>
      <c r="AW279" s="152" t="str">
        <f t="shared" si="127"/>
        <v/>
      </c>
    </row>
    <row r="280" spans="2:49" ht="15" thickBot="1" x14ac:dyDescent="0.35">
      <c r="B280" s="138" t="str">
        <f t="shared" si="104"/>
        <v/>
      </c>
      <c r="C280" s="146"/>
      <c r="D280" s="147"/>
      <c r="E280" s="140"/>
      <c r="F280" s="140"/>
      <c r="G280" s="139"/>
      <c r="H280" s="151"/>
      <c r="I280" s="139"/>
      <c r="J280" s="137"/>
      <c r="K280" s="139"/>
      <c r="L280" s="141"/>
      <c r="M280" s="133" t="str">
        <f t="shared" si="105"/>
        <v/>
      </c>
      <c r="N280" s="133" t="str">
        <f t="shared" si="106"/>
        <v/>
      </c>
      <c r="O280" s="133" t="str">
        <f t="shared" si="107"/>
        <v/>
      </c>
      <c r="P280" s="133" t="str">
        <f t="shared" si="108"/>
        <v/>
      </c>
      <c r="Q280" s="133" t="str">
        <f t="shared" si="109"/>
        <v/>
      </c>
      <c r="R280" s="133" t="str">
        <f t="shared" si="110"/>
        <v/>
      </c>
      <c r="S280" s="133" t="str">
        <f t="shared" si="111"/>
        <v/>
      </c>
      <c r="T280" s="133" t="str">
        <f>IFERROR(IF($U280="ERROR","ERROR",IF($N280="00",IF(J280="1-Rate","HH 1RATE",IF(J280="2-Rate","HH 2RATE","")),IFERROR(VLOOKUP(CONCATENATE(N280,Q280,O280,P280),Lookups!$A$2:$E$4557,5,0),VLOOKUP(CONCATENATE(N280,Q280,O280),Lookups!$A$2:$E$4557,5,0)))),"ERROR")</f>
        <v>ERROR</v>
      </c>
      <c r="U280" s="133" t="str">
        <f>IFERROR(IF(NOT($N280="00"),"",VLOOKUP(CONCATENATE(Q280,P280,LOOKUP(2,1/(Lookups!$I$2:$I$11&lt;=E280)/(Lookups!$J$2:$J$11&gt;=Tool!$C$14),Lookups!$K$2:$K$11)),'HH LLFs'!$A$2:$K$500,3,0)),"ERROR")</f>
        <v/>
      </c>
      <c r="V280" s="132">
        <f>Calcs!$I$2</f>
        <v>44377</v>
      </c>
      <c r="W280" s="132">
        <f>Calcs!$I$4</f>
        <v>44592</v>
      </c>
      <c r="X280" s="153" t="str">
        <f>IF(NOT(N280="00"),"",(VLOOKUP(CONCATENATE(Q280,P280,LOOKUP(2,1/(Lookups!$I$2:$I$11&lt;=Multisite!E280)/(Lookups!$J$2:$J$11&gt;=E280),Lookups!$K$2:$K$11)),'HH LLFs'!$A$2:$F$282,6,0)*365)/12)</f>
        <v/>
      </c>
      <c r="Y280" s="153">
        <f t="shared" si="112"/>
        <v>0</v>
      </c>
      <c r="Z280" s="153" t="str">
        <f t="shared" si="121"/>
        <v/>
      </c>
      <c r="AA280" s="153" t="str">
        <f t="shared" si="113"/>
        <v/>
      </c>
      <c r="AB280" s="153" t="str">
        <f t="shared" si="122"/>
        <v/>
      </c>
      <c r="AC280" s="153" t="str">
        <f t="shared" si="114"/>
        <v/>
      </c>
      <c r="AD280" s="153" t="str">
        <f t="shared" si="115"/>
        <v/>
      </c>
      <c r="AE280" s="153" t="str">
        <f t="shared" si="116"/>
        <v/>
      </c>
      <c r="AF280" s="155" t="e">
        <f>LOOKUP(2,1/(Lookups!$I$2:$I$11&lt;=E280)/(Lookups!$J$2:$J$11&gt;=E280),Lookups!$L$2:$L$11)</f>
        <v>#N/A</v>
      </c>
      <c r="AG280" s="142" t="str">
        <f t="shared" si="117"/>
        <v/>
      </c>
      <c r="AH280" s="142" t="str">
        <f t="shared" si="118"/>
        <v/>
      </c>
      <c r="AI280" s="143" t="b">
        <f t="shared" si="123"/>
        <v>0</v>
      </c>
      <c r="AJ280" s="143" t="str">
        <f t="shared" si="119"/>
        <v>Level 1</v>
      </c>
      <c r="AK280" s="142">
        <f t="shared" si="120"/>
        <v>0</v>
      </c>
      <c r="AL280" s="157" t="str">
        <f t="shared" si="128"/>
        <v/>
      </c>
      <c r="AM280" s="144" t="str">
        <f t="shared" si="129"/>
        <v>--FALSE-0</v>
      </c>
      <c r="AN280" s="158" t="str">
        <f t="shared" si="124"/>
        <v/>
      </c>
      <c r="AO280" s="145"/>
      <c r="AP280" s="159" t="str">
        <f>IF($AN280=FALSE,"",IFERROR(INDEX('Flat Rates'!$A$1:$M$3880,MATCH($AM280,'Flat Rates'!$A$1:$A$3880,0),MATCH("Standing Charge",'Flat Rates'!$A$1:$M$1,0))*100,""))</f>
        <v/>
      </c>
      <c r="AQ280" s="148" t="str">
        <f>IF($AN280=FALSE,"",IFERROR((IF(NOT(T280="Unrestricted"),"",INDEX('Flat Rates'!$A$1:$M$3880,MATCH($AM280,'Flat Rates'!$A$1:$A$3880,0),MATCH("Uni/Day Rate",'Flat Rates'!$A$1:$M$1,0)))*100)+H280,""))</f>
        <v/>
      </c>
      <c r="AR280" s="148" t="str">
        <f>IF($AN280=FALSE,"",IFERROR((IF(T280="Unrestricted","",INDEX('Flat Rates'!$A$1:$M$3880,MATCH($AM280,'Flat Rates'!$A$1:$A$3880,0),MATCH("Uni/Day Rate",'Flat Rates'!$A$1:$M$1,0)))*100)+H280,""))</f>
        <v/>
      </c>
      <c r="AS280" s="148" t="str">
        <f>IF($AN280=FALSE,"",IFERROR(IF(INDEX('Flat Rates'!$A$1:$M$3880,MATCH($AM280,'Flat Rates'!$A$1:$A$3880,0),MATCH("Night Unit Rate",'Flat Rates'!$A$1:$M$1,0))=0,"",((INDEX('Flat Rates'!$A$1:$M$3880,MATCH($AM280,'Flat Rates'!$A$1:$A$3880,0),MATCH("Night Unit Rate",'Flat Rates'!$A$1:$M$1,0)))*100)+H280),""))</f>
        <v/>
      </c>
      <c r="AT280" s="148" t="str">
        <f>IF($AN280=FALSE,"",IFERROR(IF(INDEX('Flat Rates'!$A$1:$M$3880,MATCH($AM280,'Flat Rates'!$A$1:$A$3880,0),MATCH("Evening and Weekend Rate",'Flat Rates'!$A$1:$M$1,0))=0,"",((INDEX('Flat Rates'!$A$1:$M$3880,MATCH($AM280,'Flat Rates'!$A$1:$A$3880,0),MATCH("Evening and Weekend Rate",'Flat Rates'!$A$1:$M$1,0)))*100)+H280),""))</f>
        <v/>
      </c>
      <c r="AU280" s="152" t="str">
        <f t="shared" si="125"/>
        <v/>
      </c>
      <c r="AV280" s="152" t="str">
        <f t="shared" si="126"/>
        <v/>
      </c>
      <c r="AW280" s="152" t="str">
        <f t="shared" si="127"/>
        <v/>
      </c>
    </row>
    <row r="281" spans="2:49" ht="15" thickBot="1" x14ac:dyDescent="0.35">
      <c r="B281" s="138" t="str">
        <f t="shared" si="104"/>
        <v/>
      </c>
      <c r="C281" s="137"/>
      <c r="D281" s="139"/>
      <c r="E281" s="140"/>
      <c r="F281" s="140"/>
      <c r="G281" s="139"/>
      <c r="H281" s="151"/>
      <c r="I281" s="139"/>
      <c r="J281" s="138"/>
      <c r="K281" s="139"/>
      <c r="L281" s="141"/>
      <c r="M281" s="133" t="str">
        <f t="shared" si="105"/>
        <v/>
      </c>
      <c r="N281" s="133" t="str">
        <f t="shared" si="106"/>
        <v/>
      </c>
      <c r="O281" s="133" t="str">
        <f t="shared" si="107"/>
        <v/>
      </c>
      <c r="P281" s="133" t="str">
        <f t="shared" si="108"/>
        <v/>
      </c>
      <c r="Q281" s="133" t="str">
        <f t="shared" si="109"/>
        <v/>
      </c>
      <c r="R281" s="133" t="str">
        <f t="shared" si="110"/>
        <v/>
      </c>
      <c r="S281" s="133" t="str">
        <f t="shared" si="111"/>
        <v/>
      </c>
      <c r="T281" s="133" t="str">
        <f>IFERROR(IF($U281="ERROR","ERROR",IF($N281="00",IF(J281="1-Rate","HH 1RATE",IF(J281="2-Rate","HH 2RATE","")),IFERROR(VLOOKUP(CONCATENATE(N281,Q281,O281,P281),Lookups!$A$2:$E$4557,5,0),VLOOKUP(CONCATENATE(N281,Q281,O281),Lookups!$A$2:$E$4557,5,0)))),"ERROR")</f>
        <v>ERROR</v>
      </c>
      <c r="U281" s="133" t="str">
        <f>IFERROR(IF(NOT($N281="00"),"",VLOOKUP(CONCATENATE(Q281,P281,LOOKUP(2,1/(Lookups!$I$2:$I$11&lt;=E281)/(Lookups!$J$2:$J$11&gt;=Tool!$C$14),Lookups!$K$2:$K$11)),'HH LLFs'!$A$2:$K$500,3,0)),"ERROR")</f>
        <v/>
      </c>
      <c r="V281" s="132">
        <f>Calcs!$I$2</f>
        <v>44377</v>
      </c>
      <c r="W281" s="132">
        <f>Calcs!$I$4</f>
        <v>44592</v>
      </c>
      <c r="X281" s="153" t="str">
        <f>IF(NOT(N281="00"),"",(VLOOKUP(CONCATENATE(Q281,P281,LOOKUP(2,1/(Lookups!$I$2:$I$11&lt;=Multisite!E281)/(Lookups!$J$2:$J$11&gt;=E281),Lookups!$K$2:$K$11)),'HH LLFs'!$A$2:$F$282,6,0)*365)/12)</f>
        <v/>
      </c>
      <c r="Y281" s="153">
        <f t="shared" si="112"/>
        <v>0</v>
      </c>
      <c r="Z281" s="153" t="str">
        <f t="shared" si="121"/>
        <v/>
      </c>
      <c r="AA281" s="153" t="str">
        <f t="shared" si="113"/>
        <v/>
      </c>
      <c r="AB281" s="153" t="str">
        <f t="shared" si="122"/>
        <v/>
      </c>
      <c r="AC281" s="153" t="str">
        <f t="shared" si="114"/>
        <v/>
      </c>
      <c r="AD281" s="153" t="str">
        <f t="shared" si="115"/>
        <v/>
      </c>
      <c r="AE281" s="153" t="str">
        <f t="shared" si="116"/>
        <v/>
      </c>
      <c r="AF281" s="155" t="e">
        <f>LOOKUP(2,1/(Lookups!$I$2:$I$11&lt;=E281)/(Lookups!$J$2:$J$11&gt;=E281),Lookups!$L$2:$L$11)</f>
        <v>#N/A</v>
      </c>
      <c r="AG281" s="142" t="str">
        <f t="shared" si="117"/>
        <v/>
      </c>
      <c r="AH281" s="142" t="str">
        <f t="shared" si="118"/>
        <v/>
      </c>
      <c r="AI281" s="143" t="b">
        <f t="shared" si="123"/>
        <v>0</v>
      </c>
      <c r="AJ281" s="143" t="str">
        <f t="shared" si="119"/>
        <v>Level 1</v>
      </c>
      <c r="AK281" s="142">
        <f t="shared" si="120"/>
        <v>0</v>
      </c>
      <c r="AL281" s="157" t="str">
        <f t="shared" si="128"/>
        <v/>
      </c>
      <c r="AM281" s="144" t="str">
        <f t="shared" si="129"/>
        <v>--FALSE-0</v>
      </c>
      <c r="AN281" s="158" t="str">
        <f t="shared" si="124"/>
        <v/>
      </c>
      <c r="AO281" s="145"/>
      <c r="AP281" s="159" t="str">
        <f>IF($AN281=FALSE,"",IFERROR(INDEX('Flat Rates'!$A$1:$M$3880,MATCH($AM281,'Flat Rates'!$A$1:$A$3880,0),MATCH("Standing Charge",'Flat Rates'!$A$1:$M$1,0))*100,""))</f>
        <v/>
      </c>
      <c r="AQ281" s="148" t="str">
        <f>IF($AN281=FALSE,"",IFERROR((IF(NOT(T281="Unrestricted"),"",INDEX('Flat Rates'!$A$1:$M$3880,MATCH($AM281,'Flat Rates'!$A$1:$A$3880,0),MATCH("Uni/Day Rate",'Flat Rates'!$A$1:$M$1,0)))*100)+H281,""))</f>
        <v/>
      </c>
      <c r="AR281" s="148" t="str">
        <f>IF($AN281=FALSE,"",IFERROR((IF(T281="Unrestricted","",INDEX('Flat Rates'!$A$1:$M$3880,MATCH($AM281,'Flat Rates'!$A$1:$A$3880,0),MATCH("Uni/Day Rate",'Flat Rates'!$A$1:$M$1,0)))*100)+H281,""))</f>
        <v/>
      </c>
      <c r="AS281" s="148" t="str">
        <f>IF($AN281=FALSE,"",IFERROR(IF(INDEX('Flat Rates'!$A$1:$M$3880,MATCH($AM281,'Flat Rates'!$A$1:$A$3880,0),MATCH("Night Unit Rate",'Flat Rates'!$A$1:$M$1,0))=0,"",((INDEX('Flat Rates'!$A$1:$M$3880,MATCH($AM281,'Flat Rates'!$A$1:$A$3880,0),MATCH("Night Unit Rate",'Flat Rates'!$A$1:$M$1,0)))*100)+H281),""))</f>
        <v/>
      </c>
      <c r="AT281" s="148" t="str">
        <f>IF($AN281=FALSE,"",IFERROR(IF(INDEX('Flat Rates'!$A$1:$M$3880,MATCH($AM281,'Flat Rates'!$A$1:$A$3880,0),MATCH("Evening and Weekend Rate",'Flat Rates'!$A$1:$M$1,0))=0,"",((INDEX('Flat Rates'!$A$1:$M$3880,MATCH($AM281,'Flat Rates'!$A$1:$A$3880,0),MATCH("Evening and Weekend Rate",'Flat Rates'!$A$1:$M$1,0)))*100)+H281),""))</f>
        <v/>
      </c>
      <c r="AU281" s="152" t="str">
        <f t="shared" si="125"/>
        <v/>
      </c>
      <c r="AV281" s="152" t="str">
        <f t="shared" si="126"/>
        <v/>
      </c>
      <c r="AW281" s="152" t="str">
        <f t="shared" si="127"/>
        <v/>
      </c>
    </row>
    <row r="282" spans="2:49" ht="15" thickBot="1" x14ac:dyDescent="0.35">
      <c r="B282" s="138" t="str">
        <f t="shared" si="104"/>
        <v/>
      </c>
      <c r="C282" s="146"/>
      <c r="D282" s="147"/>
      <c r="E282" s="140"/>
      <c r="F282" s="140"/>
      <c r="G282" s="139"/>
      <c r="H282" s="151"/>
      <c r="I282" s="139"/>
      <c r="J282" s="137"/>
      <c r="K282" s="139"/>
      <c r="L282" s="141"/>
      <c r="M282" s="133" t="str">
        <f t="shared" si="105"/>
        <v/>
      </c>
      <c r="N282" s="133" t="str">
        <f t="shared" si="106"/>
        <v/>
      </c>
      <c r="O282" s="133" t="str">
        <f t="shared" si="107"/>
        <v/>
      </c>
      <c r="P282" s="133" t="str">
        <f t="shared" si="108"/>
        <v/>
      </c>
      <c r="Q282" s="133" t="str">
        <f t="shared" si="109"/>
        <v/>
      </c>
      <c r="R282" s="133" t="str">
        <f t="shared" si="110"/>
        <v/>
      </c>
      <c r="S282" s="133" t="str">
        <f t="shared" si="111"/>
        <v/>
      </c>
      <c r="T282" s="133" t="str">
        <f>IFERROR(IF($U282="ERROR","ERROR",IF($N282="00",IF(J282="1-Rate","HH 1RATE",IF(J282="2-Rate","HH 2RATE","")),IFERROR(VLOOKUP(CONCATENATE(N282,Q282,O282,P282),Lookups!$A$2:$E$4557,5,0),VLOOKUP(CONCATENATE(N282,Q282,O282),Lookups!$A$2:$E$4557,5,0)))),"ERROR")</f>
        <v>ERROR</v>
      </c>
      <c r="U282" s="133" t="str">
        <f>IFERROR(IF(NOT($N282="00"),"",VLOOKUP(CONCATENATE(Q282,P282,LOOKUP(2,1/(Lookups!$I$2:$I$11&lt;=E282)/(Lookups!$J$2:$J$11&gt;=Tool!$C$14),Lookups!$K$2:$K$11)),'HH LLFs'!$A$2:$K$500,3,0)),"ERROR")</f>
        <v/>
      </c>
      <c r="V282" s="132">
        <f>Calcs!$I$2</f>
        <v>44377</v>
      </c>
      <c r="W282" s="132">
        <f>Calcs!$I$4</f>
        <v>44592</v>
      </c>
      <c r="X282" s="153" t="str">
        <f>IF(NOT(N282="00"),"",(VLOOKUP(CONCATENATE(Q282,P282,LOOKUP(2,1/(Lookups!$I$2:$I$11&lt;=Multisite!E282)/(Lookups!$J$2:$J$11&gt;=E282),Lookups!$K$2:$K$11)),'HH LLFs'!$A$2:$F$282,6,0)*365)/12)</f>
        <v/>
      </c>
      <c r="Y282" s="153">
        <f t="shared" si="112"/>
        <v>0</v>
      </c>
      <c r="Z282" s="153" t="str">
        <f t="shared" si="121"/>
        <v/>
      </c>
      <c r="AA282" s="153" t="str">
        <f t="shared" si="113"/>
        <v/>
      </c>
      <c r="AB282" s="153" t="str">
        <f t="shared" si="122"/>
        <v/>
      </c>
      <c r="AC282" s="153" t="str">
        <f t="shared" si="114"/>
        <v/>
      </c>
      <c r="AD282" s="153" t="str">
        <f t="shared" si="115"/>
        <v/>
      </c>
      <c r="AE282" s="153" t="str">
        <f t="shared" si="116"/>
        <v/>
      </c>
      <c r="AF282" s="155" t="e">
        <f>LOOKUP(2,1/(Lookups!$I$2:$I$11&lt;=E282)/(Lookups!$J$2:$J$11&gt;=E282),Lookups!$L$2:$L$11)</f>
        <v>#N/A</v>
      </c>
      <c r="AG282" s="142" t="str">
        <f t="shared" si="117"/>
        <v/>
      </c>
      <c r="AH282" s="142" t="str">
        <f t="shared" si="118"/>
        <v/>
      </c>
      <c r="AI282" s="143" t="b">
        <f t="shared" si="123"/>
        <v>0</v>
      </c>
      <c r="AJ282" s="143" t="str">
        <f t="shared" si="119"/>
        <v>Level 1</v>
      </c>
      <c r="AK282" s="142">
        <f t="shared" si="120"/>
        <v>0</v>
      </c>
      <c r="AL282" s="157" t="str">
        <f t="shared" si="128"/>
        <v/>
      </c>
      <c r="AM282" s="144" t="str">
        <f t="shared" si="129"/>
        <v>--FALSE-0</v>
      </c>
      <c r="AN282" s="158" t="str">
        <f t="shared" si="124"/>
        <v/>
      </c>
      <c r="AO282" s="145"/>
      <c r="AP282" s="159" t="str">
        <f>IF($AN282=FALSE,"",IFERROR(INDEX('Flat Rates'!$A$1:$M$3880,MATCH($AM282,'Flat Rates'!$A$1:$A$3880,0),MATCH("Standing Charge",'Flat Rates'!$A$1:$M$1,0))*100,""))</f>
        <v/>
      </c>
      <c r="AQ282" s="148" t="str">
        <f>IF($AN282=FALSE,"",IFERROR((IF(NOT(T282="Unrestricted"),"",INDEX('Flat Rates'!$A$1:$M$3880,MATCH($AM282,'Flat Rates'!$A$1:$A$3880,0),MATCH("Uni/Day Rate",'Flat Rates'!$A$1:$M$1,0)))*100)+H282,""))</f>
        <v/>
      </c>
      <c r="AR282" s="148" t="str">
        <f>IF($AN282=FALSE,"",IFERROR((IF(T282="Unrestricted","",INDEX('Flat Rates'!$A$1:$M$3880,MATCH($AM282,'Flat Rates'!$A$1:$A$3880,0),MATCH("Uni/Day Rate",'Flat Rates'!$A$1:$M$1,0)))*100)+H282,""))</f>
        <v/>
      </c>
      <c r="AS282" s="148" t="str">
        <f>IF($AN282=FALSE,"",IFERROR(IF(INDEX('Flat Rates'!$A$1:$M$3880,MATCH($AM282,'Flat Rates'!$A$1:$A$3880,0),MATCH("Night Unit Rate",'Flat Rates'!$A$1:$M$1,0))=0,"",((INDEX('Flat Rates'!$A$1:$M$3880,MATCH($AM282,'Flat Rates'!$A$1:$A$3880,0),MATCH("Night Unit Rate",'Flat Rates'!$A$1:$M$1,0)))*100)+H282),""))</f>
        <v/>
      </c>
      <c r="AT282" s="148" t="str">
        <f>IF($AN282=FALSE,"",IFERROR(IF(INDEX('Flat Rates'!$A$1:$M$3880,MATCH($AM282,'Flat Rates'!$A$1:$A$3880,0),MATCH("Evening and Weekend Rate",'Flat Rates'!$A$1:$M$1,0))=0,"",((INDEX('Flat Rates'!$A$1:$M$3880,MATCH($AM282,'Flat Rates'!$A$1:$A$3880,0),MATCH("Evening and Weekend Rate",'Flat Rates'!$A$1:$M$1,0)))*100)+H282),""))</f>
        <v/>
      </c>
      <c r="AU282" s="152" t="str">
        <f t="shared" si="125"/>
        <v/>
      </c>
      <c r="AV282" s="152" t="str">
        <f t="shared" si="126"/>
        <v/>
      </c>
      <c r="AW282" s="152" t="str">
        <f t="shared" si="127"/>
        <v/>
      </c>
    </row>
    <row r="283" spans="2:49" ht="15" thickBot="1" x14ac:dyDescent="0.35">
      <c r="B283" s="138" t="str">
        <f t="shared" si="104"/>
        <v/>
      </c>
      <c r="C283" s="137"/>
      <c r="D283" s="139"/>
      <c r="E283" s="140"/>
      <c r="F283" s="140"/>
      <c r="G283" s="139"/>
      <c r="H283" s="151"/>
      <c r="I283" s="139"/>
      <c r="J283" s="138"/>
      <c r="K283" s="139"/>
      <c r="L283" s="141"/>
      <c r="M283" s="133" t="str">
        <f t="shared" si="105"/>
        <v/>
      </c>
      <c r="N283" s="133" t="str">
        <f t="shared" si="106"/>
        <v/>
      </c>
      <c r="O283" s="133" t="str">
        <f t="shared" si="107"/>
        <v/>
      </c>
      <c r="P283" s="133" t="str">
        <f t="shared" si="108"/>
        <v/>
      </c>
      <c r="Q283" s="133" t="str">
        <f t="shared" si="109"/>
        <v/>
      </c>
      <c r="R283" s="133" t="str">
        <f t="shared" si="110"/>
        <v/>
      </c>
      <c r="S283" s="133" t="str">
        <f t="shared" si="111"/>
        <v/>
      </c>
      <c r="T283" s="133" t="str">
        <f>IFERROR(IF($U283="ERROR","ERROR",IF($N283="00",IF(J283="1-Rate","HH 1RATE",IF(J283="2-Rate","HH 2RATE","")),IFERROR(VLOOKUP(CONCATENATE(N283,Q283,O283,P283),Lookups!$A$2:$E$4557,5,0),VLOOKUP(CONCATENATE(N283,Q283,O283),Lookups!$A$2:$E$4557,5,0)))),"ERROR")</f>
        <v>ERROR</v>
      </c>
      <c r="U283" s="133" t="str">
        <f>IFERROR(IF(NOT($N283="00"),"",VLOOKUP(CONCATENATE(Q283,P283,LOOKUP(2,1/(Lookups!$I$2:$I$11&lt;=E283)/(Lookups!$J$2:$J$11&gt;=Tool!$C$14),Lookups!$K$2:$K$11)),'HH LLFs'!$A$2:$K$500,3,0)),"ERROR")</f>
        <v/>
      </c>
      <c r="V283" s="132">
        <f>Calcs!$I$2</f>
        <v>44377</v>
      </c>
      <c r="W283" s="132">
        <f>Calcs!$I$4</f>
        <v>44592</v>
      </c>
      <c r="X283" s="153" t="str">
        <f>IF(NOT(N283="00"),"",(VLOOKUP(CONCATENATE(Q283,P283,LOOKUP(2,1/(Lookups!$I$2:$I$11&lt;=Multisite!E283)/(Lookups!$J$2:$J$11&gt;=E283),Lookups!$K$2:$K$11)),'HH LLFs'!$A$2:$F$282,6,0)*365)/12)</f>
        <v/>
      </c>
      <c r="Y283" s="153">
        <f t="shared" si="112"/>
        <v>0</v>
      </c>
      <c r="Z283" s="153" t="str">
        <f t="shared" si="121"/>
        <v/>
      </c>
      <c r="AA283" s="153" t="str">
        <f t="shared" si="113"/>
        <v/>
      </c>
      <c r="AB283" s="153" t="str">
        <f t="shared" si="122"/>
        <v/>
      </c>
      <c r="AC283" s="153" t="str">
        <f t="shared" si="114"/>
        <v/>
      </c>
      <c r="AD283" s="153" t="str">
        <f t="shared" si="115"/>
        <v/>
      </c>
      <c r="AE283" s="153" t="str">
        <f t="shared" si="116"/>
        <v/>
      </c>
      <c r="AF283" s="155" t="e">
        <f>LOOKUP(2,1/(Lookups!$I$2:$I$11&lt;=E283)/(Lookups!$J$2:$J$11&gt;=E283),Lookups!$L$2:$L$11)</f>
        <v>#N/A</v>
      </c>
      <c r="AG283" s="142" t="str">
        <f t="shared" si="117"/>
        <v/>
      </c>
      <c r="AH283" s="142" t="str">
        <f t="shared" si="118"/>
        <v/>
      </c>
      <c r="AI283" s="143" t="b">
        <f t="shared" si="123"/>
        <v>0</v>
      </c>
      <c r="AJ283" s="143" t="str">
        <f t="shared" si="119"/>
        <v>Level 1</v>
      </c>
      <c r="AK283" s="142">
        <f t="shared" si="120"/>
        <v>0</v>
      </c>
      <c r="AL283" s="157" t="str">
        <f t="shared" si="128"/>
        <v/>
      </c>
      <c r="AM283" s="144" t="str">
        <f t="shared" si="129"/>
        <v>--FALSE-0</v>
      </c>
      <c r="AN283" s="158" t="str">
        <f t="shared" si="124"/>
        <v/>
      </c>
      <c r="AO283" s="145"/>
      <c r="AP283" s="159" t="str">
        <f>IF($AN283=FALSE,"",IFERROR(INDEX('Flat Rates'!$A$1:$M$3880,MATCH($AM283,'Flat Rates'!$A$1:$A$3880,0),MATCH("Standing Charge",'Flat Rates'!$A$1:$M$1,0))*100,""))</f>
        <v/>
      </c>
      <c r="AQ283" s="148" t="str">
        <f>IF($AN283=FALSE,"",IFERROR((IF(NOT(T283="Unrestricted"),"",INDEX('Flat Rates'!$A$1:$M$3880,MATCH($AM283,'Flat Rates'!$A$1:$A$3880,0),MATCH("Uni/Day Rate",'Flat Rates'!$A$1:$M$1,0)))*100)+H283,""))</f>
        <v/>
      </c>
      <c r="AR283" s="148" t="str">
        <f>IF($AN283=FALSE,"",IFERROR((IF(T283="Unrestricted","",INDEX('Flat Rates'!$A$1:$M$3880,MATCH($AM283,'Flat Rates'!$A$1:$A$3880,0),MATCH("Uni/Day Rate",'Flat Rates'!$A$1:$M$1,0)))*100)+H283,""))</f>
        <v/>
      </c>
      <c r="AS283" s="148" t="str">
        <f>IF($AN283=FALSE,"",IFERROR(IF(INDEX('Flat Rates'!$A$1:$M$3880,MATCH($AM283,'Flat Rates'!$A$1:$A$3880,0),MATCH("Night Unit Rate",'Flat Rates'!$A$1:$M$1,0))=0,"",((INDEX('Flat Rates'!$A$1:$M$3880,MATCH($AM283,'Flat Rates'!$A$1:$A$3880,0),MATCH("Night Unit Rate",'Flat Rates'!$A$1:$M$1,0)))*100)+H283),""))</f>
        <v/>
      </c>
      <c r="AT283" s="148" t="str">
        <f>IF($AN283=FALSE,"",IFERROR(IF(INDEX('Flat Rates'!$A$1:$M$3880,MATCH($AM283,'Flat Rates'!$A$1:$A$3880,0),MATCH("Evening and Weekend Rate",'Flat Rates'!$A$1:$M$1,0))=0,"",((INDEX('Flat Rates'!$A$1:$M$3880,MATCH($AM283,'Flat Rates'!$A$1:$A$3880,0),MATCH("Evening and Weekend Rate",'Flat Rates'!$A$1:$M$1,0)))*100)+H283),""))</f>
        <v/>
      </c>
      <c r="AU283" s="152" t="str">
        <f t="shared" si="125"/>
        <v/>
      </c>
      <c r="AV283" s="152" t="str">
        <f t="shared" si="126"/>
        <v/>
      </c>
      <c r="AW283" s="152" t="str">
        <f t="shared" si="127"/>
        <v/>
      </c>
    </row>
    <row r="284" spans="2:49" ht="15" thickBot="1" x14ac:dyDescent="0.35">
      <c r="B284" s="138" t="str">
        <f t="shared" si="104"/>
        <v/>
      </c>
      <c r="C284" s="146"/>
      <c r="D284" s="147"/>
      <c r="E284" s="140"/>
      <c r="F284" s="140"/>
      <c r="G284" s="139"/>
      <c r="H284" s="151"/>
      <c r="I284" s="139"/>
      <c r="J284" s="137"/>
      <c r="K284" s="139"/>
      <c r="L284" s="141"/>
      <c r="M284" s="133" t="str">
        <f t="shared" si="105"/>
        <v/>
      </c>
      <c r="N284" s="133" t="str">
        <f t="shared" si="106"/>
        <v/>
      </c>
      <c r="O284" s="133" t="str">
        <f t="shared" si="107"/>
        <v/>
      </c>
      <c r="P284" s="133" t="str">
        <f t="shared" si="108"/>
        <v/>
      </c>
      <c r="Q284" s="133" t="str">
        <f t="shared" si="109"/>
        <v/>
      </c>
      <c r="R284" s="133" t="str">
        <f t="shared" si="110"/>
        <v/>
      </c>
      <c r="S284" s="133" t="str">
        <f t="shared" si="111"/>
        <v/>
      </c>
      <c r="T284" s="133" t="str">
        <f>IFERROR(IF($U284="ERROR","ERROR",IF($N284="00",IF(J284="1-Rate","HH 1RATE",IF(J284="2-Rate","HH 2RATE","")),IFERROR(VLOOKUP(CONCATENATE(N284,Q284,O284,P284),Lookups!$A$2:$E$4557,5,0),VLOOKUP(CONCATENATE(N284,Q284,O284),Lookups!$A$2:$E$4557,5,0)))),"ERROR")</f>
        <v>ERROR</v>
      </c>
      <c r="U284" s="133" t="str">
        <f>IFERROR(IF(NOT($N284="00"),"",VLOOKUP(CONCATENATE(Q284,P284,LOOKUP(2,1/(Lookups!$I$2:$I$11&lt;=E284)/(Lookups!$J$2:$J$11&gt;=Tool!$C$14),Lookups!$K$2:$K$11)),'HH LLFs'!$A$2:$K$500,3,0)),"ERROR")</f>
        <v/>
      </c>
      <c r="V284" s="132">
        <f>Calcs!$I$2</f>
        <v>44377</v>
      </c>
      <c r="W284" s="132">
        <f>Calcs!$I$4</f>
        <v>44592</v>
      </c>
      <c r="X284" s="153" t="str">
        <f>IF(NOT(N284="00"),"",(VLOOKUP(CONCATENATE(Q284,P284,LOOKUP(2,1/(Lookups!$I$2:$I$11&lt;=Multisite!E284)/(Lookups!$J$2:$J$11&gt;=E284),Lookups!$K$2:$K$11)),'HH LLFs'!$A$2:$F$282,6,0)*365)/12)</f>
        <v/>
      </c>
      <c r="Y284" s="153">
        <f t="shared" si="112"/>
        <v>0</v>
      </c>
      <c r="Z284" s="153" t="str">
        <f t="shared" si="121"/>
        <v/>
      </c>
      <c r="AA284" s="153" t="str">
        <f t="shared" si="113"/>
        <v/>
      </c>
      <c r="AB284" s="153" t="str">
        <f t="shared" si="122"/>
        <v/>
      </c>
      <c r="AC284" s="153" t="str">
        <f t="shared" si="114"/>
        <v/>
      </c>
      <c r="AD284" s="153" t="str">
        <f t="shared" si="115"/>
        <v/>
      </c>
      <c r="AE284" s="153" t="str">
        <f t="shared" si="116"/>
        <v/>
      </c>
      <c r="AF284" s="155" t="e">
        <f>LOOKUP(2,1/(Lookups!$I$2:$I$11&lt;=E284)/(Lookups!$J$2:$J$11&gt;=E284),Lookups!$L$2:$L$11)</f>
        <v>#N/A</v>
      </c>
      <c r="AG284" s="142" t="str">
        <f t="shared" si="117"/>
        <v/>
      </c>
      <c r="AH284" s="142" t="str">
        <f t="shared" si="118"/>
        <v/>
      </c>
      <c r="AI284" s="143" t="b">
        <f t="shared" si="123"/>
        <v>0</v>
      </c>
      <c r="AJ284" s="143" t="str">
        <f t="shared" si="119"/>
        <v>Level 1</v>
      </c>
      <c r="AK284" s="142">
        <f t="shared" si="120"/>
        <v>0</v>
      </c>
      <c r="AL284" s="157" t="str">
        <f t="shared" si="128"/>
        <v/>
      </c>
      <c r="AM284" s="144" t="str">
        <f t="shared" si="129"/>
        <v>--FALSE-0</v>
      </c>
      <c r="AN284" s="158" t="str">
        <f t="shared" si="124"/>
        <v/>
      </c>
      <c r="AO284" s="145"/>
      <c r="AP284" s="159" t="str">
        <f>IF($AN284=FALSE,"",IFERROR(INDEX('Flat Rates'!$A$1:$M$3880,MATCH($AM284,'Flat Rates'!$A$1:$A$3880,0),MATCH("Standing Charge",'Flat Rates'!$A$1:$M$1,0))*100,""))</f>
        <v/>
      </c>
      <c r="AQ284" s="148" t="str">
        <f>IF($AN284=FALSE,"",IFERROR((IF(NOT(T284="Unrestricted"),"",INDEX('Flat Rates'!$A$1:$M$3880,MATCH($AM284,'Flat Rates'!$A$1:$A$3880,0),MATCH("Uni/Day Rate",'Flat Rates'!$A$1:$M$1,0)))*100)+H284,""))</f>
        <v/>
      </c>
      <c r="AR284" s="148" t="str">
        <f>IF($AN284=FALSE,"",IFERROR((IF(T284="Unrestricted","",INDEX('Flat Rates'!$A$1:$M$3880,MATCH($AM284,'Flat Rates'!$A$1:$A$3880,0),MATCH("Uni/Day Rate",'Flat Rates'!$A$1:$M$1,0)))*100)+H284,""))</f>
        <v/>
      </c>
      <c r="AS284" s="148" t="str">
        <f>IF($AN284=FALSE,"",IFERROR(IF(INDEX('Flat Rates'!$A$1:$M$3880,MATCH($AM284,'Flat Rates'!$A$1:$A$3880,0),MATCH("Night Unit Rate",'Flat Rates'!$A$1:$M$1,0))=0,"",((INDEX('Flat Rates'!$A$1:$M$3880,MATCH($AM284,'Flat Rates'!$A$1:$A$3880,0),MATCH("Night Unit Rate",'Flat Rates'!$A$1:$M$1,0)))*100)+H284),""))</f>
        <v/>
      </c>
      <c r="AT284" s="148" t="str">
        <f>IF($AN284=FALSE,"",IFERROR(IF(INDEX('Flat Rates'!$A$1:$M$3880,MATCH($AM284,'Flat Rates'!$A$1:$A$3880,0),MATCH("Evening and Weekend Rate",'Flat Rates'!$A$1:$M$1,0))=0,"",((INDEX('Flat Rates'!$A$1:$M$3880,MATCH($AM284,'Flat Rates'!$A$1:$A$3880,0),MATCH("Evening and Weekend Rate",'Flat Rates'!$A$1:$M$1,0)))*100)+H284),""))</f>
        <v/>
      </c>
      <c r="AU284" s="152" t="str">
        <f t="shared" si="125"/>
        <v/>
      </c>
      <c r="AV284" s="152" t="str">
        <f t="shared" si="126"/>
        <v/>
      </c>
      <c r="AW284" s="152" t="str">
        <f t="shared" si="127"/>
        <v/>
      </c>
    </row>
    <row r="285" spans="2:49" ht="15" thickBot="1" x14ac:dyDescent="0.35">
      <c r="B285" s="138" t="str">
        <f t="shared" si="104"/>
        <v/>
      </c>
      <c r="C285" s="137"/>
      <c r="D285" s="139"/>
      <c r="E285" s="140"/>
      <c r="F285" s="140"/>
      <c r="G285" s="139"/>
      <c r="H285" s="151"/>
      <c r="I285" s="139"/>
      <c r="J285" s="138"/>
      <c r="K285" s="139"/>
      <c r="L285" s="141"/>
      <c r="M285" s="133" t="str">
        <f t="shared" si="105"/>
        <v/>
      </c>
      <c r="N285" s="133" t="str">
        <f t="shared" si="106"/>
        <v/>
      </c>
      <c r="O285" s="133" t="str">
        <f t="shared" si="107"/>
        <v/>
      </c>
      <c r="P285" s="133" t="str">
        <f t="shared" si="108"/>
        <v/>
      </c>
      <c r="Q285" s="133" t="str">
        <f t="shared" si="109"/>
        <v/>
      </c>
      <c r="R285" s="133" t="str">
        <f t="shared" si="110"/>
        <v/>
      </c>
      <c r="S285" s="133" t="str">
        <f t="shared" si="111"/>
        <v/>
      </c>
      <c r="T285" s="133" t="str">
        <f>IFERROR(IF($U285="ERROR","ERROR",IF($N285="00",IF(J285="1-Rate","HH 1RATE",IF(J285="2-Rate","HH 2RATE","")),IFERROR(VLOOKUP(CONCATENATE(N285,Q285,O285,P285),Lookups!$A$2:$E$4557,5,0),VLOOKUP(CONCATENATE(N285,Q285,O285),Lookups!$A$2:$E$4557,5,0)))),"ERROR")</f>
        <v>ERROR</v>
      </c>
      <c r="U285" s="133" t="str">
        <f>IFERROR(IF(NOT($N285="00"),"",VLOOKUP(CONCATENATE(Q285,P285,LOOKUP(2,1/(Lookups!$I$2:$I$11&lt;=E285)/(Lookups!$J$2:$J$11&gt;=Tool!$C$14),Lookups!$K$2:$K$11)),'HH LLFs'!$A$2:$K$500,3,0)),"ERROR")</f>
        <v/>
      </c>
      <c r="V285" s="132">
        <f>Calcs!$I$2</f>
        <v>44377</v>
      </c>
      <c r="W285" s="132">
        <f>Calcs!$I$4</f>
        <v>44592</v>
      </c>
      <c r="X285" s="153" t="str">
        <f>IF(NOT(N285="00"),"",(VLOOKUP(CONCATENATE(Q285,P285,LOOKUP(2,1/(Lookups!$I$2:$I$11&lt;=Multisite!E285)/(Lookups!$J$2:$J$11&gt;=E285),Lookups!$K$2:$K$11)),'HH LLFs'!$A$2:$F$282,6,0)*365)/12)</f>
        <v/>
      </c>
      <c r="Y285" s="153">
        <f t="shared" si="112"/>
        <v>0</v>
      </c>
      <c r="Z285" s="153" t="str">
        <f t="shared" si="121"/>
        <v/>
      </c>
      <c r="AA285" s="153" t="str">
        <f t="shared" si="113"/>
        <v/>
      </c>
      <c r="AB285" s="153" t="str">
        <f t="shared" si="122"/>
        <v/>
      </c>
      <c r="AC285" s="153" t="str">
        <f t="shared" si="114"/>
        <v/>
      </c>
      <c r="AD285" s="153" t="str">
        <f t="shared" si="115"/>
        <v/>
      </c>
      <c r="AE285" s="153" t="str">
        <f t="shared" si="116"/>
        <v/>
      </c>
      <c r="AF285" s="155" t="e">
        <f>LOOKUP(2,1/(Lookups!$I$2:$I$11&lt;=E285)/(Lookups!$J$2:$J$11&gt;=E285),Lookups!$L$2:$L$11)</f>
        <v>#N/A</v>
      </c>
      <c r="AG285" s="142" t="str">
        <f t="shared" si="117"/>
        <v/>
      </c>
      <c r="AH285" s="142" t="str">
        <f t="shared" si="118"/>
        <v/>
      </c>
      <c r="AI285" s="143" t="b">
        <f t="shared" si="123"/>
        <v>0</v>
      </c>
      <c r="AJ285" s="143" t="str">
        <f t="shared" si="119"/>
        <v>Level 1</v>
      </c>
      <c r="AK285" s="142">
        <f t="shared" si="120"/>
        <v>0</v>
      </c>
      <c r="AL285" s="157" t="str">
        <f t="shared" si="128"/>
        <v/>
      </c>
      <c r="AM285" s="144" t="str">
        <f t="shared" si="129"/>
        <v>--FALSE-0</v>
      </c>
      <c r="AN285" s="158" t="str">
        <f t="shared" si="124"/>
        <v/>
      </c>
      <c r="AO285" s="145"/>
      <c r="AP285" s="159" t="str">
        <f>IF($AN285=FALSE,"",IFERROR(INDEX('Flat Rates'!$A$1:$M$3880,MATCH($AM285,'Flat Rates'!$A$1:$A$3880,0),MATCH("Standing Charge",'Flat Rates'!$A$1:$M$1,0))*100,""))</f>
        <v/>
      </c>
      <c r="AQ285" s="148" t="str">
        <f>IF($AN285=FALSE,"",IFERROR((IF(NOT(T285="Unrestricted"),"",INDEX('Flat Rates'!$A$1:$M$3880,MATCH($AM285,'Flat Rates'!$A$1:$A$3880,0),MATCH("Uni/Day Rate",'Flat Rates'!$A$1:$M$1,0)))*100)+H285,""))</f>
        <v/>
      </c>
      <c r="AR285" s="148" t="str">
        <f>IF($AN285=FALSE,"",IFERROR((IF(T285="Unrestricted","",INDEX('Flat Rates'!$A$1:$M$3880,MATCH($AM285,'Flat Rates'!$A$1:$A$3880,0),MATCH("Uni/Day Rate",'Flat Rates'!$A$1:$M$1,0)))*100)+H285,""))</f>
        <v/>
      </c>
      <c r="AS285" s="148" t="str">
        <f>IF($AN285=FALSE,"",IFERROR(IF(INDEX('Flat Rates'!$A$1:$M$3880,MATCH($AM285,'Flat Rates'!$A$1:$A$3880,0),MATCH("Night Unit Rate",'Flat Rates'!$A$1:$M$1,0))=0,"",((INDEX('Flat Rates'!$A$1:$M$3880,MATCH($AM285,'Flat Rates'!$A$1:$A$3880,0),MATCH("Night Unit Rate",'Flat Rates'!$A$1:$M$1,0)))*100)+H285),""))</f>
        <v/>
      </c>
      <c r="AT285" s="148" t="str">
        <f>IF($AN285=FALSE,"",IFERROR(IF(INDEX('Flat Rates'!$A$1:$M$3880,MATCH($AM285,'Flat Rates'!$A$1:$A$3880,0),MATCH("Evening and Weekend Rate",'Flat Rates'!$A$1:$M$1,0))=0,"",((INDEX('Flat Rates'!$A$1:$M$3880,MATCH($AM285,'Flat Rates'!$A$1:$A$3880,0),MATCH("Evening and Weekend Rate",'Flat Rates'!$A$1:$M$1,0)))*100)+H285),""))</f>
        <v/>
      </c>
      <c r="AU285" s="152" t="str">
        <f t="shared" si="125"/>
        <v/>
      </c>
      <c r="AV285" s="152" t="str">
        <f t="shared" si="126"/>
        <v/>
      </c>
      <c r="AW285" s="152" t="str">
        <f t="shared" si="127"/>
        <v/>
      </c>
    </row>
    <row r="286" spans="2:49" ht="15" thickBot="1" x14ac:dyDescent="0.35">
      <c r="B286" s="138" t="str">
        <f t="shared" si="104"/>
        <v/>
      </c>
      <c r="C286" s="146"/>
      <c r="D286" s="147"/>
      <c r="E286" s="140"/>
      <c r="F286" s="140"/>
      <c r="G286" s="139"/>
      <c r="H286" s="151"/>
      <c r="I286" s="139"/>
      <c r="J286" s="137"/>
      <c r="K286" s="139"/>
      <c r="L286" s="141"/>
      <c r="M286" s="133" t="str">
        <f t="shared" si="105"/>
        <v/>
      </c>
      <c r="N286" s="133" t="str">
        <f t="shared" si="106"/>
        <v/>
      </c>
      <c r="O286" s="133" t="str">
        <f t="shared" si="107"/>
        <v/>
      </c>
      <c r="P286" s="133" t="str">
        <f t="shared" si="108"/>
        <v/>
      </c>
      <c r="Q286" s="133" t="str">
        <f t="shared" si="109"/>
        <v/>
      </c>
      <c r="R286" s="133" t="str">
        <f t="shared" si="110"/>
        <v/>
      </c>
      <c r="S286" s="133" t="str">
        <f t="shared" si="111"/>
        <v/>
      </c>
      <c r="T286" s="133" t="str">
        <f>IFERROR(IF($U286="ERROR","ERROR",IF($N286="00",IF(J286="1-Rate","HH 1RATE",IF(J286="2-Rate","HH 2RATE","")),IFERROR(VLOOKUP(CONCATENATE(N286,Q286,O286,P286),Lookups!$A$2:$E$4557,5,0),VLOOKUP(CONCATENATE(N286,Q286,O286),Lookups!$A$2:$E$4557,5,0)))),"ERROR")</f>
        <v>ERROR</v>
      </c>
      <c r="U286" s="133" t="str">
        <f>IFERROR(IF(NOT($N286="00"),"",VLOOKUP(CONCATENATE(Q286,P286,LOOKUP(2,1/(Lookups!$I$2:$I$11&lt;=E286)/(Lookups!$J$2:$J$11&gt;=Tool!$C$14),Lookups!$K$2:$K$11)),'HH LLFs'!$A$2:$K$500,3,0)),"ERROR")</f>
        <v/>
      </c>
      <c r="V286" s="132">
        <f>Calcs!$I$2</f>
        <v>44377</v>
      </c>
      <c r="W286" s="132">
        <f>Calcs!$I$4</f>
        <v>44592</v>
      </c>
      <c r="X286" s="153" t="str">
        <f>IF(NOT(N286="00"),"",(VLOOKUP(CONCATENATE(Q286,P286,LOOKUP(2,1/(Lookups!$I$2:$I$11&lt;=Multisite!E286)/(Lookups!$J$2:$J$11&gt;=E286),Lookups!$K$2:$K$11)),'HH LLFs'!$A$2:$F$282,6,0)*365)/12)</f>
        <v/>
      </c>
      <c r="Y286" s="153">
        <f t="shared" si="112"/>
        <v>0</v>
      </c>
      <c r="Z286" s="153" t="str">
        <f t="shared" si="121"/>
        <v/>
      </c>
      <c r="AA286" s="153" t="str">
        <f t="shared" si="113"/>
        <v/>
      </c>
      <c r="AB286" s="153" t="str">
        <f t="shared" si="122"/>
        <v/>
      </c>
      <c r="AC286" s="153" t="str">
        <f t="shared" si="114"/>
        <v/>
      </c>
      <c r="AD286" s="153" t="str">
        <f t="shared" si="115"/>
        <v/>
      </c>
      <c r="AE286" s="153" t="str">
        <f t="shared" si="116"/>
        <v/>
      </c>
      <c r="AF286" s="155" t="e">
        <f>LOOKUP(2,1/(Lookups!$I$2:$I$11&lt;=E286)/(Lookups!$J$2:$J$11&gt;=E286),Lookups!$L$2:$L$11)</f>
        <v>#N/A</v>
      </c>
      <c r="AG286" s="142" t="str">
        <f t="shared" si="117"/>
        <v/>
      </c>
      <c r="AH286" s="142" t="str">
        <f t="shared" si="118"/>
        <v/>
      </c>
      <c r="AI286" s="143" t="b">
        <f t="shared" si="123"/>
        <v>0</v>
      </c>
      <c r="AJ286" s="143" t="str">
        <f t="shared" si="119"/>
        <v>Level 1</v>
      </c>
      <c r="AK286" s="142">
        <f t="shared" si="120"/>
        <v>0</v>
      </c>
      <c r="AL286" s="157" t="str">
        <f t="shared" si="128"/>
        <v/>
      </c>
      <c r="AM286" s="144" t="str">
        <f t="shared" si="129"/>
        <v>--FALSE-0</v>
      </c>
      <c r="AN286" s="158" t="str">
        <f t="shared" si="124"/>
        <v/>
      </c>
      <c r="AO286" s="145"/>
      <c r="AP286" s="159" t="str">
        <f>IF($AN286=FALSE,"",IFERROR(INDEX('Flat Rates'!$A$1:$M$3880,MATCH($AM286,'Flat Rates'!$A$1:$A$3880,0),MATCH("Standing Charge",'Flat Rates'!$A$1:$M$1,0))*100,""))</f>
        <v/>
      </c>
      <c r="AQ286" s="148" t="str">
        <f>IF($AN286=FALSE,"",IFERROR((IF(NOT(T286="Unrestricted"),"",INDEX('Flat Rates'!$A$1:$M$3880,MATCH($AM286,'Flat Rates'!$A$1:$A$3880,0),MATCH("Uni/Day Rate",'Flat Rates'!$A$1:$M$1,0)))*100)+H286,""))</f>
        <v/>
      </c>
      <c r="AR286" s="148" t="str">
        <f>IF($AN286=FALSE,"",IFERROR((IF(T286="Unrestricted","",INDEX('Flat Rates'!$A$1:$M$3880,MATCH($AM286,'Flat Rates'!$A$1:$A$3880,0),MATCH("Uni/Day Rate",'Flat Rates'!$A$1:$M$1,0)))*100)+H286,""))</f>
        <v/>
      </c>
      <c r="AS286" s="148" t="str">
        <f>IF($AN286=FALSE,"",IFERROR(IF(INDEX('Flat Rates'!$A$1:$M$3880,MATCH($AM286,'Flat Rates'!$A$1:$A$3880,0),MATCH("Night Unit Rate",'Flat Rates'!$A$1:$M$1,0))=0,"",((INDEX('Flat Rates'!$A$1:$M$3880,MATCH($AM286,'Flat Rates'!$A$1:$A$3880,0),MATCH("Night Unit Rate",'Flat Rates'!$A$1:$M$1,0)))*100)+H286),""))</f>
        <v/>
      </c>
      <c r="AT286" s="148" t="str">
        <f>IF($AN286=FALSE,"",IFERROR(IF(INDEX('Flat Rates'!$A$1:$M$3880,MATCH($AM286,'Flat Rates'!$A$1:$A$3880,0),MATCH("Evening and Weekend Rate",'Flat Rates'!$A$1:$M$1,0))=0,"",((INDEX('Flat Rates'!$A$1:$M$3880,MATCH($AM286,'Flat Rates'!$A$1:$A$3880,0),MATCH("Evening and Weekend Rate",'Flat Rates'!$A$1:$M$1,0)))*100)+H286),""))</f>
        <v/>
      </c>
      <c r="AU286" s="152" t="str">
        <f t="shared" si="125"/>
        <v/>
      </c>
      <c r="AV286" s="152" t="str">
        <f t="shared" si="126"/>
        <v/>
      </c>
      <c r="AW286" s="152" t="str">
        <f t="shared" si="127"/>
        <v/>
      </c>
    </row>
    <row r="287" spans="2:49" ht="15" thickBot="1" x14ac:dyDescent="0.35">
      <c r="B287" s="138" t="str">
        <f t="shared" si="104"/>
        <v/>
      </c>
      <c r="C287" s="137"/>
      <c r="D287" s="139"/>
      <c r="E287" s="140"/>
      <c r="F287" s="140"/>
      <c r="G287" s="139"/>
      <c r="H287" s="151"/>
      <c r="I287" s="139"/>
      <c r="J287" s="138"/>
      <c r="K287" s="139"/>
      <c r="L287" s="141"/>
      <c r="M287" s="133" t="str">
        <f t="shared" si="105"/>
        <v/>
      </c>
      <c r="N287" s="133" t="str">
        <f t="shared" si="106"/>
        <v/>
      </c>
      <c r="O287" s="133" t="str">
        <f t="shared" si="107"/>
        <v/>
      </c>
      <c r="P287" s="133" t="str">
        <f t="shared" si="108"/>
        <v/>
      </c>
      <c r="Q287" s="133" t="str">
        <f t="shared" si="109"/>
        <v/>
      </c>
      <c r="R287" s="133" t="str">
        <f t="shared" si="110"/>
        <v/>
      </c>
      <c r="S287" s="133" t="str">
        <f t="shared" si="111"/>
        <v/>
      </c>
      <c r="T287" s="133" t="str">
        <f>IFERROR(IF($U287="ERROR","ERROR",IF($N287="00",IF(J287="1-Rate","HH 1RATE",IF(J287="2-Rate","HH 2RATE","")),IFERROR(VLOOKUP(CONCATENATE(N287,Q287,O287,P287),Lookups!$A$2:$E$4557,5,0),VLOOKUP(CONCATENATE(N287,Q287,O287),Lookups!$A$2:$E$4557,5,0)))),"ERROR")</f>
        <v>ERROR</v>
      </c>
      <c r="U287" s="133" t="str">
        <f>IFERROR(IF(NOT($N287="00"),"",VLOOKUP(CONCATENATE(Q287,P287,LOOKUP(2,1/(Lookups!$I$2:$I$11&lt;=E287)/(Lookups!$J$2:$J$11&gt;=Tool!$C$14),Lookups!$K$2:$K$11)),'HH LLFs'!$A$2:$K$500,3,0)),"ERROR")</f>
        <v/>
      </c>
      <c r="V287" s="132">
        <f>Calcs!$I$2</f>
        <v>44377</v>
      </c>
      <c r="W287" s="132">
        <f>Calcs!$I$4</f>
        <v>44592</v>
      </c>
      <c r="X287" s="153" t="str">
        <f>IF(NOT(N287="00"),"",(VLOOKUP(CONCATENATE(Q287,P287,LOOKUP(2,1/(Lookups!$I$2:$I$11&lt;=Multisite!E287)/(Lookups!$J$2:$J$11&gt;=E287),Lookups!$K$2:$K$11)),'HH LLFs'!$A$2:$F$282,6,0)*365)/12)</f>
        <v/>
      </c>
      <c r="Y287" s="153">
        <f t="shared" si="112"/>
        <v>0</v>
      </c>
      <c r="Z287" s="153" t="str">
        <f t="shared" si="121"/>
        <v/>
      </c>
      <c r="AA287" s="153" t="str">
        <f t="shared" si="113"/>
        <v/>
      </c>
      <c r="AB287" s="153" t="str">
        <f t="shared" si="122"/>
        <v/>
      </c>
      <c r="AC287" s="153" t="str">
        <f t="shared" si="114"/>
        <v/>
      </c>
      <c r="AD287" s="153" t="str">
        <f t="shared" si="115"/>
        <v/>
      </c>
      <c r="AE287" s="153" t="str">
        <f t="shared" si="116"/>
        <v/>
      </c>
      <c r="AF287" s="155" t="e">
        <f>LOOKUP(2,1/(Lookups!$I$2:$I$11&lt;=E287)/(Lookups!$J$2:$J$11&gt;=E287),Lookups!$L$2:$L$11)</f>
        <v>#N/A</v>
      </c>
      <c r="AG287" s="142" t="str">
        <f t="shared" si="117"/>
        <v/>
      </c>
      <c r="AH287" s="142" t="str">
        <f t="shared" si="118"/>
        <v/>
      </c>
      <c r="AI287" s="143" t="b">
        <f t="shared" si="123"/>
        <v>0</v>
      </c>
      <c r="AJ287" s="143" t="str">
        <f t="shared" si="119"/>
        <v>Level 1</v>
      </c>
      <c r="AK287" s="142">
        <f t="shared" si="120"/>
        <v>0</v>
      </c>
      <c r="AL287" s="157" t="str">
        <f t="shared" si="128"/>
        <v/>
      </c>
      <c r="AM287" s="144" t="str">
        <f t="shared" si="129"/>
        <v>--FALSE-0</v>
      </c>
      <c r="AN287" s="158" t="str">
        <f t="shared" si="124"/>
        <v/>
      </c>
      <c r="AO287" s="145"/>
      <c r="AP287" s="159" t="str">
        <f>IF($AN287=FALSE,"",IFERROR(INDEX('Flat Rates'!$A$1:$M$3880,MATCH($AM287,'Flat Rates'!$A$1:$A$3880,0),MATCH("Standing Charge",'Flat Rates'!$A$1:$M$1,0))*100,""))</f>
        <v/>
      </c>
      <c r="AQ287" s="148" t="str">
        <f>IF($AN287=FALSE,"",IFERROR((IF(NOT(T287="Unrestricted"),"",INDEX('Flat Rates'!$A$1:$M$3880,MATCH($AM287,'Flat Rates'!$A$1:$A$3880,0),MATCH("Uni/Day Rate",'Flat Rates'!$A$1:$M$1,0)))*100)+H287,""))</f>
        <v/>
      </c>
      <c r="AR287" s="148" t="str">
        <f>IF($AN287=FALSE,"",IFERROR((IF(T287="Unrestricted","",INDEX('Flat Rates'!$A$1:$M$3880,MATCH($AM287,'Flat Rates'!$A$1:$A$3880,0),MATCH("Uni/Day Rate",'Flat Rates'!$A$1:$M$1,0)))*100)+H287,""))</f>
        <v/>
      </c>
      <c r="AS287" s="148" t="str">
        <f>IF($AN287=FALSE,"",IFERROR(IF(INDEX('Flat Rates'!$A$1:$M$3880,MATCH($AM287,'Flat Rates'!$A$1:$A$3880,0),MATCH("Night Unit Rate",'Flat Rates'!$A$1:$M$1,0))=0,"",((INDEX('Flat Rates'!$A$1:$M$3880,MATCH($AM287,'Flat Rates'!$A$1:$A$3880,0),MATCH("Night Unit Rate",'Flat Rates'!$A$1:$M$1,0)))*100)+H287),""))</f>
        <v/>
      </c>
      <c r="AT287" s="148" t="str">
        <f>IF($AN287=FALSE,"",IFERROR(IF(INDEX('Flat Rates'!$A$1:$M$3880,MATCH($AM287,'Flat Rates'!$A$1:$A$3880,0),MATCH("Evening and Weekend Rate",'Flat Rates'!$A$1:$M$1,0))=0,"",((INDEX('Flat Rates'!$A$1:$M$3880,MATCH($AM287,'Flat Rates'!$A$1:$A$3880,0),MATCH("Evening and Weekend Rate",'Flat Rates'!$A$1:$M$1,0)))*100)+H287),""))</f>
        <v/>
      </c>
      <c r="AU287" s="152" t="str">
        <f t="shared" si="125"/>
        <v/>
      </c>
      <c r="AV287" s="152" t="str">
        <f t="shared" si="126"/>
        <v/>
      </c>
      <c r="AW287" s="152" t="str">
        <f t="shared" si="127"/>
        <v/>
      </c>
    </row>
    <row r="288" spans="2:49" ht="15" thickBot="1" x14ac:dyDescent="0.35">
      <c r="B288" s="138" t="str">
        <f t="shared" si="104"/>
        <v/>
      </c>
      <c r="C288" s="146"/>
      <c r="D288" s="147"/>
      <c r="E288" s="140"/>
      <c r="F288" s="140"/>
      <c r="G288" s="139"/>
      <c r="H288" s="151"/>
      <c r="I288" s="139"/>
      <c r="J288" s="137"/>
      <c r="K288" s="139"/>
      <c r="L288" s="141"/>
      <c r="M288" s="133" t="str">
        <f t="shared" si="105"/>
        <v/>
      </c>
      <c r="N288" s="133" t="str">
        <f t="shared" si="106"/>
        <v/>
      </c>
      <c r="O288" s="133" t="str">
        <f t="shared" si="107"/>
        <v/>
      </c>
      <c r="P288" s="133" t="str">
        <f t="shared" si="108"/>
        <v/>
      </c>
      <c r="Q288" s="133" t="str">
        <f t="shared" si="109"/>
        <v/>
      </c>
      <c r="R288" s="133" t="str">
        <f t="shared" si="110"/>
        <v/>
      </c>
      <c r="S288" s="133" t="str">
        <f t="shared" si="111"/>
        <v/>
      </c>
      <c r="T288" s="133" t="str">
        <f>IFERROR(IF($U288="ERROR","ERROR",IF($N288="00",IF(J288="1-Rate","HH 1RATE",IF(J288="2-Rate","HH 2RATE","")),IFERROR(VLOOKUP(CONCATENATE(N288,Q288,O288,P288),Lookups!$A$2:$E$4557,5,0),VLOOKUP(CONCATENATE(N288,Q288,O288),Lookups!$A$2:$E$4557,5,0)))),"ERROR")</f>
        <v>ERROR</v>
      </c>
      <c r="U288" s="133" t="str">
        <f>IFERROR(IF(NOT($N288="00"),"",VLOOKUP(CONCATENATE(Q288,P288,LOOKUP(2,1/(Lookups!$I$2:$I$11&lt;=E288)/(Lookups!$J$2:$J$11&gt;=Tool!$C$14),Lookups!$K$2:$K$11)),'HH LLFs'!$A$2:$K$500,3,0)),"ERROR")</f>
        <v/>
      </c>
      <c r="V288" s="132">
        <f>Calcs!$I$2</f>
        <v>44377</v>
      </c>
      <c r="W288" s="132">
        <f>Calcs!$I$4</f>
        <v>44592</v>
      </c>
      <c r="X288" s="153" t="str">
        <f>IF(NOT(N288="00"),"",(VLOOKUP(CONCATENATE(Q288,P288,LOOKUP(2,1/(Lookups!$I$2:$I$11&lt;=Multisite!E288)/(Lookups!$J$2:$J$11&gt;=E288),Lookups!$K$2:$K$11)),'HH LLFs'!$A$2:$F$282,6,0)*365)/12)</f>
        <v/>
      </c>
      <c r="Y288" s="153">
        <f t="shared" si="112"/>
        <v>0</v>
      </c>
      <c r="Z288" s="153" t="str">
        <f t="shared" si="121"/>
        <v/>
      </c>
      <c r="AA288" s="153" t="str">
        <f t="shared" si="113"/>
        <v/>
      </c>
      <c r="AB288" s="153" t="str">
        <f t="shared" si="122"/>
        <v/>
      </c>
      <c r="AC288" s="153" t="str">
        <f t="shared" si="114"/>
        <v/>
      </c>
      <c r="AD288" s="153" t="str">
        <f t="shared" si="115"/>
        <v/>
      </c>
      <c r="AE288" s="153" t="str">
        <f t="shared" si="116"/>
        <v/>
      </c>
      <c r="AF288" s="155" t="e">
        <f>LOOKUP(2,1/(Lookups!$I$2:$I$11&lt;=E288)/(Lookups!$J$2:$J$11&gt;=E288),Lookups!$L$2:$L$11)</f>
        <v>#N/A</v>
      </c>
      <c r="AG288" s="142" t="str">
        <f t="shared" si="117"/>
        <v/>
      </c>
      <c r="AH288" s="142" t="str">
        <f t="shared" si="118"/>
        <v/>
      </c>
      <c r="AI288" s="143" t="b">
        <f t="shared" si="123"/>
        <v>0</v>
      </c>
      <c r="AJ288" s="143" t="str">
        <f t="shared" si="119"/>
        <v>Level 1</v>
      </c>
      <c r="AK288" s="142">
        <f t="shared" si="120"/>
        <v>0</v>
      </c>
      <c r="AL288" s="157" t="str">
        <f t="shared" si="128"/>
        <v/>
      </c>
      <c r="AM288" s="144" t="str">
        <f t="shared" si="129"/>
        <v>--FALSE-0</v>
      </c>
      <c r="AN288" s="158" t="str">
        <f t="shared" si="124"/>
        <v/>
      </c>
      <c r="AO288" s="145"/>
      <c r="AP288" s="159" t="str">
        <f>IF($AN288=FALSE,"",IFERROR(INDEX('Flat Rates'!$A$1:$M$3880,MATCH($AM288,'Flat Rates'!$A$1:$A$3880,0),MATCH("Standing Charge",'Flat Rates'!$A$1:$M$1,0))*100,""))</f>
        <v/>
      </c>
      <c r="AQ288" s="148" t="str">
        <f>IF($AN288=FALSE,"",IFERROR((IF(NOT(T288="Unrestricted"),"",INDEX('Flat Rates'!$A$1:$M$3880,MATCH($AM288,'Flat Rates'!$A$1:$A$3880,0),MATCH("Uni/Day Rate",'Flat Rates'!$A$1:$M$1,0)))*100)+H288,""))</f>
        <v/>
      </c>
      <c r="AR288" s="148" t="str">
        <f>IF($AN288=FALSE,"",IFERROR((IF(T288="Unrestricted","",INDEX('Flat Rates'!$A$1:$M$3880,MATCH($AM288,'Flat Rates'!$A$1:$A$3880,0),MATCH("Uni/Day Rate",'Flat Rates'!$A$1:$M$1,0)))*100)+H288,""))</f>
        <v/>
      </c>
      <c r="AS288" s="148" t="str">
        <f>IF($AN288=FALSE,"",IFERROR(IF(INDEX('Flat Rates'!$A$1:$M$3880,MATCH($AM288,'Flat Rates'!$A$1:$A$3880,0),MATCH("Night Unit Rate",'Flat Rates'!$A$1:$M$1,0))=0,"",((INDEX('Flat Rates'!$A$1:$M$3880,MATCH($AM288,'Flat Rates'!$A$1:$A$3880,0),MATCH("Night Unit Rate",'Flat Rates'!$A$1:$M$1,0)))*100)+H288),""))</f>
        <v/>
      </c>
      <c r="AT288" s="148" t="str">
        <f>IF($AN288=FALSE,"",IFERROR(IF(INDEX('Flat Rates'!$A$1:$M$3880,MATCH($AM288,'Flat Rates'!$A$1:$A$3880,0),MATCH("Evening and Weekend Rate",'Flat Rates'!$A$1:$M$1,0))=0,"",((INDEX('Flat Rates'!$A$1:$M$3880,MATCH($AM288,'Flat Rates'!$A$1:$A$3880,0),MATCH("Evening and Weekend Rate",'Flat Rates'!$A$1:$M$1,0)))*100)+H288),""))</f>
        <v/>
      </c>
      <c r="AU288" s="152" t="str">
        <f t="shared" si="125"/>
        <v/>
      </c>
      <c r="AV288" s="152" t="str">
        <f t="shared" si="126"/>
        <v/>
      </c>
      <c r="AW288" s="152" t="str">
        <f t="shared" si="127"/>
        <v/>
      </c>
    </row>
    <row r="289" spans="2:49" ht="15" thickBot="1" x14ac:dyDescent="0.35">
      <c r="B289" s="138" t="str">
        <f t="shared" si="104"/>
        <v/>
      </c>
      <c r="C289" s="137"/>
      <c r="D289" s="139"/>
      <c r="E289" s="140"/>
      <c r="F289" s="140"/>
      <c r="G289" s="139"/>
      <c r="H289" s="151"/>
      <c r="I289" s="139"/>
      <c r="J289" s="138"/>
      <c r="K289" s="139"/>
      <c r="L289" s="141"/>
      <c r="M289" s="133" t="str">
        <f t="shared" si="105"/>
        <v/>
      </c>
      <c r="N289" s="133" t="str">
        <f t="shared" si="106"/>
        <v/>
      </c>
      <c r="O289" s="133" t="str">
        <f t="shared" si="107"/>
        <v/>
      </c>
      <c r="P289" s="133" t="str">
        <f t="shared" si="108"/>
        <v/>
      </c>
      <c r="Q289" s="133" t="str">
        <f t="shared" si="109"/>
        <v/>
      </c>
      <c r="R289" s="133" t="str">
        <f t="shared" si="110"/>
        <v/>
      </c>
      <c r="S289" s="133" t="str">
        <f t="shared" si="111"/>
        <v/>
      </c>
      <c r="T289" s="133" t="str">
        <f>IFERROR(IF($U289="ERROR","ERROR",IF($N289="00",IF(J289="1-Rate","HH 1RATE",IF(J289="2-Rate","HH 2RATE","")),IFERROR(VLOOKUP(CONCATENATE(N289,Q289,O289,P289),Lookups!$A$2:$E$4557,5,0),VLOOKUP(CONCATENATE(N289,Q289,O289),Lookups!$A$2:$E$4557,5,0)))),"ERROR")</f>
        <v>ERROR</v>
      </c>
      <c r="U289" s="133" t="str">
        <f>IFERROR(IF(NOT($N289="00"),"",VLOOKUP(CONCATENATE(Q289,P289,LOOKUP(2,1/(Lookups!$I$2:$I$11&lt;=E289)/(Lookups!$J$2:$J$11&gt;=Tool!$C$14),Lookups!$K$2:$K$11)),'HH LLFs'!$A$2:$K$500,3,0)),"ERROR")</f>
        <v/>
      </c>
      <c r="V289" s="132">
        <f>Calcs!$I$2</f>
        <v>44377</v>
      </c>
      <c r="W289" s="132">
        <f>Calcs!$I$4</f>
        <v>44592</v>
      </c>
      <c r="X289" s="153" t="str">
        <f>IF(NOT(N289="00"),"",(VLOOKUP(CONCATENATE(Q289,P289,LOOKUP(2,1/(Lookups!$I$2:$I$11&lt;=Multisite!E289)/(Lookups!$J$2:$J$11&gt;=E289),Lookups!$K$2:$K$11)),'HH LLFs'!$A$2:$F$282,6,0)*365)/12)</f>
        <v/>
      </c>
      <c r="Y289" s="153">
        <f t="shared" si="112"/>
        <v>0</v>
      </c>
      <c r="Z289" s="153" t="str">
        <f t="shared" si="121"/>
        <v/>
      </c>
      <c r="AA289" s="153" t="str">
        <f t="shared" si="113"/>
        <v/>
      </c>
      <c r="AB289" s="153" t="str">
        <f t="shared" si="122"/>
        <v/>
      </c>
      <c r="AC289" s="153" t="str">
        <f t="shared" si="114"/>
        <v/>
      </c>
      <c r="AD289" s="153" t="str">
        <f t="shared" si="115"/>
        <v/>
      </c>
      <c r="AE289" s="153" t="str">
        <f t="shared" si="116"/>
        <v/>
      </c>
      <c r="AF289" s="155" t="e">
        <f>LOOKUP(2,1/(Lookups!$I$2:$I$11&lt;=E289)/(Lookups!$J$2:$J$11&gt;=E289),Lookups!$L$2:$L$11)</f>
        <v>#N/A</v>
      </c>
      <c r="AG289" s="142" t="str">
        <f t="shared" si="117"/>
        <v/>
      </c>
      <c r="AH289" s="142" t="str">
        <f t="shared" si="118"/>
        <v/>
      </c>
      <c r="AI289" s="143" t="b">
        <f t="shared" si="123"/>
        <v>0</v>
      </c>
      <c r="AJ289" s="143" t="str">
        <f t="shared" si="119"/>
        <v>Level 1</v>
      </c>
      <c r="AK289" s="142">
        <f t="shared" si="120"/>
        <v>0</v>
      </c>
      <c r="AL289" s="157" t="str">
        <f t="shared" si="128"/>
        <v/>
      </c>
      <c r="AM289" s="144" t="str">
        <f t="shared" si="129"/>
        <v>--FALSE-0</v>
      </c>
      <c r="AN289" s="158" t="str">
        <f t="shared" si="124"/>
        <v/>
      </c>
      <c r="AO289" s="145"/>
      <c r="AP289" s="159" t="str">
        <f>IF($AN289=FALSE,"",IFERROR(INDEX('Flat Rates'!$A$1:$M$3880,MATCH($AM289,'Flat Rates'!$A$1:$A$3880,0),MATCH("Standing Charge",'Flat Rates'!$A$1:$M$1,0))*100,""))</f>
        <v/>
      </c>
      <c r="AQ289" s="148" t="str">
        <f>IF($AN289=FALSE,"",IFERROR((IF(NOT(T289="Unrestricted"),"",INDEX('Flat Rates'!$A$1:$M$3880,MATCH($AM289,'Flat Rates'!$A$1:$A$3880,0),MATCH("Uni/Day Rate",'Flat Rates'!$A$1:$M$1,0)))*100)+H289,""))</f>
        <v/>
      </c>
      <c r="AR289" s="148" t="str">
        <f>IF($AN289=FALSE,"",IFERROR((IF(T289="Unrestricted","",INDEX('Flat Rates'!$A$1:$M$3880,MATCH($AM289,'Flat Rates'!$A$1:$A$3880,0),MATCH("Uni/Day Rate",'Flat Rates'!$A$1:$M$1,0)))*100)+H289,""))</f>
        <v/>
      </c>
      <c r="AS289" s="148" t="str">
        <f>IF($AN289=FALSE,"",IFERROR(IF(INDEX('Flat Rates'!$A$1:$M$3880,MATCH($AM289,'Flat Rates'!$A$1:$A$3880,0),MATCH("Night Unit Rate",'Flat Rates'!$A$1:$M$1,0))=0,"",((INDEX('Flat Rates'!$A$1:$M$3880,MATCH($AM289,'Flat Rates'!$A$1:$A$3880,0),MATCH("Night Unit Rate",'Flat Rates'!$A$1:$M$1,0)))*100)+H289),""))</f>
        <v/>
      </c>
      <c r="AT289" s="148" t="str">
        <f>IF($AN289=FALSE,"",IFERROR(IF(INDEX('Flat Rates'!$A$1:$M$3880,MATCH($AM289,'Flat Rates'!$A$1:$A$3880,0),MATCH("Evening and Weekend Rate",'Flat Rates'!$A$1:$M$1,0))=0,"",((INDEX('Flat Rates'!$A$1:$M$3880,MATCH($AM289,'Flat Rates'!$A$1:$A$3880,0),MATCH("Evening and Weekend Rate",'Flat Rates'!$A$1:$M$1,0)))*100)+H289),""))</f>
        <v/>
      </c>
      <c r="AU289" s="152" t="str">
        <f t="shared" si="125"/>
        <v/>
      </c>
      <c r="AV289" s="152" t="str">
        <f t="shared" si="126"/>
        <v/>
      </c>
      <c r="AW289" s="152" t="str">
        <f t="shared" si="127"/>
        <v/>
      </c>
    </row>
    <row r="290" spans="2:49" ht="15" thickBot="1" x14ac:dyDescent="0.35">
      <c r="B290" s="138" t="str">
        <f t="shared" si="104"/>
        <v/>
      </c>
      <c r="C290" s="146"/>
      <c r="D290" s="147"/>
      <c r="E290" s="140"/>
      <c r="F290" s="140"/>
      <c r="G290" s="139"/>
      <c r="H290" s="151"/>
      <c r="I290" s="139"/>
      <c r="J290" s="137"/>
      <c r="K290" s="139"/>
      <c r="L290" s="141"/>
      <c r="M290" s="133" t="str">
        <f t="shared" si="105"/>
        <v/>
      </c>
      <c r="N290" s="133" t="str">
        <f t="shared" si="106"/>
        <v/>
      </c>
      <c r="O290" s="133" t="str">
        <f t="shared" si="107"/>
        <v/>
      </c>
      <c r="P290" s="133" t="str">
        <f t="shared" si="108"/>
        <v/>
      </c>
      <c r="Q290" s="133" t="str">
        <f t="shared" si="109"/>
        <v/>
      </c>
      <c r="R290" s="133" t="str">
        <f t="shared" si="110"/>
        <v/>
      </c>
      <c r="S290" s="133" t="str">
        <f t="shared" si="111"/>
        <v/>
      </c>
      <c r="T290" s="133" t="str">
        <f>IFERROR(IF($U290="ERROR","ERROR",IF($N290="00",IF(J290="1-Rate","HH 1RATE",IF(J290="2-Rate","HH 2RATE","")),IFERROR(VLOOKUP(CONCATENATE(N290,Q290,O290,P290),Lookups!$A$2:$E$4557,5,0),VLOOKUP(CONCATENATE(N290,Q290,O290),Lookups!$A$2:$E$4557,5,0)))),"ERROR")</f>
        <v>ERROR</v>
      </c>
      <c r="U290" s="133" t="str">
        <f>IFERROR(IF(NOT($N290="00"),"",VLOOKUP(CONCATENATE(Q290,P290,LOOKUP(2,1/(Lookups!$I$2:$I$11&lt;=E290)/(Lookups!$J$2:$J$11&gt;=Tool!$C$14),Lookups!$K$2:$K$11)),'HH LLFs'!$A$2:$K$500,3,0)),"ERROR")</f>
        <v/>
      </c>
      <c r="V290" s="132">
        <f>Calcs!$I$2</f>
        <v>44377</v>
      </c>
      <c r="W290" s="132">
        <f>Calcs!$I$4</f>
        <v>44592</v>
      </c>
      <c r="X290" s="153" t="str">
        <f>IF(NOT(N290="00"),"",(VLOOKUP(CONCATENATE(Q290,P290,LOOKUP(2,1/(Lookups!$I$2:$I$11&lt;=Multisite!E290)/(Lookups!$J$2:$J$11&gt;=E290),Lookups!$K$2:$K$11)),'HH LLFs'!$A$2:$F$282,6,0)*365)/12)</f>
        <v/>
      </c>
      <c r="Y290" s="153">
        <f t="shared" si="112"/>
        <v>0</v>
      </c>
      <c r="Z290" s="153" t="str">
        <f t="shared" si="121"/>
        <v/>
      </c>
      <c r="AA290" s="153" t="str">
        <f t="shared" si="113"/>
        <v/>
      </c>
      <c r="AB290" s="153" t="str">
        <f t="shared" si="122"/>
        <v/>
      </c>
      <c r="AC290" s="153" t="str">
        <f t="shared" si="114"/>
        <v/>
      </c>
      <c r="AD290" s="153" t="str">
        <f t="shared" si="115"/>
        <v/>
      </c>
      <c r="AE290" s="153" t="str">
        <f t="shared" si="116"/>
        <v/>
      </c>
      <c r="AF290" s="155" t="e">
        <f>LOOKUP(2,1/(Lookups!$I$2:$I$11&lt;=E290)/(Lookups!$J$2:$J$11&gt;=E290),Lookups!$L$2:$L$11)</f>
        <v>#N/A</v>
      </c>
      <c r="AG290" s="142" t="str">
        <f t="shared" si="117"/>
        <v/>
      </c>
      <c r="AH290" s="142" t="str">
        <f t="shared" si="118"/>
        <v/>
      </c>
      <c r="AI290" s="143" t="b">
        <f t="shared" si="123"/>
        <v>0</v>
      </c>
      <c r="AJ290" s="143" t="str">
        <f t="shared" si="119"/>
        <v>Level 1</v>
      </c>
      <c r="AK290" s="142">
        <f t="shared" si="120"/>
        <v>0</v>
      </c>
      <c r="AL290" s="157" t="str">
        <f t="shared" si="128"/>
        <v/>
      </c>
      <c r="AM290" s="144" t="str">
        <f t="shared" si="129"/>
        <v>--FALSE-0</v>
      </c>
      <c r="AN290" s="158" t="str">
        <f t="shared" si="124"/>
        <v/>
      </c>
      <c r="AO290" s="145"/>
      <c r="AP290" s="159" t="str">
        <f>IF($AN290=FALSE,"",IFERROR(INDEX('Flat Rates'!$A$1:$M$3880,MATCH($AM290,'Flat Rates'!$A$1:$A$3880,0),MATCH("Standing Charge",'Flat Rates'!$A$1:$M$1,0))*100,""))</f>
        <v/>
      </c>
      <c r="AQ290" s="148" t="str">
        <f>IF($AN290=FALSE,"",IFERROR((IF(NOT(T290="Unrestricted"),"",INDEX('Flat Rates'!$A$1:$M$3880,MATCH($AM290,'Flat Rates'!$A$1:$A$3880,0),MATCH("Uni/Day Rate",'Flat Rates'!$A$1:$M$1,0)))*100)+H290,""))</f>
        <v/>
      </c>
      <c r="AR290" s="148" t="str">
        <f>IF($AN290=FALSE,"",IFERROR((IF(T290="Unrestricted","",INDEX('Flat Rates'!$A$1:$M$3880,MATCH($AM290,'Flat Rates'!$A$1:$A$3880,0),MATCH("Uni/Day Rate",'Flat Rates'!$A$1:$M$1,0)))*100)+H290,""))</f>
        <v/>
      </c>
      <c r="AS290" s="148" t="str">
        <f>IF($AN290=FALSE,"",IFERROR(IF(INDEX('Flat Rates'!$A$1:$M$3880,MATCH($AM290,'Flat Rates'!$A$1:$A$3880,0),MATCH("Night Unit Rate",'Flat Rates'!$A$1:$M$1,0))=0,"",((INDEX('Flat Rates'!$A$1:$M$3880,MATCH($AM290,'Flat Rates'!$A$1:$A$3880,0),MATCH("Night Unit Rate",'Flat Rates'!$A$1:$M$1,0)))*100)+H290),""))</f>
        <v/>
      </c>
      <c r="AT290" s="148" t="str">
        <f>IF($AN290=FALSE,"",IFERROR(IF(INDEX('Flat Rates'!$A$1:$M$3880,MATCH($AM290,'Flat Rates'!$A$1:$A$3880,0),MATCH("Evening and Weekend Rate",'Flat Rates'!$A$1:$M$1,0))=0,"",((INDEX('Flat Rates'!$A$1:$M$3880,MATCH($AM290,'Flat Rates'!$A$1:$A$3880,0),MATCH("Evening and Weekend Rate",'Flat Rates'!$A$1:$M$1,0)))*100)+H290),""))</f>
        <v/>
      </c>
      <c r="AU290" s="152" t="str">
        <f t="shared" si="125"/>
        <v/>
      </c>
      <c r="AV290" s="152" t="str">
        <f t="shared" si="126"/>
        <v/>
      </c>
      <c r="AW290" s="152" t="str">
        <f t="shared" si="127"/>
        <v/>
      </c>
    </row>
    <row r="291" spans="2:49" ht="15" thickBot="1" x14ac:dyDescent="0.35">
      <c r="B291" s="138" t="str">
        <f t="shared" si="104"/>
        <v/>
      </c>
      <c r="C291" s="137"/>
      <c r="D291" s="139"/>
      <c r="E291" s="140"/>
      <c r="F291" s="140"/>
      <c r="G291" s="139"/>
      <c r="H291" s="151"/>
      <c r="I291" s="139"/>
      <c r="J291" s="138"/>
      <c r="K291" s="139"/>
      <c r="L291" s="141"/>
      <c r="M291" s="133" t="str">
        <f t="shared" si="105"/>
        <v/>
      </c>
      <c r="N291" s="133" t="str">
        <f t="shared" si="106"/>
        <v/>
      </c>
      <c r="O291" s="133" t="str">
        <f t="shared" si="107"/>
        <v/>
      </c>
      <c r="P291" s="133" t="str">
        <f t="shared" si="108"/>
        <v/>
      </c>
      <c r="Q291" s="133" t="str">
        <f t="shared" si="109"/>
        <v/>
      </c>
      <c r="R291" s="133" t="str">
        <f t="shared" si="110"/>
        <v/>
      </c>
      <c r="S291" s="133" t="str">
        <f t="shared" si="111"/>
        <v/>
      </c>
      <c r="T291" s="133" t="str">
        <f>IFERROR(IF($U291="ERROR","ERROR",IF($N291="00",IF(J291="1-Rate","HH 1RATE",IF(J291="2-Rate","HH 2RATE","")),IFERROR(VLOOKUP(CONCATENATE(N291,Q291,O291,P291),Lookups!$A$2:$E$4557,5,0),VLOOKUP(CONCATENATE(N291,Q291,O291),Lookups!$A$2:$E$4557,5,0)))),"ERROR")</f>
        <v>ERROR</v>
      </c>
      <c r="U291" s="133" t="str">
        <f>IFERROR(IF(NOT($N291="00"),"",VLOOKUP(CONCATENATE(Q291,P291,LOOKUP(2,1/(Lookups!$I$2:$I$11&lt;=E291)/(Lookups!$J$2:$J$11&gt;=Tool!$C$14),Lookups!$K$2:$K$11)),'HH LLFs'!$A$2:$K$500,3,0)),"ERROR")</f>
        <v/>
      </c>
      <c r="V291" s="132">
        <f>Calcs!$I$2</f>
        <v>44377</v>
      </c>
      <c r="W291" s="132">
        <f>Calcs!$I$4</f>
        <v>44592</v>
      </c>
      <c r="X291" s="153" t="str">
        <f>IF(NOT(N291="00"),"",(VLOOKUP(CONCATENATE(Q291,P291,LOOKUP(2,1/(Lookups!$I$2:$I$11&lt;=Multisite!E291)/(Lookups!$J$2:$J$11&gt;=E291),Lookups!$K$2:$K$11)),'HH LLFs'!$A$2:$F$282,6,0)*365)/12)</f>
        <v/>
      </c>
      <c r="Y291" s="153">
        <f t="shared" si="112"/>
        <v>0</v>
      </c>
      <c r="Z291" s="153" t="str">
        <f t="shared" si="121"/>
        <v/>
      </c>
      <c r="AA291" s="153" t="str">
        <f t="shared" si="113"/>
        <v/>
      </c>
      <c r="AB291" s="153" t="str">
        <f t="shared" si="122"/>
        <v/>
      </c>
      <c r="AC291" s="153" t="str">
        <f t="shared" si="114"/>
        <v/>
      </c>
      <c r="AD291" s="153" t="str">
        <f t="shared" si="115"/>
        <v/>
      </c>
      <c r="AE291" s="153" t="str">
        <f t="shared" si="116"/>
        <v/>
      </c>
      <c r="AF291" s="155" t="e">
        <f>LOOKUP(2,1/(Lookups!$I$2:$I$11&lt;=E291)/(Lookups!$J$2:$J$11&gt;=E291),Lookups!$L$2:$L$11)</f>
        <v>#N/A</v>
      </c>
      <c r="AG291" s="142" t="str">
        <f t="shared" si="117"/>
        <v/>
      </c>
      <c r="AH291" s="142" t="str">
        <f t="shared" si="118"/>
        <v/>
      </c>
      <c r="AI291" s="143" t="b">
        <f t="shared" si="123"/>
        <v>0</v>
      </c>
      <c r="AJ291" s="143" t="str">
        <f t="shared" si="119"/>
        <v>Level 1</v>
      </c>
      <c r="AK291" s="142">
        <f t="shared" si="120"/>
        <v>0</v>
      </c>
      <c r="AL291" s="157" t="str">
        <f t="shared" si="128"/>
        <v/>
      </c>
      <c r="AM291" s="144" t="str">
        <f t="shared" si="129"/>
        <v>--FALSE-0</v>
      </c>
      <c r="AN291" s="158" t="str">
        <f t="shared" si="124"/>
        <v/>
      </c>
      <c r="AO291" s="145"/>
      <c r="AP291" s="159" t="str">
        <f>IF($AN291=FALSE,"",IFERROR(INDEX('Flat Rates'!$A$1:$M$3880,MATCH($AM291,'Flat Rates'!$A$1:$A$3880,0),MATCH("Standing Charge",'Flat Rates'!$A$1:$M$1,0))*100,""))</f>
        <v/>
      </c>
      <c r="AQ291" s="148" t="str">
        <f>IF($AN291=FALSE,"",IFERROR((IF(NOT(T291="Unrestricted"),"",INDEX('Flat Rates'!$A$1:$M$3880,MATCH($AM291,'Flat Rates'!$A$1:$A$3880,0),MATCH("Uni/Day Rate",'Flat Rates'!$A$1:$M$1,0)))*100)+H291,""))</f>
        <v/>
      </c>
      <c r="AR291" s="148" t="str">
        <f>IF($AN291=FALSE,"",IFERROR((IF(T291="Unrestricted","",INDEX('Flat Rates'!$A$1:$M$3880,MATCH($AM291,'Flat Rates'!$A$1:$A$3880,0),MATCH("Uni/Day Rate",'Flat Rates'!$A$1:$M$1,0)))*100)+H291,""))</f>
        <v/>
      </c>
      <c r="AS291" s="148" t="str">
        <f>IF($AN291=FALSE,"",IFERROR(IF(INDEX('Flat Rates'!$A$1:$M$3880,MATCH($AM291,'Flat Rates'!$A$1:$A$3880,0),MATCH("Night Unit Rate",'Flat Rates'!$A$1:$M$1,0))=0,"",((INDEX('Flat Rates'!$A$1:$M$3880,MATCH($AM291,'Flat Rates'!$A$1:$A$3880,0),MATCH("Night Unit Rate",'Flat Rates'!$A$1:$M$1,0)))*100)+H291),""))</f>
        <v/>
      </c>
      <c r="AT291" s="148" t="str">
        <f>IF($AN291=FALSE,"",IFERROR(IF(INDEX('Flat Rates'!$A$1:$M$3880,MATCH($AM291,'Flat Rates'!$A$1:$A$3880,0),MATCH("Evening and Weekend Rate",'Flat Rates'!$A$1:$M$1,0))=0,"",((INDEX('Flat Rates'!$A$1:$M$3880,MATCH($AM291,'Flat Rates'!$A$1:$A$3880,0),MATCH("Evening and Weekend Rate",'Flat Rates'!$A$1:$M$1,0)))*100)+H291),""))</f>
        <v/>
      </c>
      <c r="AU291" s="152" t="str">
        <f t="shared" si="125"/>
        <v/>
      </c>
      <c r="AV291" s="152" t="str">
        <f t="shared" si="126"/>
        <v/>
      </c>
      <c r="AW291" s="152" t="str">
        <f t="shared" si="127"/>
        <v/>
      </c>
    </row>
    <row r="292" spans="2:49" ht="15" thickBot="1" x14ac:dyDescent="0.35">
      <c r="B292" s="138" t="str">
        <f t="shared" si="104"/>
        <v/>
      </c>
      <c r="C292" s="146"/>
      <c r="D292" s="147"/>
      <c r="E292" s="140"/>
      <c r="F292" s="140"/>
      <c r="G292" s="139"/>
      <c r="H292" s="151"/>
      <c r="I292" s="139"/>
      <c r="J292" s="137"/>
      <c r="K292" s="139"/>
      <c r="L292" s="141"/>
      <c r="M292" s="133" t="str">
        <f t="shared" si="105"/>
        <v/>
      </c>
      <c r="N292" s="133" t="str">
        <f t="shared" si="106"/>
        <v/>
      </c>
      <c r="O292" s="133" t="str">
        <f t="shared" si="107"/>
        <v/>
      </c>
      <c r="P292" s="133" t="str">
        <f t="shared" si="108"/>
        <v/>
      </c>
      <c r="Q292" s="133" t="str">
        <f t="shared" si="109"/>
        <v/>
      </c>
      <c r="R292" s="133" t="str">
        <f t="shared" si="110"/>
        <v/>
      </c>
      <c r="S292" s="133" t="str">
        <f t="shared" si="111"/>
        <v/>
      </c>
      <c r="T292" s="133" t="str">
        <f>IFERROR(IF($U292="ERROR","ERROR",IF($N292="00",IF(J292="1-Rate","HH 1RATE",IF(J292="2-Rate","HH 2RATE","")),IFERROR(VLOOKUP(CONCATENATE(N292,Q292,O292,P292),Lookups!$A$2:$E$4557,5,0),VLOOKUP(CONCATENATE(N292,Q292,O292),Lookups!$A$2:$E$4557,5,0)))),"ERROR")</f>
        <v>ERROR</v>
      </c>
      <c r="U292" s="133" t="str">
        <f>IFERROR(IF(NOT($N292="00"),"",VLOOKUP(CONCATENATE(Q292,P292,LOOKUP(2,1/(Lookups!$I$2:$I$11&lt;=E292)/(Lookups!$J$2:$J$11&gt;=Tool!$C$14),Lookups!$K$2:$K$11)),'HH LLFs'!$A$2:$K$500,3,0)),"ERROR")</f>
        <v/>
      </c>
      <c r="V292" s="132">
        <f>Calcs!$I$2</f>
        <v>44377</v>
      </c>
      <c r="W292" s="132">
        <f>Calcs!$I$4</f>
        <v>44592</v>
      </c>
      <c r="X292" s="153" t="str">
        <f>IF(NOT(N292="00"),"",(VLOOKUP(CONCATENATE(Q292,P292,LOOKUP(2,1/(Lookups!$I$2:$I$11&lt;=Multisite!E292)/(Lookups!$J$2:$J$11&gt;=E292),Lookups!$K$2:$K$11)),'HH LLFs'!$A$2:$F$282,6,0)*365)/12)</f>
        <v/>
      </c>
      <c r="Y292" s="153">
        <f t="shared" si="112"/>
        <v>0</v>
      </c>
      <c r="Z292" s="153" t="str">
        <f t="shared" si="121"/>
        <v/>
      </c>
      <c r="AA292" s="153" t="str">
        <f t="shared" si="113"/>
        <v/>
      </c>
      <c r="AB292" s="153" t="str">
        <f t="shared" si="122"/>
        <v/>
      </c>
      <c r="AC292" s="153" t="str">
        <f t="shared" si="114"/>
        <v/>
      </c>
      <c r="AD292" s="153" t="str">
        <f t="shared" si="115"/>
        <v/>
      </c>
      <c r="AE292" s="153" t="str">
        <f t="shared" si="116"/>
        <v/>
      </c>
      <c r="AF292" s="155" t="e">
        <f>LOOKUP(2,1/(Lookups!$I$2:$I$11&lt;=E292)/(Lookups!$J$2:$J$11&gt;=E292),Lookups!$L$2:$L$11)</f>
        <v>#N/A</v>
      </c>
      <c r="AG292" s="142" t="str">
        <f t="shared" si="117"/>
        <v/>
      </c>
      <c r="AH292" s="142" t="str">
        <f t="shared" si="118"/>
        <v/>
      </c>
      <c r="AI292" s="143" t="b">
        <f t="shared" si="123"/>
        <v>0</v>
      </c>
      <c r="AJ292" s="143" t="str">
        <f t="shared" si="119"/>
        <v>Level 1</v>
      </c>
      <c r="AK292" s="142">
        <f t="shared" si="120"/>
        <v>0</v>
      </c>
      <c r="AL292" s="157" t="str">
        <f t="shared" si="128"/>
        <v/>
      </c>
      <c r="AM292" s="144" t="str">
        <f t="shared" si="129"/>
        <v>--FALSE-0</v>
      </c>
      <c r="AN292" s="158" t="str">
        <f t="shared" si="124"/>
        <v/>
      </c>
      <c r="AO292" s="145"/>
      <c r="AP292" s="159" t="str">
        <f>IF($AN292=FALSE,"",IFERROR(INDEX('Flat Rates'!$A$1:$M$3880,MATCH($AM292,'Flat Rates'!$A$1:$A$3880,0),MATCH("Standing Charge",'Flat Rates'!$A$1:$M$1,0))*100,""))</f>
        <v/>
      </c>
      <c r="AQ292" s="148" t="str">
        <f>IF($AN292=FALSE,"",IFERROR((IF(NOT(T292="Unrestricted"),"",INDEX('Flat Rates'!$A$1:$M$3880,MATCH($AM292,'Flat Rates'!$A$1:$A$3880,0),MATCH("Uni/Day Rate",'Flat Rates'!$A$1:$M$1,0)))*100)+H292,""))</f>
        <v/>
      </c>
      <c r="AR292" s="148" t="str">
        <f>IF($AN292=FALSE,"",IFERROR((IF(T292="Unrestricted","",INDEX('Flat Rates'!$A$1:$M$3880,MATCH($AM292,'Flat Rates'!$A$1:$A$3880,0),MATCH("Uni/Day Rate",'Flat Rates'!$A$1:$M$1,0)))*100)+H292,""))</f>
        <v/>
      </c>
      <c r="AS292" s="148" t="str">
        <f>IF($AN292=FALSE,"",IFERROR(IF(INDEX('Flat Rates'!$A$1:$M$3880,MATCH($AM292,'Flat Rates'!$A$1:$A$3880,0),MATCH("Night Unit Rate",'Flat Rates'!$A$1:$M$1,0))=0,"",((INDEX('Flat Rates'!$A$1:$M$3880,MATCH($AM292,'Flat Rates'!$A$1:$A$3880,0),MATCH("Night Unit Rate",'Flat Rates'!$A$1:$M$1,0)))*100)+H292),""))</f>
        <v/>
      </c>
      <c r="AT292" s="148" t="str">
        <f>IF($AN292=FALSE,"",IFERROR(IF(INDEX('Flat Rates'!$A$1:$M$3880,MATCH($AM292,'Flat Rates'!$A$1:$A$3880,0),MATCH("Evening and Weekend Rate",'Flat Rates'!$A$1:$M$1,0))=0,"",((INDEX('Flat Rates'!$A$1:$M$3880,MATCH($AM292,'Flat Rates'!$A$1:$A$3880,0),MATCH("Evening and Weekend Rate",'Flat Rates'!$A$1:$M$1,0)))*100)+H292),""))</f>
        <v/>
      </c>
      <c r="AU292" s="152" t="str">
        <f t="shared" si="125"/>
        <v/>
      </c>
      <c r="AV292" s="152" t="str">
        <f t="shared" si="126"/>
        <v/>
      </c>
      <c r="AW292" s="152" t="str">
        <f t="shared" si="127"/>
        <v/>
      </c>
    </row>
    <row r="293" spans="2:49" ht="15" thickBot="1" x14ac:dyDescent="0.35">
      <c r="B293" s="138" t="str">
        <f t="shared" si="104"/>
        <v/>
      </c>
      <c r="C293" s="137"/>
      <c r="D293" s="139"/>
      <c r="E293" s="140"/>
      <c r="F293" s="140"/>
      <c r="G293" s="139"/>
      <c r="H293" s="151"/>
      <c r="I293" s="139"/>
      <c r="J293" s="138"/>
      <c r="K293" s="139"/>
      <c r="L293" s="141"/>
      <c r="M293" s="133" t="str">
        <f t="shared" si="105"/>
        <v/>
      </c>
      <c r="N293" s="133" t="str">
        <f t="shared" si="106"/>
        <v/>
      </c>
      <c r="O293" s="133" t="str">
        <f t="shared" si="107"/>
        <v/>
      </c>
      <c r="P293" s="133" t="str">
        <f t="shared" si="108"/>
        <v/>
      </c>
      <c r="Q293" s="133" t="str">
        <f t="shared" si="109"/>
        <v/>
      </c>
      <c r="R293" s="133" t="str">
        <f t="shared" si="110"/>
        <v/>
      </c>
      <c r="S293" s="133" t="str">
        <f t="shared" si="111"/>
        <v/>
      </c>
      <c r="T293" s="133" t="str">
        <f>IFERROR(IF($U293="ERROR","ERROR",IF($N293="00",IF(J293="1-Rate","HH 1RATE",IF(J293="2-Rate","HH 2RATE","")),IFERROR(VLOOKUP(CONCATENATE(N293,Q293,O293,P293),Lookups!$A$2:$E$4557,5,0),VLOOKUP(CONCATENATE(N293,Q293,O293),Lookups!$A$2:$E$4557,5,0)))),"ERROR")</f>
        <v>ERROR</v>
      </c>
      <c r="U293" s="133" t="str">
        <f>IFERROR(IF(NOT($N293="00"),"",VLOOKUP(CONCATENATE(Q293,P293,LOOKUP(2,1/(Lookups!$I$2:$I$11&lt;=E293)/(Lookups!$J$2:$J$11&gt;=Tool!$C$14),Lookups!$K$2:$K$11)),'HH LLFs'!$A$2:$K$500,3,0)),"ERROR")</f>
        <v/>
      </c>
      <c r="V293" s="132">
        <f>Calcs!$I$2</f>
        <v>44377</v>
      </c>
      <c r="W293" s="132">
        <f>Calcs!$I$4</f>
        <v>44592</v>
      </c>
      <c r="X293" s="153" t="str">
        <f>IF(NOT(N293="00"),"",(VLOOKUP(CONCATENATE(Q293,P293,LOOKUP(2,1/(Lookups!$I$2:$I$11&lt;=Multisite!E293)/(Lookups!$J$2:$J$11&gt;=E293),Lookups!$K$2:$K$11)),'HH LLFs'!$A$2:$F$282,6,0)*365)/12)</f>
        <v/>
      </c>
      <c r="Y293" s="153">
        <f t="shared" si="112"/>
        <v>0</v>
      </c>
      <c r="Z293" s="153" t="str">
        <f t="shared" si="121"/>
        <v/>
      </c>
      <c r="AA293" s="153" t="str">
        <f t="shared" si="113"/>
        <v/>
      </c>
      <c r="AB293" s="153" t="str">
        <f t="shared" si="122"/>
        <v/>
      </c>
      <c r="AC293" s="153" t="str">
        <f t="shared" si="114"/>
        <v/>
      </c>
      <c r="AD293" s="153" t="str">
        <f t="shared" si="115"/>
        <v/>
      </c>
      <c r="AE293" s="153" t="str">
        <f t="shared" si="116"/>
        <v/>
      </c>
      <c r="AF293" s="155" t="e">
        <f>LOOKUP(2,1/(Lookups!$I$2:$I$11&lt;=E293)/(Lookups!$J$2:$J$11&gt;=E293),Lookups!$L$2:$L$11)</f>
        <v>#N/A</v>
      </c>
      <c r="AG293" s="142" t="str">
        <f t="shared" si="117"/>
        <v/>
      </c>
      <c r="AH293" s="142" t="str">
        <f t="shared" si="118"/>
        <v/>
      </c>
      <c r="AI293" s="143" t="b">
        <f t="shared" si="123"/>
        <v>0</v>
      </c>
      <c r="AJ293" s="143" t="str">
        <f t="shared" si="119"/>
        <v>Level 1</v>
      </c>
      <c r="AK293" s="142">
        <f t="shared" si="120"/>
        <v>0</v>
      </c>
      <c r="AL293" s="157" t="str">
        <f t="shared" si="128"/>
        <v/>
      </c>
      <c r="AM293" s="144" t="str">
        <f t="shared" si="129"/>
        <v>--FALSE-0</v>
      </c>
      <c r="AN293" s="158" t="str">
        <f t="shared" si="124"/>
        <v/>
      </c>
      <c r="AO293" s="145"/>
      <c r="AP293" s="159" t="str">
        <f>IF($AN293=FALSE,"",IFERROR(INDEX('Flat Rates'!$A$1:$M$3880,MATCH($AM293,'Flat Rates'!$A$1:$A$3880,0),MATCH("Standing Charge",'Flat Rates'!$A$1:$M$1,0))*100,""))</f>
        <v/>
      </c>
      <c r="AQ293" s="148" t="str">
        <f>IF($AN293=FALSE,"",IFERROR((IF(NOT(T293="Unrestricted"),"",INDEX('Flat Rates'!$A$1:$M$3880,MATCH($AM293,'Flat Rates'!$A$1:$A$3880,0),MATCH("Uni/Day Rate",'Flat Rates'!$A$1:$M$1,0)))*100)+H293,""))</f>
        <v/>
      </c>
      <c r="AR293" s="148" t="str">
        <f>IF($AN293=FALSE,"",IFERROR((IF(T293="Unrestricted","",INDEX('Flat Rates'!$A$1:$M$3880,MATCH($AM293,'Flat Rates'!$A$1:$A$3880,0),MATCH("Uni/Day Rate",'Flat Rates'!$A$1:$M$1,0)))*100)+H293,""))</f>
        <v/>
      </c>
      <c r="AS293" s="148" t="str">
        <f>IF($AN293=FALSE,"",IFERROR(IF(INDEX('Flat Rates'!$A$1:$M$3880,MATCH($AM293,'Flat Rates'!$A$1:$A$3880,0),MATCH("Night Unit Rate",'Flat Rates'!$A$1:$M$1,0))=0,"",((INDEX('Flat Rates'!$A$1:$M$3880,MATCH($AM293,'Flat Rates'!$A$1:$A$3880,0),MATCH("Night Unit Rate",'Flat Rates'!$A$1:$M$1,0)))*100)+H293),""))</f>
        <v/>
      </c>
      <c r="AT293" s="148" t="str">
        <f>IF($AN293=FALSE,"",IFERROR(IF(INDEX('Flat Rates'!$A$1:$M$3880,MATCH($AM293,'Flat Rates'!$A$1:$A$3880,0),MATCH("Evening and Weekend Rate",'Flat Rates'!$A$1:$M$1,0))=0,"",((INDEX('Flat Rates'!$A$1:$M$3880,MATCH($AM293,'Flat Rates'!$A$1:$A$3880,0),MATCH("Evening and Weekend Rate",'Flat Rates'!$A$1:$M$1,0)))*100)+H293),""))</f>
        <v/>
      </c>
      <c r="AU293" s="152" t="str">
        <f t="shared" si="125"/>
        <v/>
      </c>
      <c r="AV293" s="152" t="str">
        <f t="shared" si="126"/>
        <v/>
      </c>
      <c r="AW293" s="152" t="str">
        <f t="shared" si="127"/>
        <v/>
      </c>
    </row>
    <row r="294" spans="2:49" ht="15" thickBot="1" x14ac:dyDescent="0.35">
      <c r="B294" s="138" t="str">
        <f t="shared" si="104"/>
        <v/>
      </c>
      <c r="C294" s="146"/>
      <c r="D294" s="147"/>
      <c r="E294" s="140"/>
      <c r="F294" s="140"/>
      <c r="G294" s="139"/>
      <c r="H294" s="151"/>
      <c r="I294" s="139"/>
      <c r="J294" s="137"/>
      <c r="K294" s="139"/>
      <c r="L294" s="141"/>
      <c r="M294" s="133" t="str">
        <f t="shared" si="105"/>
        <v/>
      </c>
      <c r="N294" s="133" t="str">
        <f t="shared" si="106"/>
        <v/>
      </c>
      <c r="O294" s="133" t="str">
        <f t="shared" si="107"/>
        <v/>
      </c>
      <c r="P294" s="133" t="str">
        <f t="shared" si="108"/>
        <v/>
      </c>
      <c r="Q294" s="133" t="str">
        <f t="shared" si="109"/>
        <v/>
      </c>
      <c r="R294" s="133" t="str">
        <f t="shared" si="110"/>
        <v/>
      </c>
      <c r="S294" s="133" t="str">
        <f t="shared" si="111"/>
        <v/>
      </c>
      <c r="T294" s="133" t="str">
        <f>IFERROR(IF($U294="ERROR","ERROR",IF($N294="00",IF(J294="1-Rate","HH 1RATE",IF(J294="2-Rate","HH 2RATE","")),IFERROR(VLOOKUP(CONCATENATE(N294,Q294,O294,P294),Lookups!$A$2:$E$4557,5,0),VLOOKUP(CONCATENATE(N294,Q294,O294),Lookups!$A$2:$E$4557,5,0)))),"ERROR")</f>
        <v>ERROR</v>
      </c>
      <c r="U294" s="133" t="str">
        <f>IFERROR(IF(NOT($N294="00"),"",VLOOKUP(CONCATENATE(Q294,P294,LOOKUP(2,1/(Lookups!$I$2:$I$11&lt;=E294)/(Lookups!$J$2:$J$11&gt;=Tool!$C$14),Lookups!$K$2:$K$11)),'HH LLFs'!$A$2:$K$500,3,0)),"ERROR")</f>
        <v/>
      </c>
      <c r="V294" s="132">
        <f>Calcs!$I$2</f>
        <v>44377</v>
      </c>
      <c r="W294" s="132">
        <f>Calcs!$I$4</f>
        <v>44592</v>
      </c>
      <c r="X294" s="153" t="str">
        <f>IF(NOT(N294="00"),"",(VLOOKUP(CONCATENATE(Q294,P294,LOOKUP(2,1/(Lookups!$I$2:$I$11&lt;=Multisite!E294)/(Lookups!$J$2:$J$11&gt;=E294),Lookups!$K$2:$K$11)),'HH LLFs'!$A$2:$F$282,6,0)*365)/12)</f>
        <v/>
      </c>
      <c r="Y294" s="153">
        <f t="shared" si="112"/>
        <v>0</v>
      </c>
      <c r="Z294" s="153" t="str">
        <f t="shared" si="121"/>
        <v/>
      </c>
      <c r="AA294" s="153" t="str">
        <f t="shared" si="113"/>
        <v/>
      </c>
      <c r="AB294" s="153" t="str">
        <f t="shared" si="122"/>
        <v/>
      </c>
      <c r="AC294" s="153" t="str">
        <f t="shared" si="114"/>
        <v/>
      </c>
      <c r="AD294" s="153" t="str">
        <f t="shared" si="115"/>
        <v/>
      </c>
      <c r="AE294" s="153" t="str">
        <f t="shared" si="116"/>
        <v/>
      </c>
      <c r="AF294" s="155" t="e">
        <f>LOOKUP(2,1/(Lookups!$I$2:$I$11&lt;=E294)/(Lookups!$J$2:$J$11&gt;=E294),Lookups!$L$2:$L$11)</f>
        <v>#N/A</v>
      </c>
      <c r="AG294" s="142" t="str">
        <f t="shared" si="117"/>
        <v/>
      </c>
      <c r="AH294" s="142" t="str">
        <f t="shared" si="118"/>
        <v/>
      </c>
      <c r="AI294" s="143" t="b">
        <f t="shared" si="123"/>
        <v>0</v>
      </c>
      <c r="AJ294" s="143" t="str">
        <f t="shared" si="119"/>
        <v>Level 1</v>
      </c>
      <c r="AK294" s="142">
        <f t="shared" si="120"/>
        <v>0</v>
      </c>
      <c r="AL294" s="157" t="str">
        <f t="shared" si="128"/>
        <v/>
      </c>
      <c r="AM294" s="144" t="str">
        <f t="shared" si="129"/>
        <v>--FALSE-0</v>
      </c>
      <c r="AN294" s="158" t="str">
        <f t="shared" si="124"/>
        <v/>
      </c>
      <c r="AO294" s="145"/>
      <c r="AP294" s="159" t="str">
        <f>IF($AN294=FALSE,"",IFERROR(INDEX('Flat Rates'!$A$1:$M$3880,MATCH($AM294,'Flat Rates'!$A$1:$A$3880,0),MATCH("Standing Charge",'Flat Rates'!$A$1:$M$1,0))*100,""))</f>
        <v/>
      </c>
      <c r="AQ294" s="148" t="str">
        <f>IF($AN294=FALSE,"",IFERROR((IF(NOT(T294="Unrestricted"),"",INDEX('Flat Rates'!$A$1:$M$3880,MATCH($AM294,'Flat Rates'!$A$1:$A$3880,0),MATCH("Uni/Day Rate",'Flat Rates'!$A$1:$M$1,0)))*100)+H294,""))</f>
        <v/>
      </c>
      <c r="AR294" s="148" t="str">
        <f>IF($AN294=FALSE,"",IFERROR((IF(T294="Unrestricted","",INDEX('Flat Rates'!$A$1:$M$3880,MATCH($AM294,'Flat Rates'!$A$1:$A$3880,0),MATCH("Uni/Day Rate",'Flat Rates'!$A$1:$M$1,0)))*100)+H294,""))</f>
        <v/>
      </c>
      <c r="AS294" s="148" t="str">
        <f>IF($AN294=FALSE,"",IFERROR(IF(INDEX('Flat Rates'!$A$1:$M$3880,MATCH($AM294,'Flat Rates'!$A$1:$A$3880,0),MATCH("Night Unit Rate",'Flat Rates'!$A$1:$M$1,0))=0,"",((INDEX('Flat Rates'!$A$1:$M$3880,MATCH($AM294,'Flat Rates'!$A$1:$A$3880,0),MATCH("Night Unit Rate",'Flat Rates'!$A$1:$M$1,0)))*100)+H294),""))</f>
        <v/>
      </c>
      <c r="AT294" s="148" t="str">
        <f>IF($AN294=FALSE,"",IFERROR(IF(INDEX('Flat Rates'!$A$1:$M$3880,MATCH($AM294,'Flat Rates'!$A$1:$A$3880,0),MATCH("Evening and Weekend Rate",'Flat Rates'!$A$1:$M$1,0))=0,"",((INDEX('Flat Rates'!$A$1:$M$3880,MATCH($AM294,'Flat Rates'!$A$1:$A$3880,0),MATCH("Evening and Weekend Rate",'Flat Rates'!$A$1:$M$1,0)))*100)+H294),""))</f>
        <v/>
      </c>
      <c r="AU294" s="152" t="str">
        <f t="shared" si="125"/>
        <v/>
      </c>
      <c r="AV294" s="152" t="str">
        <f t="shared" si="126"/>
        <v/>
      </c>
      <c r="AW294" s="152" t="str">
        <f t="shared" si="127"/>
        <v/>
      </c>
    </row>
    <row r="295" spans="2:49" ht="15" thickBot="1" x14ac:dyDescent="0.35">
      <c r="B295" s="138" t="str">
        <f t="shared" si="104"/>
        <v/>
      </c>
      <c r="C295" s="137"/>
      <c r="D295" s="139"/>
      <c r="E295" s="140"/>
      <c r="F295" s="140"/>
      <c r="G295" s="139"/>
      <c r="H295" s="151"/>
      <c r="I295" s="139"/>
      <c r="J295" s="138"/>
      <c r="K295" s="139"/>
      <c r="L295" s="141"/>
      <c r="M295" s="133" t="str">
        <f t="shared" si="105"/>
        <v/>
      </c>
      <c r="N295" s="133" t="str">
        <f t="shared" si="106"/>
        <v/>
      </c>
      <c r="O295" s="133" t="str">
        <f t="shared" si="107"/>
        <v/>
      </c>
      <c r="P295" s="133" t="str">
        <f t="shared" si="108"/>
        <v/>
      </c>
      <c r="Q295" s="133" t="str">
        <f t="shared" si="109"/>
        <v/>
      </c>
      <c r="R295" s="133" t="str">
        <f t="shared" si="110"/>
        <v/>
      </c>
      <c r="S295" s="133" t="str">
        <f t="shared" si="111"/>
        <v/>
      </c>
      <c r="T295" s="133" t="str">
        <f>IFERROR(IF($U295="ERROR","ERROR",IF($N295="00",IF(J295="1-Rate","HH 1RATE",IF(J295="2-Rate","HH 2RATE","")),IFERROR(VLOOKUP(CONCATENATE(N295,Q295,O295,P295),Lookups!$A$2:$E$4557,5,0),VLOOKUP(CONCATENATE(N295,Q295,O295),Lookups!$A$2:$E$4557,5,0)))),"ERROR")</f>
        <v>ERROR</v>
      </c>
      <c r="U295" s="133" t="str">
        <f>IFERROR(IF(NOT($N295="00"),"",VLOOKUP(CONCATENATE(Q295,P295,LOOKUP(2,1/(Lookups!$I$2:$I$11&lt;=E295)/(Lookups!$J$2:$J$11&gt;=Tool!$C$14),Lookups!$K$2:$K$11)),'HH LLFs'!$A$2:$K$500,3,0)),"ERROR")</f>
        <v/>
      </c>
      <c r="V295" s="132">
        <f>Calcs!$I$2</f>
        <v>44377</v>
      </c>
      <c r="W295" s="132">
        <f>Calcs!$I$4</f>
        <v>44592</v>
      </c>
      <c r="X295" s="153" t="str">
        <f>IF(NOT(N295="00"),"",(VLOOKUP(CONCATENATE(Q295,P295,LOOKUP(2,1/(Lookups!$I$2:$I$11&lt;=Multisite!E295)/(Lookups!$J$2:$J$11&gt;=E295),Lookups!$K$2:$K$11)),'HH LLFs'!$A$2:$F$282,6,0)*365)/12)</f>
        <v/>
      </c>
      <c r="Y295" s="153">
        <f t="shared" si="112"/>
        <v>0</v>
      </c>
      <c r="Z295" s="153" t="str">
        <f t="shared" si="121"/>
        <v/>
      </c>
      <c r="AA295" s="153" t="str">
        <f t="shared" si="113"/>
        <v/>
      </c>
      <c r="AB295" s="153" t="str">
        <f t="shared" si="122"/>
        <v/>
      </c>
      <c r="AC295" s="153" t="str">
        <f t="shared" si="114"/>
        <v/>
      </c>
      <c r="AD295" s="153" t="str">
        <f t="shared" si="115"/>
        <v/>
      </c>
      <c r="AE295" s="153" t="str">
        <f t="shared" si="116"/>
        <v/>
      </c>
      <c r="AF295" s="155" t="e">
        <f>LOOKUP(2,1/(Lookups!$I$2:$I$11&lt;=E295)/(Lookups!$J$2:$J$11&gt;=E295),Lookups!$L$2:$L$11)</f>
        <v>#N/A</v>
      </c>
      <c r="AG295" s="142" t="str">
        <f t="shared" si="117"/>
        <v/>
      </c>
      <c r="AH295" s="142" t="str">
        <f t="shared" si="118"/>
        <v/>
      </c>
      <c r="AI295" s="143" t="b">
        <f t="shared" si="123"/>
        <v>0</v>
      </c>
      <c r="AJ295" s="143" t="str">
        <f t="shared" si="119"/>
        <v>Level 1</v>
      </c>
      <c r="AK295" s="142">
        <f t="shared" si="120"/>
        <v>0</v>
      </c>
      <c r="AL295" s="157" t="str">
        <f t="shared" si="128"/>
        <v/>
      </c>
      <c r="AM295" s="144" t="str">
        <f t="shared" si="129"/>
        <v>--FALSE-0</v>
      </c>
      <c r="AN295" s="158" t="str">
        <f t="shared" si="124"/>
        <v/>
      </c>
      <c r="AO295" s="145"/>
      <c r="AP295" s="159" t="str">
        <f>IF($AN295=FALSE,"",IFERROR(INDEX('Flat Rates'!$A$1:$M$3880,MATCH($AM295,'Flat Rates'!$A$1:$A$3880,0),MATCH("Standing Charge",'Flat Rates'!$A$1:$M$1,0))*100,""))</f>
        <v/>
      </c>
      <c r="AQ295" s="148" t="str">
        <f>IF($AN295=FALSE,"",IFERROR((IF(NOT(T295="Unrestricted"),"",INDEX('Flat Rates'!$A$1:$M$3880,MATCH($AM295,'Flat Rates'!$A$1:$A$3880,0),MATCH("Uni/Day Rate",'Flat Rates'!$A$1:$M$1,0)))*100)+H295,""))</f>
        <v/>
      </c>
      <c r="AR295" s="148" t="str">
        <f>IF($AN295=FALSE,"",IFERROR((IF(T295="Unrestricted","",INDEX('Flat Rates'!$A$1:$M$3880,MATCH($AM295,'Flat Rates'!$A$1:$A$3880,0),MATCH("Uni/Day Rate",'Flat Rates'!$A$1:$M$1,0)))*100)+H295,""))</f>
        <v/>
      </c>
      <c r="AS295" s="148" t="str">
        <f>IF($AN295=FALSE,"",IFERROR(IF(INDEX('Flat Rates'!$A$1:$M$3880,MATCH($AM295,'Flat Rates'!$A$1:$A$3880,0),MATCH("Night Unit Rate",'Flat Rates'!$A$1:$M$1,0))=0,"",((INDEX('Flat Rates'!$A$1:$M$3880,MATCH($AM295,'Flat Rates'!$A$1:$A$3880,0),MATCH("Night Unit Rate",'Flat Rates'!$A$1:$M$1,0)))*100)+H295),""))</f>
        <v/>
      </c>
      <c r="AT295" s="148" t="str">
        <f>IF($AN295=FALSE,"",IFERROR(IF(INDEX('Flat Rates'!$A$1:$M$3880,MATCH($AM295,'Flat Rates'!$A$1:$A$3880,0),MATCH("Evening and Weekend Rate",'Flat Rates'!$A$1:$M$1,0))=0,"",((INDEX('Flat Rates'!$A$1:$M$3880,MATCH($AM295,'Flat Rates'!$A$1:$A$3880,0),MATCH("Evening and Weekend Rate",'Flat Rates'!$A$1:$M$1,0)))*100)+H295),""))</f>
        <v/>
      </c>
      <c r="AU295" s="152" t="str">
        <f t="shared" si="125"/>
        <v/>
      </c>
      <c r="AV295" s="152" t="str">
        <f t="shared" si="126"/>
        <v/>
      </c>
      <c r="AW295" s="152" t="str">
        <f t="shared" si="127"/>
        <v/>
      </c>
    </row>
    <row r="296" spans="2:49" ht="15" thickBot="1" x14ac:dyDescent="0.35">
      <c r="B296" s="138" t="str">
        <f t="shared" si="104"/>
        <v/>
      </c>
      <c r="C296" s="146"/>
      <c r="D296" s="147"/>
      <c r="E296" s="140"/>
      <c r="F296" s="140"/>
      <c r="G296" s="139"/>
      <c r="H296" s="151"/>
      <c r="I296" s="139"/>
      <c r="J296" s="137"/>
      <c r="K296" s="139"/>
      <c r="L296" s="141"/>
      <c r="M296" s="133" t="str">
        <f t="shared" si="105"/>
        <v/>
      </c>
      <c r="N296" s="133" t="str">
        <f t="shared" si="106"/>
        <v/>
      </c>
      <c r="O296" s="133" t="str">
        <f t="shared" si="107"/>
        <v/>
      </c>
      <c r="P296" s="133" t="str">
        <f t="shared" si="108"/>
        <v/>
      </c>
      <c r="Q296" s="133" t="str">
        <f t="shared" si="109"/>
        <v/>
      </c>
      <c r="R296" s="133" t="str">
        <f t="shared" si="110"/>
        <v/>
      </c>
      <c r="S296" s="133" t="str">
        <f t="shared" si="111"/>
        <v/>
      </c>
      <c r="T296" s="133" t="str">
        <f>IFERROR(IF($U296="ERROR","ERROR",IF($N296="00",IF(J296="1-Rate","HH 1RATE",IF(J296="2-Rate","HH 2RATE","")),IFERROR(VLOOKUP(CONCATENATE(N296,Q296,O296,P296),Lookups!$A$2:$E$4557,5,0),VLOOKUP(CONCATENATE(N296,Q296,O296),Lookups!$A$2:$E$4557,5,0)))),"ERROR")</f>
        <v>ERROR</v>
      </c>
      <c r="U296" s="133" t="str">
        <f>IFERROR(IF(NOT($N296="00"),"",VLOOKUP(CONCATENATE(Q296,P296,LOOKUP(2,1/(Lookups!$I$2:$I$11&lt;=E296)/(Lookups!$J$2:$J$11&gt;=Tool!$C$14),Lookups!$K$2:$K$11)),'HH LLFs'!$A$2:$K$500,3,0)),"ERROR")</f>
        <v/>
      </c>
      <c r="V296" s="132">
        <f>Calcs!$I$2</f>
        <v>44377</v>
      </c>
      <c r="W296" s="132">
        <f>Calcs!$I$4</f>
        <v>44592</v>
      </c>
      <c r="X296" s="153" t="str">
        <f>IF(NOT(N296="00"),"",(VLOOKUP(CONCATENATE(Q296,P296,LOOKUP(2,1/(Lookups!$I$2:$I$11&lt;=Multisite!E296)/(Lookups!$J$2:$J$11&gt;=E296),Lookups!$K$2:$K$11)),'HH LLFs'!$A$2:$F$282,6,0)*365)/12)</f>
        <v/>
      </c>
      <c r="Y296" s="153">
        <f t="shared" si="112"/>
        <v>0</v>
      </c>
      <c r="Z296" s="153" t="str">
        <f t="shared" si="121"/>
        <v/>
      </c>
      <c r="AA296" s="153" t="str">
        <f t="shared" si="113"/>
        <v/>
      </c>
      <c r="AB296" s="153" t="str">
        <f t="shared" si="122"/>
        <v/>
      </c>
      <c r="AC296" s="153" t="str">
        <f t="shared" si="114"/>
        <v/>
      </c>
      <c r="AD296" s="153" t="str">
        <f t="shared" si="115"/>
        <v/>
      </c>
      <c r="AE296" s="153" t="str">
        <f t="shared" si="116"/>
        <v/>
      </c>
      <c r="AF296" s="155" t="e">
        <f>LOOKUP(2,1/(Lookups!$I$2:$I$11&lt;=E296)/(Lookups!$J$2:$J$11&gt;=E296),Lookups!$L$2:$L$11)</f>
        <v>#N/A</v>
      </c>
      <c r="AG296" s="142" t="str">
        <f t="shared" si="117"/>
        <v/>
      </c>
      <c r="AH296" s="142" t="str">
        <f t="shared" si="118"/>
        <v/>
      </c>
      <c r="AI296" s="143" t="b">
        <f t="shared" si="123"/>
        <v>0</v>
      </c>
      <c r="AJ296" s="143" t="str">
        <f t="shared" si="119"/>
        <v>Level 1</v>
      </c>
      <c r="AK296" s="142">
        <f t="shared" si="120"/>
        <v>0</v>
      </c>
      <c r="AL296" s="157" t="str">
        <f t="shared" si="128"/>
        <v/>
      </c>
      <c r="AM296" s="144" t="str">
        <f t="shared" si="129"/>
        <v>--FALSE-0</v>
      </c>
      <c r="AN296" s="158" t="str">
        <f t="shared" si="124"/>
        <v/>
      </c>
      <c r="AO296" s="145"/>
      <c r="AP296" s="159" t="str">
        <f>IF($AN296=FALSE,"",IFERROR(INDEX('Flat Rates'!$A$1:$M$3880,MATCH($AM296,'Flat Rates'!$A$1:$A$3880,0),MATCH("Standing Charge",'Flat Rates'!$A$1:$M$1,0))*100,""))</f>
        <v/>
      </c>
      <c r="AQ296" s="148" t="str">
        <f>IF($AN296=FALSE,"",IFERROR((IF(NOT(T296="Unrestricted"),"",INDEX('Flat Rates'!$A$1:$M$3880,MATCH($AM296,'Flat Rates'!$A$1:$A$3880,0),MATCH("Uni/Day Rate",'Flat Rates'!$A$1:$M$1,0)))*100)+H296,""))</f>
        <v/>
      </c>
      <c r="AR296" s="148" t="str">
        <f>IF($AN296=FALSE,"",IFERROR((IF(T296="Unrestricted","",INDEX('Flat Rates'!$A$1:$M$3880,MATCH($AM296,'Flat Rates'!$A$1:$A$3880,0),MATCH("Uni/Day Rate",'Flat Rates'!$A$1:$M$1,0)))*100)+H296,""))</f>
        <v/>
      </c>
      <c r="AS296" s="148" t="str">
        <f>IF($AN296=FALSE,"",IFERROR(IF(INDEX('Flat Rates'!$A$1:$M$3880,MATCH($AM296,'Flat Rates'!$A$1:$A$3880,0),MATCH("Night Unit Rate",'Flat Rates'!$A$1:$M$1,0))=0,"",((INDEX('Flat Rates'!$A$1:$M$3880,MATCH($AM296,'Flat Rates'!$A$1:$A$3880,0),MATCH("Night Unit Rate",'Flat Rates'!$A$1:$M$1,0)))*100)+H296),""))</f>
        <v/>
      </c>
      <c r="AT296" s="148" t="str">
        <f>IF($AN296=FALSE,"",IFERROR(IF(INDEX('Flat Rates'!$A$1:$M$3880,MATCH($AM296,'Flat Rates'!$A$1:$A$3880,0),MATCH("Evening and Weekend Rate",'Flat Rates'!$A$1:$M$1,0))=0,"",((INDEX('Flat Rates'!$A$1:$M$3880,MATCH($AM296,'Flat Rates'!$A$1:$A$3880,0),MATCH("Evening and Weekend Rate",'Flat Rates'!$A$1:$M$1,0)))*100)+H296),""))</f>
        <v/>
      </c>
      <c r="AU296" s="152" t="str">
        <f t="shared" si="125"/>
        <v/>
      </c>
      <c r="AV296" s="152" t="str">
        <f t="shared" si="126"/>
        <v/>
      </c>
      <c r="AW296" s="152" t="str">
        <f t="shared" si="127"/>
        <v/>
      </c>
    </row>
    <row r="297" spans="2:49" ht="15" thickBot="1" x14ac:dyDescent="0.35">
      <c r="B297" s="138" t="str">
        <f t="shared" si="104"/>
        <v/>
      </c>
      <c r="C297" s="137"/>
      <c r="D297" s="139"/>
      <c r="E297" s="140"/>
      <c r="F297" s="140"/>
      <c r="G297" s="139"/>
      <c r="H297" s="151"/>
      <c r="I297" s="139"/>
      <c r="J297" s="138"/>
      <c r="K297" s="139"/>
      <c r="L297" s="141"/>
      <c r="M297" s="133" t="str">
        <f t="shared" si="105"/>
        <v/>
      </c>
      <c r="N297" s="133" t="str">
        <f t="shared" si="106"/>
        <v/>
      </c>
      <c r="O297" s="133" t="str">
        <f t="shared" si="107"/>
        <v/>
      </c>
      <c r="P297" s="133" t="str">
        <f t="shared" si="108"/>
        <v/>
      </c>
      <c r="Q297" s="133" t="str">
        <f t="shared" si="109"/>
        <v/>
      </c>
      <c r="R297" s="133" t="str">
        <f t="shared" si="110"/>
        <v/>
      </c>
      <c r="S297" s="133" t="str">
        <f t="shared" si="111"/>
        <v/>
      </c>
      <c r="T297" s="133" t="str">
        <f>IFERROR(IF($U297="ERROR","ERROR",IF($N297="00",IF(J297="1-Rate","HH 1RATE",IF(J297="2-Rate","HH 2RATE","")),IFERROR(VLOOKUP(CONCATENATE(N297,Q297,O297,P297),Lookups!$A$2:$E$4557,5,0),VLOOKUP(CONCATENATE(N297,Q297,O297),Lookups!$A$2:$E$4557,5,0)))),"ERROR")</f>
        <v>ERROR</v>
      </c>
      <c r="U297" s="133" t="str">
        <f>IFERROR(IF(NOT($N297="00"),"",VLOOKUP(CONCATENATE(Q297,P297,LOOKUP(2,1/(Lookups!$I$2:$I$11&lt;=E297)/(Lookups!$J$2:$J$11&gt;=Tool!$C$14),Lookups!$K$2:$K$11)),'HH LLFs'!$A$2:$K$500,3,0)),"ERROR")</f>
        <v/>
      </c>
      <c r="V297" s="132">
        <f>Calcs!$I$2</f>
        <v>44377</v>
      </c>
      <c r="W297" s="132">
        <f>Calcs!$I$4</f>
        <v>44592</v>
      </c>
      <c r="X297" s="153" t="str">
        <f>IF(NOT(N297="00"),"",(VLOOKUP(CONCATENATE(Q297,P297,LOOKUP(2,1/(Lookups!$I$2:$I$11&lt;=Multisite!E297)/(Lookups!$J$2:$J$11&gt;=E297),Lookups!$K$2:$K$11)),'HH LLFs'!$A$2:$F$282,6,0)*365)/12)</f>
        <v/>
      </c>
      <c r="Y297" s="153">
        <f t="shared" si="112"/>
        <v>0</v>
      </c>
      <c r="Z297" s="153" t="str">
        <f t="shared" si="121"/>
        <v/>
      </c>
      <c r="AA297" s="153" t="str">
        <f t="shared" si="113"/>
        <v/>
      </c>
      <c r="AB297" s="153" t="str">
        <f t="shared" si="122"/>
        <v/>
      </c>
      <c r="AC297" s="153" t="str">
        <f t="shared" si="114"/>
        <v/>
      </c>
      <c r="AD297" s="153" t="str">
        <f t="shared" si="115"/>
        <v/>
      </c>
      <c r="AE297" s="153" t="str">
        <f t="shared" si="116"/>
        <v/>
      </c>
      <c r="AF297" s="155" t="e">
        <f>LOOKUP(2,1/(Lookups!$I$2:$I$11&lt;=E297)/(Lookups!$J$2:$J$11&gt;=E297),Lookups!$L$2:$L$11)</f>
        <v>#N/A</v>
      </c>
      <c r="AG297" s="142" t="str">
        <f t="shared" si="117"/>
        <v/>
      </c>
      <c r="AH297" s="142" t="str">
        <f t="shared" si="118"/>
        <v/>
      </c>
      <c r="AI297" s="143" t="b">
        <f t="shared" si="123"/>
        <v>0</v>
      </c>
      <c r="AJ297" s="143" t="str">
        <f t="shared" si="119"/>
        <v>Level 1</v>
      </c>
      <c r="AK297" s="142">
        <f t="shared" si="120"/>
        <v>0</v>
      </c>
      <c r="AL297" s="157" t="str">
        <f t="shared" si="128"/>
        <v/>
      </c>
      <c r="AM297" s="144" t="str">
        <f t="shared" si="129"/>
        <v>--FALSE-0</v>
      </c>
      <c r="AN297" s="158" t="str">
        <f t="shared" si="124"/>
        <v/>
      </c>
      <c r="AO297" s="145"/>
      <c r="AP297" s="159" t="str">
        <f>IF($AN297=FALSE,"",IFERROR(INDEX('Flat Rates'!$A$1:$M$3880,MATCH($AM297,'Flat Rates'!$A$1:$A$3880,0),MATCH("Standing Charge",'Flat Rates'!$A$1:$M$1,0))*100,""))</f>
        <v/>
      </c>
      <c r="AQ297" s="148" t="str">
        <f>IF($AN297=FALSE,"",IFERROR((IF(NOT(T297="Unrestricted"),"",INDEX('Flat Rates'!$A$1:$M$3880,MATCH($AM297,'Flat Rates'!$A$1:$A$3880,0),MATCH("Uni/Day Rate",'Flat Rates'!$A$1:$M$1,0)))*100)+H297,""))</f>
        <v/>
      </c>
      <c r="AR297" s="148" t="str">
        <f>IF($AN297=FALSE,"",IFERROR((IF(T297="Unrestricted","",INDEX('Flat Rates'!$A$1:$M$3880,MATCH($AM297,'Flat Rates'!$A$1:$A$3880,0),MATCH("Uni/Day Rate",'Flat Rates'!$A$1:$M$1,0)))*100)+H297,""))</f>
        <v/>
      </c>
      <c r="AS297" s="148" t="str">
        <f>IF($AN297=FALSE,"",IFERROR(IF(INDEX('Flat Rates'!$A$1:$M$3880,MATCH($AM297,'Flat Rates'!$A$1:$A$3880,0),MATCH("Night Unit Rate",'Flat Rates'!$A$1:$M$1,0))=0,"",((INDEX('Flat Rates'!$A$1:$M$3880,MATCH($AM297,'Flat Rates'!$A$1:$A$3880,0),MATCH("Night Unit Rate",'Flat Rates'!$A$1:$M$1,0)))*100)+H297),""))</f>
        <v/>
      </c>
      <c r="AT297" s="148" t="str">
        <f>IF($AN297=FALSE,"",IFERROR(IF(INDEX('Flat Rates'!$A$1:$M$3880,MATCH($AM297,'Flat Rates'!$A$1:$A$3880,0),MATCH("Evening and Weekend Rate",'Flat Rates'!$A$1:$M$1,0))=0,"",((INDEX('Flat Rates'!$A$1:$M$3880,MATCH($AM297,'Flat Rates'!$A$1:$A$3880,0),MATCH("Evening and Weekend Rate",'Flat Rates'!$A$1:$M$1,0)))*100)+H297),""))</f>
        <v/>
      </c>
      <c r="AU297" s="152" t="str">
        <f t="shared" si="125"/>
        <v/>
      </c>
      <c r="AV297" s="152" t="str">
        <f t="shared" si="126"/>
        <v/>
      </c>
      <c r="AW297" s="152" t="str">
        <f t="shared" si="127"/>
        <v/>
      </c>
    </row>
    <row r="298" spans="2:49" ht="15" thickBot="1" x14ac:dyDescent="0.35">
      <c r="B298" s="138" t="str">
        <f t="shared" si="104"/>
        <v/>
      </c>
      <c r="C298" s="146"/>
      <c r="D298" s="147"/>
      <c r="E298" s="140"/>
      <c r="F298" s="140"/>
      <c r="G298" s="139"/>
      <c r="H298" s="151"/>
      <c r="I298" s="139"/>
      <c r="J298" s="137"/>
      <c r="K298" s="139"/>
      <c r="L298" s="141"/>
      <c r="M298" s="133" t="str">
        <f t="shared" si="105"/>
        <v/>
      </c>
      <c r="N298" s="133" t="str">
        <f t="shared" si="106"/>
        <v/>
      </c>
      <c r="O298" s="133" t="str">
        <f t="shared" si="107"/>
        <v/>
      </c>
      <c r="P298" s="133" t="str">
        <f t="shared" si="108"/>
        <v/>
      </c>
      <c r="Q298" s="133" t="str">
        <f t="shared" si="109"/>
        <v/>
      </c>
      <c r="R298" s="133" t="str">
        <f t="shared" si="110"/>
        <v/>
      </c>
      <c r="S298" s="133" t="str">
        <f t="shared" si="111"/>
        <v/>
      </c>
      <c r="T298" s="133" t="str">
        <f>IFERROR(IF($U298="ERROR","ERROR",IF($N298="00",IF(J298="1-Rate","HH 1RATE",IF(J298="2-Rate","HH 2RATE","")),IFERROR(VLOOKUP(CONCATENATE(N298,Q298,O298,P298),Lookups!$A$2:$E$4557,5,0),VLOOKUP(CONCATENATE(N298,Q298,O298),Lookups!$A$2:$E$4557,5,0)))),"ERROR")</f>
        <v>ERROR</v>
      </c>
      <c r="U298" s="133" t="str">
        <f>IFERROR(IF(NOT($N298="00"),"",VLOOKUP(CONCATENATE(Q298,P298,LOOKUP(2,1/(Lookups!$I$2:$I$11&lt;=E298)/(Lookups!$J$2:$J$11&gt;=Tool!$C$14),Lookups!$K$2:$K$11)),'HH LLFs'!$A$2:$K$500,3,0)),"ERROR")</f>
        <v/>
      </c>
      <c r="V298" s="132">
        <f>Calcs!$I$2</f>
        <v>44377</v>
      </c>
      <c r="W298" s="132">
        <f>Calcs!$I$4</f>
        <v>44592</v>
      </c>
      <c r="X298" s="153" t="str">
        <f>IF(NOT(N298="00"),"",(VLOOKUP(CONCATENATE(Q298,P298,LOOKUP(2,1/(Lookups!$I$2:$I$11&lt;=Multisite!E298)/(Lookups!$J$2:$J$11&gt;=E298),Lookups!$K$2:$K$11)),'HH LLFs'!$A$2:$F$282,6,0)*365)/12)</f>
        <v/>
      </c>
      <c r="Y298" s="153">
        <f t="shared" si="112"/>
        <v>0</v>
      </c>
      <c r="Z298" s="153" t="str">
        <f t="shared" si="121"/>
        <v/>
      </c>
      <c r="AA298" s="153" t="str">
        <f t="shared" si="113"/>
        <v/>
      </c>
      <c r="AB298" s="153" t="str">
        <f t="shared" si="122"/>
        <v/>
      </c>
      <c r="AC298" s="153" t="str">
        <f t="shared" si="114"/>
        <v/>
      </c>
      <c r="AD298" s="153" t="str">
        <f t="shared" si="115"/>
        <v/>
      </c>
      <c r="AE298" s="153" t="str">
        <f t="shared" si="116"/>
        <v/>
      </c>
      <c r="AF298" s="155" t="e">
        <f>LOOKUP(2,1/(Lookups!$I$2:$I$11&lt;=E298)/(Lookups!$J$2:$J$11&gt;=E298),Lookups!$L$2:$L$11)</f>
        <v>#N/A</v>
      </c>
      <c r="AG298" s="142" t="str">
        <f t="shared" si="117"/>
        <v/>
      </c>
      <c r="AH298" s="142" t="str">
        <f t="shared" si="118"/>
        <v/>
      </c>
      <c r="AI298" s="143" t="b">
        <f t="shared" si="123"/>
        <v>0</v>
      </c>
      <c r="AJ298" s="143" t="str">
        <f t="shared" si="119"/>
        <v>Level 1</v>
      </c>
      <c r="AK298" s="142">
        <f t="shared" si="120"/>
        <v>0</v>
      </c>
      <c r="AL298" s="157" t="str">
        <f t="shared" si="128"/>
        <v/>
      </c>
      <c r="AM298" s="144" t="str">
        <f t="shared" si="129"/>
        <v>--FALSE-0</v>
      </c>
      <c r="AN298" s="158" t="str">
        <f t="shared" si="124"/>
        <v/>
      </c>
      <c r="AO298" s="145"/>
      <c r="AP298" s="159" t="str">
        <f>IF($AN298=FALSE,"",IFERROR(INDEX('Flat Rates'!$A$1:$M$3880,MATCH($AM298,'Flat Rates'!$A$1:$A$3880,0),MATCH("Standing Charge",'Flat Rates'!$A$1:$M$1,0))*100,""))</f>
        <v/>
      </c>
      <c r="AQ298" s="148" t="str">
        <f>IF($AN298=FALSE,"",IFERROR((IF(NOT(T298="Unrestricted"),"",INDEX('Flat Rates'!$A$1:$M$3880,MATCH($AM298,'Flat Rates'!$A$1:$A$3880,0),MATCH("Uni/Day Rate",'Flat Rates'!$A$1:$M$1,0)))*100)+H298,""))</f>
        <v/>
      </c>
      <c r="AR298" s="148" t="str">
        <f>IF($AN298=FALSE,"",IFERROR((IF(T298="Unrestricted","",INDEX('Flat Rates'!$A$1:$M$3880,MATCH($AM298,'Flat Rates'!$A$1:$A$3880,0),MATCH("Uni/Day Rate",'Flat Rates'!$A$1:$M$1,0)))*100)+H298,""))</f>
        <v/>
      </c>
      <c r="AS298" s="148" t="str">
        <f>IF($AN298=FALSE,"",IFERROR(IF(INDEX('Flat Rates'!$A$1:$M$3880,MATCH($AM298,'Flat Rates'!$A$1:$A$3880,0),MATCH("Night Unit Rate",'Flat Rates'!$A$1:$M$1,0))=0,"",((INDEX('Flat Rates'!$A$1:$M$3880,MATCH($AM298,'Flat Rates'!$A$1:$A$3880,0),MATCH("Night Unit Rate",'Flat Rates'!$A$1:$M$1,0)))*100)+H298),""))</f>
        <v/>
      </c>
      <c r="AT298" s="148" t="str">
        <f>IF($AN298=FALSE,"",IFERROR(IF(INDEX('Flat Rates'!$A$1:$M$3880,MATCH($AM298,'Flat Rates'!$A$1:$A$3880,0),MATCH("Evening and Weekend Rate",'Flat Rates'!$A$1:$M$1,0))=0,"",((INDEX('Flat Rates'!$A$1:$M$3880,MATCH($AM298,'Flat Rates'!$A$1:$A$3880,0),MATCH("Evening and Weekend Rate",'Flat Rates'!$A$1:$M$1,0)))*100)+H298),""))</f>
        <v/>
      </c>
      <c r="AU298" s="152" t="str">
        <f t="shared" si="125"/>
        <v/>
      </c>
      <c r="AV298" s="152" t="str">
        <f t="shared" si="126"/>
        <v/>
      </c>
      <c r="AW298" s="152" t="str">
        <f t="shared" si="127"/>
        <v/>
      </c>
    </row>
    <row r="299" spans="2:49" ht="15" thickBot="1" x14ac:dyDescent="0.35">
      <c r="B299" s="138" t="str">
        <f t="shared" si="104"/>
        <v/>
      </c>
      <c r="C299" s="137"/>
      <c r="D299" s="139"/>
      <c r="E299" s="140"/>
      <c r="F299" s="140"/>
      <c r="G299" s="139"/>
      <c r="H299" s="151"/>
      <c r="I299" s="139"/>
      <c r="J299" s="138"/>
      <c r="K299" s="139"/>
      <c r="L299" s="141"/>
      <c r="M299" s="133" t="str">
        <f t="shared" si="105"/>
        <v/>
      </c>
      <c r="N299" s="133" t="str">
        <f t="shared" si="106"/>
        <v/>
      </c>
      <c r="O299" s="133" t="str">
        <f t="shared" si="107"/>
        <v/>
      </c>
      <c r="P299" s="133" t="str">
        <f t="shared" si="108"/>
        <v/>
      </c>
      <c r="Q299" s="133" t="str">
        <f t="shared" si="109"/>
        <v/>
      </c>
      <c r="R299" s="133" t="str">
        <f t="shared" si="110"/>
        <v/>
      </c>
      <c r="S299" s="133" t="str">
        <f t="shared" si="111"/>
        <v/>
      </c>
      <c r="T299" s="133" t="str">
        <f>IFERROR(IF($U299="ERROR","ERROR",IF($N299="00",IF(J299="1-Rate","HH 1RATE",IF(J299="2-Rate","HH 2RATE","")),IFERROR(VLOOKUP(CONCATENATE(N299,Q299,O299,P299),Lookups!$A$2:$E$4557,5,0),VLOOKUP(CONCATENATE(N299,Q299,O299),Lookups!$A$2:$E$4557,5,0)))),"ERROR")</f>
        <v>ERROR</v>
      </c>
      <c r="U299" s="133" t="str">
        <f>IFERROR(IF(NOT($N299="00"),"",VLOOKUP(CONCATENATE(Q299,P299,LOOKUP(2,1/(Lookups!$I$2:$I$11&lt;=E299)/(Lookups!$J$2:$J$11&gt;=Tool!$C$14),Lookups!$K$2:$K$11)),'HH LLFs'!$A$2:$K$500,3,0)),"ERROR")</f>
        <v/>
      </c>
      <c r="V299" s="132">
        <f>Calcs!$I$2</f>
        <v>44377</v>
      </c>
      <c r="W299" s="132">
        <f>Calcs!$I$4</f>
        <v>44592</v>
      </c>
      <c r="X299" s="153" t="str">
        <f>IF(NOT(N299="00"),"",(VLOOKUP(CONCATENATE(Q299,P299,LOOKUP(2,1/(Lookups!$I$2:$I$11&lt;=Multisite!E299)/(Lookups!$J$2:$J$11&gt;=E299),Lookups!$K$2:$K$11)),'HH LLFs'!$A$2:$F$282,6,0)*365)/12)</f>
        <v/>
      </c>
      <c r="Y299" s="153">
        <f t="shared" si="112"/>
        <v>0</v>
      </c>
      <c r="Z299" s="153" t="str">
        <f t="shared" si="121"/>
        <v/>
      </c>
      <c r="AA299" s="153" t="str">
        <f t="shared" si="113"/>
        <v/>
      </c>
      <c r="AB299" s="153" t="str">
        <f t="shared" si="122"/>
        <v/>
      </c>
      <c r="AC299" s="153" t="str">
        <f t="shared" si="114"/>
        <v/>
      </c>
      <c r="AD299" s="153" t="str">
        <f t="shared" si="115"/>
        <v/>
      </c>
      <c r="AE299" s="153" t="str">
        <f t="shared" si="116"/>
        <v/>
      </c>
      <c r="AF299" s="155" t="e">
        <f>LOOKUP(2,1/(Lookups!$I$2:$I$11&lt;=E299)/(Lookups!$J$2:$J$11&gt;=E299),Lookups!$L$2:$L$11)</f>
        <v>#N/A</v>
      </c>
      <c r="AG299" s="142" t="str">
        <f t="shared" si="117"/>
        <v/>
      </c>
      <c r="AH299" s="142" t="str">
        <f t="shared" si="118"/>
        <v/>
      </c>
      <c r="AI299" s="143" t="b">
        <f t="shared" si="123"/>
        <v>0</v>
      </c>
      <c r="AJ299" s="143" t="str">
        <f t="shared" si="119"/>
        <v>Level 1</v>
      </c>
      <c r="AK299" s="142">
        <f t="shared" si="120"/>
        <v>0</v>
      </c>
      <c r="AL299" s="157" t="str">
        <f t="shared" si="128"/>
        <v/>
      </c>
      <c r="AM299" s="144" t="str">
        <f t="shared" si="129"/>
        <v>--FALSE-0</v>
      </c>
      <c r="AN299" s="158" t="str">
        <f t="shared" si="124"/>
        <v/>
      </c>
      <c r="AO299" s="145"/>
      <c r="AP299" s="159" t="str">
        <f>IF($AN299=FALSE,"",IFERROR(INDEX('Flat Rates'!$A$1:$M$3880,MATCH($AM299,'Flat Rates'!$A$1:$A$3880,0),MATCH("Standing Charge",'Flat Rates'!$A$1:$M$1,0))*100,""))</f>
        <v/>
      </c>
      <c r="AQ299" s="148" t="str">
        <f>IF($AN299=FALSE,"",IFERROR((IF(NOT(T299="Unrestricted"),"",INDEX('Flat Rates'!$A$1:$M$3880,MATCH($AM299,'Flat Rates'!$A$1:$A$3880,0),MATCH("Uni/Day Rate",'Flat Rates'!$A$1:$M$1,0)))*100)+H299,""))</f>
        <v/>
      </c>
      <c r="AR299" s="148" t="str">
        <f>IF($AN299=FALSE,"",IFERROR((IF(T299="Unrestricted","",INDEX('Flat Rates'!$A$1:$M$3880,MATCH($AM299,'Flat Rates'!$A$1:$A$3880,0),MATCH("Uni/Day Rate",'Flat Rates'!$A$1:$M$1,0)))*100)+H299,""))</f>
        <v/>
      </c>
      <c r="AS299" s="148" t="str">
        <f>IF($AN299=FALSE,"",IFERROR(IF(INDEX('Flat Rates'!$A$1:$M$3880,MATCH($AM299,'Flat Rates'!$A$1:$A$3880,0),MATCH("Night Unit Rate",'Flat Rates'!$A$1:$M$1,0))=0,"",((INDEX('Flat Rates'!$A$1:$M$3880,MATCH($AM299,'Flat Rates'!$A$1:$A$3880,0),MATCH("Night Unit Rate",'Flat Rates'!$A$1:$M$1,0)))*100)+H299),""))</f>
        <v/>
      </c>
      <c r="AT299" s="148" t="str">
        <f>IF($AN299=FALSE,"",IFERROR(IF(INDEX('Flat Rates'!$A$1:$M$3880,MATCH($AM299,'Flat Rates'!$A$1:$A$3880,0),MATCH("Evening and Weekend Rate",'Flat Rates'!$A$1:$M$1,0))=0,"",((INDEX('Flat Rates'!$A$1:$M$3880,MATCH($AM299,'Flat Rates'!$A$1:$A$3880,0),MATCH("Evening and Weekend Rate",'Flat Rates'!$A$1:$M$1,0)))*100)+H299),""))</f>
        <v/>
      </c>
      <c r="AU299" s="152" t="str">
        <f t="shared" si="125"/>
        <v/>
      </c>
      <c r="AV299" s="152" t="str">
        <f t="shared" si="126"/>
        <v/>
      </c>
      <c r="AW299" s="152" t="str">
        <f t="shared" si="127"/>
        <v/>
      </c>
    </row>
    <row r="300" spans="2:49" ht="15" thickBot="1" x14ac:dyDescent="0.35">
      <c r="B300" s="138" t="str">
        <f t="shared" si="104"/>
        <v/>
      </c>
      <c r="C300" s="146"/>
      <c r="D300" s="147"/>
      <c r="E300" s="140"/>
      <c r="F300" s="140"/>
      <c r="G300" s="139"/>
      <c r="H300" s="151"/>
      <c r="I300" s="139"/>
      <c r="J300" s="137"/>
      <c r="K300" s="139"/>
      <c r="L300" s="141"/>
      <c r="M300" s="133" t="str">
        <f t="shared" si="105"/>
        <v/>
      </c>
      <c r="N300" s="133" t="str">
        <f t="shared" si="106"/>
        <v/>
      </c>
      <c r="O300" s="133" t="str">
        <f t="shared" si="107"/>
        <v/>
      </c>
      <c r="P300" s="133" t="str">
        <f t="shared" si="108"/>
        <v/>
      </c>
      <c r="Q300" s="133" t="str">
        <f t="shared" si="109"/>
        <v/>
      </c>
      <c r="R300" s="133" t="str">
        <f t="shared" si="110"/>
        <v/>
      </c>
      <c r="S300" s="133" t="str">
        <f t="shared" si="111"/>
        <v/>
      </c>
      <c r="T300" s="133" t="str">
        <f>IFERROR(IF($U300="ERROR","ERROR",IF($N300="00",IF(J300="1-Rate","HH 1RATE",IF(J300="2-Rate","HH 2RATE","")),IFERROR(VLOOKUP(CONCATENATE(N300,Q300,O300,P300),Lookups!$A$2:$E$4557,5,0),VLOOKUP(CONCATENATE(N300,Q300,O300),Lookups!$A$2:$E$4557,5,0)))),"ERROR")</f>
        <v>ERROR</v>
      </c>
      <c r="U300" s="133" t="str">
        <f>IFERROR(IF(NOT($N300="00"),"",VLOOKUP(CONCATENATE(Q300,P300,LOOKUP(2,1/(Lookups!$I$2:$I$11&lt;=E300)/(Lookups!$J$2:$J$11&gt;=Tool!$C$14),Lookups!$K$2:$K$11)),'HH LLFs'!$A$2:$K$500,3,0)),"ERROR")</f>
        <v/>
      </c>
      <c r="V300" s="132">
        <f>Calcs!$I$2</f>
        <v>44377</v>
      </c>
      <c r="W300" s="132">
        <f>Calcs!$I$4</f>
        <v>44592</v>
      </c>
      <c r="X300" s="153" t="str">
        <f>IF(NOT(N300="00"),"",(VLOOKUP(CONCATENATE(Q300,P300,LOOKUP(2,1/(Lookups!$I$2:$I$11&lt;=Multisite!E300)/(Lookups!$J$2:$J$11&gt;=E300),Lookups!$K$2:$K$11)),'HH LLFs'!$A$2:$F$282,6,0)*365)/12)</f>
        <v/>
      </c>
      <c r="Y300" s="153">
        <f t="shared" si="112"/>
        <v>0</v>
      </c>
      <c r="Z300" s="153" t="str">
        <f t="shared" si="121"/>
        <v/>
      </c>
      <c r="AA300" s="153" t="str">
        <f t="shared" si="113"/>
        <v/>
      </c>
      <c r="AB300" s="153" t="str">
        <f t="shared" si="122"/>
        <v/>
      </c>
      <c r="AC300" s="153" t="str">
        <f t="shared" si="114"/>
        <v/>
      </c>
      <c r="AD300" s="153" t="str">
        <f t="shared" si="115"/>
        <v/>
      </c>
      <c r="AE300" s="153" t="str">
        <f t="shared" si="116"/>
        <v/>
      </c>
      <c r="AF300" s="155" t="e">
        <f>LOOKUP(2,1/(Lookups!$I$2:$I$11&lt;=E300)/(Lookups!$J$2:$J$11&gt;=E300),Lookups!$L$2:$L$11)</f>
        <v>#N/A</v>
      </c>
      <c r="AG300" s="142" t="str">
        <f t="shared" si="117"/>
        <v/>
      </c>
      <c r="AH300" s="142" t="str">
        <f t="shared" si="118"/>
        <v/>
      </c>
      <c r="AI300" s="143" t="b">
        <f t="shared" si="123"/>
        <v>0</v>
      </c>
      <c r="AJ300" s="143" t="str">
        <f t="shared" si="119"/>
        <v>Level 1</v>
      </c>
      <c r="AK300" s="142">
        <f t="shared" si="120"/>
        <v>0</v>
      </c>
      <c r="AL300" s="157" t="str">
        <f t="shared" si="128"/>
        <v/>
      </c>
      <c r="AM300" s="144" t="str">
        <f t="shared" si="129"/>
        <v>--FALSE-0</v>
      </c>
      <c r="AN300" s="158" t="str">
        <f t="shared" si="124"/>
        <v/>
      </c>
      <c r="AO300" s="145"/>
      <c r="AP300" s="159" t="str">
        <f>IF($AN300=FALSE,"",IFERROR(INDEX('Flat Rates'!$A$1:$M$3880,MATCH($AM300,'Flat Rates'!$A$1:$A$3880,0),MATCH("Standing Charge",'Flat Rates'!$A$1:$M$1,0))*100,""))</f>
        <v/>
      </c>
      <c r="AQ300" s="148" t="str">
        <f>IF($AN300=FALSE,"",IFERROR((IF(NOT(T300="Unrestricted"),"",INDEX('Flat Rates'!$A$1:$M$3880,MATCH($AM300,'Flat Rates'!$A$1:$A$3880,0),MATCH("Uni/Day Rate",'Flat Rates'!$A$1:$M$1,0)))*100)+H300,""))</f>
        <v/>
      </c>
      <c r="AR300" s="148" t="str">
        <f>IF($AN300=FALSE,"",IFERROR((IF(T300="Unrestricted","",INDEX('Flat Rates'!$A$1:$M$3880,MATCH($AM300,'Flat Rates'!$A$1:$A$3880,0),MATCH("Uni/Day Rate",'Flat Rates'!$A$1:$M$1,0)))*100)+H300,""))</f>
        <v/>
      </c>
      <c r="AS300" s="148" t="str">
        <f>IF($AN300=FALSE,"",IFERROR(IF(INDEX('Flat Rates'!$A$1:$M$3880,MATCH($AM300,'Flat Rates'!$A$1:$A$3880,0),MATCH("Night Unit Rate",'Flat Rates'!$A$1:$M$1,0))=0,"",((INDEX('Flat Rates'!$A$1:$M$3880,MATCH($AM300,'Flat Rates'!$A$1:$A$3880,0),MATCH("Night Unit Rate",'Flat Rates'!$A$1:$M$1,0)))*100)+H300),""))</f>
        <v/>
      </c>
      <c r="AT300" s="148" t="str">
        <f>IF($AN300=FALSE,"",IFERROR(IF(INDEX('Flat Rates'!$A$1:$M$3880,MATCH($AM300,'Flat Rates'!$A$1:$A$3880,0),MATCH("Evening and Weekend Rate",'Flat Rates'!$A$1:$M$1,0))=0,"",((INDEX('Flat Rates'!$A$1:$M$3880,MATCH($AM300,'Flat Rates'!$A$1:$A$3880,0),MATCH("Evening and Weekend Rate",'Flat Rates'!$A$1:$M$1,0)))*100)+H300),""))</f>
        <v/>
      </c>
      <c r="AU300" s="152" t="str">
        <f t="shared" si="125"/>
        <v/>
      </c>
      <c r="AV300" s="152" t="str">
        <f t="shared" si="126"/>
        <v/>
      </c>
      <c r="AW300" s="152" t="str">
        <f t="shared" si="127"/>
        <v/>
      </c>
    </row>
    <row r="301" spans="2:49" ht="15" thickBot="1" x14ac:dyDescent="0.35">
      <c r="B301" s="138" t="str">
        <f t="shared" si="104"/>
        <v/>
      </c>
      <c r="C301" s="137"/>
      <c r="D301" s="139"/>
      <c r="E301" s="140"/>
      <c r="F301" s="140"/>
      <c r="G301" s="139"/>
      <c r="H301" s="151"/>
      <c r="I301" s="139"/>
      <c r="J301" s="138"/>
      <c r="K301" s="139"/>
      <c r="L301" s="141"/>
      <c r="M301" s="133" t="str">
        <f t="shared" si="105"/>
        <v/>
      </c>
      <c r="N301" s="133" t="str">
        <f t="shared" si="106"/>
        <v/>
      </c>
      <c r="O301" s="133" t="str">
        <f t="shared" si="107"/>
        <v/>
      </c>
      <c r="P301" s="133" t="str">
        <f t="shared" si="108"/>
        <v/>
      </c>
      <c r="Q301" s="133" t="str">
        <f t="shared" si="109"/>
        <v/>
      </c>
      <c r="R301" s="133" t="str">
        <f t="shared" si="110"/>
        <v/>
      </c>
      <c r="S301" s="133" t="str">
        <f t="shared" si="111"/>
        <v/>
      </c>
      <c r="T301" s="133" t="str">
        <f>IFERROR(IF($U301="ERROR","ERROR",IF($N301="00",IF(J301="1-Rate","HH 1RATE",IF(J301="2-Rate","HH 2RATE","")),IFERROR(VLOOKUP(CONCATENATE(N301,Q301,O301,P301),Lookups!$A$2:$E$4557,5,0),VLOOKUP(CONCATENATE(N301,Q301,O301),Lookups!$A$2:$E$4557,5,0)))),"ERROR")</f>
        <v>ERROR</v>
      </c>
      <c r="U301" s="133" t="str">
        <f>IFERROR(IF(NOT($N301="00"),"",VLOOKUP(CONCATENATE(Q301,P301,LOOKUP(2,1/(Lookups!$I$2:$I$11&lt;=E301)/(Lookups!$J$2:$J$11&gt;=Tool!$C$14),Lookups!$K$2:$K$11)),'HH LLFs'!$A$2:$K$500,3,0)),"ERROR")</f>
        <v/>
      </c>
      <c r="V301" s="132">
        <f>Calcs!$I$2</f>
        <v>44377</v>
      </c>
      <c r="W301" s="132">
        <f>Calcs!$I$4</f>
        <v>44592</v>
      </c>
      <c r="X301" s="153" t="str">
        <f>IF(NOT(N301="00"),"",(VLOOKUP(CONCATENATE(Q301,P301,LOOKUP(2,1/(Lookups!$I$2:$I$11&lt;=Multisite!E301)/(Lookups!$J$2:$J$11&gt;=E301),Lookups!$K$2:$K$11)),'HH LLFs'!$A$2:$F$282,6,0)*365)/12)</f>
        <v/>
      </c>
      <c r="Y301" s="153">
        <f t="shared" si="112"/>
        <v>0</v>
      </c>
      <c r="Z301" s="153" t="str">
        <f t="shared" si="121"/>
        <v/>
      </c>
      <c r="AA301" s="153" t="str">
        <f t="shared" si="113"/>
        <v/>
      </c>
      <c r="AB301" s="153" t="str">
        <f t="shared" si="122"/>
        <v/>
      </c>
      <c r="AC301" s="153" t="str">
        <f t="shared" si="114"/>
        <v/>
      </c>
      <c r="AD301" s="153" t="str">
        <f t="shared" si="115"/>
        <v/>
      </c>
      <c r="AE301" s="153" t="str">
        <f t="shared" si="116"/>
        <v/>
      </c>
      <c r="AF301" s="155" t="e">
        <f>LOOKUP(2,1/(Lookups!$I$2:$I$11&lt;=E301)/(Lookups!$J$2:$J$11&gt;=E301),Lookups!$L$2:$L$11)</f>
        <v>#N/A</v>
      </c>
      <c r="AG301" s="142" t="str">
        <f t="shared" si="117"/>
        <v/>
      </c>
      <c r="AH301" s="142" t="str">
        <f t="shared" si="118"/>
        <v/>
      </c>
      <c r="AI301" s="143" t="b">
        <f t="shared" si="123"/>
        <v>0</v>
      </c>
      <c r="AJ301" s="143" t="str">
        <f t="shared" si="119"/>
        <v>Level 1</v>
      </c>
      <c r="AK301" s="142">
        <f t="shared" si="120"/>
        <v>0</v>
      </c>
      <c r="AL301" s="157" t="str">
        <f t="shared" si="128"/>
        <v/>
      </c>
      <c r="AM301" s="144" t="str">
        <f t="shared" si="129"/>
        <v>--FALSE-0</v>
      </c>
      <c r="AN301" s="158" t="str">
        <f t="shared" si="124"/>
        <v/>
      </c>
      <c r="AO301" s="145"/>
      <c r="AP301" s="159" t="str">
        <f>IF($AN301=FALSE,"",IFERROR(INDEX('Flat Rates'!$A$1:$M$3880,MATCH($AM301,'Flat Rates'!$A$1:$A$3880,0),MATCH("Standing Charge",'Flat Rates'!$A$1:$M$1,0))*100,""))</f>
        <v/>
      </c>
      <c r="AQ301" s="148" t="str">
        <f>IF($AN301=FALSE,"",IFERROR((IF(NOT(T301="Unrestricted"),"",INDEX('Flat Rates'!$A$1:$M$3880,MATCH($AM301,'Flat Rates'!$A$1:$A$3880,0),MATCH("Uni/Day Rate",'Flat Rates'!$A$1:$M$1,0)))*100)+H301,""))</f>
        <v/>
      </c>
      <c r="AR301" s="148" t="str">
        <f>IF($AN301=FALSE,"",IFERROR((IF(T301="Unrestricted","",INDEX('Flat Rates'!$A$1:$M$3880,MATCH($AM301,'Flat Rates'!$A$1:$A$3880,0),MATCH("Uni/Day Rate",'Flat Rates'!$A$1:$M$1,0)))*100)+H301,""))</f>
        <v/>
      </c>
      <c r="AS301" s="148" t="str">
        <f>IF($AN301=FALSE,"",IFERROR(IF(INDEX('Flat Rates'!$A$1:$M$3880,MATCH($AM301,'Flat Rates'!$A$1:$A$3880,0),MATCH("Night Unit Rate",'Flat Rates'!$A$1:$M$1,0))=0,"",((INDEX('Flat Rates'!$A$1:$M$3880,MATCH($AM301,'Flat Rates'!$A$1:$A$3880,0),MATCH("Night Unit Rate",'Flat Rates'!$A$1:$M$1,0)))*100)+H301),""))</f>
        <v/>
      </c>
      <c r="AT301" s="148" t="str">
        <f>IF($AN301=FALSE,"",IFERROR(IF(INDEX('Flat Rates'!$A$1:$M$3880,MATCH($AM301,'Flat Rates'!$A$1:$A$3880,0),MATCH("Evening and Weekend Rate",'Flat Rates'!$A$1:$M$1,0))=0,"",((INDEX('Flat Rates'!$A$1:$M$3880,MATCH($AM301,'Flat Rates'!$A$1:$A$3880,0),MATCH("Evening and Weekend Rate",'Flat Rates'!$A$1:$M$1,0)))*100)+H301),""))</f>
        <v/>
      </c>
      <c r="AU301" s="152" t="str">
        <f t="shared" si="125"/>
        <v/>
      </c>
      <c r="AV301" s="152" t="str">
        <f t="shared" si="126"/>
        <v/>
      </c>
      <c r="AW301" s="152" t="str">
        <f t="shared" si="127"/>
        <v/>
      </c>
    </row>
    <row r="302" spans="2:49" ht="15" thickBot="1" x14ac:dyDescent="0.35">
      <c r="B302" s="138" t="str">
        <f t="shared" si="104"/>
        <v/>
      </c>
      <c r="C302" s="146"/>
      <c r="D302" s="147"/>
      <c r="E302" s="140"/>
      <c r="F302" s="140"/>
      <c r="G302" s="139"/>
      <c r="H302" s="151"/>
      <c r="I302" s="139"/>
      <c r="J302" s="137"/>
      <c r="K302" s="139"/>
      <c r="L302" s="141"/>
      <c r="M302" s="133" t="str">
        <f t="shared" si="105"/>
        <v/>
      </c>
      <c r="N302" s="133" t="str">
        <f t="shared" si="106"/>
        <v/>
      </c>
      <c r="O302" s="133" t="str">
        <f t="shared" si="107"/>
        <v/>
      </c>
      <c r="P302" s="133" t="str">
        <f t="shared" si="108"/>
        <v/>
      </c>
      <c r="Q302" s="133" t="str">
        <f t="shared" si="109"/>
        <v/>
      </c>
      <c r="R302" s="133" t="str">
        <f t="shared" si="110"/>
        <v/>
      </c>
      <c r="S302" s="133" t="str">
        <f t="shared" si="111"/>
        <v/>
      </c>
      <c r="T302" s="133" t="str">
        <f>IFERROR(IF($U302="ERROR","ERROR",IF($N302="00",IF(J302="1-Rate","HH 1RATE",IF(J302="2-Rate","HH 2RATE","")),IFERROR(VLOOKUP(CONCATENATE(N302,Q302,O302,P302),Lookups!$A$2:$E$4557,5,0),VLOOKUP(CONCATENATE(N302,Q302,O302),Lookups!$A$2:$E$4557,5,0)))),"ERROR")</f>
        <v>ERROR</v>
      </c>
      <c r="U302" s="133" t="str">
        <f>IFERROR(IF(NOT($N302="00"),"",VLOOKUP(CONCATENATE(Q302,P302,LOOKUP(2,1/(Lookups!$I$2:$I$11&lt;=E302)/(Lookups!$J$2:$J$11&gt;=Tool!$C$14),Lookups!$K$2:$K$11)),'HH LLFs'!$A$2:$K$500,3,0)),"ERROR")</f>
        <v/>
      </c>
      <c r="V302" s="132">
        <f>Calcs!$I$2</f>
        <v>44377</v>
      </c>
      <c r="W302" s="132">
        <f>Calcs!$I$4</f>
        <v>44592</v>
      </c>
      <c r="X302" s="153" t="str">
        <f>IF(NOT(N302="00"),"",(VLOOKUP(CONCATENATE(Q302,P302,LOOKUP(2,1/(Lookups!$I$2:$I$11&lt;=Multisite!E302)/(Lookups!$J$2:$J$11&gt;=E302),Lookups!$K$2:$K$11)),'HH LLFs'!$A$2:$F$282,6,0)*365)/12)</f>
        <v/>
      </c>
      <c r="Y302" s="153">
        <f t="shared" si="112"/>
        <v>0</v>
      </c>
      <c r="Z302" s="153" t="str">
        <f t="shared" si="121"/>
        <v/>
      </c>
      <c r="AA302" s="153" t="str">
        <f t="shared" si="113"/>
        <v/>
      </c>
      <c r="AB302" s="153" t="str">
        <f t="shared" si="122"/>
        <v/>
      </c>
      <c r="AC302" s="153" t="str">
        <f t="shared" si="114"/>
        <v/>
      </c>
      <c r="AD302" s="153" t="str">
        <f t="shared" si="115"/>
        <v/>
      </c>
      <c r="AE302" s="153" t="str">
        <f t="shared" si="116"/>
        <v/>
      </c>
      <c r="AF302" s="155" t="e">
        <f>LOOKUP(2,1/(Lookups!$I$2:$I$11&lt;=E302)/(Lookups!$J$2:$J$11&gt;=E302),Lookups!$L$2:$L$11)</f>
        <v>#N/A</v>
      </c>
      <c r="AG302" s="142" t="str">
        <f t="shared" si="117"/>
        <v/>
      </c>
      <c r="AH302" s="142" t="str">
        <f t="shared" si="118"/>
        <v/>
      </c>
      <c r="AI302" s="143" t="b">
        <f t="shared" si="123"/>
        <v>0</v>
      </c>
      <c r="AJ302" s="143" t="str">
        <f t="shared" si="119"/>
        <v>Level 1</v>
      </c>
      <c r="AK302" s="142">
        <f t="shared" si="120"/>
        <v>0</v>
      </c>
      <c r="AL302" s="157" t="str">
        <f t="shared" si="128"/>
        <v/>
      </c>
      <c r="AM302" s="144" t="str">
        <f t="shared" si="129"/>
        <v>--FALSE-0</v>
      </c>
      <c r="AN302" s="158" t="str">
        <f t="shared" si="124"/>
        <v/>
      </c>
      <c r="AO302" s="145"/>
      <c r="AP302" s="159" t="str">
        <f>IF($AN302=FALSE,"",IFERROR(INDEX('Flat Rates'!$A$1:$M$3880,MATCH($AM302,'Flat Rates'!$A$1:$A$3880,0),MATCH("Standing Charge",'Flat Rates'!$A$1:$M$1,0))*100,""))</f>
        <v/>
      </c>
      <c r="AQ302" s="148" t="str">
        <f>IF($AN302=FALSE,"",IFERROR((IF(NOT(T302="Unrestricted"),"",INDEX('Flat Rates'!$A$1:$M$3880,MATCH($AM302,'Flat Rates'!$A$1:$A$3880,0),MATCH("Uni/Day Rate",'Flat Rates'!$A$1:$M$1,0)))*100)+H302,""))</f>
        <v/>
      </c>
      <c r="AR302" s="148" t="str">
        <f>IF($AN302=FALSE,"",IFERROR((IF(T302="Unrestricted","",INDEX('Flat Rates'!$A$1:$M$3880,MATCH($AM302,'Flat Rates'!$A$1:$A$3880,0),MATCH("Uni/Day Rate",'Flat Rates'!$A$1:$M$1,0)))*100)+H302,""))</f>
        <v/>
      </c>
      <c r="AS302" s="148" t="str">
        <f>IF($AN302=FALSE,"",IFERROR(IF(INDEX('Flat Rates'!$A$1:$M$3880,MATCH($AM302,'Flat Rates'!$A$1:$A$3880,0),MATCH("Night Unit Rate",'Flat Rates'!$A$1:$M$1,0))=0,"",((INDEX('Flat Rates'!$A$1:$M$3880,MATCH($AM302,'Flat Rates'!$A$1:$A$3880,0),MATCH("Night Unit Rate",'Flat Rates'!$A$1:$M$1,0)))*100)+H302),""))</f>
        <v/>
      </c>
      <c r="AT302" s="148" t="str">
        <f>IF($AN302=FALSE,"",IFERROR(IF(INDEX('Flat Rates'!$A$1:$M$3880,MATCH($AM302,'Flat Rates'!$A$1:$A$3880,0),MATCH("Evening and Weekend Rate",'Flat Rates'!$A$1:$M$1,0))=0,"",((INDEX('Flat Rates'!$A$1:$M$3880,MATCH($AM302,'Flat Rates'!$A$1:$A$3880,0),MATCH("Evening and Weekend Rate",'Flat Rates'!$A$1:$M$1,0)))*100)+H302),""))</f>
        <v/>
      </c>
      <c r="AU302" s="152" t="str">
        <f t="shared" si="125"/>
        <v/>
      </c>
      <c r="AV302" s="152" t="str">
        <f t="shared" si="126"/>
        <v/>
      </c>
      <c r="AW302" s="152" t="str">
        <f t="shared" si="127"/>
        <v/>
      </c>
    </row>
    <row r="303" spans="2:49" ht="15" thickBot="1" x14ac:dyDescent="0.35">
      <c r="B303" s="138" t="str">
        <f t="shared" si="104"/>
        <v/>
      </c>
      <c r="C303" s="137"/>
      <c r="D303" s="139"/>
      <c r="E303" s="140"/>
      <c r="F303" s="140"/>
      <c r="G303" s="139"/>
      <c r="H303" s="151"/>
      <c r="I303" s="139"/>
      <c r="J303" s="138"/>
      <c r="K303" s="139"/>
      <c r="L303" s="141"/>
      <c r="M303" s="133" t="str">
        <f t="shared" si="105"/>
        <v/>
      </c>
      <c r="N303" s="133" t="str">
        <f t="shared" si="106"/>
        <v/>
      </c>
      <c r="O303" s="133" t="str">
        <f t="shared" si="107"/>
        <v/>
      </c>
      <c r="P303" s="133" t="str">
        <f t="shared" si="108"/>
        <v/>
      </c>
      <c r="Q303" s="133" t="str">
        <f t="shared" si="109"/>
        <v/>
      </c>
      <c r="R303" s="133" t="str">
        <f t="shared" si="110"/>
        <v/>
      </c>
      <c r="S303" s="133" t="str">
        <f t="shared" si="111"/>
        <v/>
      </c>
      <c r="T303" s="133" t="str">
        <f>IFERROR(IF($U303="ERROR","ERROR",IF($N303="00",IF(J303="1-Rate","HH 1RATE",IF(J303="2-Rate","HH 2RATE","")),IFERROR(VLOOKUP(CONCATENATE(N303,Q303,O303,P303),Lookups!$A$2:$E$4557,5,0),VLOOKUP(CONCATENATE(N303,Q303,O303),Lookups!$A$2:$E$4557,5,0)))),"ERROR")</f>
        <v>ERROR</v>
      </c>
      <c r="U303" s="133" t="str">
        <f>IFERROR(IF(NOT($N303="00"),"",VLOOKUP(CONCATENATE(Q303,P303,LOOKUP(2,1/(Lookups!$I$2:$I$11&lt;=E303)/(Lookups!$J$2:$J$11&gt;=Tool!$C$14),Lookups!$K$2:$K$11)),'HH LLFs'!$A$2:$K$500,3,0)),"ERROR")</f>
        <v/>
      </c>
      <c r="V303" s="132">
        <f>Calcs!$I$2</f>
        <v>44377</v>
      </c>
      <c r="W303" s="132">
        <f>Calcs!$I$4</f>
        <v>44592</v>
      </c>
      <c r="X303" s="153" t="str">
        <f>IF(NOT(N303="00"),"",(VLOOKUP(CONCATENATE(Q303,P303,LOOKUP(2,1/(Lookups!$I$2:$I$11&lt;=Multisite!E303)/(Lookups!$J$2:$J$11&gt;=E303),Lookups!$K$2:$K$11)),'HH LLFs'!$A$2:$F$282,6,0)*365)/12)</f>
        <v/>
      </c>
      <c r="Y303" s="153">
        <f t="shared" si="112"/>
        <v>0</v>
      </c>
      <c r="Z303" s="153" t="str">
        <f t="shared" si="121"/>
        <v/>
      </c>
      <c r="AA303" s="153" t="str">
        <f t="shared" si="113"/>
        <v/>
      </c>
      <c r="AB303" s="153" t="str">
        <f t="shared" si="122"/>
        <v/>
      </c>
      <c r="AC303" s="153" t="str">
        <f t="shared" si="114"/>
        <v/>
      </c>
      <c r="AD303" s="153" t="str">
        <f t="shared" si="115"/>
        <v/>
      </c>
      <c r="AE303" s="153" t="str">
        <f t="shared" si="116"/>
        <v/>
      </c>
      <c r="AF303" s="155" t="e">
        <f>LOOKUP(2,1/(Lookups!$I$2:$I$11&lt;=E303)/(Lookups!$J$2:$J$11&gt;=E303),Lookups!$L$2:$L$11)</f>
        <v>#N/A</v>
      </c>
      <c r="AG303" s="142" t="str">
        <f t="shared" si="117"/>
        <v/>
      </c>
      <c r="AH303" s="142" t="str">
        <f t="shared" si="118"/>
        <v/>
      </c>
      <c r="AI303" s="143" t="b">
        <f t="shared" si="123"/>
        <v>0</v>
      </c>
      <c r="AJ303" s="143" t="str">
        <f t="shared" si="119"/>
        <v>Level 1</v>
      </c>
      <c r="AK303" s="142">
        <f t="shared" si="120"/>
        <v>0</v>
      </c>
      <c r="AL303" s="157" t="str">
        <f t="shared" si="128"/>
        <v/>
      </c>
      <c r="AM303" s="144" t="str">
        <f t="shared" si="129"/>
        <v>--FALSE-0</v>
      </c>
      <c r="AN303" s="158" t="str">
        <f t="shared" si="124"/>
        <v/>
      </c>
      <c r="AO303" s="145"/>
      <c r="AP303" s="159" t="str">
        <f>IF($AN303=FALSE,"",IFERROR(INDEX('Flat Rates'!$A$1:$M$3880,MATCH($AM303,'Flat Rates'!$A$1:$A$3880,0),MATCH("Standing Charge",'Flat Rates'!$A$1:$M$1,0))*100,""))</f>
        <v/>
      </c>
      <c r="AQ303" s="148" t="str">
        <f>IF($AN303=FALSE,"",IFERROR((IF(NOT(T303="Unrestricted"),"",INDEX('Flat Rates'!$A$1:$M$3880,MATCH($AM303,'Flat Rates'!$A$1:$A$3880,0),MATCH("Uni/Day Rate",'Flat Rates'!$A$1:$M$1,0)))*100)+H303,""))</f>
        <v/>
      </c>
      <c r="AR303" s="148" t="str">
        <f>IF($AN303=FALSE,"",IFERROR((IF(T303="Unrestricted","",INDEX('Flat Rates'!$A$1:$M$3880,MATCH($AM303,'Flat Rates'!$A$1:$A$3880,0),MATCH("Uni/Day Rate",'Flat Rates'!$A$1:$M$1,0)))*100)+H303,""))</f>
        <v/>
      </c>
      <c r="AS303" s="148" t="str">
        <f>IF($AN303=FALSE,"",IFERROR(IF(INDEX('Flat Rates'!$A$1:$M$3880,MATCH($AM303,'Flat Rates'!$A$1:$A$3880,0),MATCH("Night Unit Rate",'Flat Rates'!$A$1:$M$1,0))=0,"",((INDEX('Flat Rates'!$A$1:$M$3880,MATCH($AM303,'Flat Rates'!$A$1:$A$3880,0),MATCH("Night Unit Rate",'Flat Rates'!$A$1:$M$1,0)))*100)+H303),""))</f>
        <v/>
      </c>
      <c r="AT303" s="148" t="str">
        <f>IF($AN303=FALSE,"",IFERROR(IF(INDEX('Flat Rates'!$A$1:$M$3880,MATCH($AM303,'Flat Rates'!$A$1:$A$3880,0),MATCH("Evening and Weekend Rate",'Flat Rates'!$A$1:$M$1,0))=0,"",((INDEX('Flat Rates'!$A$1:$M$3880,MATCH($AM303,'Flat Rates'!$A$1:$A$3880,0),MATCH("Evening and Weekend Rate",'Flat Rates'!$A$1:$M$1,0)))*100)+H303),""))</f>
        <v/>
      </c>
      <c r="AU303" s="152" t="str">
        <f t="shared" si="125"/>
        <v/>
      </c>
      <c r="AV303" s="152" t="str">
        <f t="shared" si="126"/>
        <v/>
      </c>
      <c r="AW303" s="152" t="str">
        <f t="shared" si="127"/>
        <v/>
      </c>
    </row>
    <row r="304" spans="2:49" ht="15" thickBot="1" x14ac:dyDescent="0.35">
      <c r="B304" s="138" t="str">
        <f t="shared" si="104"/>
        <v/>
      </c>
      <c r="C304" s="146"/>
      <c r="D304" s="147"/>
      <c r="E304" s="140"/>
      <c r="F304" s="140"/>
      <c r="G304" s="139"/>
      <c r="H304" s="151"/>
      <c r="I304" s="139"/>
      <c r="J304" s="137"/>
      <c r="K304" s="139"/>
      <c r="L304" s="141"/>
      <c r="M304" s="133" t="str">
        <f t="shared" si="105"/>
        <v/>
      </c>
      <c r="N304" s="133" t="str">
        <f t="shared" si="106"/>
        <v/>
      </c>
      <c r="O304" s="133" t="str">
        <f t="shared" si="107"/>
        <v/>
      </c>
      <c r="P304" s="133" t="str">
        <f t="shared" si="108"/>
        <v/>
      </c>
      <c r="Q304" s="133" t="str">
        <f t="shared" si="109"/>
        <v/>
      </c>
      <c r="R304" s="133" t="str">
        <f t="shared" si="110"/>
        <v/>
      </c>
      <c r="S304" s="133" t="str">
        <f t="shared" si="111"/>
        <v/>
      </c>
      <c r="T304" s="133" t="str">
        <f>IFERROR(IF($U304="ERROR","ERROR",IF($N304="00",IF(J304="1-Rate","HH 1RATE",IF(J304="2-Rate","HH 2RATE","")),IFERROR(VLOOKUP(CONCATENATE(N304,Q304,O304,P304),Lookups!$A$2:$E$4557,5,0),VLOOKUP(CONCATENATE(N304,Q304,O304),Lookups!$A$2:$E$4557,5,0)))),"ERROR")</f>
        <v>ERROR</v>
      </c>
      <c r="U304" s="133" t="str">
        <f>IFERROR(IF(NOT($N304="00"),"",VLOOKUP(CONCATENATE(Q304,P304,LOOKUP(2,1/(Lookups!$I$2:$I$11&lt;=E304)/(Lookups!$J$2:$J$11&gt;=Tool!$C$14),Lookups!$K$2:$K$11)),'HH LLFs'!$A$2:$K$500,3,0)),"ERROR")</f>
        <v/>
      </c>
      <c r="V304" s="132">
        <f>Calcs!$I$2</f>
        <v>44377</v>
      </c>
      <c r="W304" s="132">
        <f>Calcs!$I$4</f>
        <v>44592</v>
      </c>
      <c r="X304" s="153" t="str">
        <f>IF(NOT(N304="00"),"",(VLOOKUP(CONCATENATE(Q304,P304,LOOKUP(2,1/(Lookups!$I$2:$I$11&lt;=Multisite!E304)/(Lookups!$J$2:$J$11&gt;=E304),Lookups!$K$2:$K$11)),'HH LLFs'!$A$2:$F$282,6,0)*365)/12)</f>
        <v/>
      </c>
      <c r="Y304" s="153">
        <f t="shared" si="112"/>
        <v>0</v>
      </c>
      <c r="Z304" s="153" t="str">
        <f t="shared" si="121"/>
        <v/>
      </c>
      <c r="AA304" s="153" t="str">
        <f t="shared" si="113"/>
        <v/>
      </c>
      <c r="AB304" s="153" t="str">
        <f t="shared" si="122"/>
        <v/>
      </c>
      <c r="AC304" s="153" t="str">
        <f t="shared" si="114"/>
        <v/>
      </c>
      <c r="AD304" s="153" t="str">
        <f t="shared" si="115"/>
        <v/>
      </c>
      <c r="AE304" s="153" t="str">
        <f t="shared" si="116"/>
        <v/>
      </c>
      <c r="AF304" s="155" t="e">
        <f>LOOKUP(2,1/(Lookups!$I$2:$I$11&lt;=E304)/(Lookups!$J$2:$J$11&gt;=E304),Lookups!$L$2:$L$11)</f>
        <v>#N/A</v>
      </c>
      <c r="AG304" s="142" t="str">
        <f t="shared" si="117"/>
        <v/>
      </c>
      <c r="AH304" s="142" t="str">
        <f t="shared" si="118"/>
        <v/>
      </c>
      <c r="AI304" s="143" t="b">
        <f t="shared" si="123"/>
        <v>0</v>
      </c>
      <c r="AJ304" s="143" t="str">
        <f t="shared" si="119"/>
        <v>Level 1</v>
      </c>
      <c r="AK304" s="142">
        <f t="shared" si="120"/>
        <v>0</v>
      </c>
      <c r="AL304" s="157" t="str">
        <f t="shared" si="128"/>
        <v/>
      </c>
      <c r="AM304" s="144" t="str">
        <f t="shared" si="129"/>
        <v>--FALSE-0</v>
      </c>
      <c r="AN304" s="158" t="str">
        <f t="shared" si="124"/>
        <v/>
      </c>
      <c r="AO304" s="145"/>
      <c r="AP304" s="159" t="str">
        <f>IF($AN304=FALSE,"",IFERROR(INDEX('Flat Rates'!$A$1:$M$3880,MATCH($AM304,'Flat Rates'!$A$1:$A$3880,0),MATCH("Standing Charge",'Flat Rates'!$A$1:$M$1,0))*100,""))</f>
        <v/>
      </c>
      <c r="AQ304" s="148" t="str">
        <f>IF($AN304=FALSE,"",IFERROR((IF(NOT(T304="Unrestricted"),"",INDEX('Flat Rates'!$A$1:$M$3880,MATCH($AM304,'Flat Rates'!$A$1:$A$3880,0),MATCH("Uni/Day Rate",'Flat Rates'!$A$1:$M$1,0)))*100)+H304,""))</f>
        <v/>
      </c>
      <c r="AR304" s="148" t="str">
        <f>IF($AN304=FALSE,"",IFERROR((IF(T304="Unrestricted","",INDEX('Flat Rates'!$A$1:$M$3880,MATCH($AM304,'Flat Rates'!$A$1:$A$3880,0),MATCH("Uni/Day Rate",'Flat Rates'!$A$1:$M$1,0)))*100)+H304,""))</f>
        <v/>
      </c>
      <c r="AS304" s="148" t="str">
        <f>IF($AN304=FALSE,"",IFERROR(IF(INDEX('Flat Rates'!$A$1:$M$3880,MATCH($AM304,'Flat Rates'!$A$1:$A$3880,0),MATCH("Night Unit Rate",'Flat Rates'!$A$1:$M$1,0))=0,"",((INDEX('Flat Rates'!$A$1:$M$3880,MATCH($AM304,'Flat Rates'!$A$1:$A$3880,0),MATCH("Night Unit Rate",'Flat Rates'!$A$1:$M$1,0)))*100)+H304),""))</f>
        <v/>
      </c>
      <c r="AT304" s="148" t="str">
        <f>IF($AN304=FALSE,"",IFERROR(IF(INDEX('Flat Rates'!$A$1:$M$3880,MATCH($AM304,'Flat Rates'!$A$1:$A$3880,0),MATCH("Evening and Weekend Rate",'Flat Rates'!$A$1:$M$1,0))=0,"",((INDEX('Flat Rates'!$A$1:$M$3880,MATCH($AM304,'Flat Rates'!$A$1:$A$3880,0),MATCH("Evening and Weekend Rate",'Flat Rates'!$A$1:$M$1,0)))*100)+H304),""))</f>
        <v/>
      </c>
      <c r="AU304" s="152" t="str">
        <f t="shared" si="125"/>
        <v/>
      </c>
      <c r="AV304" s="152" t="str">
        <f t="shared" si="126"/>
        <v/>
      </c>
      <c r="AW304" s="152" t="str">
        <f t="shared" si="127"/>
        <v/>
      </c>
    </row>
    <row r="305" spans="2:49" ht="15" thickBot="1" x14ac:dyDescent="0.35">
      <c r="B305" s="138" t="str">
        <f t="shared" si="104"/>
        <v/>
      </c>
      <c r="C305" s="137"/>
      <c r="D305" s="139"/>
      <c r="E305" s="140"/>
      <c r="F305" s="140"/>
      <c r="G305" s="139"/>
      <c r="H305" s="151"/>
      <c r="I305" s="139"/>
      <c r="J305" s="138"/>
      <c r="K305" s="139"/>
      <c r="L305" s="141"/>
      <c r="M305" s="133" t="str">
        <f t="shared" si="105"/>
        <v/>
      </c>
      <c r="N305" s="133" t="str">
        <f t="shared" si="106"/>
        <v/>
      </c>
      <c r="O305" s="133" t="str">
        <f t="shared" si="107"/>
        <v/>
      </c>
      <c r="P305" s="133" t="str">
        <f t="shared" si="108"/>
        <v/>
      </c>
      <c r="Q305" s="133" t="str">
        <f t="shared" si="109"/>
        <v/>
      </c>
      <c r="R305" s="133" t="str">
        <f t="shared" si="110"/>
        <v/>
      </c>
      <c r="S305" s="133" t="str">
        <f t="shared" si="111"/>
        <v/>
      </c>
      <c r="T305" s="133" t="str">
        <f>IFERROR(IF($U305="ERROR","ERROR",IF($N305="00",IF(J305="1-Rate","HH 1RATE",IF(J305="2-Rate","HH 2RATE","")),IFERROR(VLOOKUP(CONCATENATE(N305,Q305,O305,P305),Lookups!$A$2:$E$4557,5,0),VLOOKUP(CONCATENATE(N305,Q305,O305),Lookups!$A$2:$E$4557,5,0)))),"ERROR")</f>
        <v>ERROR</v>
      </c>
      <c r="U305" s="133" t="str">
        <f>IFERROR(IF(NOT($N305="00"),"",VLOOKUP(CONCATENATE(Q305,P305,LOOKUP(2,1/(Lookups!$I$2:$I$11&lt;=E305)/(Lookups!$J$2:$J$11&gt;=Tool!$C$14),Lookups!$K$2:$K$11)),'HH LLFs'!$A$2:$K$500,3,0)),"ERROR")</f>
        <v/>
      </c>
      <c r="V305" s="132">
        <f>Calcs!$I$2</f>
        <v>44377</v>
      </c>
      <c r="W305" s="132">
        <f>Calcs!$I$4</f>
        <v>44592</v>
      </c>
      <c r="X305" s="153" t="str">
        <f>IF(NOT(N305="00"),"",(VLOOKUP(CONCATENATE(Q305,P305,LOOKUP(2,1/(Lookups!$I$2:$I$11&lt;=Multisite!E305)/(Lookups!$J$2:$J$11&gt;=E305),Lookups!$K$2:$K$11)),'HH LLFs'!$A$2:$F$282,6,0)*365)/12)</f>
        <v/>
      </c>
      <c r="Y305" s="153">
        <f t="shared" si="112"/>
        <v>0</v>
      </c>
      <c r="Z305" s="153" t="str">
        <f t="shared" si="121"/>
        <v/>
      </c>
      <c r="AA305" s="153" t="str">
        <f t="shared" si="113"/>
        <v/>
      </c>
      <c r="AB305" s="153" t="str">
        <f t="shared" si="122"/>
        <v/>
      </c>
      <c r="AC305" s="153" t="str">
        <f t="shared" si="114"/>
        <v/>
      </c>
      <c r="AD305" s="153" t="str">
        <f t="shared" si="115"/>
        <v/>
      </c>
      <c r="AE305" s="153" t="str">
        <f t="shared" si="116"/>
        <v/>
      </c>
      <c r="AF305" s="155" t="e">
        <f>LOOKUP(2,1/(Lookups!$I$2:$I$11&lt;=E305)/(Lookups!$J$2:$J$11&gt;=E305),Lookups!$L$2:$L$11)</f>
        <v>#N/A</v>
      </c>
      <c r="AG305" s="142" t="str">
        <f t="shared" si="117"/>
        <v/>
      </c>
      <c r="AH305" s="142" t="str">
        <f t="shared" si="118"/>
        <v/>
      </c>
      <c r="AI305" s="143" t="b">
        <f t="shared" si="123"/>
        <v>0</v>
      </c>
      <c r="AJ305" s="143" t="str">
        <f t="shared" si="119"/>
        <v>Level 1</v>
      </c>
      <c r="AK305" s="142">
        <f t="shared" si="120"/>
        <v>0</v>
      </c>
      <c r="AL305" s="157" t="str">
        <f t="shared" si="128"/>
        <v/>
      </c>
      <c r="AM305" s="144" t="str">
        <f t="shared" si="129"/>
        <v>--FALSE-0</v>
      </c>
      <c r="AN305" s="158" t="str">
        <f t="shared" si="124"/>
        <v/>
      </c>
      <c r="AO305" s="145"/>
      <c r="AP305" s="159" t="str">
        <f>IF($AN305=FALSE,"",IFERROR(INDEX('Flat Rates'!$A$1:$M$3880,MATCH($AM305,'Flat Rates'!$A$1:$A$3880,0),MATCH("Standing Charge",'Flat Rates'!$A$1:$M$1,0))*100,""))</f>
        <v/>
      </c>
      <c r="AQ305" s="148" t="str">
        <f>IF($AN305=FALSE,"",IFERROR((IF(NOT(T305="Unrestricted"),"",INDEX('Flat Rates'!$A$1:$M$3880,MATCH($AM305,'Flat Rates'!$A$1:$A$3880,0),MATCH("Uni/Day Rate",'Flat Rates'!$A$1:$M$1,0)))*100)+H305,""))</f>
        <v/>
      </c>
      <c r="AR305" s="148" t="str">
        <f>IF($AN305=FALSE,"",IFERROR((IF(T305="Unrestricted","",INDEX('Flat Rates'!$A$1:$M$3880,MATCH($AM305,'Flat Rates'!$A$1:$A$3880,0),MATCH("Uni/Day Rate",'Flat Rates'!$A$1:$M$1,0)))*100)+H305,""))</f>
        <v/>
      </c>
      <c r="AS305" s="148" t="str">
        <f>IF($AN305=FALSE,"",IFERROR(IF(INDEX('Flat Rates'!$A$1:$M$3880,MATCH($AM305,'Flat Rates'!$A$1:$A$3880,0),MATCH("Night Unit Rate",'Flat Rates'!$A$1:$M$1,0))=0,"",((INDEX('Flat Rates'!$A$1:$M$3880,MATCH($AM305,'Flat Rates'!$A$1:$A$3880,0),MATCH("Night Unit Rate",'Flat Rates'!$A$1:$M$1,0)))*100)+H305),""))</f>
        <v/>
      </c>
      <c r="AT305" s="148" t="str">
        <f>IF($AN305=FALSE,"",IFERROR(IF(INDEX('Flat Rates'!$A$1:$M$3880,MATCH($AM305,'Flat Rates'!$A$1:$A$3880,0),MATCH("Evening and Weekend Rate",'Flat Rates'!$A$1:$M$1,0))=0,"",((INDEX('Flat Rates'!$A$1:$M$3880,MATCH($AM305,'Flat Rates'!$A$1:$A$3880,0),MATCH("Evening and Weekend Rate",'Flat Rates'!$A$1:$M$1,0)))*100)+H305),""))</f>
        <v/>
      </c>
      <c r="AU305" s="152" t="str">
        <f t="shared" si="125"/>
        <v/>
      </c>
      <c r="AV305" s="152" t="str">
        <f t="shared" si="126"/>
        <v/>
      </c>
      <c r="AW305" s="152" t="str">
        <f t="shared" si="127"/>
        <v/>
      </c>
    </row>
    <row r="306" spans="2:49" ht="15" thickBot="1" x14ac:dyDescent="0.35">
      <c r="B306" s="138" t="str">
        <f t="shared" si="104"/>
        <v/>
      </c>
      <c r="C306" s="146"/>
      <c r="D306" s="147"/>
      <c r="E306" s="140"/>
      <c r="F306" s="140"/>
      <c r="G306" s="139"/>
      <c r="H306" s="151"/>
      <c r="I306" s="139"/>
      <c r="J306" s="137"/>
      <c r="K306" s="139"/>
      <c r="L306" s="141"/>
      <c r="M306" s="133" t="str">
        <f t="shared" si="105"/>
        <v/>
      </c>
      <c r="N306" s="133" t="str">
        <f t="shared" si="106"/>
        <v/>
      </c>
      <c r="O306" s="133" t="str">
        <f t="shared" si="107"/>
        <v/>
      </c>
      <c r="P306" s="133" t="str">
        <f t="shared" si="108"/>
        <v/>
      </c>
      <c r="Q306" s="133" t="str">
        <f t="shared" si="109"/>
        <v/>
      </c>
      <c r="R306" s="133" t="str">
        <f t="shared" si="110"/>
        <v/>
      </c>
      <c r="S306" s="133" t="str">
        <f t="shared" si="111"/>
        <v/>
      </c>
      <c r="T306" s="133" t="str">
        <f>IFERROR(IF($U306="ERROR","ERROR",IF($N306="00",IF(J306="1-Rate","HH 1RATE",IF(J306="2-Rate","HH 2RATE","")),IFERROR(VLOOKUP(CONCATENATE(N306,Q306,O306,P306),Lookups!$A$2:$E$4557,5,0),VLOOKUP(CONCATENATE(N306,Q306,O306),Lookups!$A$2:$E$4557,5,0)))),"ERROR")</f>
        <v>ERROR</v>
      </c>
      <c r="U306" s="133" t="str">
        <f>IFERROR(IF(NOT($N306="00"),"",VLOOKUP(CONCATENATE(Q306,P306,LOOKUP(2,1/(Lookups!$I$2:$I$11&lt;=E306)/(Lookups!$J$2:$J$11&gt;=Tool!$C$14),Lookups!$K$2:$K$11)),'HH LLFs'!$A$2:$K$500,3,0)),"ERROR")</f>
        <v/>
      </c>
      <c r="V306" s="132">
        <f>Calcs!$I$2</f>
        <v>44377</v>
      </c>
      <c r="W306" s="132">
        <f>Calcs!$I$4</f>
        <v>44592</v>
      </c>
      <c r="X306" s="153" t="str">
        <f>IF(NOT(N306="00"),"",(VLOOKUP(CONCATENATE(Q306,P306,LOOKUP(2,1/(Lookups!$I$2:$I$11&lt;=Multisite!E306)/(Lookups!$J$2:$J$11&gt;=E306),Lookups!$K$2:$K$11)),'HH LLFs'!$A$2:$F$282,6,0)*365)/12)</f>
        <v/>
      </c>
      <c r="Y306" s="153">
        <f t="shared" si="112"/>
        <v>0</v>
      </c>
      <c r="Z306" s="153" t="str">
        <f t="shared" si="121"/>
        <v/>
      </c>
      <c r="AA306" s="153" t="str">
        <f t="shared" si="113"/>
        <v/>
      </c>
      <c r="AB306" s="153" t="str">
        <f t="shared" si="122"/>
        <v/>
      </c>
      <c r="AC306" s="153" t="str">
        <f t="shared" si="114"/>
        <v/>
      </c>
      <c r="AD306" s="153" t="str">
        <f t="shared" si="115"/>
        <v/>
      </c>
      <c r="AE306" s="153" t="str">
        <f t="shared" si="116"/>
        <v/>
      </c>
      <c r="AF306" s="155" t="e">
        <f>LOOKUP(2,1/(Lookups!$I$2:$I$11&lt;=E306)/(Lookups!$J$2:$J$11&gt;=E306),Lookups!$L$2:$L$11)</f>
        <v>#N/A</v>
      </c>
      <c r="AG306" s="142" t="str">
        <f t="shared" si="117"/>
        <v/>
      </c>
      <c r="AH306" s="142" t="str">
        <f t="shared" si="118"/>
        <v/>
      </c>
      <c r="AI306" s="143" t="b">
        <f t="shared" si="123"/>
        <v>0</v>
      </c>
      <c r="AJ306" s="143" t="str">
        <f t="shared" si="119"/>
        <v>Level 1</v>
      </c>
      <c r="AK306" s="142">
        <f t="shared" si="120"/>
        <v>0</v>
      </c>
      <c r="AL306" s="157" t="str">
        <f t="shared" si="128"/>
        <v/>
      </c>
      <c r="AM306" s="144" t="str">
        <f t="shared" si="129"/>
        <v>--FALSE-0</v>
      </c>
      <c r="AN306" s="158" t="str">
        <f t="shared" si="124"/>
        <v/>
      </c>
      <c r="AO306" s="145"/>
      <c r="AP306" s="159" t="str">
        <f>IF($AN306=FALSE,"",IFERROR(INDEX('Flat Rates'!$A$1:$M$3880,MATCH($AM306,'Flat Rates'!$A$1:$A$3880,0),MATCH("Standing Charge",'Flat Rates'!$A$1:$M$1,0))*100,""))</f>
        <v/>
      </c>
      <c r="AQ306" s="148" t="str">
        <f>IF($AN306=FALSE,"",IFERROR((IF(NOT(T306="Unrestricted"),"",INDEX('Flat Rates'!$A$1:$M$3880,MATCH($AM306,'Flat Rates'!$A$1:$A$3880,0),MATCH("Uni/Day Rate",'Flat Rates'!$A$1:$M$1,0)))*100)+H306,""))</f>
        <v/>
      </c>
      <c r="AR306" s="148" t="str">
        <f>IF($AN306=FALSE,"",IFERROR((IF(T306="Unrestricted","",INDEX('Flat Rates'!$A$1:$M$3880,MATCH($AM306,'Flat Rates'!$A$1:$A$3880,0),MATCH("Uni/Day Rate",'Flat Rates'!$A$1:$M$1,0)))*100)+H306,""))</f>
        <v/>
      </c>
      <c r="AS306" s="148" t="str">
        <f>IF($AN306=FALSE,"",IFERROR(IF(INDEX('Flat Rates'!$A$1:$M$3880,MATCH($AM306,'Flat Rates'!$A$1:$A$3880,0),MATCH("Night Unit Rate",'Flat Rates'!$A$1:$M$1,0))=0,"",((INDEX('Flat Rates'!$A$1:$M$3880,MATCH($AM306,'Flat Rates'!$A$1:$A$3880,0),MATCH("Night Unit Rate",'Flat Rates'!$A$1:$M$1,0)))*100)+H306),""))</f>
        <v/>
      </c>
      <c r="AT306" s="148" t="str">
        <f>IF($AN306=FALSE,"",IFERROR(IF(INDEX('Flat Rates'!$A$1:$M$3880,MATCH($AM306,'Flat Rates'!$A$1:$A$3880,0),MATCH("Evening and Weekend Rate",'Flat Rates'!$A$1:$M$1,0))=0,"",((INDEX('Flat Rates'!$A$1:$M$3880,MATCH($AM306,'Flat Rates'!$A$1:$A$3880,0),MATCH("Evening and Weekend Rate",'Flat Rates'!$A$1:$M$1,0)))*100)+H306),""))</f>
        <v/>
      </c>
      <c r="AU306" s="152" t="str">
        <f t="shared" si="125"/>
        <v/>
      </c>
      <c r="AV306" s="152" t="str">
        <f t="shared" si="126"/>
        <v/>
      </c>
      <c r="AW306" s="152" t="str">
        <f t="shared" si="127"/>
        <v/>
      </c>
    </row>
    <row r="307" spans="2:49" ht="15" thickBot="1" x14ac:dyDescent="0.35">
      <c r="B307" s="138" t="str">
        <f t="shared" si="104"/>
        <v/>
      </c>
      <c r="C307" s="137"/>
      <c r="D307" s="139"/>
      <c r="E307" s="140"/>
      <c r="F307" s="140"/>
      <c r="G307" s="139"/>
      <c r="H307" s="151"/>
      <c r="I307" s="139"/>
      <c r="J307" s="138"/>
      <c r="K307" s="139"/>
      <c r="L307" s="141"/>
      <c r="M307" s="133" t="str">
        <f t="shared" si="105"/>
        <v/>
      </c>
      <c r="N307" s="133" t="str">
        <f t="shared" si="106"/>
        <v/>
      </c>
      <c r="O307" s="133" t="str">
        <f t="shared" si="107"/>
        <v/>
      </c>
      <c r="P307" s="133" t="str">
        <f t="shared" si="108"/>
        <v/>
      </c>
      <c r="Q307" s="133" t="str">
        <f t="shared" si="109"/>
        <v/>
      </c>
      <c r="R307" s="133" t="str">
        <f t="shared" si="110"/>
        <v/>
      </c>
      <c r="S307" s="133" t="str">
        <f t="shared" si="111"/>
        <v/>
      </c>
      <c r="T307" s="133" t="str">
        <f>IFERROR(IF($U307="ERROR","ERROR",IF($N307="00",IF(J307="1-Rate","HH 1RATE",IF(J307="2-Rate","HH 2RATE","")),IFERROR(VLOOKUP(CONCATENATE(N307,Q307,O307,P307),Lookups!$A$2:$E$4557,5,0),VLOOKUP(CONCATENATE(N307,Q307,O307),Lookups!$A$2:$E$4557,5,0)))),"ERROR")</f>
        <v>ERROR</v>
      </c>
      <c r="U307" s="133" t="str">
        <f>IFERROR(IF(NOT($N307="00"),"",VLOOKUP(CONCATENATE(Q307,P307,LOOKUP(2,1/(Lookups!$I$2:$I$11&lt;=E307)/(Lookups!$J$2:$J$11&gt;=Tool!$C$14),Lookups!$K$2:$K$11)),'HH LLFs'!$A$2:$K$500,3,0)),"ERROR")</f>
        <v/>
      </c>
      <c r="V307" s="132">
        <f>Calcs!$I$2</f>
        <v>44377</v>
      </c>
      <c r="W307" s="132">
        <f>Calcs!$I$4</f>
        <v>44592</v>
      </c>
      <c r="X307" s="153" t="str">
        <f>IF(NOT(N307="00"),"",(VLOOKUP(CONCATENATE(Q307,P307,LOOKUP(2,1/(Lookups!$I$2:$I$11&lt;=Multisite!E307)/(Lookups!$J$2:$J$11&gt;=E307),Lookups!$K$2:$K$11)),'HH LLFs'!$A$2:$F$282,6,0)*365)/12)</f>
        <v/>
      </c>
      <c r="Y307" s="153">
        <f t="shared" si="112"/>
        <v>0</v>
      </c>
      <c r="Z307" s="153" t="str">
        <f t="shared" si="121"/>
        <v/>
      </c>
      <c r="AA307" s="153" t="str">
        <f t="shared" si="113"/>
        <v/>
      </c>
      <c r="AB307" s="153" t="str">
        <f t="shared" si="122"/>
        <v/>
      </c>
      <c r="AC307" s="153" t="str">
        <f t="shared" si="114"/>
        <v/>
      </c>
      <c r="AD307" s="153" t="str">
        <f t="shared" si="115"/>
        <v/>
      </c>
      <c r="AE307" s="153" t="str">
        <f t="shared" si="116"/>
        <v/>
      </c>
      <c r="AF307" s="155" t="e">
        <f>LOOKUP(2,1/(Lookups!$I$2:$I$11&lt;=E307)/(Lookups!$J$2:$J$11&gt;=E307),Lookups!$L$2:$L$11)</f>
        <v>#N/A</v>
      </c>
      <c r="AG307" s="142" t="str">
        <f t="shared" si="117"/>
        <v/>
      </c>
      <c r="AH307" s="142" t="str">
        <f t="shared" si="118"/>
        <v/>
      </c>
      <c r="AI307" s="143" t="b">
        <f t="shared" si="123"/>
        <v>0</v>
      </c>
      <c r="AJ307" s="143" t="str">
        <f t="shared" si="119"/>
        <v>Level 1</v>
      </c>
      <c r="AK307" s="142">
        <f t="shared" si="120"/>
        <v>0</v>
      </c>
      <c r="AL307" s="157" t="str">
        <f t="shared" si="128"/>
        <v/>
      </c>
      <c r="AM307" s="144" t="str">
        <f t="shared" si="129"/>
        <v>--FALSE-0</v>
      </c>
      <c r="AN307" s="158" t="str">
        <f t="shared" si="124"/>
        <v/>
      </c>
      <c r="AO307" s="145"/>
      <c r="AP307" s="159" t="str">
        <f>IF($AN307=FALSE,"",IFERROR(INDEX('Flat Rates'!$A$1:$M$3880,MATCH($AM307,'Flat Rates'!$A$1:$A$3880,0),MATCH("Standing Charge",'Flat Rates'!$A$1:$M$1,0))*100,""))</f>
        <v/>
      </c>
      <c r="AQ307" s="148" t="str">
        <f>IF($AN307=FALSE,"",IFERROR((IF(NOT(T307="Unrestricted"),"",INDEX('Flat Rates'!$A$1:$M$3880,MATCH($AM307,'Flat Rates'!$A$1:$A$3880,0),MATCH("Uni/Day Rate",'Flat Rates'!$A$1:$M$1,0)))*100)+H307,""))</f>
        <v/>
      </c>
      <c r="AR307" s="148" t="str">
        <f>IF($AN307=FALSE,"",IFERROR((IF(T307="Unrestricted","",INDEX('Flat Rates'!$A$1:$M$3880,MATCH($AM307,'Flat Rates'!$A$1:$A$3880,0),MATCH("Uni/Day Rate",'Flat Rates'!$A$1:$M$1,0)))*100)+H307,""))</f>
        <v/>
      </c>
      <c r="AS307" s="148" t="str">
        <f>IF($AN307=FALSE,"",IFERROR(IF(INDEX('Flat Rates'!$A$1:$M$3880,MATCH($AM307,'Flat Rates'!$A$1:$A$3880,0),MATCH("Night Unit Rate",'Flat Rates'!$A$1:$M$1,0))=0,"",((INDEX('Flat Rates'!$A$1:$M$3880,MATCH($AM307,'Flat Rates'!$A$1:$A$3880,0),MATCH("Night Unit Rate",'Flat Rates'!$A$1:$M$1,0)))*100)+H307),""))</f>
        <v/>
      </c>
      <c r="AT307" s="148" t="str">
        <f>IF($AN307=FALSE,"",IFERROR(IF(INDEX('Flat Rates'!$A$1:$M$3880,MATCH($AM307,'Flat Rates'!$A$1:$A$3880,0),MATCH("Evening and Weekend Rate",'Flat Rates'!$A$1:$M$1,0))=0,"",((INDEX('Flat Rates'!$A$1:$M$3880,MATCH($AM307,'Flat Rates'!$A$1:$A$3880,0),MATCH("Evening and Weekend Rate",'Flat Rates'!$A$1:$M$1,0)))*100)+H307),""))</f>
        <v/>
      </c>
      <c r="AU307" s="152" t="str">
        <f t="shared" si="125"/>
        <v/>
      </c>
      <c r="AV307" s="152" t="str">
        <f t="shared" si="126"/>
        <v/>
      </c>
      <c r="AW307" s="152" t="str">
        <f t="shared" si="127"/>
        <v/>
      </c>
    </row>
    <row r="308" spans="2:49" ht="15" thickBot="1" x14ac:dyDescent="0.35">
      <c r="B308" s="138" t="str">
        <f t="shared" si="104"/>
        <v/>
      </c>
      <c r="C308" s="146"/>
      <c r="D308" s="147"/>
      <c r="E308" s="140"/>
      <c r="F308" s="140"/>
      <c r="G308" s="139"/>
      <c r="H308" s="151"/>
      <c r="I308" s="139"/>
      <c r="J308" s="137"/>
      <c r="K308" s="139"/>
      <c r="L308" s="141"/>
      <c r="M308" s="133" t="str">
        <f t="shared" si="105"/>
        <v/>
      </c>
      <c r="N308" s="133" t="str">
        <f t="shared" si="106"/>
        <v/>
      </c>
      <c r="O308" s="133" t="str">
        <f t="shared" si="107"/>
        <v/>
      </c>
      <c r="P308" s="133" t="str">
        <f t="shared" si="108"/>
        <v/>
      </c>
      <c r="Q308" s="133" t="str">
        <f t="shared" si="109"/>
        <v/>
      </c>
      <c r="R308" s="133" t="str">
        <f t="shared" si="110"/>
        <v/>
      </c>
      <c r="S308" s="133" t="str">
        <f t="shared" si="111"/>
        <v/>
      </c>
      <c r="T308" s="133" t="str">
        <f>IFERROR(IF($U308="ERROR","ERROR",IF($N308="00",IF(J308="1-Rate","HH 1RATE",IF(J308="2-Rate","HH 2RATE","")),IFERROR(VLOOKUP(CONCATENATE(N308,Q308,O308,P308),Lookups!$A$2:$E$4557,5,0),VLOOKUP(CONCATENATE(N308,Q308,O308),Lookups!$A$2:$E$4557,5,0)))),"ERROR")</f>
        <v>ERROR</v>
      </c>
      <c r="U308" s="133" t="str">
        <f>IFERROR(IF(NOT($N308="00"),"",VLOOKUP(CONCATENATE(Q308,P308,LOOKUP(2,1/(Lookups!$I$2:$I$11&lt;=E308)/(Lookups!$J$2:$J$11&gt;=Tool!$C$14),Lookups!$K$2:$K$11)),'HH LLFs'!$A$2:$K$500,3,0)),"ERROR")</f>
        <v/>
      </c>
      <c r="V308" s="132">
        <f>Calcs!$I$2</f>
        <v>44377</v>
      </c>
      <c r="W308" s="132">
        <f>Calcs!$I$4</f>
        <v>44592</v>
      </c>
      <c r="X308" s="153" t="str">
        <f>IF(NOT(N308="00"),"",(VLOOKUP(CONCATENATE(Q308,P308,LOOKUP(2,1/(Lookups!$I$2:$I$11&lt;=Multisite!E308)/(Lookups!$J$2:$J$11&gt;=E308),Lookups!$K$2:$K$11)),'HH LLFs'!$A$2:$F$282,6,0)*365)/12)</f>
        <v/>
      </c>
      <c r="Y308" s="153">
        <f t="shared" si="112"/>
        <v>0</v>
      </c>
      <c r="Z308" s="153" t="str">
        <f t="shared" si="121"/>
        <v/>
      </c>
      <c r="AA308" s="153" t="str">
        <f t="shared" si="113"/>
        <v/>
      </c>
      <c r="AB308" s="153" t="str">
        <f t="shared" si="122"/>
        <v/>
      </c>
      <c r="AC308" s="153" t="str">
        <f t="shared" si="114"/>
        <v/>
      </c>
      <c r="AD308" s="153" t="str">
        <f t="shared" si="115"/>
        <v/>
      </c>
      <c r="AE308" s="153" t="str">
        <f t="shared" si="116"/>
        <v/>
      </c>
      <c r="AF308" s="155" t="e">
        <f>LOOKUP(2,1/(Lookups!$I$2:$I$11&lt;=E308)/(Lookups!$J$2:$J$11&gt;=E308),Lookups!$L$2:$L$11)</f>
        <v>#N/A</v>
      </c>
      <c r="AG308" s="142" t="str">
        <f t="shared" si="117"/>
        <v/>
      </c>
      <c r="AH308" s="142" t="str">
        <f t="shared" si="118"/>
        <v/>
      </c>
      <c r="AI308" s="143" t="b">
        <f t="shared" si="123"/>
        <v>0</v>
      </c>
      <c r="AJ308" s="143" t="str">
        <f t="shared" si="119"/>
        <v>Level 1</v>
      </c>
      <c r="AK308" s="142">
        <f t="shared" si="120"/>
        <v>0</v>
      </c>
      <c r="AL308" s="157" t="str">
        <f t="shared" si="128"/>
        <v/>
      </c>
      <c r="AM308" s="144" t="str">
        <f t="shared" si="129"/>
        <v>--FALSE-0</v>
      </c>
      <c r="AN308" s="158" t="str">
        <f t="shared" si="124"/>
        <v/>
      </c>
      <c r="AO308" s="145"/>
      <c r="AP308" s="159" t="str">
        <f>IF($AN308=FALSE,"",IFERROR(INDEX('Flat Rates'!$A$1:$M$3880,MATCH($AM308,'Flat Rates'!$A$1:$A$3880,0),MATCH("Standing Charge",'Flat Rates'!$A$1:$M$1,0))*100,""))</f>
        <v/>
      </c>
      <c r="AQ308" s="148" t="str">
        <f>IF($AN308=FALSE,"",IFERROR((IF(NOT(T308="Unrestricted"),"",INDEX('Flat Rates'!$A$1:$M$3880,MATCH($AM308,'Flat Rates'!$A$1:$A$3880,0),MATCH("Uni/Day Rate",'Flat Rates'!$A$1:$M$1,0)))*100)+H308,""))</f>
        <v/>
      </c>
      <c r="AR308" s="148" t="str">
        <f>IF($AN308=FALSE,"",IFERROR((IF(T308="Unrestricted","",INDEX('Flat Rates'!$A$1:$M$3880,MATCH($AM308,'Flat Rates'!$A$1:$A$3880,0),MATCH("Uni/Day Rate",'Flat Rates'!$A$1:$M$1,0)))*100)+H308,""))</f>
        <v/>
      </c>
      <c r="AS308" s="148" t="str">
        <f>IF($AN308=FALSE,"",IFERROR(IF(INDEX('Flat Rates'!$A$1:$M$3880,MATCH($AM308,'Flat Rates'!$A$1:$A$3880,0),MATCH("Night Unit Rate",'Flat Rates'!$A$1:$M$1,0))=0,"",((INDEX('Flat Rates'!$A$1:$M$3880,MATCH($AM308,'Flat Rates'!$A$1:$A$3880,0),MATCH("Night Unit Rate",'Flat Rates'!$A$1:$M$1,0)))*100)+H308),""))</f>
        <v/>
      </c>
      <c r="AT308" s="148" t="str">
        <f>IF($AN308=FALSE,"",IFERROR(IF(INDEX('Flat Rates'!$A$1:$M$3880,MATCH($AM308,'Flat Rates'!$A$1:$A$3880,0),MATCH("Evening and Weekend Rate",'Flat Rates'!$A$1:$M$1,0))=0,"",((INDEX('Flat Rates'!$A$1:$M$3880,MATCH($AM308,'Flat Rates'!$A$1:$A$3880,0),MATCH("Evening and Weekend Rate",'Flat Rates'!$A$1:$M$1,0)))*100)+H308),""))</f>
        <v/>
      </c>
      <c r="AU308" s="152" t="str">
        <f t="shared" si="125"/>
        <v/>
      </c>
      <c r="AV308" s="152" t="str">
        <f t="shared" si="126"/>
        <v/>
      </c>
      <c r="AW308" s="152" t="str">
        <f t="shared" si="127"/>
        <v/>
      </c>
    </row>
    <row r="309" spans="2:49" ht="15" thickBot="1" x14ac:dyDescent="0.35">
      <c r="B309" s="138" t="str">
        <f t="shared" si="104"/>
        <v/>
      </c>
      <c r="C309" s="137"/>
      <c r="D309" s="139"/>
      <c r="E309" s="140"/>
      <c r="F309" s="140"/>
      <c r="G309" s="139"/>
      <c r="H309" s="151"/>
      <c r="I309" s="139"/>
      <c r="J309" s="138"/>
      <c r="K309" s="139"/>
      <c r="L309" s="141"/>
      <c r="M309" s="133" t="str">
        <f t="shared" si="105"/>
        <v/>
      </c>
      <c r="N309" s="133" t="str">
        <f t="shared" si="106"/>
        <v/>
      </c>
      <c r="O309" s="133" t="str">
        <f t="shared" si="107"/>
        <v/>
      </c>
      <c r="P309" s="133" t="str">
        <f t="shared" si="108"/>
        <v/>
      </c>
      <c r="Q309" s="133" t="str">
        <f t="shared" si="109"/>
        <v/>
      </c>
      <c r="R309" s="133" t="str">
        <f t="shared" si="110"/>
        <v/>
      </c>
      <c r="S309" s="133" t="str">
        <f t="shared" si="111"/>
        <v/>
      </c>
      <c r="T309" s="133" t="str">
        <f>IFERROR(IF($U309="ERROR","ERROR",IF($N309="00",IF(J309="1-Rate","HH 1RATE",IF(J309="2-Rate","HH 2RATE","")),IFERROR(VLOOKUP(CONCATENATE(N309,Q309,O309,P309),Lookups!$A$2:$E$4557,5,0),VLOOKUP(CONCATENATE(N309,Q309,O309),Lookups!$A$2:$E$4557,5,0)))),"ERROR")</f>
        <v>ERROR</v>
      </c>
      <c r="U309" s="133" t="str">
        <f>IFERROR(IF(NOT($N309="00"),"",VLOOKUP(CONCATENATE(Q309,P309,LOOKUP(2,1/(Lookups!$I$2:$I$11&lt;=E309)/(Lookups!$J$2:$J$11&gt;=Tool!$C$14),Lookups!$K$2:$K$11)),'HH LLFs'!$A$2:$K$500,3,0)),"ERROR")</f>
        <v/>
      </c>
      <c r="V309" s="132">
        <f>Calcs!$I$2</f>
        <v>44377</v>
      </c>
      <c r="W309" s="132">
        <f>Calcs!$I$4</f>
        <v>44592</v>
      </c>
      <c r="X309" s="153" t="str">
        <f>IF(NOT(N309="00"),"",(VLOOKUP(CONCATENATE(Q309,P309,LOOKUP(2,1/(Lookups!$I$2:$I$11&lt;=Multisite!E309)/(Lookups!$J$2:$J$11&gt;=E309),Lookups!$K$2:$K$11)),'HH LLFs'!$A$2:$F$282,6,0)*365)/12)</f>
        <v/>
      </c>
      <c r="Y309" s="153">
        <f t="shared" si="112"/>
        <v>0</v>
      </c>
      <c r="Z309" s="153" t="str">
        <f t="shared" si="121"/>
        <v/>
      </c>
      <c r="AA309" s="153" t="str">
        <f t="shared" si="113"/>
        <v/>
      </c>
      <c r="AB309" s="153" t="str">
        <f t="shared" si="122"/>
        <v/>
      </c>
      <c r="AC309" s="153" t="str">
        <f t="shared" si="114"/>
        <v/>
      </c>
      <c r="AD309" s="153" t="str">
        <f t="shared" si="115"/>
        <v/>
      </c>
      <c r="AE309" s="153" t="str">
        <f t="shared" si="116"/>
        <v/>
      </c>
      <c r="AF309" s="155" t="e">
        <f>LOOKUP(2,1/(Lookups!$I$2:$I$11&lt;=E309)/(Lookups!$J$2:$J$11&gt;=E309),Lookups!$L$2:$L$11)</f>
        <v>#N/A</v>
      </c>
      <c r="AG309" s="142" t="str">
        <f t="shared" si="117"/>
        <v/>
      </c>
      <c r="AH309" s="142" t="str">
        <f t="shared" si="118"/>
        <v/>
      </c>
      <c r="AI309" s="143" t="b">
        <f t="shared" si="123"/>
        <v>0</v>
      </c>
      <c r="AJ309" s="143" t="str">
        <f t="shared" si="119"/>
        <v>Level 1</v>
      </c>
      <c r="AK309" s="142">
        <f t="shared" si="120"/>
        <v>0</v>
      </c>
      <c r="AL309" s="157" t="str">
        <f t="shared" si="128"/>
        <v/>
      </c>
      <c r="AM309" s="144" t="str">
        <f t="shared" si="129"/>
        <v>--FALSE-0</v>
      </c>
      <c r="AN309" s="158" t="str">
        <f t="shared" si="124"/>
        <v/>
      </c>
      <c r="AO309" s="145"/>
      <c r="AP309" s="159" t="str">
        <f>IF($AN309=FALSE,"",IFERROR(INDEX('Flat Rates'!$A$1:$M$3880,MATCH($AM309,'Flat Rates'!$A$1:$A$3880,0),MATCH("Standing Charge",'Flat Rates'!$A$1:$M$1,0))*100,""))</f>
        <v/>
      </c>
      <c r="AQ309" s="148" t="str">
        <f>IF($AN309=FALSE,"",IFERROR((IF(NOT(T309="Unrestricted"),"",INDEX('Flat Rates'!$A$1:$M$3880,MATCH($AM309,'Flat Rates'!$A$1:$A$3880,0),MATCH("Uni/Day Rate",'Flat Rates'!$A$1:$M$1,0)))*100)+H309,""))</f>
        <v/>
      </c>
      <c r="AR309" s="148" t="str">
        <f>IF($AN309=FALSE,"",IFERROR((IF(T309="Unrestricted","",INDEX('Flat Rates'!$A$1:$M$3880,MATCH($AM309,'Flat Rates'!$A$1:$A$3880,0),MATCH("Uni/Day Rate",'Flat Rates'!$A$1:$M$1,0)))*100)+H309,""))</f>
        <v/>
      </c>
      <c r="AS309" s="148" t="str">
        <f>IF($AN309=FALSE,"",IFERROR(IF(INDEX('Flat Rates'!$A$1:$M$3880,MATCH($AM309,'Flat Rates'!$A$1:$A$3880,0),MATCH("Night Unit Rate",'Flat Rates'!$A$1:$M$1,0))=0,"",((INDEX('Flat Rates'!$A$1:$M$3880,MATCH($AM309,'Flat Rates'!$A$1:$A$3880,0),MATCH("Night Unit Rate",'Flat Rates'!$A$1:$M$1,0)))*100)+H309),""))</f>
        <v/>
      </c>
      <c r="AT309" s="148" t="str">
        <f>IF($AN309=FALSE,"",IFERROR(IF(INDEX('Flat Rates'!$A$1:$M$3880,MATCH($AM309,'Flat Rates'!$A$1:$A$3880,0),MATCH("Evening and Weekend Rate",'Flat Rates'!$A$1:$M$1,0))=0,"",((INDEX('Flat Rates'!$A$1:$M$3880,MATCH($AM309,'Flat Rates'!$A$1:$A$3880,0),MATCH("Evening and Weekend Rate",'Flat Rates'!$A$1:$M$1,0)))*100)+H309),""))</f>
        <v/>
      </c>
      <c r="AU309" s="152" t="str">
        <f t="shared" si="125"/>
        <v/>
      </c>
      <c r="AV309" s="152" t="str">
        <f t="shared" si="126"/>
        <v/>
      </c>
      <c r="AW309" s="152" t="str">
        <f t="shared" si="127"/>
        <v/>
      </c>
    </row>
    <row r="310" spans="2:49" ht="15" thickBot="1" x14ac:dyDescent="0.35">
      <c r="B310" s="138" t="str">
        <f t="shared" si="104"/>
        <v/>
      </c>
      <c r="C310" s="146"/>
      <c r="D310" s="147"/>
      <c r="E310" s="140"/>
      <c r="F310" s="140"/>
      <c r="G310" s="139"/>
      <c r="H310" s="151"/>
      <c r="I310" s="139"/>
      <c r="J310" s="137"/>
      <c r="K310" s="139"/>
      <c r="L310" s="141"/>
      <c r="M310" s="133" t="str">
        <f t="shared" si="105"/>
        <v/>
      </c>
      <c r="N310" s="133" t="str">
        <f t="shared" si="106"/>
        <v/>
      </c>
      <c r="O310" s="133" t="str">
        <f t="shared" si="107"/>
        <v/>
      </c>
      <c r="P310" s="133" t="str">
        <f t="shared" si="108"/>
        <v/>
      </c>
      <c r="Q310" s="133" t="str">
        <f t="shared" si="109"/>
        <v/>
      </c>
      <c r="R310" s="133" t="str">
        <f t="shared" si="110"/>
        <v/>
      </c>
      <c r="S310" s="133" t="str">
        <f t="shared" si="111"/>
        <v/>
      </c>
      <c r="T310" s="133" t="str">
        <f>IFERROR(IF($U310="ERROR","ERROR",IF($N310="00",IF(J310="1-Rate","HH 1RATE",IF(J310="2-Rate","HH 2RATE","")),IFERROR(VLOOKUP(CONCATENATE(N310,Q310,O310,P310),Lookups!$A$2:$E$4557,5,0),VLOOKUP(CONCATENATE(N310,Q310,O310),Lookups!$A$2:$E$4557,5,0)))),"ERROR")</f>
        <v>ERROR</v>
      </c>
      <c r="U310" s="133" t="str">
        <f>IFERROR(IF(NOT($N310="00"),"",VLOOKUP(CONCATENATE(Q310,P310,LOOKUP(2,1/(Lookups!$I$2:$I$11&lt;=E310)/(Lookups!$J$2:$J$11&gt;=Tool!$C$14),Lookups!$K$2:$K$11)),'HH LLFs'!$A$2:$K$500,3,0)),"ERROR")</f>
        <v/>
      </c>
      <c r="V310" s="132">
        <f>Calcs!$I$2</f>
        <v>44377</v>
      </c>
      <c r="W310" s="132">
        <f>Calcs!$I$4</f>
        <v>44592</v>
      </c>
      <c r="X310" s="153" t="str">
        <f>IF(NOT(N310="00"),"",(VLOOKUP(CONCATENATE(Q310,P310,LOOKUP(2,1/(Lookups!$I$2:$I$11&lt;=Multisite!E310)/(Lookups!$J$2:$J$11&gt;=E310),Lookups!$K$2:$K$11)),'HH LLFs'!$A$2:$F$282,6,0)*365)/12)</f>
        <v/>
      </c>
      <c r="Y310" s="153">
        <f t="shared" si="112"/>
        <v>0</v>
      </c>
      <c r="Z310" s="153" t="str">
        <f t="shared" si="121"/>
        <v/>
      </c>
      <c r="AA310" s="153" t="str">
        <f t="shared" si="113"/>
        <v/>
      </c>
      <c r="AB310" s="153" t="str">
        <f t="shared" si="122"/>
        <v/>
      </c>
      <c r="AC310" s="153" t="str">
        <f t="shared" si="114"/>
        <v/>
      </c>
      <c r="AD310" s="153" t="str">
        <f t="shared" si="115"/>
        <v/>
      </c>
      <c r="AE310" s="153" t="str">
        <f t="shared" si="116"/>
        <v/>
      </c>
      <c r="AF310" s="155" t="e">
        <f>LOOKUP(2,1/(Lookups!$I$2:$I$11&lt;=E310)/(Lookups!$J$2:$J$11&gt;=E310),Lookups!$L$2:$L$11)</f>
        <v>#N/A</v>
      </c>
      <c r="AG310" s="142" t="str">
        <f t="shared" si="117"/>
        <v/>
      </c>
      <c r="AH310" s="142" t="str">
        <f t="shared" si="118"/>
        <v/>
      </c>
      <c r="AI310" s="143" t="b">
        <f t="shared" si="123"/>
        <v>0</v>
      </c>
      <c r="AJ310" s="143" t="str">
        <f t="shared" si="119"/>
        <v>Level 1</v>
      </c>
      <c r="AK310" s="142">
        <f t="shared" si="120"/>
        <v>0</v>
      </c>
      <c r="AL310" s="157" t="str">
        <f t="shared" si="128"/>
        <v/>
      </c>
      <c r="AM310" s="144" t="str">
        <f t="shared" si="129"/>
        <v>--FALSE-0</v>
      </c>
      <c r="AN310" s="158" t="str">
        <f t="shared" si="124"/>
        <v/>
      </c>
      <c r="AO310" s="145"/>
      <c r="AP310" s="159" t="str">
        <f>IF($AN310=FALSE,"",IFERROR(INDEX('Flat Rates'!$A$1:$M$3880,MATCH($AM310,'Flat Rates'!$A$1:$A$3880,0),MATCH("Standing Charge",'Flat Rates'!$A$1:$M$1,0))*100,""))</f>
        <v/>
      </c>
      <c r="AQ310" s="148" t="str">
        <f>IF($AN310=FALSE,"",IFERROR((IF(NOT(T310="Unrestricted"),"",INDEX('Flat Rates'!$A$1:$M$3880,MATCH($AM310,'Flat Rates'!$A$1:$A$3880,0),MATCH("Uni/Day Rate",'Flat Rates'!$A$1:$M$1,0)))*100)+H310,""))</f>
        <v/>
      </c>
      <c r="AR310" s="148" t="str">
        <f>IF($AN310=FALSE,"",IFERROR((IF(T310="Unrestricted","",INDEX('Flat Rates'!$A$1:$M$3880,MATCH($AM310,'Flat Rates'!$A$1:$A$3880,0),MATCH("Uni/Day Rate",'Flat Rates'!$A$1:$M$1,0)))*100)+H310,""))</f>
        <v/>
      </c>
      <c r="AS310" s="148" t="str">
        <f>IF($AN310=FALSE,"",IFERROR(IF(INDEX('Flat Rates'!$A$1:$M$3880,MATCH($AM310,'Flat Rates'!$A$1:$A$3880,0),MATCH("Night Unit Rate",'Flat Rates'!$A$1:$M$1,0))=0,"",((INDEX('Flat Rates'!$A$1:$M$3880,MATCH($AM310,'Flat Rates'!$A$1:$A$3880,0),MATCH("Night Unit Rate",'Flat Rates'!$A$1:$M$1,0)))*100)+H310),""))</f>
        <v/>
      </c>
      <c r="AT310" s="148" t="str">
        <f>IF($AN310=FALSE,"",IFERROR(IF(INDEX('Flat Rates'!$A$1:$M$3880,MATCH($AM310,'Flat Rates'!$A$1:$A$3880,0),MATCH("Evening and Weekend Rate",'Flat Rates'!$A$1:$M$1,0))=0,"",((INDEX('Flat Rates'!$A$1:$M$3880,MATCH($AM310,'Flat Rates'!$A$1:$A$3880,0),MATCH("Evening and Weekend Rate",'Flat Rates'!$A$1:$M$1,0)))*100)+H310),""))</f>
        <v/>
      </c>
      <c r="AU310" s="152" t="str">
        <f t="shared" si="125"/>
        <v/>
      </c>
      <c r="AV310" s="152" t="str">
        <f t="shared" si="126"/>
        <v/>
      </c>
      <c r="AW310" s="152" t="str">
        <f t="shared" si="127"/>
        <v/>
      </c>
    </row>
    <row r="311" spans="2:49" ht="15" thickBot="1" x14ac:dyDescent="0.35">
      <c r="B311" s="138" t="str">
        <f t="shared" si="104"/>
        <v/>
      </c>
      <c r="C311" s="137"/>
      <c r="D311" s="139"/>
      <c r="E311" s="140"/>
      <c r="F311" s="140"/>
      <c r="G311" s="139"/>
      <c r="H311" s="151"/>
      <c r="I311" s="139"/>
      <c r="J311" s="138"/>
      <c r="K311" s="139"/>
      <c r="L311" s="141"/>
      <c r="M311" s="133" t="str">
        <f t="shared" si="105"/>
        <v/>
      </c>
      <c r="N311" s="133" t="str">
        <f t="shared" si="106"/>
        <v/>
      </c>
      <c r="O311" s="133" t="str">
        <f t="shared" si="107"/>
        <v/>
      </c>
      <c r="P311" s="133" t="str">
        <f t="shared" si="108"/>
        <v/>
      </c>
      <c r="Q311" s="133" t="str">
        <f t="shared" si="109"/>
        <v/>
      </c>
      <c r="R311" s="133" t="str">
        <f t="shared" si="110"/>
        <v/>
      </c>
      <c r="S311" s="133" t="str">
        <f t="shared" si="111"/>
        <v/>
      </c>
      <c r="T311" s="133" t="str">
        <f>IFERROR(IF($U311="ERROR","ERROR",IF($N311="00",IF(J311="1-Rate","HH 1RATE",IF(J311="2-Rate","HH 2RATE","")),IFERROR(VLOOKUP(CONCATENATE(N311,Q311,O311,P311),Lookups!$A$2:$E$4557,5,0),VLOOKUP(CONCATENATE(N311,Q311,O311),Lookups!$A$2:$E$4557,5,0)))),"ERROR")</f>
        <v>ERROR</v>
      </c>
      <c r="U311" s="133" t="str">
        <f>IFERROR(IF(NOT($N311="00"),"",VLOOKUP(CONCATENATE(Q311,P311,LOOKUP(2,1/(Lookups!$I$2:$I$11&lt;=E311)/(Lookups!$J$2:$J$11&gt;=Tool!$C$14),Lookups!$K$2:$K$11)),'HH LLFs'!$A$2:$K$500,3,0)),"ERROR")</f>
        <v/>
      </c>
      <c r="V311" s="132">
        <f>Calcs!$I$2</f>
        <v>44377</v>
      </c>
      <c r="W311" s="132">
        <f>Calcs!$I$4</f>
        <v>44592</v>
      </c>
      <c r="X311" s="153" t="str">
        <f>IF(NOT(N311="00"),"",(VLOOKUP(CONCATENATE(Q311,P311,LOOKUP(2,1/(Lookups!$I$2:$I$11&lt;=Multisite!E311)/(Lookups!$J$2:$J$11&gt;=E311),Lookups!$K$2:$K$11)),'HH LLFs'!$A$2:$F$282,6,0)*365)/12)</f>
        <v/>
      </c>
      <c r="Y311" s="153">
        <f t="shared" si="112"/>
        <v>0</v>
      </c>
      <c r="Z311" s="153" t="str">
        <f t="shared" si="121"/>
        <v/>
      </c>
      <c r="AA311" s="153" t="str">
        <f t="shared" si="113"/>
        <v/>
      </c>
      <c r="AB311" s="153" t="str">
        <f t="shared" si="122"/>
        <v/>
      </c>
      <c r="AC311" s="153" t="str">
        <f t="shared" si="114"/>
        <v/>
      </c>
      <c r="AD311" s="153" t="str">
        <f t="shared" si="115"/>
        <v/>
      </c>
      <c r="AE311" s="153" t="str">
        <f t="shared" si="116"/>
        <v/>
      </c>
      <c r="AF311" s="155" t="e">
        <f>LOOKUP(2,1/(Lookups!$I$2:$I$11&lt;=E311)/(Lookups!$J$2:$J$11&gt;=E311),Lookups!$L$2:$L$11)</f>
        <v>#N/A</v>
      </c>
      <c r="AG311" s="142" t="str">
        <f t="shared" si="117"/>
        <v/>
      </c>
      <c r="AH311" s="142" t="str">
        <f t="shared" si="118"/>
        <v/>
      </c>
      <c r="AI311" s="143" t="b">
        <f t="shared" si="123"/>
        <v>0</v>
      </c>
      <c r="AJ311" s="143" t="str">
        <f t="shared" si="119"/>
        <v>Level 1</v>
      </c>
      <c r="AK311" s="142">
        <f t="shared" si="120"/>
        <v>0</v>
      </c>
      <c r="AL311" s="157" t="str">
        <f t="shared" si="128"/>
        <v/>
      </c>
      <c r="AM311" s="144" t="str">
        <f t="shared" si="129"/>
        <v>--FALSE-0</v>
      </c>
      <c r="AN311" s="158" t="str">
        <f t="shared" si="124"/>
        <v/>
      </c>
      <c r="AO311" s="145"/>
      <c r="AP311" s="159" t="str">
        <f>IF($AN311=FALSE,"",IFERROR(INDEX('Flat Rates'!$A$1:$M$3880,MATCH($AM311,'Flat Rates'!$A$1:$A$3880,0),MATCH("Standing Charge",'Flat Rates'!$A$1:$M$1,0))*100,""))</f>
        <v/>
      </c>
      <c r="AQ311" s="148" t="str">
        <f>IF($AN311=FALSE,"",IFERROR((IF(NOT(T311="Unrestricted"),"",INDEX('Flat Rates'!$A$1:$M$3880,MATCH($AM311,'Flat Rates'!$A$1:$A$3880,0),MATCH("Uni/Day Rate",'Flat Rates'!$A$1:$M$1,0)))*100)+H311,""))</f>
        <v/>
      </c>
      <c r="AR311" s="148" t="str">
        <f>IF($AN311=FALSE,"",IFERROR((IF(T311="Unrestricted","",INDEX('Flat Rates'!$A$1:$M$3880,MATCH($AM311,'Flat Rates'!$A$1:$A$3880,0),MATCH("Uni/Day Rate",'Flat Rates'!$A$1:$M$1,0)))*100)+H311,""))</f>
        <v/>
      </c>
      <c r="AS311" s="148" t="str">
        <f>IF($AN311=FALSE,"",IFERROR(IF(INDEX('Flat Rates'!$A$1:$M$3880,MATCH($AM311,'Flat Rates'!$A$1:$A$3880,0),MATCH("Night Unit Rate",'Flat Rates'!$A$1:$M$1,0))=0,"",((INDEX('Flat Rates'!$A$1:$M$3880,MATCH($AM311,'Flat Rates'!$A$1:$A$3880,0),MATCH("Night Unit Rate",'Flat Rates'!$A$1:$M$1,0)))*100)+H311),""))</f>
        <v/>
      </c>
      <c r="AT311" s="148" t="str">
        <f>IF($AN311=FALSE,"",IFERROR(IF(INDEX('Flat Rates'!$A$1:$M$3880,MATCH($AM311,'Flat Rates'!$A$1:$A$3880,0),MATCH("Evening and Weekend Rate",'Flat Rates'!$A$1:$M$1,0))=0,"",((INDEX('Flat Rates'!$A$1:$M$3880,MATCH($AM311,'Flat Rates'!$A$1:$A$3880,0),MATCH("Evening and Weekend Rate",'Flat Rates'!$A$1:$M$1,0)))*100)+H311),""))</f>
        <v/>
      </c>
      <c r="AU311" s="152" t="str">
        <f t="shared" si="125"/>
        <v/>
      </c>
      <c r="AV311" s="152" t="str">
        <f t="shared" si="126"/>
        <v/>
      </c>
      <c r="AW311" s="152" t="str">
        <f t="shared" si="127"/>
        <v/>
      </c>
    </row>
    <row r="312" spans="2:49" ht="15" thickBot="1" x14ac:dyDescent="0.35">
      <c r="B312" s="138" t="str">
        <f t="shared" si="104"/>
        <v/>
      </c>
      <c r="C312" s="146"/>
      <c r="D312" s="147"/>
      <c r="E312" s="140"/>
      <c r="F312" s="140"/>
      <c r="G312" s="139"/>
      <c r="H312" s="151"/>
      <c r="I312" s="139"/>
      <c r="J312" s="137"/>
      <c r="K312" s="139"/>
      <c r="L312" s="141"/>
      <c r="M312" s="133" t="str">
        <f t="shared" si="105"/>
        <v/>
      </c>
      <c r="N312" s="133" t="str">
        <f t="shared" si="106"/>
        <v/>
      </c>
      <c r="O312" s="133" t="str">
        <f t="shared" si="107"/>
        <v/>
      </c>
      <c r="P312" s="133" t="str">
        <f t="shared" si="108"/>
        <v/>
      </c>
      <c r="Q312" s="133" t="str">
        <f t="shared" si="109"/>
        <v/>
      </c>
      <c r="R312" s="133" t="str">
        <f t="shared" si="110"/>
        <v/>
      </c>
      <c r="S312" s="133" t="str">
        <f t="shared" si="111"/>
        <v/>
      </c>
      <c r="T312" s="133" t="str">
        <f>IFERROR(IF($U312="ERROR","ERROR",IF($N312="00",IF(J312="1-Rate","HH 1RATE",IF(J312="2-Rate","HH 2RATE","")),IFERROR(VLOOKUP(CONCATENATE(N312,Q312,O312,P312),Lookups!$A$2:$E$4557,5,0),VLOOKUP(CONCATENATE(N312,Q312,O312),Lookups!$A$2:$E$4557,5,0)))),"ERROR")</f>
        <v>ERROR</v>
      </c>
      <c r="U312" s="133" t="str">
        <f>IFERROR(IF(NOT($N312="00"),"",VLOOKUP(CONCATENATE(Q312,P312,LOOKUP(2,1/(Lookups!$I$2:$I$11&lt;=E312)/(Lookups!$J$2:$J$11&gt;=Tool!$C$14),Lookups!$K$2:$K$11)),'HH LLFs'!$A$2:$K$500,3,0)),"ERROR")</f>
        <v/>
      </c>
      <c r="V312" s="132">
        <f>Calcs!$I$2</f>
        <v>44377</v>
      </c>
      <c r="W312" s="132">
        <f>Calcs!$I$4</f>
        <v>44592</v>
      </c>
      <c r="X312" s="153" t="str">
        <f>IF(NOT(N312="00"),"",(VLOOKUP(CONCATENATE(Q312,P312,LOOKUP(2,1/(Lookups!$I$2:$I$11&lt;=Multisite!E312)/(Lookups!$J$2:$J$11&gt;=E312),Lookups!$K$2:$K$11)),'HH LLFs'!$A$2:$F$282,6,0)*365)/12)</f>
        <v/>
      </c>
      <c r="Y312" s="153">
        <f t="shared" si="112"/>
        <v>0</v>
      </c>
      <c r="Z312" s="153" t="str">
        <f t="shared" si="121"/>
        <v/>
      </c>
      <c r="AA312" s="153" t="str">
        <f t="shared" si="113"/>
        <v/>
      </c>
      <c r="AB312" s="153" t="str">
        <f t="shared" si="122"/>
        <v/>
      </c>
      <c r="AC312" s="153" t="str">
        <f t="shared" si="114"/>
        <v/>
      </c>
      <c r="AD312" s="153" t="str">
        <f t="shared" si="115"/>
        <v/>
      </c>
      <c r="AE312" s="153" t="str">
        <f t="shared" si="116"/>
        <v/>
      </c>
      <c r="AF312" s="155" t="e">
        <f>LOOKUP(2,1/(Lookups!$I$2:$I$11&lt;=E312)/(Lookups!$J$2:$J$11&gt;=E312),Lookups!$L$2:$L$11)</f>
        <v>#N/A</v>
      </c>
      <c r="AG312" s="142" t="str">
        <f t="shared" si="117"/>
        <v/>
      </c>
      <c r="AH312" s="142" t="str">
        <f t="shared" si="118"/>
        <v/>
      </c>
      <c r="AI312" s="143" t="b">
        <f t="shared" si="123"/>
        <v>0</v>
      </c>
      <c r="AJ312" s="143" t="str">
        <f t="shared" si="119"/>
        <v>Level 1</v>
      </c>
      <c r="AK312" s="142">
        <f t="shared" si="120"/>
        <v>0</v>
      </c>
      <c r="AL312" s="157" t="str">
        <f t="shared" si="128"/>
        <v/>
      </c>
      <c r="AM312" s="144" t="str">
        <f t="shared" si="129"/>
        <v>--FALSE-0</v>
      </c>
      <c r="AN312" s="158" t="str">
        <f t="shared" si="124"/>
        <v/>
      </c>
      <c r="AO312" s="145"/>
      <c r="AP312" s="159" t="str">
        <f>IF($AN312=FALSE,"",IFERROR(INDEX('Flat Rates'!$A$1:$M$3880,MATCH($AM312,'Flat Rates'!$A$1:$A$3880,0),MATCH("Standing Charge",'Flat Rates'!$A$1:$M$1,0))*100,""))</f>
        <v/>
      </c>
      <c r="AQ312" s="148" t="str">
        <f>IF($AN312=FALSE,"",IFERROR((IF(NOT(T312="Unrestricted"),"",INDEX('Flat Rates'!$A$1:$M$3880,MATCH($AM312,'Flat Rates'!$A$1:$A$3880,0),MATCH("Uni/Day Rate",'Flat Rates'!$A$1:$M$1,0)))*100)+H312,""))</f>
        <v/>
      </c>
      <c r="AR312" s="148" t="str">
        <f>IF($AN312=FALSE,"",IFERROR((IF(T312="Unrestricted","",INDEX('Flat Rates'!$A$1:$M$3880,MATCH($AM312,'Flat Rates'!$A$1:$A$3880,0),MATCH("Uni/Day Rate",'Flat Rates'!$A$1:$M$1,0)))*100)+H312,""))</f>
        <v/>
      </c>
      <c r="AS312" s="148" t="str">
        <f>IF($AN312=FALSE,"",IFERROR(IF(INDEX('Flat Rates'!$A$1:$M$3880,MATCH($AM312,'Flat Rates'!$A$1:$A$3880,0),MATCH("Night Unit Rate",'Flat Rates'!$A$1:$M$1,0))=0,"",((INDEX('Flat Rates'!$A$1:$M$3880,MATCH($AM312,'Flat Rates'!$A$1:$A$3880,0),MATCH("Night Unit Rate",'Flat Rates'!$A$1:$M$1,0)))*100)+H312),""))</f>
        <v/>
      </c>
      <c r="AT312" s="148" t="str">
        <f>IF($AN312=FALSE,"",IFERROR(IF(INDEX('Flat Rates'!$A$1:$M$3880,MATCH($AM312,'Flat Rates'!$A$1:$A$3880,0),MATCH("Evening and Weekend Rate",'Flat Rates'!$A$1:$M$1,0))=0,"",((INDEX('Flat Rates'!$A$1:$M$3880,MATCH($AM312,'Flat Rates'!$A$1:$A$3880,0),MATCH("Evening and Weekend Rate",'Flat Rates'!$A$1:$M$1,0)))*100)+H312),""))</f>
        <v/>
      </c>
      <c r="AU312" s="152" t="str">
        <f t="shared" si="125"/>
        <v/>
      </c>
      <c r="AV312" s="152" t="str">
        <f t="shared" si="126"/>
        <v/>
      </c>
      <c r="AW312" s="152" t="str">
        <f t="shared" si="127"/>
        <v/>
      </c>
    </row>
    <row r="313" spans="2:49" ht="15" thickBot="1" x14ac:dyDescent="0.35">
      <c r="B313" s="138" t="str">
        <f t="shared" si="104"/>
        <v/>
      </c>
      <c r="C313" s="137"/>
      <c r="D313" s="139"/>
      <c r="E313" s="140"/>
      <c r="F313" s="140"/>
      <c r="G313" s="139"/>
      <c r="H313" s="151"/>
      <c r="I313" s="139"/>
      <c r="J313" s="138"/>
      <c r="K313" s="139"/>
      <c r="L313" s="141"/>
      <c r="M313" s="133" t="str">
        <f t="shared" si="105"/>
        <v/>
      </c>
      <c r="N313" s="133" t="str">
        <f t="shared" si="106"/>
        <v/>
      </c>
      <c r="O313" s="133" t="str">
        <f t="shared" si="107"/>
        <v/>
      </c>
      <c r="P313" s="133" t="str">
        <f t="shared" si="108"/>
        <v/>
      </c>
      <c r="Q313" s="133" t="str">
        <f t="shared" si="109"/>
        <v/>
      </c>
      <c r="R313" s="133" t="str">
        <f t="shared" si="110"/>
        <v/>
      </c>
      <c r="S313" s="133" t="str">
        <f t="shared" si="111"/>
        <v/>
      </c>
      <c r="T313" s="133" t="str">
        <f>IFERROR(IF($U313="ERROR","ERROR",IF($N313="00",IF(J313="1-Rate","HH 1RATE",IF(J313="2-Rate","HH 2RATE","")),IFERROR(VLOOKUP(CONCATENATE(N313,Q313,O313,P313),Lookups!$A$2:$E$4557,5,0),VLOOKUP(CONCATENATE(N313,Q313,O313),Lookups!$A$2:$E$4557,5,0)))),"ERROR")</f>
        <v>ERROR</v>
      </c>
      <c r="U313" s="133" t="str">
        <f>IFERROR(IF(NOT($N313="00"),"",VLOOKUP(CONCATENATE(Q313,P313,LOOKUP(2,1/(Lookups!$I$2:$I$11&lt;=E313)/(Lookups!$J$2:$J$11&gt;=Tool!$C$14),Lookups!$K$2:$K$11)),'HH LLFs'!$A$2:$K$500,3,0)),"ERROR")</f>
        <v/>
      </c>
      <c r="V313" s="132">
        <f>Calcs!$I$2</f>
        <v>44377</v>
      </c>
      <c r="W313" s="132">
        <f>Calcs!$I$4</f>
        <v>44592</v>
      </c>
      <c r="X313" s="153" t="str">
        <f>IF(NOT(N313="00"),"",(VLOOKUP(CONCATENATE(Q313,P313,LOOKUP(2,1/(Lookups!$I$2:$I$11&lt;=Multisite!E313)/(Lookups!$J$2:$J$11&gt;=E313),Lookups!$K$2:$K$11)),'HH LLFs'!$A$2:$F$282,6,0)*365)/12)</f>
        <v/>
      </c>
      <c r="Y313" s="153">
        <f t="shared" si="112"/>
        <v>0</v>
      </c>
      <c r="Z313" s="153" t="str">
        <f t="shared" si="121"/>
        <v/>
      </c>
      <c r="AA313" s="153" t="str">
        <f t="shared" si="113"/>
        <v/>
      </c>
      <c r="AB313" s="153" t="str">
        <f t="shared" si="122"/>
        <v/>
      </c>
      <c r="AC313" s="153" t="str">
        <f t="shared" si="114"/>
        <v/>
      </c>
      <c r="AD313" s="153" t="str">
        <f t="shared" si="115"/>
        <v/>
      </c>
      <c r="AE313" s="153" t="str">
        <f t="shared" si="116"/>
        <v/>
      </c>
      <c r="AF313" s="155" t="e">
        <f>LOOKUP(2,1/(Lookups!$I$2:$I$11&lt;=E313)/(Lookups!$J$2:$J$11&gt;=E313),Lookups!$L$2:$L$11)</f>
        <v>#N/A</v>
      </c>
      <c r="AG313" s="142" t="str">
        <f t="shared" si="117"/>
        <v/>
      </c>
      <c r="AH313" s="142" t="str">
        <f t="shared" si="118"/>
        <v/>
      </c>
      <c r="AI313" s="143" t="b">
        <f t="shared" si="123"/>
        <v>0</v>
      </c>
      <c r="AJ313" s="143" t="str">
        <f t="shared" si="119"/>
        <v>Level 1</v>
      </c>
      <c r="AK313" s="142">
        <f t="shared" si="120"/>
        <v>0</v>
      </c>
      <c r="AL313" s="157" t="str">
        <f t="shared" si="128"/>
        <v/>
      </c>
      <c r="AM313" s="144" t="str">
        <f t="shared" si="129"/>
        <v>--FALSE-0</v>
      </c>
      <c r="AN313" s="158" t="str">
        <f t="shared" si="124"/>
        <v/>
      </c>
      <c r="AO313" s="145"/>
      <c r="AP313" s="159" t="str">
        <f>IF($AN313=FALSE,"",IFERROR(INDEX('Flat Rates'!$A$1:$M$3880,MATCH($AM313,'Flat Rates'!$A$1:$A$3880,0),MATCH("Standing Charge",'Flat Rates'!$A$1:$M$1,0))*100,""))</f>
        <v/>
      </c>
      <c r="AQ313" s="148" t="str">
        <f>IF($AN313=FALSE,"",IFERROR((IF(NOT(T313="Unrestricted"),"",INDEX('Flat Rates'!$A$1:$M$3880,MATCH($AM313,'Flat Rates'!$A$1:$A$3880,0),MATCH("Uni/Day Rate",'Flat Rates'!$A$1:$M$1,0)))*100)+H313,""))</f>
        <v/>
      </c>
      <c r="AR313" s="148" t="str">
        <f>IF($AN313=FALSE,"",IFERROR((IF(T313="Unrestricted","",INDEX('Flat Rates'!$A$1:$M$3880,MATCH($AM313,'Flat Rates'!$A$1:$A$3880,0),MATCH("Uni/Day Rate",'Flat Rates'!$A$1:$M$1,0)))*100)+H313,""))</f>
        <v/>
      </c>
      <c r="AS313" s="148" t="str">
        <f>IF($AN313=FALSE,"",IFERROR(IF(INDEX('Flat Rates'!$A$1:$M$3880,MATCH($AM313,'Flat Rates'!$A$1:$A$3880,0),MATCH("Night Unit Rate",'Flat Rates'!$A$1:$M$1,0))=0,"",((INDEX('Flat Rates'!$A$1:$M$3880,MATCH($AM313,'Flat Rates'!$A$1:$A$3880,0),MATCH("Night Unit Rate",'Flat Rates'!$A$1:$M$1,0)))*100)+H313),""))</f>
        <v/>
      </c>
      <c r="AT313" s="148" t="str">
        <f>IF($AN313=FALSE,"",IFERROR(IF(INDEX('Flat Rates'!$A$1:$M$3880,MATCH($AM313,'Flat Rates'!$A$1:$A$3880,0),MATCH("Evening and Weekend Rate",'Flat Rates'!$A$1:$M$1,0))=0,"",((INDEX('Flat Rates'!$A$1:$M$3880,MATCH($AM313,'Flat Rates'!$A$1:$A$3880,0),MATCH("Evening and Weekend Rate",'Flat Rates'!$A$1:$M$1,0)))*100)+H313),""))</f>
        <v/>
      </c>
      <c r="AU313" s="152" t="str">
        <f t="shared" si="125"/>
        <v/>
      </c>
      <c r="AV313" s="152" t="str">
        <f t="shared" si="126"/>
        <v/>
      </c>
      <c r="AW313" s="152" t="str">
        <f t="shared" si="127"/>
        <v/>
      </c>
    </row>
    <row r="314" spans="2:49" ht="15" thickBot="1" x14ac:dyDescent="0.35">
      <c r="B314" s="138" t="str">
        <f t="shared" si="104"/>
        <v/>
      </c>
      <c r="C314" s="146"/>
      <c r="D314" s="147"/>
      <c r="E314" s="140"/>
      <c r="F314" s="140"/>
      <c r="G314" s="139"/>
      <c r="H314" s="151"/>
      <c r="I314" s="139"/>
      <c r="J314" s="137"/>
      <c r="K314" s="139"/>
      <c r="L314" s="141"/>
      <c r="M314" s="133" t="str">
        <f t="shared" si="105"/>
        <v/>
      </c>
      <c r="N314" s="133" t="str">
        <f t="shared" si="106"/>
        <v/>
      </c>
      <c r="O314" s="133" t="str">
        <f t="shared" si="107"/>
        <v/>
      </c>
      <c r="P314" s="133" t="str">
        <f t="shared" si="108"/>
        <v/>
      </c>
      <c r="Q314" s="133" t="str">
        <f t="shared" si="109"/>
        <v/>
      </c>
      <c r="R314" s="133" t="str">
        <f t="shared" si="110"/>
        <v/>
      </c>
      <c r="S314" s="133" t="str">
        <f t="shared" si="111"/>
        <v/>
      </c>
      <c r="T314" s="133" t="str">
        <f>IFERROR(IF($U314="ERROR","ERROR",IF($N314="00",IF(J314="1-Rate","HH 1RATE",IF(J314="2-Rate","HH 2RATE","")),IFERROR(VLOOKUP(CONCATENATE(N314,Q314,O314,P314),Lookups!$A$2:$E$4557,5,0),VLOOKUP(CONCATENATE(N314,Q314,O314),Lookups!$A$2:$E$4557,5,0)))),"ERROR")</f>
        <v>ERROR</v>
      </c>
      <c r="U314" s="133" t="str">
        <f>IFERROR(IF(NOT($N314="00"),"",VLOOKUP(CONCATENATE(Q314,P314,LOOKUP(2,1/(Lookups!$I$2:$I$11&lt;=E314)/(Lookups!$J$2:$J$11&gt;=Tool!$C$14),Lookups!$K$2:$K$11)),'HH LLFs'!$A$2:$K$500,3,0)),"ERROR")</f>
        <v/>
      </c>
      <c r="V314" s="132">
        <f>Calcs!$I$2</f>
        <v>44377</v>
      </c>
      <c r="W314" s="132">
        <f>Calcs!$I$4</f>
        <v>44592</v>
      </c>
      <c r="X314" s="153" t="str">
        <f>IF(NOT(N314="00"),"",(VLOOKUP(CONCATENATE(Q314,P314,LOOKUP(2,1/(Lookups!$I$2:$I$11&lt;=Multisite!E314)/(Lookups!$J$2:$J$11&gt;=E314),Lookups!$K$2:$K$11)),'HH LLFs'!$A$2:$F$282,6,0)*365)/12)</f>
        <v/>
      </c>
      <c r="Y314" s="153">
        <f t="shared" si="112"/>
        <v>0</v>
      </c>
      <c r="Z314" s="153" t="str">
        <f t="shared" si="121"/>
        <v/>
      </c>
      <c r="AA314" s="153" t="str">
        <f t="shared" si="113"/>
        <v/>
      </c>
      <c r="AB314" s="153" t="str">
        <f t="shared" si="122"/>
        <v/>
      </c>
      <c r="AC314" s="153" t="str">
        <f t="shared" si="114"/>
        <v/>
      </c>
      <c r="AD314" s="153" t="str">
        <f t="shared" si="115"/>
        <v/>
      </c>
      <c r="AE314" s="153" t="str">
        <f t="shared" si="116"/>
        <v/>
      </c>
      <c r="AF314" s="155" t="e">
        <f>LOOKUP(2,1/(Lookups!$I$2:$I$11&lt;=E314)/(Lookups!$J$2:$J$11&gt;=E314),Lookups!$L$2:$L$11)</f>
        <v>#N/A</v>
      </c>
      <c r="AG314" s="142" t="str">
        <f t="shared" si="117"/>
        <v/>
      </c>
      <c r="AH314" s="142" t="str">
        <f t="shared" si="118"/>
        <v/>
      </c>
      <c r="AI314" s="143" t="b">
        <f t="shared" si="123"/>
        <v>0</v>
      </c>
      <c r="AJ314" s="143" t="str">
        <f t="shared" si="119"/>
        <v>Level 1</v>
      </c>
      <c r="AK314" s="142">
        <f t="shared" si="120"/>
        <v>0</v>
      </c>
      <c r="AL314" s="157" t="str">
        <f t="shared" si="128"/>
        <v/>
      </c>
      <c r="AM314" s="144" t="str">
        <f t="shared" si="129"/>
        <v>--FALSE-0</v>
      </c>
      <c r="AN314" s="158" t="str">
        <f t="shared" si="124"/>
        <v/>
      </c>
      <c r="AO314" s="145"/>
      <c r="AP314" s="159" t="str">
        <f>IF($AN314=FALSE,"",IFERROR(INDEX('Flat Rates'!$A$1:$M$3880,MATCH($AM314,'Flat Rates'!$A$1:$A$3880,0),MATCH("Standing Charge",'Flat Rates'!$A$1:$M$1,0))*100,""))</f>
        <v/>
      </c>
      <c r="AQ314" s="148" t="str">
        <f>IF($AN314=FALSE,"",IFERROR((IF(NOT(T314="Unrestricted"),"",INDEX('Flat Rates'!$A$1:$M$3880,MATCH($AM314,'Flat Rates'!$A$1:$A$3880,0),MATCH("Uni/Day Rate",'Flat Rates'!$A$1:$M$1,0)))*100)+H314,""))</f>
        <v/>
      </c>
      <c r="AR314" s="148" t="str">
        <f>IF($AN314=FALSE,"",IFERROR((IF(T314="Unrestricted","",INDEX('Flat Rates'!$A$1:$M$3880,MATCH($AM314,'Flat Rates'!$A$1:$A$3880,0),MATCH("Uni/Day Rate",'Flat Rates'!$A$1:$M$1,0)))*100)+H314,""))</f>
        <v/>
      </c>
      <c r="AS314" s="148" t="str">
        <f>IF($AN314=FALSE,"",IFERROR(IF(INDEX('Flat Rates'!$A$1:$M$3880,MATCH($AM314,'Flat Rates'!$A$1:$A$3880,0),MATCH("Night Unit Rate",'Flat Rates'!$A$1:$M$1,0))=0,"",((INDEX('Flat Rates'!$A$1:$M$3880,MATCH($AM314,'Flat Rates'!$A$1:$A$3880,0),MATCH("Night Unit Rate",'Flat Rates'!$A$1:$M$1,0)))*100)+H314),""))</f>
        <v/>
      </c>
      <c r="AT314" s="148" t="str">
        <f>IF($AN314=FALSE,"",IFERROR(IF(INDEX('Flat Rates'!$A$1:$M$3880,MATCH($AM314,'Flat Rates'!$A$1:$A$3880,0),MATCH("Evening and Weekend Rate",'Flat Rates'!$A$1:$M$1,0))=0,"",((INDEX('Flat Rates'!$A$1:$M$3880,MATCH($AM314,'Flat Rates'!$A$1:$A$3880,0),MATCH("Evening and Weekend Rate",'Flat Rates'!$A$1:$M$1,0)))*100)+H314),""))</f>
        <v/>
      </c>
      <c r="AU314" s="152" t="str">
        <f t="shared" si="125"/>
        <v/>
      </c>
      <c r="AV314" s="152" t="str">
        <f t="shared" si="126"/>
        <v/>
      </c>
      <c r="AW314" s="152" t="str">
        <f t="shared" si="127"/>
        <v/>
      </c>
    </row>
    <row r="315" spans="2:49" ht="15" thickBot="1" x14ac:dyDescent="0.35">
      <c r="B315" s="138" t="str">
        <f t="shared" si="104"/>
        <v/>
      </c>
      <c r="C315" s="137"/>
      <c r="D315" s="139"/>
      <c r="E315" s="140"/>
      <c r="F315" s="140"/>
      <c r="G315" s="139"/>
      <c r="H315" s="151"/>
      <c r="I315" s="139"/>
      <c r="J315" s="138"/>
      <c r="K315" s="139"/>
      <c r="L315" s="141"/>
      <c r="M315" s="133" t="str">
        <f t="shared" si="105"/>
        <v/>
      </c>
      <c r="N315" s="133" t="str">
        <f t="shared" si="106"/>
        <v/>
      </c>
      <c r="O315" s="133" t="str">
        <f t="shared" si="107"/>
        <v/>
      </c>
      <c r="P315" s="133" t="str">
        <f t="shared" si="108"/>
        <v/>
      </c>
      <c r="Q315" s="133" t="str">
        <f t="shared" si="109"/>
        <v/>
      </c>
      <c r="R315" s="133" t="str">
        <f t="shared" si="110"/>
        <v/>
      </c>
      <c r="S315" s="133" t="str">
        <f t="shared" si="111"/>
        <v/>
      </c>
      <c r="T315" s="133" t="str">
        <f>IFERROR(IF($U315="ERROR","ERROR",IF($N315="00",IF(J315="1-Rate","HH 1RATE",IF(J315="2-Rate","HH 2RATE","")),IFERROR(VLOOKUP(CONCATENATE(N315,Q315,O315,P315),Lookups!$A$2:$E$4557,5,0),VLOOKUP(CONCATENATE(N315,Q315,O315),Lookups!$A$2:$E$4557,5,0)))),"ERROR")</f>
        <v>ERROR</v>
      </c>
      <c r="U315" s="133" t="str">
        <f>IFERROR(IF(NOT($N315="00"),"",VLOOKUP(CONCATENATE(Q315,P315,LOOKUP(2,1/(Lookups!$I$2:$I$11&lt;=E315)/(Lookups!$J$2:$J$11&gt;=Tool!$C$14),Lookups!$K$2:$K$11)),'HH LLFs'!$A$2:$K$500,3,0)),"ERROR")</f>
        <v/>
      </c>
      <c r="V315" s="132">
        <f>Calcs!$I$2</f>
        <v>44377</v>
      </c>
      <c r="W315" s="132">
        <f>Calcs!$I$4</f>
        <v>44592</v>
      </c>
      <c r="X315" s="153" t="str">
        <f>IF(NOT(N315="00"),"",(VLOOKUP(CONCATENATE(Q315,P315,LOOKUP(2,1/(Lookups!$I$2:$I$11&lt;=Multisite!E315)/(Lookups!$J$2:$J$11&gt;=E315),Lookups!$K$2:$K$11)),'HH LLFs'!$A$2:$F$282,6,0)*365)/12)</f>
        <v/>
      </c>
      <c r="Y315" s="153">
        <f t="shared" si="112"/>
        <v>0</v>
      </c>
      <c r="Z315" s="153" t="str">
        <f t="shared" si="121"/>
        <v/>
      </c>
      <c r="AA315" s="153" t="str">
        <f t="shared" si="113"/>
        <v/>
      </c>
      <c r="AB315" s="153" t="str">
        <f t="shared" si="122"/>
        <v/>
      </c>
      <c r="AC315" s="153" t="str">
        <f t="shared" si="114"/>
        <v/>
      </c>
      <c r="AD315" s="153" t="str">
        <f t="shared" si="115"/>
        <v/>
      </c>
      <c r="AE315" s="153" t="str">
        <f t="shared" si="116"/>
        <v/>
      </c>
      <c r="AF315" s="155" t="e">
        <f>LOOKUP(2,1/(Lookups!$I$2:$I$11&lt;=E315)/(Lookups!$J$2:$J$11&gt;=E315),Lookups!$L$2:$L$11)</f>
        <v>#N/A</v>
      </c>
      <c r="AG315" s="142" t="str">
        <f t="shared" si="117"/>
        <v/>
      </c>
      <c r="AH315" s="142" t="str">
        <f t="shared" si="118"/>
        <v/>
      </c>
      <c r="AI315" s="143" t="b">
        <f t="shared" si="123"/>
        <v>0</v>
      </c>
      <c r="AJ315" s="143" t="str">
        <f t="shared" si="119"/>
        <v>Level 1</v>
      </c>
      <c r="AK315" s="142">
        <f t="shared" si="120"/>
        <v>0</v>
      </c>
      <c r="AL315" s="157" t="str">
        <f t="shared" si="128"/>
        <v/>
      </c>
      <c r="AM315" s="144" t="str">
        <f t="shared" si="129"/>
        <v>--FALSE-0</v>
      </c>
      <c r="AN315" s="158" t="str">
        <f t="shared" si="124"/>
        <v/>
      </c>
      <c r="AO315" s="145"/>
      <c r="AP315" s="159" t="str">
        <f>IF($AN315=FALSE,"",IFERROR(INDEX('Flat Rates'!$A$1:$M$3880,MATCH($AM315,'Flat Rates'!$A$1:$A$3880,0),MATCH("Standing Charge",'Flat Rates'!$A$1:$M$1,0))*100,""))</f>
        <v/>
      </c>
      <c r="AQ315" s="148" t="str">
        <f>IF($AN315=FALSE,"",IFERROR((IF(NOT(T315="Unrestricted"),"",INDEX('Flat Rates'!$A$1:$M$3880,MATCH($AM315,'Flat Rates'!$A$1:$A$3880,0),MATCH("Uni/Day Rate",'Flat Rates'!$A$1:$M$1,0)))*100)+H315,""))</f>
        <v/>
      </c>
      <c r="AR315" s="148" t="str">
        <f>IF($AN315=FALSE,"",IFERROR((IF(T315="Unrestricted","",INDEX('Flat Rates'!$A$1:$M$3880,MATCH($AM315,'Flat Rates'!$A$1:$A$3880,0),MATCH("Uni/Day Rate",'Flat Rates'!$A$1:$M$1,0)))*100)+H315,""))</f>
        <v/>
      </c>
      <c r="AS315" s="148" t="str">
        <f>IF($AN315=FALSE,"",IFERROR(IF(INDEX('Flat Rates'!$A$1:$M$3880,MATCH($AM315,'Flat Rates'!$A$1:$A$3880,0),MATCH("Night Unit Rate",'Flat Rates'!$A$1:$M$1,0))=0,"",((INDEX('Flat Rates'!$A$1:$M$3880,MATCH($AM315,'Flat Rates'!$A$1:$A$3880,0),MATCH("Night Unit Rate",'Flat Rates'!$A$1:$M$1,0)))*100)+H315),""))</f>
        <v/>
      </c>
      <c r="AT315" s="148" t="str">
        <f>IF($AN315=FALSE,"",IFERROR(IF(INDEX('Flat Rates'!$A$1:$M$3880,MATCH($AM315,'Flat Rates'!$A$1:$A$3880,0),MATCH("Evening and Weekend Rate",'Flat Rates'!$A$1:$M$1,0))=0,"",((INDEX('Flat Rates'!$A$1:$M$3880,MATCH($AM315,'Flat Rates'!$A$1:$A$3880,0),MATCH("Evening and Weekend Rate",'Flat Rates'!$A$1:$M$1,0)))*100)+H315),""))</f>
        <v/>
      </c>
      <c r="AU315" s="152" t="str">
        <f t="shared" si="125"/>
        <v/>
      </c>
      <c r="AV315" s="152" t="str">
        <f t="shared" si="126"/>
        <v/>
      </c>
      <c r="AW315" s="152" t="str">
        <f t="shared" si="127"/>
        <v/>
      </c>
    </row>
    <row r="316" spans="2:49" ht="15" thickBot="1" x14ac:dyDescent="0.35">
      <c r="B316" s="138" t="str">
        <f t="shared" si="104"/>
        <v/>
      </c>
      <c r="C316" s="146"/>
      <c r="D316" s="147"/>
      <c r="E316" s="140"/>
      <c r="F316" s="140"/>
      <c r="G316" s="139"/>
      <c r="H316" s="151"/>
      <c r="I316" s="139"/>
      <c r="J316" s="137"/>
      <c r="K316" s="139"/>
      <c r="L316" s="141"/>
      <c r="M316" s="133" t="str">
        <f t="shared" si="105"/>
        <v/>
      </c>
      <c r="N316" s="133" t="str">
        <f t="shared" si="106"/>
        <v/>
      </c>
      <c r="O316" s="133" t="str">
        <f t="shared" si="107"/>
        <v/>
      </c>
      <c r="P316" s="133" t="str">
        <f t="shared" si="108"/>
        <v/>
      </c>
      <c r="Q316" s="133" t="str">
        <f t="shared" si="109"/>
        <v/>
      </c>
      <c r="R316" s="133" t="str">
        <f t="shared" si="110"/>
        <v/>
      </c>
      <c r="S316" s="133" t="str">
        <f t="shared" si="111"/>
        <v/>
      </c>
      <c r="T316" s="133" t="str">
        <f>IFERROR(IF($U316="ERROR","ERROR",IF($N316="00",IF(J316="1-Rate","HH 1RATE",IF(J316="2-Rate","HH 2RATE","")),IFERROR(VLOOKUP(CONCATENATE(N316,Q316,O316,P316),Lookups!$A$2:$E$4557,5,0),VLOOKUP(CONCATENATE(N316,Q316,O316),Lookups!$A$2:$E$4557,5,0)))),"ERROR")</f>
        <v>ERROR</v>
      </c>
      <c r="U316" s="133" t="str">
        <f>IFERROR(IF(NOT($N316="00"),"",VLOOKUP(CONCATENATE(Q316,P316,LOOKUP(2,1/(Lookups!$I$2:$I$11&lt;=E316)/(Lookups!$J$2:$J$11&gt;=Tool!$C$14),Lookups!$K$2:$K$11)),'HH LLFs'!$A$2:$K$500,3,0)),"ERROR")</f>
        <v/>
      </c>
      <c r="V316" s="132">
        <f>Calcs!$I$2</f>
        <v>44377</v>
      </c>
      <c r="W316" s="132">
        <f>Calcs!$I$4</f>
        <v>44592</v>
      </c>
      <c r="X316" s="153" t="str">
        <f>IF(NOT(N316="00"),"",(VLOOKUP(CONCATENATE(Q316,P316,LOOKUP(2,1/(Lookups!$I$2:$I$11&lt;=Multisite!E316)/(Lookups!$J$2:$J$11&gt;=E316),Lookups!$K$2:$K$11)),'HH LLFs'!$A$2:$F$282,6,0)*365)/12)</f>
        <v/>
      </c>
      <c r="Y316" s="153">
        <f t="shared" si="112"/>
        <v>0</v>
      </c>
      <c r="Z316" s="153" t="str">
        <f t="shared" si="121"/>
        <v/>
      </c>
      <c r="AA316" s="153" t="str">
        <f t="shared" si="113"/>
        <v/>
      </c>
      <c r="AB316" s="153" t="str">
        <f t="shared" si="122"/>
        <v/>
      </c>
      <c r="AC316" s="153" t="str">
        <f t="shared" si="114"/>
        <v/>
      </c>
      <c r="AD316" s="153" t="str">
        <f t="shared" si="115"/>
        <v/>
      </c>
      <c r="AE316" s="153" t="str">
        <f t="shared" si="116"/>
        <v/>
      </c>
      <c r="AF316" s="155" t="e">
        <f>LOOKUP(2,1/(Lookups!$I$2:$I$11&lt;=E316)/(Lookups!$J$2:$J$11&gt;=E316),Lookups!$L$2:$L$11)</f>
        <v>#N/A</v>
      </c>
      <c r="AG316" s="142" t="str">
        <f t="shared" si="117"/>
        <v/>
      </c>
      <c r="AH316" s="142" t="str">
        <f t="shared" si="118"/>
        <v/>
      </c>
      <c r="AI316" s="143" t="b">
        <f t="shared" si="123"/>
        <v>0</v>
      </c>
      <c r="AJ316" s="143" t="str">
        <f t="shared" si="119"/>
        <v>Level 1</v>
      </c>
      <c r="AK316" s="142">
        <f t="shared" si="120"/>
        <v>0</v>
      </c>
      <c r="AL316" s="157" t="str">
        <f t="shared" si="128"/>
        <v/>
      </c>
      <c r="AM316" s="144" t="str">
        <f t="shared" si="129"/>
        <v>--FALSE-0</v>
      </c>
      <c r="AN316" s="158" t="str">
        <f t="shared" si="124"/>
        <v/>
      </c>
      <c r="AO316" s="145"/>
      <c r="AP316" s="159" t="str">
        <f>IF($AN316=FALSE,"",IFERROR(INDEX('Flat Rates'!$A$1:$M$3880,MATCH($AM316,'Flat Rates'!$A$1:$A$3880,0),MATCH("Standing Charge",'Flat Rates'!$A$1:$M$1,0))*100,""))</f>
        <v/>
      </c>
      <c r="AQ316" s="148" t="str">
        <f>IF($AN316=FALSE,"",IFERROR((IF(NOT(T316="Unrestricted"),"",INDEX('Flat Rates'!$A$1:$M$3880,MATCH($AM316,'Flat Rates'!$A$1:$A$3880,0),MATCH("Uni/Day Rate",'Flat Rates'!$A$1:$M$1,0)))*100)+H316,""))</f>
        <v/>
      </c>
      <c r="AR316" s="148" t="str">
        <f>IF($AN316=FALSE,"",IFERROR((IF(T316="Unrestricted","",INDEX('Flat Rates'!$A$1:$M$3880,MATCH($AM316,'Flat Rates'!$A$1:$A$3880,0),MATCH("Uni/Day Rate",'Flat Rates'!$A$1:$M$1,0)))*100)+H316,""))</f>
        <v/>
      </c>
      <c r="AS316" s="148" t="str">
        <f>IF($AN316=FALSE,"",IFERROR(IF(INDEX('Flat Rates'!$A$1:$M$3880,MATCH($AM316,'Flat Rates'!$A$1:$A$3880,0),MATCH("Night Unit Rate",'Flat Rates'!$A$1:$M$1,0))=0,"",((INDEX('Flat Rates'!$A$1:$M$3880,MATCH($AM316,'Flat Rates'!$A$1:$A$3880,0),MATCH("Night Unit Rate",'Flat Rates'!$A$1:$M$1,0)))*100)+H316),""))</f>
        <v/>
      </c>
      <c r="AT316" s="148" t="str">
        <f>IF($AN316=FALSE,"",IFERROR(IF(INDEX('Flat Rates'!$A$1:$M$3880,MATCH($AM316,'Flat Rates'!$A$1:$A$3880,0),MATCH("Evening and Weekend Rate",'Flat Rates'!$A$1:$M$1,0))=0,"",((INDEX('Flat Rates'!$A$1:$M$3880,MATCH($AM316,'Flat Rates'!$A$1:$A$3880,0),MATCH("Evening and Weekend Rate",'Flat Rates'!$A$1:$M$1,0)))*100)+H316),""))</f>
        <v/>
      </c>
      <c r="AU316" s="152" t="str">
        <f t="shared" si="125"/>
        <v/>
      </c>
      <c r="AV316" s="152" t="str">
        <f t="shared" si="126"/>
        <v/>
      </c>
      <c r="AW316" s="152" t="str">
        <f t="shared" si="127"/>
        <v/>
      </c>
    </row>
    <row r="317" spans="2:49" ht="15" thickBot="1" x14ac:dyDescent="0.35">
      <c r="B317" s="138" t="str">
        <f t="shared" si="104"/>
        <v/>
      </c>
      <c r="C317" s="137"/>
      <c r="D317" s="139"/>
      <c r="E317" s="140"/>
      <c r="F317" s="140"/>
      <c r="G317" s="139"/>
      <c r="H317" s="151"/>
      <c r="I317" s="139"/>
      <c r="J317" s="138"/>
      <c r="K317" s="139"/>
      <c r="L317" s="141"/>
      <c r="M317" s="133" t="str">
        <f t="shared" si="105"/>
        <v/>
      </c>
      <c r="N317" s="133" t="str">
        <f t="shared" si="106"/>
        <v/>
      </c>
      <c r="O317" s="133" t="str">
        <f t="shared" si="107"/>
        <v/>
      </c>
      <c r="P317" s="133" t="str">
        <f t="shared" si="108"/>
        <v/>
      </c>
      <c r="Q317" s="133" t="str">
        <f t="shared" si="109"/>
        <v/>
      </c>
      <c r="R317" s="133" t="str">
        <f t="shared" si="110"/>
        <v/>
      </c>
      <c r="S317" s="133" t="str">
        <f t="shared" si="111"/>
        <v/>
      </c>
      <c r="T317" s="133" t="str">
        <f>IFERROR(IF($U317="ERROR","ERROR",IF($N317="00",IF(J317="1-Rate","HH 1RATE",IF(J317="2-Rate","HH 2RATE","")),IFERROR(VLOOKUP(CONCATENATE(N317,Q317,O317,P317),Lookups!$A$2:$E$4557,5,0),VLOOKUP(CONCATENATE(N317,Q317,O317),Lookups!$A$2:$E$4557,5,0)))),"ERROR")</f>
        <v>ERROR</v>
      </c>
      <c r="U317" s="133" t="str">
        <f>IFERROR(IF(NOT($N317="00"),"",VLOOKUP(CONCATENATE(Q317,P317,LOOKUP(2,1/(Lookups!$I$2:$I$11&lt;=E317)/(Lookups!$J$2:$J$11&gt;=Tool!$C$14),Lookups!$K$2:$K$11)),'HH LLFs'!$A$2:$K$500,3,0)),"ERROR")</f>
        <v/>
      </c>
      <c r="V317" s="132">
        <f>Calcs!$I$2</f>
        <v>44377</v>
      </c>
      <c r="W317" s="132">
        <f>Calcs!$I$4</f>
        <v>44592</v>
      </c>
      <c r="X317" s="153" t="str">
        <f>IF(NOT(N317="00"),"",(VLOOKUP(CONCATENATE(Q317,P317,LOOKUP(2,1/(Lookups!$I$2:$I$11&lt;=Multisite!E317)/(Lookups!$J$2:$J$11&gt;=E317),Lookups!$K$2:$K$11)),'HH LLFs'!$A$2:$F$282,6,0)*365)/12)</f>
        <v/>
      </c>
      <c r="Y317" s="153">
        <f t="shared" si="112"/>
        <v>0</v>
      </c>
      <c r="Z317" s="153" t="str">
        <f t="shared" si="121"/>
        <v/>
      </c>
      <c r="AA317" s="153" t="str">
        <f t="shared" si="113"/>
        <v/>
      </c>
      <c r="AB317" s="153" t="str">
        <f t="shared" si="122"/>
        <v/>
      </c>
      <c r="AC317" s="153" t="str">
        <f t="shared" si="114"/>
        <v/>
      </c>
      <c r="AD317" s="153" t="str">
        <f t="shared" si="115"/>
        <v/>
      </c>
      <c r="AE317" s="153" t="str">
        <f t="shared" si="116"/>
        <v/>
      </c>
      <c r="AF317" s="155" t="e">
        <f>LOOKUP(2,1/(Lookups!$I$2:$I$11&lt;=E317)/(Lookups!$J$2:$J$11&gt;=E317),Lookups!$L$2:$L$11)</f>
        <v>#N/A</v>
      </c>
      <c r="AG317" s="142" t="str">
        <f t="shared" si="117"/>
        <v/>
      </c>
      <c r="AH317" s="142" t="str">
        <f t="shared" si="118"/>
        <v/>
      </c>
      <c r="AI317" s="143" t="b">
        <f t="shared" si="123"/>
        <v>0</v>
      </c>
      <c r="AJ317" s="143" t="str">
        <f t="shared" si="119"/>
        <v>Level 1</v>
      </c>
      <c r="AK317" s="142">
        <f t="shared" si="120"/>
        <v>0</v>
      </c>
      <c r="AL317" s="157" t="str">
        <f t="shared" si="128"/>
        <v/>
      </c>
      <c r="AM317" s="144" t="str">
        <f t="shared" si="129"/>
        <v>--FALSE-0</v>
      </c>
      <c r="AN317" s="158" t="str">
        <f t="shared" si="124"/>
        <v/>
      </c>
      <c r="AO317" s="145"/>
      <c r="AP317" s="159" t="str">
        <f>IF($AN317=FALSE,"",IFERROR(INDEX('Flat Rates'!$A$1:$M$3880,MATCH($AM317,'Flat Rates'!$A$1:$A$3880,0),MATCH("Standing Charge",'Flat Rates'!$A$1:$M$1,0))*100,""))</f>
        <v/>
      </c>
      <c r="AQ317" s="148" t="str">
        <f>IF($AN317=FALSE,"",IFERROR((IF(NOT(T317="Unrestricted"),"",INDEX('Flat Rates'!$A$1:$M$3880,MATCH($AM317,'Flat Rates'!$A$1:$A$3880,0),MATCH("Uni/Day Rate",'Flat Rates'!$A$1:$M$1,0)))*100)+H317,""))</f>
        <v/>
      </c>
      <c r="AR317" s="148" t="str">
        <f>IF($AN317=FALSE,"",IFERROR((IF(T317="Unrestricted","",INDEX('Flat Rates'!$A$1:$M$3880,MATCH($AM317,'Flat Rates'!$A$1:$A$3880,0),MATCH("Uni/Day Rate",'Flat Rates'!$A$1:$M$1,0)))*100)+H317,""))</f>
        <v/>
      </c>
      <c r="AS317" s="148" t="str">
        <f>IF($AN317=FALSE,"",IFERROR(IF(INDEX('Flat Rates'!$A$1:$M$3880,MATCH($AM317,'Flat Rates'!$A$1:$A$3880,0),MATCH("Night Unit Rate",'Flat Rates'!$A$1:$M$1,0))=0,"",((INDEX('Flat Rates'!$A$1:$M$3880,MATCH($AM317,'Flat Rates'!$A$1:$A$3880,0),MATCH("Night Unit Rate",'Flat Rates'!$A$1:$M$1,0)))*100)+H317),""))</f>
        <v/>
      </c>
      <c r="AT317" s="148" t="str">
        <f>IF($AN317=FALSE,"",IFERROR(IF(INDEX('Flat Rates'!$A$1:$M$3880,MATCH($AM317,'Flat Rates'!$A$1:$A$3880,0),MATCH("Evening and Weekend Rate",'Flat Rates'!$A$1:$M$1,0))=0,"",((INDEX('Flat Rates'!$A$1:$M$3880,MATCH($AM317,'Flat Rates'!$A$1:$A$3880,0),MATCH("Evening and Weekend Rate",'Flat Rates'!$A$1:$M$1,0)))*100)+H317),""))</f>
        <v/>
      </c>
      <c r="AU317" s="152" t="str">
        <f t="shared" si="125"/>
        <v/>
      </c>
      <c r="AV317" s="152" t="str">
        <f t="shared" si="126"/>
        <v/>
      </c>
      <c r="AW317" s="152" t="str">
        <f t="shared" si="127"/>
        <v/>
      </c>
    </row>
    <row r="318" spans="2:49" ht="15" thickBot="1" x14ac:dyDescent="0.35">
      <c r="B318" s="138" t="str">
        <f t="shared" si="104"/>
        <v/>
      </c>
      <c r="C318" s="146"/>
      <c r="D318" s="147"/>
      <c r="E318" s="140"/>
      <c r="F318" s="140"/>
      <c r="G318" s="139"/>
      <c r="H318" s="151"/>
      <c r="I318" s="139"/>
      <c r="J318" s="137"/>
      <c r="K318" s="139"/>
      <c r="L318" s="141"/>
      <c r="M318" s="133" t="str">
        <f t="shared" si="105"/>
        <v/>
      </c>
      <c r="N318" s="133" t="str">
        <f t="shared" si="106"/>
        <v/>
      </c>
      <c r="O318" s="133" t="str">
        <f t="shared" si="107"/>
        <v/>
      </c>
      <c r="P318" s="133" t="str">
        <f t="shared" si="108"/>
        <v/>
      </c>
      <c r="Q318" s="133" t="str">
        <f t="shared" si="109"/>
        <v/>
      </c>
      <c r="R318" s="133" t="str">
        <f t="shared" si="110"/>
        <v/>
      </c>
      <c r="S318" s="133" t="str">
        <f t="shared" si="111"/>
        <v/>
      </c>
      <c r="T318" s="133" t="str">
        <f>IFERROR(IF($U318="ERROR","ERROR",IF($N318="00",IF(J318="1-Rate","HH 1RATE",IF(J318="2-Rate","HH 2RATE","")),IFERROR(VLOOKUP(CONCATENATE(N318,Q318,O318,P318),Lookups!$A$2:$E$4557,5,0),VLOOKUP(CONCATENATE(N318,Q318,O318),Lookups!$A$2:$E$4557,5,0)))),"ERROR")</f>
        <v>ERROR</v>
      </c>
      <c r="U318" s="133" t="str">
        <f>IFERROR(IF(NOT($N318="00"),"",VLOOKUP(CONCATENATE(Q318,P318,LOOKUP(2,1/(Lookups!$I$2:$I$11&lt;=E318)/(Lookups!$J$2:$J$11&gt;=Tool!$C$14),Lookups!$K$2:$K$11)),'HH LLFs'!$A$2:$K$500,3,0)),"ERROR")</f>
        <v/>
      </c>
      <c r="V318" s="132">
        <f>Calcs!$I$2</f>
        <v>44377</v>
      </c>
      <c r="W318" s="132">
        <f>Calcs!$I$4</f>
        <v>44592</v>
      </c>
      <c r="X318" s="153" t="str">
        <f>IF(NOT(N318="00"),"",(VLOOKUP(CONCATENATE(Q318,P318,LOOKUP(2,1/(Lookups!$I$2:$I$11&lt;=Multisite!E318)/(Lookups!$J$2:$J$11&gt;=E318),Lookups!$K$2:$K$11)),'HH LLFs'!$A$2:$F$282,6,0)*365)/12)</f>
        <v/>
      </c>
      <c r="Y318" s="153">
        <f t="shared" si="112"/>
        <v>0</v>
      </c>
      <c r="Z318" s="153" t="str">
        <f t="shared" si="121"/>
        <v/>
      </c>
      <c r="AA318" s="153" t="str">
        <f t="shared" si="113"/>
        <v/>
      </c>
      <c r="AB318" s="153" t="str">
        <f t="shared" si="122"/>
        <v/>
      </c>
      <c r="AC318" s="153" t="str">
        <f t="shared" si="114"/>
        <v/>
      </c>
      <c r="AD318" s="153" t="str">
        <f t="shared" si="115"/>
        <v/>
      </c>
      <c r="AE318" s="153" t="str">
        <f t="shared" si="116"/>
        <v/>
      </c>
      <c r="AF318" s="155" t="e">
        <f>LOOKUP(2,1/(Lookups!$I$2:$I$11&lt;=E318)/(Lookups!$J$2:$J$11&gt;=E318),Lookups!$L$2:$L$11)</f>
        <v>#N/A</v>
      </c>
      <c r="AG318" s="142" t="str">
        <f t="shared" si="117"/>
        <v/>
      </c>
      <c r="AH318" s="142" t="str">
        <f t="shared" si="118"/>
        <v/>
      </c>
      <c r="AI318" s="143" t="b">
        <f t="shared" si="123"/>
        <v>0</v>
      </c>
      <c r="AJ318" s="143" t="str">
        <f t="shared" si="119"/>
        <v>Level 1</v>
      </c>
      <c r="AK318" s="142">
        <f t="shared" si="120"/>
        <v>0</v>
      </c>
      <c r="AL318" s="157" t="str">
        <f t="shared" si="128"/>
        <v/>
      </c>
      <c r="AM318" s="144" t="str">
        <f t="shared" si="129"/>
        <v>--FALSE-0</v>
      </c>
      <c r="AN318" s="158" t="str">
        <f t="shared" si="124"/>
        <v/>
      </c>
      <c r="AO318" s="145"/>
      <c r="AP318" s="159" t="str">
        <f>IF($AN318=FALSE,"",IFERROR(INDEX('Flat Rates'!$A$1:$M$3880,MATCH($AM318,'Flat Rates'!$A$1:$A$3880,0),MATCH("Standing Charge",'Flat Rates'!$A$1:$M$1,0))*100,""))</f>
        <v/>
      </c>
      <c r="AQ318" s="148" t="str">
        <f>IF($AN318=FALSE,"",IFERROR((IF(NOT(T318="Unrestricted"),"",INDEX('Flat Rates'!$A$1:$M$3880,MATCH($AM318,'Flat Rates'!$A$1:$A$3880,0),MATCH("Uni/Day Rate",'Flat Rates'!$A$1:$M$1,0)))*100)+H318,""))</f>
        <v/>
      </c>
      <c r="AR318" s="148" t="str">
        <f>IF($AN318=FALSE,"",IFERROR((IF(T318="Unrestricted","",INDEX('Flat Rates'!$A$1:$M$3880,MATCH($AM318,'Flat Rates'!$A$1:$A$3880,0),MATCH("Uni/Day Rate",'Flat Rates'!$A$1:$M$1,0)))*100)+H318,""))</f>
        <v/>
      </c>
      <c r="AS318" s="148" t="str">
        <f>IF($AN318=FALSE,"",IFERROR(IF(INDEX('Flat Rates'!$A$1:$M$3880,MATCH($AM318,'Flat Rates'!$A$1:$A$3880,0),MATCH("Night Unit Rate",'Flat Rates'!$A$1:$M$1,0))=0,"",((INDEX('Flat Rates'!$A$1:$M$3880,MATCH($AM318,'Flat Rates'!$A$1:$A$3880,0),MATCH("Night Unit Rate",'Flat Rates'!$A$1:$M$1,0)))*100)+H318),""))</f>
        <v/>
      </c>
      <c r="AT318" s="148" t="str">
        <f>IF($AN318=FALSE,"",IFERROR(IF(INDEX('Flat Rates'!$A$1:$M$3880,MATCH($AM318,'Flat Rates'!$A$1:$A$3880,0),MATCH("Evening and Weekend Rate",'Flat Rates'!$A$1:$M$1,0))=0,"",((INDEX('Flat Rates'!$A$1:$M$3880,MATCH($AM318,'Flat Rates'!$A$1:$A$3880,0),MATCH("Evening and Weekend Rate",'Flat Rates'!$A$1:$M$1,0)))*100)+H318),""))</f>
        <v/>
      </c>
      <c r="AU318" s="152" t="str">
        <f t="shared" si="125"/>
        <v/>
      </c>
      <c r="AV318" s="152" t="str">
        <f t="shared" si="126"/>
        <v/>
      </c>
      <c r="AW318" s="152" t="str">
        <f t="shared" si="127"/>
        <v/>
      </c>
    </row>
    <row r="319" spans="2:49" ht="15" thickBot="1" x14ac:dyDescent="0.35">
      <c r="B319" s="138" t="str">
        <f t="shared" si="104"/>
        <v/>
      </c>
      <c r="C319" s="137"/>
      <c r="D319" s="139"/>
      <c r="E319" s="140"/>
      <c r="F319" s="140"/>
      <c r="G319" s="139"/>
      <c r="H319" s="151"/>
      <c r="I319" s="139"/>
      <c r="J319" s="138"/>
      <c r="K319" s="139"/>
      <c r="L319" s="141"/>
      <c r="M319" s="133" t="str">
        <f t="shared" si="105"/>
        <v/>
      </c>
      <c r="N319" s="133" t="str">
        <f t="shared" si="106"/>
        <v/>
      </c>
      <c r="O319" s="133" t="str">
        <f t="shared" si="107"/>
        <v/>
      </c>
      <c r="P319" s="133" t="str">
        <f t="shared" si="108"/>
        <v/>
      </c>
      <c r="Q319" s="133" t="str">
        <f t="shared" si="109"/>
        <v/>
      </c>
      <c r="R319" s="133" t="str">
        <f t="shared" si="110"/>
        <v/>
      </c>
      <c r="S319" s="133" t="str">
        <f t="shared" si="111"/>
        <v/>
      </c>
      <c r="T319" s="133" t="str">
        <f>IFERROR(IF($U319="ERROR","ERROR",IF($N319="00",IF(J319="1-Rate","HH 1RATE",IF(J319="2-Rate","HH 2RATE","")),IFERROR(VLOOKUP(CONCATENATE(N319,Q319,O319,P319),Lookups!$A$2:$E$4557,5,0),VLOOKUP(CONCATENATE(N319,Q319,O319),Lookups!$A$2:$E$4557,5,0)))),"ERROR")</f>
        <v>ERROR</v>
      </c>
      <c r="U319" s="133" t="str">
        <f>IFERROR(IF(NOT($N319="00"),"",VLOOKUP(CONCATENATE(Q319,P319,LOOKUP(2,1/(Lookups!$I$2:$I$11&lt;=E319)/(Lookups!$J$2:$J$11&gt;=Tool!$C$14),Lookups!$K$2:$K$11)),'HH LLFs'!$A$2:$K$500,3,0)),"ERROR")</f>
        <v/>
      </c>
      <c r="V319" s="132">
        <f>Calcs!$I$2</f>
        <v>44377</v>
      </c>
      <c r="W319" s="132">
        <f>Calcs!$I$4</f>
        <v>44592</v>
      </c>
      <c r="X319" s="153" t="str">
        <f>IF(NOT(N319="00"),"",(VLOOKUP(CONCATENATE(Q319,P319,LOOKUP(2,1/(Lookups!$I$2:$I$11&lt;=Multisite!E319)/(Lookups!$J$2:$J$11&gt;=E319),Lookups!$K$2:$K$11)),'HH LLFs'!$A$2:$F$282,6,0)*365)/12)</f>
        <v/>
      </c>
      <c r="Y319" s="153">
        <f t="shared" si="112"/>
        <v>0</v>
      </c>
      <c r="Z319" s="153" t="str">
        <f t="shared" si="121"/>
        <v/>
      </c>
      <c r="AA319" s="153" t="str">
        <f t="shared" si="113"/>
        <v/>
      </c>
      <c r="AB319" s="153" t="str">
        <f t="shared" si="122"/>
        <v/>
      </c>
      <c r="AC319" s="153" t="str">
        <f t="shared" si="114"/>
        <v/>
      </c>
      <c r="AD319" s="153" t="str">
        <f t="shared" si="115"/>
        <v/>
      </c>
      <c r="AE319" s="153" t="str">
        <f t="shared" si="116"/>
        <v/>
      </c>
      <c r="AF319" s="155" t="e">
        <f>LOOKUP(2,1/(Lookups!$I$2:$I$11&lt;=E319)/(Lookups!$J$2:$J$11&gt;=E319),Lookups!$L$2:$L$11)</f>
        <v>#N/A</v>
      </c>
      <c r="AG319" s="142" t="str">
        <f t="shared" si="117"/>
        <v/>
      </c>
      <c r="AH319" s="142" t="str">
        <f t="shared" si="118"/>
        <v/>
      </c>
      <c r="AI319" s="143" t="b">
        <f t="shared" si="123"/>
        <v>0</v>
      </c>
      <c r="AJ319" s="143" t="str">
        <f t="shared" si="119"/>
        <v>Level 1</v>
      </c>
      <c r="AK319" s="142">
        <f t="shared" si="120"/>
        <v>0</v>
      </c>
      <c r="AL319" s="157" t="str">
        <f t="shared" si="128"/>
        <v/>
      </c>
      <c r="AM319" s="144" t="str">
        <f t="shared" si="129"/>
        <v>--FALSE-0</v>
      </c>
      <c r="AN319" s="158" t="str">
        <f t="shared" si="124"/>
        <v/>
      </c>
      <c r="AO319" s="145"/>
      <c r="AP319" s="159" t="str">
        <f>IF($AN319=FALSE,"",IFERROR(INDEX('Flat Rates'!$A$1:$M$3880,MATCH($AM319,'Flat Rates'!$A$1:$A$3880,0),MATCH("Standing Charge",'Flat Rates'!$A$1:$M$1,0))*100,""))</f>
        <v/>
      </c>
      <c r="AQ319" s="148" t="str">
        <f>IF($AN319=FALSE,"",IFERROR((IF(NOT(T319="Unrestricted"),"",INDEX('Flat Rates'!$A$1:$M$3880,MATCH($AM319,'Flat Rates'!$A$1:$A$3880,0),MATCH("Uni/Day Rate",'Flat Rates'!$A$1:$M$1,0)))*100)+H319,""))</f>
        <v/>
      </c>
      <c r="AR319" s="148" t="str">
        <f>IF($AN319=FALSE,"",IFERROR((IF(T319="Unrestricted","",INDEX('Flat Rates'!$A$1:$M$3880,MATCH($AM319,'Flat Rates'!$A$1:$A$3880,0),MATCH("Uni/Day Rate",'Flat Rates'!$A$1:$M$1,0)))*100)+H319,""))</f>
        <v/>
      </c>
      <c r="AS319" s="148" t="str">
        <f>IF($AN319=FALSE,"",IFERROR(IF(INDEX('Flat Rates'!$A$1:$M$3880,MATCH($AM319,'Flat Rates'!$A$1:$A$3880,0),MATCH("Night Unit Rate",'Flat Rates'!$A$1:$M$1,0))=0,"",((INDEX('Flat Rates'!$A$1:$M$3880,MATCH($AM319,'Flat Rates'!$A$1:$A$3880,0),MATCH("Night Unit Rate",'Flat Rates'!$A$1:$M$1,0)))*100)+H319),""))</f>
        <v/>
      </c>
      <c r="AT319" s="148" t="str">
        <f>IF($AN319=FALSE,"",IFERROR(IF(INDEX('Flat Rates'!$A$1:$M$3880,MATCH($AM319,'Flat Rates'!$A$1:$A$3880,0),MATCH("Evening and Weekend Rate",'Flat Rates'!$A$1:$M$1,0))=0,"",((INDEX('Flat Rates'!$A$1:$M$3880,MATCH($AM319,'Flat Rates'!$A$1:$A$3880,0),MATCH("Evening and Weekend Rate",'Flat Rates'!$A$1:$M$1,0)))*100)+H319),""))</f>
        <v/>
      </c>
      <c r="AU319" s="152" t="str">
        <f t="shared" si="125"/>
        <v/>
      </c>
      <c r="AV319" s="152" t="str">
        <f t="shared" si="126"/>
        <v/>
      </c>
      <c r="AW319" s="152" t="str">
        <f t="shared" si="127"/>
        <v/>
      </c>
    </row>
    <row r="320" spans="2:49" ht="15" thickBot="1" x14ac:dyDescent="0.35">
      <c r="B320" s="138" t="str">
        <f t="shared" si="104"/>
        <v/>
      </c>
      <c r="C320" s="146"/>
      <c r="D320" s="147"/>
      <c r="E320" s="140"/>
      <c r="F320" s="140"/>
      <c r="G320" s="139"/>
      <c r="H320" s="151"/>
      <c r="I320" s="139"/>
      <c r="J320" s="137"/>
      <c r="K320" s="139"/>
      <c r="L320" s="141"/>
      <c r="M320" s="133" t="str">
        <f t="shared" si="105"/>
        <v/>
      </c>
      <c r="N320" s="133" t="str">
        <f t="shared" si="106"/>
        <v/>
      </c>
      <c r="O320" s="133" t="str">
        <f t="shared" si="107"/>
        <v/>
      </c>
      <c r="P320" s="133" t="str">
        <f t="shared" si="108"/>
        <v/>
      </c>
      <c r="Q320" s="133" t="str">
        <f t="shared" si="109"/>
        <v/>
      </c>
      <c r="R320" s="133" t="str">
        <f t="shared" si="110"/>
        <v/>
      </c>
      <c r="S320" s="133" t="str">
        <f t="shared" si="111"/>
        <v/>
      </c>
      <c r="T320" s="133" t="str">
        <f>IFERROR(IF($U320="ERROR","ERROR",IF($N320="00",IF(J320="1-Rate","HH 1RATE",IF(J320="2-Rate","HH 2RATE","")),IFERROR(VLOOKUP(CONCATENATE(N320,Q320,O320,P320),Lookups!$A$2:$E$4557,5,0),VLOOKUP(CONCATENATE(N320,Q320,O320),Lookups!$A$2:$E$4557,5,0)))),"ERROR")</f>
        <v>ERROR</v>
      </c>
      <c r="U320" s="133" t="str">
        <f>IFERROR(IF(NOT($N320="00"),"",VLOOKUP(CONCATENATE(Q320,P320,LOOKUP(2,1/(Lookups!$I$2:$I$11&lt;=E320)/(Lookups!$J$2:$J$11&gt;=Tool!$C$14),Lookups!$K$2:$K$11)),'HH LLFs'!$A$2:$K$500,3,0)),"ERROR")</f>
        <v/>
      </c>
      <c r="V320" s="132">
        <f>Calcs!$I$2</f>
        <v>44377</v>
      </c>
      <c r="W320" s="132">
        <f>Calcs!$I$4</f>
        <v>44592</v>
      </c>
      <c r="X320" s="153" t="str">
        <f>IF(NOT(N320="00"),"",(VLOOKUP(CONCATENATE(Q320,P320,LOOKUP(2,1/(Lookups!$I$2:$I$11&lt;=Multisite!E320)/(Lookups!$J$2:$J$11&gt;=E320),Lookups!$K$2:$K$11)),'HH LLFs'!$A$2:$F$282,6,0)*365)/12)</f>
        <v/>
      </c>
      <c r="Y320" s="153">
        <f t="shared" si="112"/>
        <v>0</v>
      </c>
      <c r="Z320" s="153" t="str">
        <f t="shared" si="121"/>
        <v/>
      </c>
      <c r="AA320" s="153" t="str">
        <f t="shared" si="113"/>
        <v/>
      </c>
      <c r="AB320" s="153" t="str">
        <f t="shared" si="122"/>
        <v/>
      </c>
      <c r="AC320" s="153" t="str">
        <f t="shared" si="114"/>
        <v/>
      </c>
      <c r="AD320" s="153" t="str">
        <f t="shared" si="115"/>
        <v/>
      </c>
      <c r="AE320" s="153" t="str">
        <f t="shared" si="116"/>
        <v/>
      </c>
      <c r="AF320" s="155" t="e">
        <f>LOOKUP(2,1/(Lookups!$I$2:$I$11&lt;=E320)/(Lookups!$J$2:$J$11&gt;=E320),Lookups!$L$2:$L$11)</f>
        <v>#N/A</v>
      </c>
      <c r="AG320" s="142" t="str">
        <f t="shared" si="117"/>
        <v/>
      </c>
      <c r="AH320" s="142" t="str">
        <f t="shared" si="118"/>
        <v/>
      </c>
      <c r="AI320" s="143" t="b">
        <f t="shared" si="123"/>
        <v>0</v>
      </c>
      <c r="AJ320" s="143" t="str">
        <f t="shared" si="119"/>
        <v>Level 1</v>
      </c>
      <c r="AK320" s="142">
        <f t="shared" si="120"/>
        <v>0</v>
      </c>
      <c r="AL320" s="157" t="str">
        <f t="shared" si="128"/>
        <v/>
      </c>
      <c r="AM320" s="144" t="str">
        <f t="shared" si="129"/>
        <v>--FALSE-0</v>
      </c>
      <c r="AN320" s="158" t="str">
        <f t="shared" si="124"/>
        <v/>
      </c>
      <c r="AO320" s="145"/>
      <c r="AP320" s="159" t="str">
        <f>IF($AN320=FALSE,"",IFERROR(INDEX('Flat Rates'!$A$1:$M$3880,MATCH($AM320,'Flat Rates'!$A$1:$A$3880,0),MATCH("Standing Charge",'Flat Rates'!$A$1:$M$1,0))*100,""))</f>
        <v/>
      </c>
      <c r="AQ320" s="148" t="str">
        <f>IF($AN320=FALSE,"",IFERROR((IF(NOT(T320="Unrestricted"),"",INDEX('Flat Rates'!$A$1:$M$3880,MATCH($AM320,'Flat Rates'!$A$1:$A$3880,0),MATCH("Uni/Day Rate",'Flat Rates'!$A$1:$M$1,0)))*100)+H320,""))</f>
        <v/>
      </c>
      <c r="AR320" s="148" t="str">
        <f>IF($AN320=FALSE,"",IFERROR((IF(T320="Unrestricted","",INDEX('Flat Rates'!$A$1:$M$3880,MATCH($AM320,'Flat Rates'!$A$1:$A$3880,0),MATCH("Uni/Day Rate",'Flat Rates'!$A$1:$M$1,0)))*100)+H320,""))</f>
        <v/>
      </c>
      <c r="AS320" s="148" t="str">
        <f>IF($AN320=FALSE,"",IFERROR(IF(INDEX('Flat Rates'!$A$1:$M$3880,MATCH($AM320,'Flat Rates'!$A$1:$A$3880,0),MATCH("Night Unit Rate",'Flat Rates'!$A$1:$M$1,0))=0,"",((INDEX('Flat Rates'!$A$1:$M$3880,MATCH($AM320,'Flat Rates'!$A$1:$A$3880,0),MATCH("Night Unit Rate",'Flat Rates'!$A$1:$M$1,0)))*100)+H320),""))</f>
        <v/>
      </c>
      <c r="AT320" s="148" t="str">
        <f>IF($AN320=FALSE,"",IFERROR(IF(INDEX('Flat Rates'!$A$1:$M$3880,MATCH($AM320,'Flat Rates'!$A$1:$A$3880,0),MATCH("Evening and Weekend Rate",'Flat Rates'!$A$1:$M$1,0))=0,"",((INDEX('Flat Rates'!$A$1:$M$3880,MATCH($AM320,'Flat Rates'!$A$1:$A$3880,0),MATCH("Evening and Weekend Rate",'Flat Rates'!$A$1:$M$1,0)))*100)+H320),""))</f>
        <v/>
      </c>
      <c r="AU320" s="152" t="str">
        <f t="shared" si="125"/>
        <v/>
      </c>
      <c r="AV320" s="152" t="str">
        <f t="shared" si="126"/>
        <v/>
      </c>
      <c r="AW320" s="152" t="str">
        <f t="shared" si="127"/>
        <v/>
      </c>
    </row>
    <row r="321" spans="2:49" ht="15" thickBot="1" x14ac:dyDescent="0.35">
      <c r="B321" s="138" t="str">
        <f t="shared" si="104"/>
        <v/>
      </c>
      <c r="C321" s="137"/>
      <c r="D321" s="139"/>
      <c r="E321" s="140"/>
      <c r="F321" s="140"/>
      <c r="G321" s="139"/>
      <c r="H321" s="151"/>
      <c r="I321" s="139"/>
      <c r="J321" s="138"/>
      <c r="K321" s="139"/>
      <c r="L321" s="141"/>
      <c r="M321" s="133" t="str">
        <f t="shared" si="105"/>
        <v/>
      </c>
      <c r="N321" s="133" t="str">
        <f t="shared" si="106"/>
        <v/>
      </c>
      <c r="O321" s="133" t="str">
        <f t="shared" si="107"/>
        <v/>
      </c>
      <c r="P321" s="133" t="str">
        <f t="shared" si="108"/>
        <v/>
      </c>
      <c r="Q321" s="133" t="str">
        <f t="shared" si="109"/>
        <v/>
      </c>
      <c r="R321" s="133" t="str">
        <f t="shared" si="110"/>
        <v/>
      </c>
      <c r="S321" s="133" t="str">
        <f t="shared" si="111"/>
        <v/>
      </c>
      <c r="T321" s="133" t="str">
        <f>IFERROR(IF($U321="ERROR","ERROR",IF($N321="00",IF(J321="1-Rate","HH 1RATE",IF(J321="2-Rate","HH 2RATE","")),IFERROR(VLOOKUP(CONCATENATE(N321,Q321,O321,P321),Lookups!$A$2:$E$4557,5,0),VLOOKUP(CONCATENATE(N321,Q321,O321),Lookups!$A$2:$E$4557,5,0)))),"ERROR")</f>
        <v>ERROR</v>
      </c>
      <c r="U321" s="133" t="str">
        <f>IFERROR(IF(NOT($N321="00"),"",VLOOKUP(CONCATENATE(Q321,P321,LOOKUP(2,1/(Lookups!$I$2:$I$11&lt;=E321)/(Lookups!$J$2:$J$11&gt;=Tool!$C$14),Lookups!$K$2:$K$11)),'HH LLFs'!$A$2:$K$500,3,0)),"ERROR")</f>
        <v/>
      </c>
      <c r="V321" s="132">
        <f>Calcs!$I$2</f>
        <v>44377</v>
      </c>
      <c r="W321" s="132">
        <f>Calcs!$I$4</f>
        <v>44592</v>
      </c>
      <c r="X321" s="153" t="str">
        <f>IF(NOT(N321="00"),"",(VLOOKUP(CONCATENATE(Q321,P321,LOOKUP(2,1/(Lookups!$I$2:$I$11&lt;=Multisite!E321)/(Lookups!$J$2:$J$11&gt;=E321),Lookups!$K$2:$K$11)),'HH LLFs'!$A$2:$F$282,6,0)*365)/12)</f>
        <v/>
      </c>
      <c r="Y321" s="153">
        <f t="shared" si="112"/>
        <v>0</v>
      </c>
      <c r="Z321" s="153" t="str">
        <f t="shared" si="121"/>
        <v/>
      </c>
      <c r="AA321" s="153" t="str">
        <f t="shared" si="113"/>
        <v/>
      </c>
      <c r="AB321" s="153" t="str">
        <f t="shared" si="122"/>
        <v/>
      </c>
      <c r="AC321" s="153" t="str">
        <f t="shared" si="114"/>
        <v/>
      </c>
      <c r="AD321" s="153" t="str">
        <f t="shared" si="115"/>
        <v/>
      </c>
      <c r="AE321" s="153" t="str">
        <f t="shared" si="116"/>
        <v/>
      </c>
      <c r="AF321" s="155" t="e">
        <f>LOOKUP(2,1/(Lookups!$I$2:$I$11&lt;=E321)/(Lookups!$J$2:$J$11&gt;=E321),Lookups!$L$2:$L$11)</f>
        <v>#N/A</v>
      </c>
      <c r="AG321" s="142" t="str">
        <f t="shared" si="117"/>
        <v/>
      </c>
      <c r="AH321" s="142" t="str">
        <f t="shared" si="118"/>
        <v/>
      </c>
      <c r="AI321" s="143" t="b">
        <f t="shared" si="123"/>
        <v>0</v>
      </c>
      <c r="AJ321" s="143" t="str">
        <f t="shared" si="119"/>
        <v>Level 1</v>
      </c>
      <c r="AK321" s="142">
        <f t="shared" si="120"/>
        <v>0</v>
      </c>
      <c r="AL321" s="157" t="str">
        <f t="shared" si="128"/>
        <v/>
      </c>
      <c r="AM321" s="144" t="str">
        <f t="shared" si="129"/>
        <v>--FALSE-0</v>
      </c>
      <c r="AN321" s="158" t="str">
        <f t="shared" si="124"/>
        <v/>
      </c>
      <c r="AO321" s="145"/>
      <c r="AP321" s="159" t="str">
        <f>IF($AN321=FALSE,"",IFERROR(INDEX('Flat Rates'!$A$1:$M$3880,MATCH($AM321,'Flat Rates'!$A$1:$A$3880,0),MATCH("Standing Charge",'Flat Rates'!$A$1:$M$1,0))*100,""))</f>
        <v/>
      </c>
      <c r="AQ321" s="148" t="str">
        <f>IF($AN321=FALSE,"",IFERROR((IF(NOT(T321="Unrestricted"),"",INDEX('Flat Rates'!$A$1:$M$3880,MATCH($AM321,'Flat Rates'!$A$1:$A$3880,0),MATCH("Uni/Day Rate",'Flat Rates'!$A$1:$M$1,0)))*100)+H321,""))</f>
        <v/>
      </c>
      <c r="AR321" s="148" t="str">
        <f>IF($AN321=FALSE,"",IFERROR((IF(T321="Unrestricted","",INDEX('Flat Rates'!$A$1:$M$3880,MATCH($AM321,'Flat Rates'!$A$1:$A$3880,0),MATCH("Uni/Day Rate",'Flat Rates'!$A$1:$M$1,0)))*100)+H321,""))</f>
        <v/>
      </c>
      <c r="AS321" s="148" t="str">
        <f>IF($AN321=FALSE,"",IFERROR(IF(INDEX('Flat Rates'!$A$1:$M$3880,MATCH($AM321,'Flat Rates'!$A$1:$A$3880,0),MATCH("Night Unit Rate",'Flat Rates'!$A$1:$M$1,0))=0,"",((INDEX('Flat Rates'!$A$1:$M$3880,MATCH($AM321,'Flat Rates'!$A$1:$A$3880,0),MATCH("Night Unit Rate",'Flat Rates'!$A$1:$M$1,0)))*100)+H321),""))</f>
        <v/>
      </c>
      <c r="AT321" s="148" t="str">
        <f>IF($AN321=FALSE,"",IFERROR(IF(INDEX('Flat Rates'!$A$1:$M$3880,MATCH($AM321,'Flat Rates'!$A$1:$A$3880,0),MATCH("Evening and Weekend Rate",'Flat Rates'!$A$1:$M$1,0))=0,"",((INDEX('Flat Rates'!$A$1:$M$3880,MATCH($AM321,'Flat Rates'!$A$1:$A$3880,0),MATCH("Evening and Weekend Rate",'Flat Rates'!$A$1:$M$1,0)))*100)+H321),""))</f>
        <v/>
      </c>
      <c r="AU321" s="152" t="str">
        <f t="shared" si="125"/>
        <v/>
      </c>
      <c r="AV321" s="152" t="str">
        <f t="shared" si="126"/>
        <v/>
      </c>
      <c r="AW321" s="152" t="str">
        <f t="shared" si="127"/>
        <v/>
      </c>
    </row>
    <row r="322" spans="2:49" ht="15" thickBot="1" x14ac:dyDescent="0.35">
      <c r="B322" s="138" t="str">
        <f t="shared" si="104"/>
        <v/>
      </c>
      <c r="C322" s="146"/>
      <c r="D322" s="147"/>
      <c r="E322" s="140"/>
      <c r="F322" s="140"/>
      <c r="G322" s="139"/>
      <c r="H322" s="151"/>
      <c r="I322" s="139"/>
      <c r="J322" s="137"/>
      <c r="K322" s="139"/>
      <c r="L322" s="141"/>
      <c r="M322" s="133" t="str">
        <f t="shared" si="105"/>
        <v/>
      </c>
      <c r="N322" s="133" t="str">
        <f t="shared" si="106"/>
        <v/>
      </c>
      <c r="O322" s="133" t="str">
        <f t="shared" si="107"/>
        <v/>
      </c>
      <c r="P322" s="133" t="str">
        <f t="shared" si="108"/>
        <v/>
      </c>
      <c r="Q322" s="133" t="str">
        <f t="shared" si="109"/>
        <v/>
      </c>
      <c r="R322" s="133" t="str">
        <f t="shared" si="110"/>
        <v/>
      </c>
      <c r="S322" s="133" t="str">
        <f t="shared" si="111"/>
        <v/>
      </c>
      <c r="T322" s="133" t="str">
        <f>IFERROR(IF($U322="ERROR","ERROR",IF($N322="00",IF(J322="1-Rate","HH 1RATE",IF(J322="2-Rate","HH 2RATE","")),IFERROR(VLOOKUP(CONCATENATE(N322,Q322,O322,P322),Lookups!$A$2:$E$4557,5,0),VLOOKUP(CONCATENATE(N322,Q322,O322),Lookups!$A$2:$E$4557,5,0)))),"ERROR")</f>
        <v>ERROR</v>
      </c>
      <c r="U322" s="133" t="str">
        <f>IFERROR(IF(NOT($N322="00"),"",VLOOKUP(CONCATENATE(Q322,P322,LOOKUP(2,1/(Lookups!$I$2:$I$11&lt;=E322)/(Lookups!$J$2:$J$11&gt;=Tool!$C$14),Lookups!$K$2:$K$11)),'HH LLFs'!$A$2:$K$500,3,0)),"ERROR")</f>
        <v/>
      </c>
      <c r="V322" s="132">
        <f>Calcs!$I$2</f>
        <v>44377</v>
      </c>
      <c r="W322" s="132">
        <f>Calcs!$I$4</f>
        <v>44592</v>
      </c>
      <c r="X322" s="153" t="str">
        <f>IF(NOT(N322="00"),"",(VLOOKUP(CONCATENATE(Q322,P322,LOOKUP(2,1/(Lookups!$I$2:$I$11&lt;=Multisite!E322)/(Lookups!$J$2:$J$11&gt;=E322),Lookups!$K$2:$K$11)),'HH LLFs'!$A$2:$F$282,6,0)*365)/12)</f>
        <v/>
      </c>
      <c r="Y322" s="153">
        <f t="shared" si="112"/>
        <v>0</v>
      </c>
      <c r="Z322" s="153" t="str">
        <f t="shared" si="121"/>
        <v/>
      </c>
      <c r="AA322" s="153" t="str">
        <f t="shared" si="113"/>
        <v/>
      </c>
      <c r="AB322" s="153" t="str">
        <f t="shared" si="122"/>
        <v/>
      </c>
      <c r="AC322" s="153" t="str">
        <f t="shared" si="114"/>
        <v/>
      </c>
      <c r="AD322" s="153" t="str">
        <f t="shared" si="115"/>
        <v/>
      </c>
      <c r="AE322" s="153" t="str">
        <f t="shared" si="116"/>
        <v/>
      </c>
      <c r="AF322" s="155" t="e">
        <f>LOOKUP(2,1/(Lookups!$I$2:$I$11&lt;=E322)/(Lookups!$J$2:$J$11&gt;=E322),Lookups!$L$2:$L$11)</f>
        <v>#N/A</v>
      </c>
      <c r="AG322" s="142" t="str">
        <f t="shared" si="117"/>
        <v/>
      </c>
      <c r="AH322" s="142" t="str">
        <f t="shared" si="118"/>
        <v/>
      </c>
      <c r="AI322" s="143" t="b">
        <f t="shared" si="123"/>
        <v>0</v>
      </c>
      <c r="AJ322" s="143" t="str">
        <f t="shared" si="119"/>
        <v>Level 1</v>
      </c>
      <c r="AK322" s="142">
        <f t="shared" si="120"/>
        <v>0</v>
      </c>
      <c r="AL322" s="157" t="str">
        <f t="shared" si="128"/>
        <v/>
      </c>
      <c r="AM322" s="144" t="str">
        <f t="shared" si="129"/>
        <v>--FALSE-0</v>
      </c>
      <c r="AN322" s="158" t="str">
        <f t="shared" si="124"/>
        <v/>
      </c>
      <c r="AO322" s="145"/>
      <c r="AP322" s="159" t="str">
        <f>IF($AN322=FALSE,"",IFERROR(INDEX('Flat Rates'!$A$1:$M$3880,MATCH($AM322,'Flat Rates'!$A$1:$A$3880,0),MATCH("Standing Charge",'Flat Rates'!$A$1:$M$1,0))*100,""))</f>
        <v/>
      </c>
      <c r="AQ322" s="148" t="str">
        <f>IF($AN322=FALSE,"",IFERROR((IF(NOT(T322="Unrestricted"),"",INDEX('Flat Rates'!$A$1:$M$3880,MATCH($AM322,'Flat Rates'!$A$1:$A$3880,0),MATCH("Uni/Day Rate",'Flat Rates'!$A$1:$M$1,0)))*100)+H322,""))</f>
        <v/>
      </c>
      <c r="AR322" s="148" t="str">
        <f>IF($AN322=FALSE,"",IFERROR((IF(T322="Unrestricted","",INDEX('Flat Rates'!$A$1:$M$3880,MATCH($AM322,'Flat Rates'!$A$1:$A$3880,0),MATCH("Uni/Day Rate",'Flat Rates'!$A$1:$M$1,0)))*100)+H322,""))</f>
        <v/>
      </c>
      <c r="AS322" s="148" t="str">
        <f>IF($AN322=FALSE,"",IFERROR(IF(INDEX('Flat Rates'!$A$1:$M$3880,MATCH($AM322,'Flat Rates'!$A$1:$A$3880,0),MATCH("Night Unit Rate",'Flat Rates'!$A$1:$M$1,0))=0,"",((INDEX('Flat Rates'!$A$1:$M$3880,MATCH($AM322,'Flat Rates'!$A$1:$A$3880,0),MATCH("Night Unit Rate",'Flat Rates'!$A$1:$M$1,0)))*100)+H322),""))</f>
        <v/>
      </c>
      <c r="AT322" s="148" t="str">
        <f>IF($AN322=FALSE,"",IFERROR(IF(INDEX('Flat Rates'!$A$1:$M$3880,MATCH($AM322,'Flat Rates'!$A$1:$A$3880,0),MATCH("Evening and Weekend Rate",'Flat Rates'!$A$1:$M$1,0))=0,"",((INDEX('Flat Rates'!$A$1:$M$3880,MATCH($AM322,'Flat Rates'!$A$1:$A$3880,0),MATCH("Evening and Weekend Rate",'Flat Rates'!$A$1:$M$1,0)))*100)+H322),""))</f>
        <v/>
      </c>
      <c r="AU322" s="152" t="str">
        <f t="shared" si="125"/>
        <v/>
      </c>
      <c r="AV322" s="152" t="str">
        <f t="shared" si="126"/>
        <v/>
      </c>
      <c r="AW322" s="152" t="str">
        <f t="shared" si="127"/>
        <v/>
      </c>
    </row>
    <row r="323" spans="2:49" ht="15" thickBot="1" x14ac:dyDescent="0.35">
      <c r="B323" s="138" t="str">
        <f t="shared" si="104"/>
        <v/>
      </c>
      <c r="C323" s="137"/>
      <c r="D323" s="139"/>
      <c r="E323" s="140"/>
      <c r="F323" s="140"/>
      <c r="G323" s="139"/>
      <c r="H323" s="151"/>
      <c r="I323" s="139"/>
      <c r="J323" s="138"/>
      <c r="K323" s="139"/>
      <c r="L323" s="141"/>
      <c r="M323" s="133" t="str">
        <f t="shared" si="105"/>
        <v/>
      </c>
      <c r="N323" s="133" t="str">
        <f t="shared" si="106"/>
        <v/>
      </c>
      <c r="O323" s="133" t="str">
        <f t="shared" si="107"/>
        <v/>
      </c>
      <c r="P323" s="133" t="str">
        <f t="shared" si="108"/>
        <v/>
      </c>
      <c r="Q323" s="133" t="str">
        <f t="shared" si="109"/>
        <v/>
      </c>
      <c r="R323" s="133" t="str">
        <f t="shared" si="110"/>
        <v/>
      </c>
      <c r="S323" s="133" t="str">
        <f t="shared" si="111"/>
        <v/>
      </c>
      <c r="T323" s="133" t="str">
        <f>IFERROR(IF($U323="ERROR","ERROR",IF($N323="00",IF(J323="1-Rate","HH 1RATE",IF(J323="2-Rate","HH 2RATE","")),IFERROR(VLOOKUP(CONCATENATE(N323,Q323,O323,P323),Lookups!$A$2:$E$4557,5,0),VLOOKUP(CONCATENATE(N323,Q323,O323),Lookups!$A$2:$E$4557,5,0)))),"ERROR")</f>
        <v>ERROR</v>
      </c>
      <c r="U323" s="133" t="str">
        <f>IFERROR(IF(NOT($N323="00"),"",VLOOKUP(CONCATENATE(Q323,P323,LOOKUP(2,1/(Lookups!$I$2:$I$11&lt;=E323)/(Lookups!$J$2:$J$11&gt;=Tool!$C$14),Lookups!$K$2:$K$11)),'HH LLFs'!$A$2:$K$500,3,0)),"ERROR")</f>
        <v/>
      </c>
      <c r="V323" s="132">
        <f>Calcs!$I$2</f>
        <v>44377</v>
      </c>
      <c r="W323" s="132">
        <f>Calcs!$I$4</f>
        <v>44592</v>
      </c>
      <c r="X323" s="153" t="str">
        <f>IF(NOT(N323="00"),"",(VLOOKUP(CONCATENATE(Q323,P323,LOOKUP(2,1/(Lookups!$I$2:$I$11&lt;=Multisite!E323)/(Lookups!$J$2:$J$11&gt;=E323),Lookups!$K$2:$K$11)),'HH LLFs'!$A$2:$F$282,6,0)*365)/12)</f>
        <v/>
      </c>
      <c r="Y323" s="153">
        <f t="shared" si="112"/>
        <v>0</v>
      </c>
      <c r="Z323" s="153" t="str">
        <f t="shared" si="121"/>
        <v/>
      </c>
      <c r="AA323" s="153" t="str">
        <f t="shared" si="113"/>
        <v/>
      </c>
      <c r="AB323" s="153" t="str">
        <f t="shared" si="122"/>
        <v/>
      </c>
      <c r="AC323" s="153" t="str">
        <f t="shared" si="114"/>
        <v/>
      </c>
      <c r="AD323" s="153" t="str">
        <f t="shared" si="115"/>
        <v/>
      </c>
      <c r="AE323" s="153" t="str">
        <f t="shared" si="116"/>
        <v/>
      </c>
      <c r="AF323" s="155" t="e">
        <f>LOOKUP(2,1/(Lookups!$I$2:$I$11&lt;=E323)/(Lookups!$J$2:$J$11&gt;=E323),Lookups!$L$2:$L$11)</f>
        <v>#N/A</v>
      </c>
      <c r="AG323" s="142" t="str">
        <f t="shared" si="117"/>
        <v/>
      </c>
      <c r="AH323" s="142" t="str">
        <f t="shared" si="118"/>
        <v/>
      </c>
      <c r="AI323" s="143" t="b">
        <f t="shared" si="123"/>
        <v>0</v>
      </c>
      <c r="AJ323" s="143" t="str">
        <f t="shared" si="119"/>
        <v>Level 1</v>
      </c>
      <c r="AK323" s="142">
        <f t="shared" si="120"/>
        <v>0</v>
      </c>
      <c r="AL323" s="157" t="str">
        <f t="shared" si="128"/>
        <v/>
      </c>
      <c r="AM323" s="144" t="str">
        <f t="shared" si="129"/>
        <v>--FALSE-0</v>
      </c>
      <c r="AN323" s="158" t="str">
        <f t="shared" si="124"/>
        <v/>
      </c>
      <c r="AO323" s="145"/>
      <c r="AP323" s="159" t="str">
        <f>IF($AN323=FALSE,"",IFERROR(INDEX('Flat Rates'!$A$1:$M$3880,MATCH($AM323,'Flat Rates'!$A$1:$A$3880,0),MATCH("Standing Charge",'Flat Rates'!$A$1:$M$1,0))*100,""))</f>
        <v/>
      </c>
      <c r="AQ323" s="148" t="str">
        <f>IF($AN323=FALSE,"",IFERROR((IF(NOT(T323="Unrestricted"),"",INDEX('Flat Rates'!$A$1:$M$3880,MATCH($AM323,'Flat Rates'!$A$1:$A$3880,0),MATCH("Uni/Day Rate",'Flat Rates'!$A$1:$M$1,0)))*100)+H323,""))</f>
        <v/>
      </c>
      <c r="AR323" s="148" t="str">
        <f>IF($AN323=FALSE,"",IFERROR((IF(T323="Unrestricted","",INDEX('Flat Rates'!$A$1:$M$3880,MATCH($AM323,'Flat Rates'!$A$1:$A$3880,0),MATCH("Uni/Day Rate",'Flat Rates'!$A$1:$M$1,0)))*100)+H323,""))</f>
        <v/>
      </c>
      <c r="AS323" s="148" t="str">
        <f>IF($AN323=FALSE,"",IFERROR(IF(INDEX('Flat Rates'!$A$1:$M$3880,MATCH($AM323,'Flat Rates'!$A$1:$A$3880,0),MATCH("Night Unit Rate",'Flat Rates'!$A$1:$M$1,0))=0,"",((INDEX('Flat Rates'!$A$1:$M$3880,MATCH($AM323,'Flat Rates'!$A$1:$A$3880,0),MATCH("Night Unit Rate",'Flat Rates'!$A$1:$M$1,0)))*100)+H323),""))</f>
        <v/>
      </c>
      <c r="AT323" s="148" t="str">
        <f>IF($AN323=FALSE,"",IFERROR(IF(INDEX('Flat Rates'!$A$1:$M$3880,MATCH($AM323,'Flat Rates'!$A$1:$A$3880,0),MATCH("Evening and Weekend Rate",'Flat Rates'!$A$1:$M$1,0))=0,"",((INDEX('Flat Rates'!$A$1:$M$3880,MATCH($AM323,'Flat Rates'!$A$1:$A$3880,0),MATCH("Evening and Weekend Rate",'Flat Rates'!$A$1:$M$1,0)))*100)+H323),""))</f>
        <v/>
      </c>
      <c r="AU323" s="152" t="str">
        <f t="shared" si="125"/>
        <v/>
      </c>
      <c r="AV323" s="152" t="str">
        <f t="shared" si="126"/>
        <v/>
      </c>
      <c r="AW323" s="152" t="str">
        <f t="shared" si="127"/>
        <v/>
      </c>
    </row>
    <row r="324" spans="2:49" ht="15" thickBot="1" x14ac:dyDescent="0.35">
      <c r="B324" s="138" t="str">
        <f t="shared" si="104"/>
        <v/>
      </c>
      <c r="C324" s="146"/>
      <c r="D324" s="147"/>
      <c r="E324" s="140"/>
      <c r="F324" s="140"/>
      <c r="G324" s="139"/>
      <c r="H324" s="151"/>
      <c r="I324" s="139"/>
      <c r="J324" s="137"/>
      <c r="K324" s="139"/>
      <c r="L324" s="141"/>
      <c r="M324" s="133" t="str">
        <f t="shared" si="105"/>
        <v/>
      </c>
      <c r="N324" s="133" t="str">
        <f t="shared" si="106"/>
        <v/>
      </c>
      <c r="O324" s="133" t="str">
        <f t="shared" si="107"/>
        <v/>
      </c>
      <c r="P324" s="133" t="str">
        <f t="shared" si="108"/>
        <v/>
      </c>
      <c r="Q324" s="133" t="str">
        <f t="shared" si="109"/>
        <v/>
      </c>
      <c r="R324" s="133" t="str">
        <f t="shared" si="110"/>
        <v/>
      </c>
      <c r="S324" s="133" t="str">
        <f t="shared" si="111"/>
        <v/>
      </c>
      <c r="T324" s="133" t="str">
        <f>IFERROR(IF($U324="ERROR","ERROR",IF($N324="00",IF(J324="1-Rate","HH 1RATE",IF(J324="2-Rate","HH 2RATE","")),IFERROR(VLOOKUP(CONCATENATE(N324,Q324,O324,P324),Lookups!$A$2:$E$4557,5,0),VLOOKUP(CONCATENATE(N324,Q324,O324),Lookups!$A$2:$E$4557,5,0)))),"ERROR")</f>
        <v>ERROR</v>
      </c>
      <c r="U324" s="133" t="str">
        <f>IFERROR(IF(NOT($N324="00"),"",VLOOKUP(CONCATENATE(Q324,P324,LOOKUP(2,1/(Lookups!$I$2:$I$11&lt;=E324)/(Lookups!$J$2:$J$11&gt;=Tool!$C$14),Lookups!$K$2:$K$11)),'HH LLFs'!$A$2:$K$500,3,0)),"ERROR")</f>
        <v/>
      </c>
      <c r="V324" s="132">
        <f>Calcs!$I$2</f>
        <v>44377</v>
      </c>
      <c r="W324" s="132">
        <f>Calcs!$I$4</f>
        <v>44592</v>
      </c>
      <c r="X324" s="153" t="str">
        <f>IF(NOT(N324="00"),"",(VLOOKUP(CONCATENATE(Q324,P324,LOOKUP(2,1/(Lookups!$I$2:$I$11&lt;=Multisite!E324)/(Lookups!$J$2:$J$11&gt;=E324),Lookups!$K$2:$K$11)),'HH LLFs'!$A$2:$F$282,6,0)*365)/12)</f>
        <v/>
      </c>
      <c r="Y324" s="153">
        <f t="shared" si="112"/>
        <v>0</v>
      </c>
      <c r="Z324" s="153" t="str">
        <f t="shared" si="121"/>
        <v/>
      </c>
      <c r="AA324" s="153" t="str">
        <f t="shared" si="113"/>
        <v/>
      </c>
      <c r="AB324" s="153" t="str">
        <f t="shared" si="122"/>
        <v/>
      </c>
      <c r="AC324" s="153" t="str">
        <f t="shared" si="114"/>
        <v/>
      </c>
      <c r="AD324" s="153" t="str">
        <f t="shared" si="115"/>
        <v/>
      </c>
      <c r="AE324" s="153" t="str">
        <f t="shared" si="116"/>
        <v/>
      </c>
      <c r="AF324" s="155" t="e">
        <f>LOOKUP(2,1/(Lookups!$I$2:$I$11&lt;=E324)/(Lookups!$J$2:$J$11&gt;=E324),Lookups!$L$2:$L$11)</f>
        <v>#N/A</v>
      </c>
      <c r="AG324" s="142" t="str">
        <f t="shared" si="117"/>
        <v/>
      </c>
      <c r="AH324" s="142" t="str">
        <f t="shared" si="118"/>
        <v/>
      </c>
      <c r="AI324" s="143" t="b">
        <f t="shared" si="123"/>
        <v>0</v>
      </c>
      <c r="AJ324" s="143" t="str">
        <f t="shared" si="119"/>
        <v>Level 1</v>
      </c>
      <c r="AK324" s="142">
        <f t="shared" si="120"/>
        <v>0</v>
      </c>
      <c r="AL324" s="157" t="str">
        <f t="shared" si="128"/>
        <v/>
      </c>
      <c r="AM324" s="144" t="str">
        <f t="shared" si="129"/>
        <v>--FALSE-0</v>
      </c>
      <c r="AN324" s="158" t="str">
        <f t="shared" si="124"/>
        <v/>
      </c>
      <c r="AO324" s="145"/>
      <c r="AP324" s="159" t="str">
        <f>IF($AN324=FALSE,"",IFERROR(INDEX('Flat Rates'!$A$1:$M$3880,MATCH($AM324,'Flat Rates'!$A$1:$A$3880,0),MATCH("Standing Charge",'Flat Rates'!$A$1:$M$1,0))*100,""))</f>
        <v/>
      </c>
      <c r="AQ324" s="148" t="str">
        <f>IF($AN324=FALSE,"",IFERROR((IF(NOT(T324="Unrestricted"),"",INDEX('Flat Rates'!$A$1:$M$3880,MATCH($AM324,'Flat Rates'!$A$1:$A$3880,0),MATCH("Uni/Day Rate",'Flat Rates'!$A$1:$M$1,0)))*100)+H324,""))</f>
        <v/>
      </c>
      <c r="AR324" s="148" t="str">
        <f>IF($AN324=FALSE,"",IFERROR((IF(T324="Unrestricted","",INDEX('Flat Rates'!$A$1:$M$3880,MATCH($AM324,'Flat Rates'!$A$1:$A$3880,0),MATCH("Uni/Day Rate",'Flat Rates'!$A$1:$M$1,0)))*100)+H324,""))</f>
        <v/>
      </c>
      <c r="AS324" s="148" t="str">
        <f>IF($AN324=FALSE,"",IFERROR(IF(INDEX('Flat Rates'!$A$1:$M$3880,MATCH($AM324,'Flat Rates'!$A$1:$A$3880,0),MATCH("Night Unit Rate",'Flat Rates'!$A$1:$M$1,0))=0,"",((INDEX('Flat Rates'!$A$1:$M$3880,MATCH($AM324,'Flat Rates'!$A$1:$A$3880,0),MATCH("Night Unit Rate",'Flat Rates'!$A$1:$M$1,0)))*100)+H324),""))</f>
        <v/>
      </c>
      <c r="AT324" s="148" t="str">
        <f>IF($AN324=FALSE,"",IFERROR(IF(INDEX('Flat Rates'!$A$1:$M$3880,MATCH($AM324,'Flat Rates'!$A$1:$A$3880,0),MATCH("Evening and Weekend Rate",'Flat Rates'!$A$1:$M$1,0))=0,"",((INDEX('Flat Rates'!$A$1:$M$3880,MATCH($AM324,'Flat Rates'!$A$1:$A$3880,0),MATCH("Evening and Weekend Rate",'Flat Rates'!$A$1:$M$1,0)))*100)+H324),""))</f>
        <v/>
      </c>
      <c r="AU324" s="152" t="str">
        <f t="shared" si="125"/>
        <v/>
      </c>
      <c r="AV324" s="152" t="str">
        <f t="shared" si="126"/>
        <v/>
      </c>
      <c r="AW324" s="152" t="str">
        <f t="shared" si="127"/>
        <v/>
      </c>
    </row>
    <row r="325" spans="2:49" ht="15" thickBot="1" x14ac:dyDescent="0.35">
      <c r="B325" s="138" t="str">
        <f t="shared" si="104"/>
        <v/>
      </c>
      <c r="C325" s="137"/>
      <c r="D325" s="139"/>
      <c r="E325" s="140"/>
      <c r="F325" s="140"/>
      <c r="G325" s="139"/>
      <c r="H325" s="151"/>
      <c r="I325" s="139"/>
      <c r="J325" s="138"/>
      <c r="K325" s="139"/>
      <c r="L325" s="141"/>
      <c r="M325" s="133" t="str">
        <f t="shared" si="105"/>
        <v/>
      </c>
      <c r="N325" s="133" t="str">
        <f t="shared" si="106"/>
        <v/>
      </c>
      <c r="O325" s="133" t="str">
        <f t="shared" si="107"/>
        <v/>
      </c>
      <c r="P325" s="133" t="str">
        <f t="shared" si="108"/>
        <v/>
      </c>
      <c r="Q325" s="133" t="str">
        <f t="shared" si="109"/>
        <v/>
      </c>
      <c r="R325" s="133" t="str">
        <f t="shared" si="110"/>
        <v/>
      </c>
      <c r="S325" s="133" t="str">
        <f t="shared" si="111"/>
        <v/>
      </c>
      <c r="T325" s="133" t="str">
        <f>IFERROR(IF($U325="ERROR","ERROR",IF($N325="00",IF(J325="1-Rate","HH 1RATE",IF(J325="2-Rate","HH 2RATE","")),IFERROR(VLOOKUP(CONCATENATE(N325,Q325,O325,P325),Lookups!$A$2:$E$4557,5,0),VLOOKUP(CONCATENATE(N325,Q325,O325),Lookups!$A$2:$E$4557,5,0)))),"ERROR")</f>
        <v>ERROR</v>
      </c>
      <c r="U325" s="133" t="str">
        <f>IFERROR(IF(NOT($N325="00"),"",VLOOKUP(CONCATENATE(Q325,P325,LOOKUP(2,1/(Lookups!$I$2:$I$11&lt;=E325)/(Lookups!$J$2:$J$11&gt;=Tool!$C$14),Lookups!$K$2:$K$11)),'HH LLFs'!$A$2:$K$500,3,0)),"ERROR")</f>
        <v/>
      </c>
      <c r="V325" s="132">
        <f>Calcs!$I$2</f>
        <v>44377</v>
      </c>
      <c r="W325" s="132">
        <f>Calcs!$I$4</f>
        <v>44592</v>
      </c>
      <c r="X325" s="153" t="str">
        <f>IF(NOT(N325="00"),"",(VLOOKUP(CONCATENATE(Q325,P325,LOOKUP(2,1/(Lookups!$I$2:$I$11&lt;=Multisite!E325)/(Lookups!$J$2:$J$11&gt;=E325),Lookups!$K$2:$K$11)),'HH LLFs'!$A$2:$F$282,6,0)*365)/12)</f>
        <v/>
      </c>
      <c r="Y325" s="153">
        <f t="shared" si="112"/>
        <v>0</v>
      </c>
      <c r="Z325" s="153" t="str">
        <f t="shared" si="121"/>
        <v/>
      </c>
      <c r="AA325" s="153" t="str">
        <f t="shared" si="113"/>
        <v/>
      </c>
      <c r="AB325" s="153" t="str">
        <f t="shared" si="122"/>
        <v/>
      </c>
      <c r="AC325" s="153" t="str">
        <f t="shared" si="114"/>
        <v/>
      </c>
      <c r="AD325" s="153" t="str">
        <f t="shared" si="115"/>
        <v/>
      </c>
      <c r="AE325" s="153" t="str">
        <f t="shared" si="116"/>
        <v/>
      </c>
      <c r="AF325" s="155" t="e">
        <f>LOOKUP(2,1/(Lookups!$I$2:$I$11&lt;=E325)/(Lookups!$J$2:$J$11&gt;=E325),Lookups!$L$2:$L$11)</f>
        <v>#N/A</v>
      </c>
      <c r="AG325" s="142" t="str">
        <f t="shared" si="117"/>
        <v/>
      </c>
      <c r="AH325" s="142" t="str">
        <f t="shared" si="118"/>
        <v/>
      </c>
      <c r="AI325" s="143" t="b">
        <f t="shared" si="123"/>
        <v>0</v>
      </c>
      <c r="AJ325" s="143" t="str">
        <f t="shared" si="119"/>
        <v>Level 1</v>
      </c>
      <c r="AK325" s="142">
        <f t="shared" si="120"/>
        <v>0</v>
      </c>
      <c r="AL325" s="157" t="str">
        <f t="shared" si="128"/>
        <v/>
      </c>
      <c r="AM325" s="144" t="str">
        <f t="shared" si="129"/>
        <v>--FALSE-0</v>
      </c>
      <c r="AN325" s="158" t="str">
        <f t="shared" si="124"/>
        <v/>
      </c>
      <c r="AO325" s="145"/>
      <c r="AP325" s="159" t="str">
        <f>IF($AN325=FALSE,"",IFERROR(INDEX('Flat Rates'!$A$1:$M$3880,MATCH($AM325,'Flat Rates'!$A$1:$A$3880,0),MATCH("Standing Charge",'Flat Rates'!$A$1:$M$1,0))*100,""))</f>
        <v/>
      </c>
      <c r="AQ325" s="148" t="str">
        <f>IF($AN325=FALSE,"",IFERROR((IF(NOT(T325="Unrestricted"),"",INDEX('Flat Rates'!$A$1:$M$3880,MATCH($AM325,'Flat Rates'!$A$1:$A$3880,0),MATCH("Uni/Day Rate",'Flat Rates'!$A$1:$M$1,0)))*100)+H325,""))</f>
        <v/>
      </c>
      <c r="AR325" s="148" t="str">
        <f>IF($AN325=FALSE,"",IFERROR((IF(T325="Unrestricted","",INDEX('Flat Rates'!$A$1:$M$3880,MATCH($AM325,'Flat Rates'!$A$1:$A$3880,0),MATCH("Uni/Day Rate",'Flat Rates'!$A$1:$M$1,0)))*100)+H325,""))</f>
        <v/>
      </c>
      <c r="AS325" s="148" t="str">
        <f>IF($AN325=FALSE,"",IFERROR(IF(INDEX('Flat Rates'!$A$1:$M$3880,MATCH($AM325,'Flat Rates'!$A$1:$A$3880,0),MATCH("Night Unit Rate",'Flat Rates'!$A$1:$M$1,0))=0,"",((INDEX('Flat Rates'!$A$1:$M$3880,MATCH($AM325,'Flat Rates'!$A$1:$A$3880,0),MATCH("Night Unit Rate",'Flat Rates'!$A$1:$M$1,0)))*100)+H325),""))</f>
        <v/>
      </c>
      <c r="AT325" s="148" t="str">
        <f>IF($AN325=FALSE,"",IFERROR(IF(INDEX('Flat Rates'!$A$1:$M$3880,MATCH($AM325,'Flat Rates'!$A$1:$A$3880,0),MATCH("Evening and Weekend Rate",'Flat Rates'!$A$1:$M$1,0))=0,"",((INDEX('Flat Rates'!$A$1:$M$3880,MATCH($AM325,'Flat Rates'!$A$1:$A$3880,0),MATCH("Evening and Weekend Rate",'Flat Rates'!$A$1:$M$1,0)))*100)+H325),""))</f>
        <v/>
      </c>
      <c r="AU325" s="152" t="str">
        <f t="shared" si="125"/>
        <v/>
      </c>
      <c r="AV325" s="152" t="str">
        <f t="shared" si="126"/>
        <v/>
      </c>
      <c r="AW325" s="152" t="str">
        <f t="shared" si="127"/>
        <v/>
      </c>
    </row>
    <row r="326" spans="2:49" ht="15" thickBot="1" x14ac:dyDescent="0.35">
      <c r="B326" s="138" t="str">
        <f t="shared" si="104"/>
        <v/>
      </c>
      <c r="C326" s="146"/>
      <c r="D326" s="147"/>
      <c r="E326" s="140"/>
      <c r="F326" s="140"/>
      <c r="G326" s="139"/>
      <c r="H326" s="151"/>
      <c r="I326" s="139"/>
      <c r="J326" s="137"/>
      <c r="K326" s="139"/>
      <c r="L326" s="141"/>
      <c r="M326" s="133" t="str">
        <f t="shared" si="105"/>
        <v/>
      </c>
      <c r="N326" s="133" t="str">
        <f t="shared" si="106"/>
        <v/>
      </c>
      <c r="O326" s="133" t="str">
        <f t="shared" si="107"/>
        <v/>
      </c>
      <c r="P326" s="133" t="str">
        <f t="shared" si="108"/>
        <v/>
      </c>
      <c r="Q326" s="133" t="str">
        <f t="shared" si="109"/>
        <v/>
      </c>
      <c r="R326" s="133" t="str">
        <f t="shared" si="110"/>
        <v/>
      </c>
      <c r="S326" s="133" t="str">
        <f t="shared" si="111"/>
        <v/>
      </c>
      <c r="T326" s="133" t="str">
        <f>IFERROR(IF($U326="ERROR","ERROR",IF($N326="00",IF(J326="1-Rate","HH 1RATE",IF(J326="2-Rate","HH 2RATE","")),IFERROR(VLOOKUP(CONCATENATE(N326,Q326,O326,P326),Lookups!$A$2:$E$4557,5,0),VLOOKUP(CONCATENATE(N326,Q326,O326),Lookups!$A$2:$E$4557,5,0)))),"ERROR")</f>
        <v>ERROR</v>
      </c>
      <c r="U326" s="133" t="str">
        <f>IFERROR(IF(NOT($N326="00"),"",VLOOKUP(CONCATENATE(Q326,P326,LOOKUP(2,1/(Lookups!$I$2:$I$11&lt;=E326)/(Lookups!$J$2:$J$11&gt;=Tool!$C$14),Lookups!$K$2:$K$11)),'HH LLFs'!$A$2:$K$500,3,0)),"ERROR")</f>
        <v/>
      </c>
      <c r="V326" s="132">
        <f>Calcs!$I$2</f>
        <v>44377</v>
      </c>
      <c r="W326" s="132">
        <f>Calcs!$I$4</f>
        <v>44592</v>
      </c>
      <c r="X326" s="153" t="str">
        <f>IF(NOT(N326="00"),"",(VLOOKUP(CONCATENATE(Q326,P326,LOOKUP(2,1/(Lookups!$I$2:$I$11&lt;=Multisite!E326)/(Lookups!$J$2:$J$11&gt;=E326),Lookups!$K$2:$K$11)),'HH LLFs'!$A$2:$F$282,6,0)*365)/12)</f>
        <v/>
      </c>
      <c r="Y326" s="153">
        <f t="shared" si="112"/>
        <v>0</v>
      </c>
      <c r="Z326" s="153" t="str">
        <f t="shared" si="121"/>
        <v/>
      </c>
      <c r="AA326" s="153" t="str">
        <f t="shared" si="113"/>
        <v/>
      </c>
      <c r="AB326" s="153" t="str">
        <f t="shared" si="122"/>
        <v/>
      </c>
      <c r="AC326" s="153" t="str">
        <f t="shared" si="114"/>
        <v/>
      </c>
      <c r="AD326" s="153" t="str">
        <f t="shared" si="115"/>
        <v/>
      </c>
      <c r="AE326" s="153" t="str">
        <f t="shared" si="116"/>
        <v/>
      </c>
      <c r="AF326" s="155" t="e">
        <f>LOOKUP(2,1/(Lookups!$I$2:$I$11&lt;=E326)/(Lookups!$J$2:$J$11&gt;=E326),Lookups!$L$2:$L$11)</f>
        <v>#N/A</v>
      </c>
      <c r="AG326" s="142" t="str">
        <f t="shared" si="117"/>
        <v/>
      </c>
      <c r="AH326" s="142" t="str">
        <f t="shared" si="118"/>
        <v/>
      </c>
      <c r="AI326" s="143" t="b">
        <f t="shared" si="123"/>
        <v>0</v>
      </c>
      <c r="AJ326" s="143" t="str">
        <f t="shared" si="119"/>
        <v>Level 1</v>
      </c>
      <c r="AK326" s="142">
        <f t="shared" si="120"/>
        <v>0</v>
      </c>
      <c r="AL326" s="157" t="str">
        <f t="shared" si="128"/>
        <v/>
      </c>
      <c r="AM326" s="144" t="str">
        <f t="shared" si="129"/>
        <v>--FALSE-0</v>
      </c>
      <c r="AN326" s="158" t="str">
        <f t="shared" si="124"/>
        <v/>
      </c>
      <c r="AO326" s="145"/>
      <c r="AP326" s="159" t="str">
        <f>IF($AN326=FALSE,"",IFERROR(INDEX('Flat Rates'!$A$1:$M$3880,MATCH($AM326,'Flat Rates'!$A$1:$A$3880,0),MATCH("Standing Charge",'Flat Rates'!$A$1:$M$1,0))*100,""))</f>
        <v/>
      </c>
      <c r="AQ326" s="148" t="str">
        <f>IF($AN326=FALSE,"",IFERROR((IF(NOT(T326="Unrestricted"),"",INDEX('Flat Rates'!$A$1:$M$3880,MATCH($AM326,'Flat Rates'!$A$1:$A$3880,0),MATCH("Uni/Day Rate",'Flat Rates'!$A$1:$M$1,0)))*100)+H326,""))</f>
        <v/>
      </c>
      <c r="AR326" s="148" t="str">
        <f>IF($AN326=FALSE,"",IFERROR((IF(T326="Unrestricted","",INDEX('Flat Rates'!$A$1:$M$3880,MATCH($AM326,'Flat Rates'!$A$1:$A$3880,0),MATCH("Uni/Day Rate",'Flat Rates'!$A$1:$M$1,0)))*100)+H326,""))</f>
        <v/>
      </c>
      <c r="AS326" s="148" t="str">
        <f>IF($AN326=FALSE,"",IFERROR(IF(INDEX('Flat Rates'!$A$1:$M$3880,MATCH($AM326,'Flat Rates'!$A$1:$A$3880,0),MATCH("Night Unit Rate",'Flat Rates'!$A$1:$M$1,0))=0,"",((INDEX('Flat Rates'!$A$1:$M$3880,MATCH($AM326,'Flat Rates'!$A$1:$A$3880,0),MATCH("Night Unit Rate",'Flat Rates'!$A$1:$M$1,0)))*100)+H326),""))</f>
        <v/>
      </c>
      <c r="AT326" s="148" t="str">
        <f>IF($AN326=FALSE,"",IFERROR(IF(INDEX('Flat Rates'!$A$1:$M$3880,MATCH($AM326,'Flat Rates'!$A$1:$A$3880,0),MATCH("Evening and Weekend Rate",'Flat Rates'!$A$1:$M$1,0))=0,"",((INDEX('Flat Rates'!$A$1:$M$3880,MATCH($AM326,'Flat Rates'!$A$1:$A$3880,0),MATCH("Evening and Weekend Rate",'Flat Rates'!$A$1:$M$1,0)))*100)+H326),""))</f>
        <v/>
      </c>
      <c r="AU326" s="152" t="str">
        <f t="shared" si="125"/>
        <v/>
      </c>
      <c r="AV326" s="152" t="str">
        <f t="shared" si="126"/>
        <v/>
      </c>
      <c r="AW326" s="152" t="str">
        <f t="shared" si="127"/>
        <v/>
      </c>
    </row>
    <row r="327" spans="2:49" ht="15" thickBot="1" x14ac:dyDescent="0.35">
      <c r="B327" s="138" t="str">
        <f t="shared" si="104"/>
        <v/>
      </c>
      <c r="C327" s="137"/>
      <c r="D327" s="139"/>
      <c r="E327" s="140"/>
      <c r="F327" s="140"/>
      <c r="G327" s="139"/>
      <c r="H327" s="151"/>
      <c r="I327" s="139"/>
      <c r="J327" s="138"/>
      <c r="K327" s="139"/>
      <c r="L327" s="141"/>
      <c r="M327" s="133" t="str">
        <f t="shared" si="105"/>
        <v/>
      </c>
      <c r="N327" s="133" t="str">
        <f t="shared" si="106"/>
        <v/>
      </c>
      <c r="O327" s="133" t="str">
        <f t="shared" si="107"/>
        <v/>
      </c>
      <c r="P327" s="133" t="str">
        <f t="shared" si="108"/>
        <v/>
      </c>
      <c r="Q327" s="133" t="str">
        <f t="shared" si="109"/>
        <v/>
      </c>
      <c r="R327" s="133" t="str">
        <f t="shared" si="110"/>
        <v/>
      </c>
      <c r="S327" s="133" t="str">
        <f t="shared" si="111"/>
        <v/>
      </c>
      <c r="T327" s="133" t="str">
        <f>IFERROR(IF($U327="ERROR","ERROR",IF($N327="00",IF(J327="1-Rate","HH 1RATE",IF(J327="2-Rate","HH 2RATE","")),IFERROR(VLOOKUP(CONCATENATE(N327,Q327,O327,P327),Lookups!$A$2:$E$4557,5,0),VLOOKUP(CONCATENATE(N327,Q327,O327),Lookups!$A$2:$E$4557,5,0)))),"ERROR")</f>
        <v>ERROR</v>
      </c>
      <c r="U327" s="133" t="str">
        <f>IFERROR(IF(NOT($N327="00"),"",VLOOKUP(CONCATENATE(Q327,P327,LOOKUP(2,1/(Lookups!$I$2:$I$11&lt;=E327)/(Lookups!$J$2:$J$11&gt;=Tool!$C$14),Lookups!$K$2:$K$11)),'HH LLFs'!$A$2:$K$500,3,0)),"ERROR")</f>
        <v/>
      </c>
      <c r="V327" s="132">
        <f>Calcs!$I$2</f>
        <v>44377</v>
      </c>
      <c r="W327" s="132">
        <f>Calcs!$I$4</f>
        <v>44592</v>
      </c>
      <c r="X327" s="153" t="str">
        <f>IF(NOT(N327="00"),"",(VLOOKUP(CONCATENATE(Q327,P327,LOOKUP(2,1/(Lookups!$I$2:$I$11&lt;=Multisite!E327)/(Lookups!$J$2:$J$11&gt;=E327),Lookups!$K$2:$K$11)),'HH LLFs'!$A$2:$F$282,6,0)*365)/12)</f>
        <v/>
      </c>
      <c r="Y327" s="153">
        <f t="shared" si="112"/>
        <v>0</v>
      </c>
      <c r="Z327" s="153" t="str">
        <f t="shared" si="121"/>
        <v/>
      </c>
      <c r="AA327" s="153" t="str">
        <f t="shared" si="113"/>
        <v/>
      </c>
      <c r="AB327" s="153" t="str">
        <f t="shared" si="122"/>
        <v/>
      </c>
      <c r="AC327" s="153" t="str">
        <f t="shared" si="114"/>
        <v/>
      </c>
      <c r="AD327" s="153" t="str">
        <f t="shared" si="115"/>
        <v/>
      </c>
      <c r="AE327" s="153" t="str">
        <f t="shared" si="116"/>
        <v/>
      </c>
      <c r="AF327" s="155" t="e">
        <f>LOOKUP(2,1/(Lookups!$I$2:$I$11&lt;=E327)/(Lookups!$J$2:$J$11&gt;=E327),Lookups!$L$2:$L$11)</f>
        <v>#N/A</v>
      </c>
      <c r="AG327" s="142" t="str">
        <f t="shared" si="117"/>
        <v/>
      </c>
      <c r="AH327" s="142" t="str">
        <f t="shared" si="118"/>
        <v/>
      </c>
      <c r="AI327" s="143" t="b">
        <f t="shared" si="123"/>
        <v>0</v>
      </c>
      <c r="AJ327" s="143" t="str">
        <f t="shared" si="119"/>
        <v>Level 1</v>
      </c>
      <c r="AK327" s="142">
        <f t="shared" si="120"/>
        <v>0</v>
      </c>
      <c r="AL327" s="157" t="str">
        <f t="shared" si="128"/>
        <v/>
      </c>
      <c r="AM327" s="144" t="str">
        <f t="shared" si="129"/>
        <v>--FALSE-0</v>
      </c>
      <c r="AN327" s="158" t="str">
        <f t="shared" si="124"/>
        <v/>
      </c>
      <c r="AO327" s="145"/>
      <c r="AP327" s="159" t="str">
        <f>IF($AN327=FALSE,"",IFERROR(INDEX('Flat Rates'!$A$1:$M$3880,MATCH($AM327,'Flat Rates'!$A$1:$A$3880,0),MATCH("Standing Charge",'Flat Rates'!$A$1:$M$1,0))*100,""))</f>
        <v/>
      </c>
      <c r="AQ327" s="148" t="str">
        <f>IF($AN327=FALSE,"",IFERROR((IF(NOT(T327="Unrestricted"),"",INDEX('Flat Rates'!$A$1:$M$3880,MATCH($AM327,'Flat Rates'!$A$1:$A$3880,0),MATCH("Uni/Day Rate",'Flat Rates'!$A$1:$M$1,0)))*100)+H327,""))</f>
        <v/>
      </c>
      <c r="AR327" s="148" t="str">
        <f>IF($AN327=FALSE,"",IFERROR((IF(T327="Unrestricted","",INDEX('Flat Rates'!$A$1:$M$3880,MATCH($AM327,'Flat Rates'!$A$1:$A$3880,0),MATCH("Uni/Day Rate",'Flat Rates'!$A$1:$M$1,0)))*100)+H327,""))</f>
        <v/>
      </c>
      <c r="AS327" s="148" t="str">
        <f>IF($AN327=FALSE,"",IFERROR(IF(INDEX('Flat Rates'!$A$1:$M$3880,MATCH($AM327,'Flat Rates'!$A$1:$A$3880,0),MATCH("Night Unit Rate",'Flat Rates'!$A$1:$M$1,0))=0,"",((INDEX('Flat Rates'!$A$1:$M$3880,MATCH($AM327,'Flat Rates'!$A$1:$A$3880,0),MATCH("Night Unit Rate",'Flat Rates'!$A$1:$M$1,0)))*100)+H327),""))</f>
        <v/>
      </c>
      <c r="AT327" s="148" t="str">
        <f>IF($AN327=FALSE,"",IFERROR(IF(INDEX('Flat Rates'!$A$1:$M$3880,MATCH($AM327,'Flat Rates'!$A$1:$A$3880,0),MATCH("Evening and Weekend Rate",'Flat Rates'!$A$1:$M$1,0))=0,"",((INDEX('Flat Rates'!$A$1:$M$3880,MATCH($AM327,'Flat Rates'!$A$1:$A$3880,0),MATCH("Evening and Weekend Rate",'Flat Rates'!$A$1:$M$1,0)))*100)+H327),""))</f>
        <v/>
      </c>
      <c r="AU327" s="152" t="str">
        <f t="shared" si="125"/>
        <v/>
      </c>
      <c r="AV327" s="152" t="str">
        <f t="shared" si="126"/>
        <v/>
      </c>
      <c r="AW327" s="152" t="str">
        <f t="shared" si="127"/>
        <v/>
      </c>
    </row>
    <row r="328" spans="2:49" ht="15" thickBot="1" x14ac:dyDescent="0.35">
      <c r="B328" s="138" t="str">
        <f t="shared" si="104"/>
        <v/>
      </c>
      <c r="C328" s="146"/>
      <c r="D328" s="147"/>
      <c r="E328" s="140"/>
      <c r="F328" s="140"/>
      <c r="G328" s="139"/>
      <c r="H328" s="151"/>
      <c r="I328" s="139"/>
      <c r="J328" s="137"/>
      <c r="K328" s="139"/>
      <c r="L328" s="141"/>
      <c r="M328" s="133" t="str">
        <f t="shared" si="105"/>
        <v/>
      </c>
      <c r="N328" s="133" t="str">
        <f t="shared" si="106"/>
        <v/>
      </c>
      <c r="O328" s="133" t="str">
        <f t="shared" si="107"/>
        <v/>
      </c>
      <c r="P328" s="133" t="str">
        <f t="shared" si="108"/>
        <v/>
      </c>
      <c r="Q328" s="133" t="str">
        <f t="shared" si="109"/>
        <v/>
      </c>
      <c r="R328" s="133" t="str">
        <f t="shared" si="110"/>
        <v/>
      </c>
      <c r="S328" s="133" t="str">
        <f t="shared" si="111"/>
        <v/>
      </c>
      <c r="T328" s="133" t="str">
        <f>IFERROR(IF($U328="ERROR","ERROR",IF($N328="00",IF(J328="1-Rate","HH 1RATE",IF(J328="2-Rate","HH 2RATE","")),IFERROR(VLOOKUP(CONCATENATE(N328,Q328,O328,P328),Lookups!$A$2:$E$4557,5,0),VLOOKUP(CONCATENATE(N328,Q328,O328),Lookups!$A$2:$E$4557,5,0)))),"ERROR")</f>
        <v>ERROR</v>
      </c>
      <c r="U328" s="133" t="str">
        <f>IFERROR(IF(NOT($N328="00"),"",VLOOKUP(CONCATENATE(Q328,P328,LOOKUP(2,1/(Lookups!$I$2:$I$11&lt;=E328)/(Lookups!$J$2:$J$11&gt;=Tool!$C$14),Lookups!$K$2:$K$11)),'HH LLFs'!$A$2:$K$500,3,0)),"ERROR")</f>
        <v/>
      </c>
      <c r="V328" s="132">
        <f>Calcs!$I$2</f>
        <v>44377</v>
      </c>
      <c r="W328" s="132">
        <f>Calcs!$I$4</f>
        <v>44592</v>
      </c>
      <c r="X328" s="153" t="str">
        <f>IF(NOT(N328="00"),"",(VLOOKUP(CONCATENATE(Q328,P328,LOOKUP(2,1/(Lookups!$I$2:$I$11&lt;=Multisite!E328)/(Lookups!$J$2:$J$11&gt;=E328),Lookups!$K$2:$K$11)),'HH LLFs'!$A$2:$F$282,6,0)*365)/12)</f>
        <v/>
      </c>
      <c r="Y328" s="153">
        <f t="shared" si="112"/>
        <v>0</v>
      </c>
      <c r="Z328" s="153" t="str">
        <f t="shared" si="121"/>
        <v/>
      </c>
      <c r="AA328" s="153" t="str">
        <f t="shared" si="113"/>
        <v/>
      </c>
      <c r="AB328" s="153" t="str">
        <f t="shared" si="122"/>
        <v/>
      </c>
      <c r="AC328" s="153" t="str">
        <f t="shared" si="114"/>
        <v/>
      </c>
      <c r="AD328" s="153" t="str">
        <f t="shared" si="115"/>
        <v/>
      </c>
      <c r="AE328" s="153" t="str">
        <f t="shared" si="116"/>
        <v/>
      </c>
      <c r="AF328" s="155" t="e">
        <f>LOOKUP(2,1/(Lookups!$I$2:$I$11&lt;=E328)/(Lookups!$J$2:$J$11&gt;=E328),Lookups!$L$2:$L$11)</f>
        <v>#N/A</v>
      </c>
      <c r="AG328" s="142" t="str">
        <f t="shared" si="117"/>
        <v/>
      </c>
      <c r="AH328" s="142" t="str">
        <f t="shared" si="118"/>
        <v/>
      </c>
      <c r="AI328" s="143" t="b">
        <f t="shared" si="123"/>
        <v>0</v>
      </c>
      <c r="AJ328" s="143" t="str">
        <f t="shared" si="119"/>
        <v>Level 1</v>
      </c>
      <c r="AK328" s="142">
        <f t="shared" si="120"/>
        <v>0</v>
      </c>
      <c r="AL328" s="157" t="str">
        <f t="shared" si="128"/>
        <v/>
      </c>
      <c r="AM328" s="144" t="str">
        <f t="shared" si="129"/>
        <v>--FALSE-0</v>
      </c>
      <c r="AN328" s="158" t="str">
        <f t="shared" si="124"/>
        <v/>
      </c>
      <c r="AO328" s="145"/>
      <c r="AP328" s="159" t="str">
        <f>IF($AN328=FALSE,"",IFERROR(INDEX('Flat Rates'!$A$1:$M$3880,MATCH($AM328,'Flat Rates'!$A$1:$A$3880,0),MATCH("Standing Charge",'Flat Rates'!$A$1:$M$1,0))*100,""))</f>
        <v/>
      </c>
      <c r="AQ328" s="148" t="str">
        <f>IF($AN328=FALSE,"",IFERROR((IF(NOT(T328="Unrestricted"),"",INDEX('Flat Rates'!$A$1:$M$3880,MATCH($AM328,'Flat Rates'!$A$1:$A$3880,0),MATCH("Uni/Day Rate",'Flat Rates'!$A$1:$M$1,0)))*100)+H328,""))</f>
        <v/>
      </c>
      <c r="AR328" s="148" t="str">
        <f>IF($AN328=FALSE,"",IFERROR((IF(T328="Unrestricted","",INDEX('Flat Rates'!$A$1:$M$3880,MATCH($AM328,'Flat Rates'!$A$1:$A$3880,0),MATCH("Uni/Day Rate",'Flat Rates'!$A$1:$M$1,0)))*100)+H328,""))</f>
        <v/>
      </c>
      <c r="AS328" s="148" t="str">
        <f>IF($AN328=FALSE,"",IFERROR(IF(INDEX('Flat Rates'!$A$1:$M$3880,MATCH($AM328,'Flat Rates'!$A$1:$A$3880,0),MATCH("Night Unit Rate",'Flat Rates'!$A$1:$M$1,0))=0,"",((INDEX('Flat Rates'!$A$1:$M$3880,MATCH($AM328,'Flat Rates'!$A$1:$A$3880,0),MATCH("Night Unit Rate",'Flat Rates'!$A$1:$M$1,0)))*100)+H328),""))</f>
        <v/>
      </c>
      <c r="AT328" s="148" t="str">
        <f>IF($AN328=FALSE,"",IFERROR(IF(INDEX('Flat Rates'!$A$1:$M$3880,MATCH($AM328,'Flat Rates'!$A$1:$A$3880,0),MATCH("Evening and Weekend Rate",'Flat Rates'!$A$1:$M$1,0))=0,"",((INDEX('Flat Rates'!$A$1:$M$3880,MATCH($AM328,'Flat Rates'!$A$1:$A$3880,0),MATCH("Evening and Weekend Rate",'Flat Rates'!$A$1:$M$1,0)))*100)+H328),""))</f>
        <v/>
      </c>
      <c r="AU328" s="152" t="str">
        <f t="shared" si="125"/>
        <v/>
      </c>
      <c r="AV328" s="152" t="str">
        <f t="shared" si="126"/>
        <v/>
      </c>
      <c r="AW328" s="152" t="str">
        <f t="shared" si="127"/>
        <v/>
      </c>
    </row>
    <row r="329" spans="2:49" ht="15" thickBot="1" x14ac:dyDescent="0.35">
      <c r="B329" s="138" t="str">
        <f t="shared" si="104"/>
        <v/>
      </c>
      <c r="C329" s="137"/>
      <c r="D329" s="139"/>
      <c r="E329" s="140"/>
      <c r="F329" s="140"/>
      <c r="G329" s="139"/>
      <c r="H329" s="151"/>
      <c r="I329" s="139"/>
      <c r="J329" s="138"/>
      <c r="K329" s="139"/>
      <c r="L329" s="141"/>
      <c r="M329" s="133" t="str">
        <f t="shared" si="105"/>
        <v/>
      </c>
      <c r="N329" s="133" t="str">
        <f t="shared" si="106"/>
        <v/>
      </c>
      <c r="O329" s="133" t="str">
        <f t="shared" si="107"/>
        <v/>
      </c>
      <c r="P329" s="133" t="str">
        <f t="shared" si="108"/>
        <v/>
      </c>
      <c r="Q329" s="133" t="str">
        <f t="shared" si="109"/>
        <v/>
      </c>
      <c r="R329" s="133" t="str">
        <f t="shared" si="110"/>
        <v/>
      </c>
      <c r="S329" s="133" t="str">
        <f t="shared" si="111"/>
        <v/>
      </c>
      <c r="T329" s="133" t="str">
        <f>IFERROR(IF($U329="ERROR","ERROR",IF($N329="00",IF(J329="1-Rate","HH 1RATE",IF(J329="2-Rate","HH 2RATE","")),IFERROR(VLOOKUP(CONCATENATE(N329,Q329,O329,P329),Lookups!$A$2:$E$4557,5,0),VLOOKUP(CONCATENATE(N329,Q329,O329),Lookups!$A$2:$E$4557,5,0)))),"ERROR")</f>
        <v>ERROR</v>
      </c>
      <c r="U329" s="133" t="str">
        <f>IFERROR(IF(NOT($N329="00"),"",VLOOKUP(CONCATENATE(Q329,P329,LOOKUP(2,1/(Lookups!$I$2:$I$11&lt;=E329)/(Lookups!$J$2:$J$11&gt;=Tool!$C$14),Lookups!$K$2:$K$11)),'HH LLFs'!$A$2:$K$500,3,0)),"ERROR")</f>
        <v/>
      </c>
      <c r="V329" s="132">
        <f>Calcs!$I$2</f>
        <v>44377</v>
      </c>
      <c r="W329" s="132">
        <f>Calcs!$I$4</f>
        <v>44592</v>
      </c>
      <c r="X329" s="153" t="str">
        <f>IF(NOT(N329="00"),"",(VLOOKUP(CONCATENATE(Q329,P329,LOOKUP(2,1/(Lookups!$I$2:$I$11&lt;=Multisite!E329)/(Lookups!$J$2:$J$11&gt;=E329),Lookups!$K$2:$K$11)),'HH LLFs'!$A$2:$F$282,6,0)*365)/12)</f>
        <v/>
      </c>
      <c r="Y329" s="153">
        <f t="shared" si="112"/>
        <v>0</v>
      </c>
      <c r="Z329" s="153" t="str">
        <f t="shared" si="121"/>
        <v/>
      </c>
      <c r="AA329" s="153" t="str">
        <f t="shared" si="113"/>
        <v/>
      </c>
      <c r="AB329" s="153" t="str">
        <f t="shared" si="122"/>
        <v/>
      </c>
      <c r="AC329" s="153" t="str">
        <f t="shared" si="114"/>
        <v/>
      </c>
      <c r="AD329" s="153" t="str">
        <f t="shared" si="115"/>
        <v/>
      </c>
      <c r="AE329" s="153" t="str">
        <f t="shared" si="116"/>
        <v/>
      </c>
      <c r="AF329" s="155" t="e">
        <f>LOOKUP(2,1/(Lookups!$I$2:$I$11&lt;=E329)/(Lookups!$J$2:$J$11&gt;=E329),Lookups!$L$2:$L$11)</f>
        <v>#N/A</v>
      </c>
      <c r="AG329" s="142" t="str">
        <f t="shared" si="117"/>
        <v/>
      </c>
      <c r="AH329" s="142" t="str">
        <f t="shared" si="118"/>
        <v/>
      </c>
      <c r="AI329" s="143" t="b">
        <f t="shared" si="123"/>
        <v>0</v>
      </c>
      <c r="AJ329" s="143" t="str">
        <f t="shared" si="119"/>
        <v>Level 1</v>
      </c>
      <c r="AK329" s="142">
        <f t="shared" si="120"/>
        <v>0</v>
      </c>
      <c r="AL329" s="157" t="str">
        <f t="shared" si="128"/>
        <v/>
      </c>
      <c r="AM329" s="144" t="str">
        <f t="shared" si="129"/>
        <v>--FALSE-0</v>
      </c>
      <c r="AN329" s="158" t="str">
        <f t="shared" si="124"/>
        <v/>
      </c>
      <c r="AO329" s="145"/>
      <c r="AP329" s="159" t="str">
        <f>IF($AN329=FALSE,"",IFERROR(INDEX('Flat Rates'!$A$1:$M$3880,MATCH($AM329,'Flat Rates'!$A$1:$A$3880,0),MATCH("Standing Charge",'Flat Rates'!$A$1:$M$1,0))*100,""))</f>
        <v/>
      </c>
      <c r="AQ329" s="148" t="str">
        <f>IF($AN329=FALSE,"",IFERROR((IF(NOT(T329="Unrestricted"),"",INDEX('Flat Rates'!$A$1:$M$3880,MATCH($AM329,'Flat Rates'!$A$1:$A$3880,0),MATCH("Uni/Day Rate",'Flat Rates'!$A$1:$M$1,0)))*100)+H329,""))</f>
        <v/>
      </c>
      <c r="AR329" s="148" t="str">
        <f>IF($AN329=FALSE,"",IFERROR((IF(T329="Unrestricted","",INDEX('Flat Rates'!$A$1:$M$3880,MATCH($AM329,'Flat Rates'!$A$1:$A$3880,0),MATCH("Uni/Day Rate",'Flat Rates'!$A$1:$M$1,0)))*100)+H329,""))</f>
        <v/>
      </c>
      <c r="AS329" s="148" t="str">
        <f>IF($AN329=FALSE,"",IFERROR(IF(INDEX('Flat Rates'!$A$1:$M$3880,MATCH($AM329,'Flat Rates'!$A$1:$A$3880,0),MATCH("Night Unit Rate",'Flat Rates'!$A$1:$M$1,0))=0,"",((INDEX('Flat Rates'!$A$1:$M$3880,MATCH($AM329,'Flat Rates'!$A$1:$A$3880,0),MATCH("Night Unit Rate",'Flat Rates'!$A$1:$M$1,0)))*100)+H329),""))</f>
        <v/>
      </c>
      <c r="AT329" s="148" t="str">
        <f>IF($AN329=FALSE,"",IFERROR(IF(INDEX('Flat Rates'!$A$1:$M$3880,MATCH($AM329,'Flat Rates'!$A$1:$A$3880,0),MATCH("Evening and Weekend Rate",'Flat Rates'!$A$1:$M$1,0))=0,"",((INDEX('Flat Rates'!$A$1:$M$3880,MATCH($AM329,'Flat Rates'!$A$1:$A$3880,0),MATCH("Evening and Weekend Rate",'Flat Rates'!$A$1:$M$1,0)))*100)+H329),""))</f>
        <v/>
      </c>
      <c r="AU329" s="152" t="str">
        <f t="shared" si="125"/>
        <v/>
      </c>
      <c r="AV329" s="152" t="str">
        <f t="shared" si="126"/>
        <v/>
      </c>
      <c r="AW329" s="152" t="str">
        <f t="shared" si="127"/>
        <v/>
      </c>
    </row>
    <row r="330" spans="2:49" ht="15" thickBot="1" x14ac:dyDescent="0.35">
      <c r="B330" s="138" t="str">
        <f t="shared" si="104"/>
        <v/>
      </c>
      <c r="C330" s="146"/>
      <c r="D330" s="147"/>
      <c r="E330" s="140"/>
      <c r="F330" s="140"/>
      <c r="G330" s="139"/>
      <c r="H330" s="151"/>
      <c r="I330" s="139"/>
      <c r="J330" s="137"/>
      <c r="K330" s="139"/>
      <c r="L330" s="141"/>
      <c r="M330" s="133" t="str">
        <f t="shared" si="105"/>
        <v/>
      </c>
      <c r="N330" s="133" t="str">
        <f t="shared" si="106"/>
        <v/>
      </c>
      <c r="O330" s="133" t="str">
        <f t="shared" si="107"/>
        <v/>
      </c>
      <c r="P330" s="133" t="str">
        <f t="shared" si="108"/>
        <v/>
      </c>
      <c r="Q330" s="133" t="str">
        <f t="shared" si="109"/>
        <v/>
      </c>
      <c r="R330" s="133" t="str">
        <f t="shared" si="110"/>
        <v/>
      </c>
      <c r="S330" s="133" t="str">
        <f t="shared" si="111"/>
        <v/>
      </c>
      <c r="T330" s="133" t="str">
        <f>IFERROR(IF($U330="ERROR","ERROR",IF($N330="00",IF(J330="1-Rate","HH 1RATE",IF(J330="2-Rate","HH 2RATE","")),IFERROR(VLOOKUP(CONCATENATE(N330,Q330,O330,P330),Lookups!$A$2:$E$4557,5,0),VLOOKUP(CONCATENATE(N330,Q330,O330),Lookups!$A$2:$E$4557,5,0)))),"ERROR")</f>
        <v>ERROR</v>
      </c>
      <c r="U330" s="133" t="str">
        <f>IFERROR(IF(NOT($N330="00"),"",VLOOKUP(CONCATENATE(Q330,P330,LOOKUP(2,1/(Lookups!$I$2:$I$11&lt;=E330)/(Lookups!$J$2:$J$11&gt;=Tool!$C$14),Lookups!$K$2:$K$11)),'HH LLFs'!$A$2:$K$500,3,0)),"ERROR")</f>
        <v/>
      </c>
      <c r="V330" s="132">
        <f>Calcs!$I$2</f>
        <v>44377</v>
      </c>
      <c r="W330" s="132">
        <f>Calcs!$I$4</f>
        <v>44592</v>
      </c>
      <c r="X330" s="153" t="str">
        <f>IF(NOT(N330="00"),"",(VLOOKUP(CONCATENATE(Q330,P330,LOOKUP(2,1/(Lookups!$I$2:$I$11&lt;=Multisite!E330)/(Lookups!$J$2:$J$11&gt;=E330),Lookups!$K$2:$K$11)),'HH LLFs'!$A$2:$F$282,6,0)*365)/12)</f>
        <v/>
      </c>
      <c r="Y330" s="153">
        <f t="shared" si="112"/>
        <v>0</v>
      </c>
      <c r="Z330" s="153" t="str">
        <f t="shared" si="121"/>
        <v/>
      </c>
      <c r="AA330" s="153" t="str">
        <f t="shared" si="113"/>
        <v/>
      </c>
      <c r="AB330" s="153" t="str">
        <f t="shared" si="122"/>
        <v/>
      </c>
      <c r="AC330" s="153" t="str">
        <f t="shared" si="114"/>
        <v/>
      </c>
      <c r="AD330" s="153" t="str">
        <f t="shared" si="115"/>
        <v/>
      </c>
      <c r="AE330" s="153" t="str">
        <f t="shared" si="116"/>
        <v/>
      </c>
      <c r="AF330" s="155" t="e">
        <f>LOOKUP(2,1/(Lookups!$I$2:$I$11&lt;=E330)/(Lookups!$J$2:$J$11&gt;=E330),Lookups!$L$2:$L$11)</f>
        <v>#N/A</v>
      </c>
      <c r="AG330" s="142" t="str">
        <f t="shared" si="117"/>
        <v/>
      </c>
      <c r="AH330" s="142" t="str">
        <f t="shared" si="118"/>
        <v/>
      </c>
      <c r="AI330" s="143" t="b">
        <f t="shared" si="123"/>
        <v>0</v>
      </c>
      <c r="AJ330" s="143" t="str">
        <f t="shared" si="119"/>
        <v>Level 1</v>
      </c>
      <c r="AK330" s="142">
        <f t="shared" si="120"/>
        <v>0</v>
      </c>
      <c r="AL330" s="157" t="str">
        <f t="shared" si="128"/>
        <v/>
      </c>
      <c r="AM330" s="144" t="str">
        <f t="shared" si="129"/>
        <v>--FALSE-0</v>
      </c>
      <c r="AN330" s="158" t="str">
        <f t="shared" si="124"/>
        <v/>
      </c>
      <c r="AO330" s="145"/>
      <c r="AP330" s="159" t="str">
        <f>IF($AN330=FALSE,"",IFERROR(INDEX('Flat Rates'!$A$1:$M$3880,MATCH($AM330,'Flat Rates'!$A$1:$A$3880,0),MATCH("Standing Charge",'Flat Rates'!$A$1:$M$1,0))*100,""))</f>
        <v/>
      </c>
      <c r="AQ330" s="148" t="str">
        <f>IF($AN330=FALSE,"",IFERROR((IF(NOT(T330="Unrestricted"),"",INDEX('Flat Rates'!$A$1:$M$3880,MATCH($AM330,'Flat Rates'!$A$1:$A$3880,0),MATCH("Uni/Day Rate",'Flat Rates'!$A$1:$M$1,0)))*100)+H330,""))</f>
        <v/>
      </c>
      <c r="AR330" s="148" t="str">
        <f>IF($AN330=FALSE,"",IFERROR((IF(T330="Unrestricted","",INDEX('Flat Rates'!$A$1:$M$3880,MATCH($AM330,'Flat Rates'!$A$1:$A$3880,0),MATCH("Uni/Day Rate",'Flat Rates'!$A$1:$M$1,0)))*100)+H330,""))</f>
        <v/>
      </c>
      <c r="AS330" s="148" t="str">
        <f>IF($AN330=FALSE,"",IFERROR(IF(INDEX('Flat Rates'!$A$1:$M$3880,MATCH($AM330,'Flat Rates'!$A$1:$A$3880,0),MATCH("Night Unit Rate",'Flat Rates'!$A$1:$M$1,0))=0,"",((INDEX('Flat Rates'!$A$1:$M$3880,MATCH($AM330,'Flat Rates'!$A$1:$A$3880,0),MATCH("Night Unit Rate",'Flat Rates'!$A$1:$M$1,0)))*100)+H330),""))</f>
        <v/>
      </c>
      <c r="AT330" s="148" t="str">
        <f>IF($AN330=FALSE,"",IFERROR(IF(INDEX('Flat Rates'!$A$1:$M$3880,MATCH($AM330,'Flat Rates'!$A$1:$A$3880,0),MATCH("Evening and Weekend Rate",'Flat Rates'!$A$1:$M$1,0))=0,"",((INDEX('Flat Rates'!$A$1:$M$3880,MATCH($AM330,'Flat Rates'!$A$1:$A$3880,0),MATCH("Evening and Weekend Rate",'Flat Rates'!$A$1:$M$1,0)))*100)+H330),""))</f>
        <v/>
      </c>
      <c r="AU330" s="152" t="str">
        <f t="shared" si="125"/>
        <v/>
      </c>
      <c r="AV330" s="152" t="str">
        <f t="shared" si="126"/>
        <v/>
      </c>
      <c r="AW330" s="152" t="str">
        <f t="shared" si="127"/>
        <v/>
      </c>
    </row>
    <row r="331" spans="2:49" ht="15" thickBot="1" x14ac:dyDescent="0.35">
      <c r="B331" s="138" t="str">
        <f t="shared" si="104"/>
        <v/>
      </c>
      <c r="C331" s="137"/>
      <c r="D331" s="139"/>
      <c r="E331" s="140"/>
      <c r="F331" s="140"/>
      <c r="G331" s="139"/>
      <c r="H331" s="151"/>
      <c r="I331" s="139"/>
      <c r="J331" s="138"/>
      <c r="K331" s="139"/>
      <c r="L331" s="141"/>
      <c r="M331" s="133" t="str">
        <f t="shared" si="105"/>
        <v/>
      </c>
      <c r="N331" s="133" t="str">
        <f t="shared" si="106"/>
        <v/>
      </c>
      <c r="O331" s="133" t="str">
        <f t="shared" si="107"/>
        <v/>
      </c>
      <c r="P331" s="133" t="str">
        <f t="shared" si="108"/>
        <v/>
      </c>
      <c r="Q331" s="133" t="str">
        <f t="shared" si="109"/>
        <v/>
      </c>
      <c r="R331" s="133" t="str">
        <f t="shared" si="110"/>
        <v/>
      </c>
      <c r="S331" s="133" t="str">
        <f t="shared" si="111"/>
        <v/>
      </c>
      <c r="T331" s="133" t="str">
        <f>IFERROR(IF($U331="ERROR","ERROR",IF($N331="00",IF(J331="1-Rate","HH 1RATE",IF(J331="2-Rate","HH 2RATE","")),IFERROR(VLOOKUP(CONCATENATE(N331,Q331,O331,P331),Lookups!$A$2:$E$4557,5,0),VLOOKUP(CONCATENATE(N331,Q331,O331),Lookups!$A$2:$E$4557,5,0)))),"ERROR")</f>
        <v>ERROR</v>
      </c>
      <c r="U331" s="133" t="str">
        <f>IFERROR(IF(NOT($N331="00"),"",VLOOKUP(CONCATENATE(Q331,P331,LOOKUP(2,1/(Lookups!$I$2:$I$11&lt;=E331)/(Lookups!$J$2:$J$11&gt;=Tool!$C$14),Lookups!$K$2:$K$11)),'HH LLFs'!$A$2:$K$500,3,0)),"ERROR")</f>
        <v/>
      </c>
      <c r="V331" s="132">
        <f>Calcs!$I$2</f>
        <v>44377</v>
      </c>
      <c r="W331" s="132">
        <f>Calcs!$I$4</f>
        <v>44592</v>
      </c>
      <c r="X331" s="153" t="str">
        <f>IF(NOT(N331="00"),"",(VLOOKUP(CONCATENATE(Q331,P331,LOOKUP(2,1/(Lookups!$I$2:$I$11&lt;=Multisite!E331)/(Lookups!$J$2:$J$11&gt;=E331),Lookups!$K$2:$K$11)),'HH LLFs'!$A$2:$F$282,6,0)*365)/12)</f>
        <v/>
      </c>
      <c r="Y331" s="153">
        <f t="shared" si="112"/>
        <v>0</v>
      </c>
      <c r="Z331" s="153" t="str">
        <f t="shared" si="121"/>
        <v/>
      </c>
      <c r="AA331" s="153" t="str">
        <f t="shared" si="113"/>
        <v/>
      </c>
      <c r="AB331" s="153" t="str">
        <f t="shared" si="122"/>
        <v/>
      </c>
      <c r="AC331" s="153" t="str">
        <f t="shared" si="114"/>
        <v/>
      </c>
      <c r="AD331" s="153" t="str">
        <f t="shared" si="115"/>
        <v/>
      </c>
      <c r="AE331" s="153" t="str">
        <f t="shared" si="116"/>
        <v/>
      </c>
      <c r="AF331" s="155" t="e">
        <f>LOOKUP(2,1/(Lookups!$I$2:$I$11&lt;=E331)/(Lookups!$J$2:$J$11&gt;=E331),Lookups!$L$2:$L$11)</f>
        <v>#N/A</v>
      </c>
      <c r="AG331" s="142" t="str">
        <f t="shared" si="117"/>
        <v/>
      </c>
      <c r="AH331" s="142" t="str">
        <f t="shared" si="118"/>
        <v/>
      </c>
      <c r="AI331" s="143" t="b">
        <f t="shared" si="123"/>
        <v>0</v>
      </c>
      <c r="AJ331" s="143" t="str">
        <f t="shared" si="119"/>
        <v>Level 1</v>
      </c>
      <c r="AK331" s="142">
        <f t="shared" si="120"/>
        <v>0</v>
      </c>
      <c r="AL331" s="157" t="str">
        <f t="shared" si="128"/>
        <v/>
      </c>
      <c r="AM331" s="144" t="str">
        <f t="shared" si="129"/>
        <v>--FALSE-0</v>
      </c>
      <c r="AN331" s="158" t="str">
        <f t="shared" si="124"/>
        <v/>
      </c>
      <c r="AO331" s="145"/>
      <c r="AP331" s="159" t="str">
        <f>IF($AN331=FALSE,"",IFERROR(INDEX('Flat Rates'!$A$1:$M$3880,MATCH($AM331,'Flat Rates'!$A$1:$A$3880,0),MATCH("Standing Charge",'Flat Rates'!$A$1:$M$1,0))*100,""))</f>
        <v/>
      </c>
      <c r="AQ331" s="148" t="str">
        <f>IF($AN331=FALSE,"",IFERROR((IF(NOT(T331="Unrestricted"),"",INDEX('Flat Rates'!$A$1:$M$3880,MATCH($AM331,'Flat Rates'!$A$1:$A$3880,0),MATCH("Uni/Day Rate",'Flat Rates'!$A$1:$M$1,0)))*100)+H331,""))</f>
        <v/>
      </c>
      <c r="AR331" s="148" t="str">
        <f>IF($AN331=FALSE,"",IFERROR((IF(T331="Unrestricted","",INDEX('Flat Rates'!$A$1:$M$3880,MATCH($AM331,'Flat Rates'!$A$1:$A$3880,0),MATCH("Uni/Day Rate",'Flat Rates'!$A$1:$M$1,0)))*100)+H331,""))</f>
        <v/>
      </c>
      <c r="AS331" s="148" t="str">
        <f>IF($AN331=FALSE,"",IFERROR(IF(INDEX('Flat Rates'!$A$1:$M$3880,MATCH($AM331,'Flat Rates'!$A$1:$A$3880,0),MATCH("Night Unit Rate",'Flat Rates'!$A$1:$M$1,0))=0,"",((INDEX('Flat Rates'!$A$1:$M$3880,MATCH($AM331,'Flat Rates'!$A$1:$A$3880,0),MATCH("Night Unit Rate",'Flat Rates'!$A$1:$M$1,0)))*100)+H331),""))</f>
        <v/>
      </c>
      <c r="AT331" s="148" t="str">
        <f>IF($AN331=FALSE,"",IFERROR(IF(INDEX('Flat Rates'!$A$1:$M$3880,MATCH($AM331,'Flat Rates'!$A$1:$A$3880,0),MATCH("Evening and Weekend Rate",'Flat Rates'!$A$1:$M$1,0))=0,"",((INDEX('Flat Rates'!$A$1:$M$3880,MATCH($AM331,'Flat Rates'!$A$1:$A$3880,0),MATCH("Evening and Weekend Rate",'Flat Rates'!$A$1:$M$1,0)))*100)+H331),""))</f>
        <v/>
      </c>
      <c r="AU331" s="152" t="str">
        <f t="shared" si="125"/>
        <v/>
      </c>
      <c r="AV331" s="152" t="str">
        <f t="shared" si="126"/>
        <v/>
      </c>
      <c r="AW331" s="152" t="str">
        <f t="shared" si="127"/>
        <v/>
      </c>
    </row>
    <row r="332" spans="2:49" ht="15" thickBot="1" x14ac:dyDescent="0.35">
      <c r="B332" s="138" t="str">
        <f t="shared" si="104"/>
        <v/>
      </c>
      <c r="C332" s="146"/>
      <c r="D332" s="147"/>
      <c r="E332" s="140"/>
      <c r="F332" s="140"/>
      <c r="G332" s="139"/>
      <c r="H332" s="151"/>
      <c r="I332" s="139"/>
      <c r="J332" s="137"/>
      <c r="K332" s="139"/>
      <c r="L332" s="141"/>
      <c r="M332" s="133" t="str">
        <f t="shared" si="105"/>
        <v/>
      </c>
      <c r="N332" s="133" t="str">
        <f t="shared" si="106"/>
        <v/>
      </c>
      <c r="O332" s="133" t="str">
        <f t="shared" si="107"/>
        <v/>
      </c>
      <c r="P332" s="133" t="str">
        <f t="shared" si="108"/>
        <v/>
      </c>
      <c r="Q332" s="133" t="str">
        <f t="shared" si="109"/>
        <v/>
      </c>
      <c r="R332" s="133" t="str">
        <f t="shared" si="110"/>
        <v/>
      </c>
      <c r="S332" s="133" t="str">
        <f t="shared" si="111"/>
        <v/>
      </c>
      <c r="T332" s="133" t="str">
        <f>IFERROR(IF($U332="ERROR","ERROR",IF($N332="00",IF(J332="1-Rate","HH 1RATE",IF(J332="2-Rate","HH 2RATE","")),IFERROR(VLOOKUP(CONCATENATE(N332,Q332,O332,P332),Lookups!$A$2:$E$4557,5,0),VLOOKUP(CONCATENATE(N332,Q332,O332),Lookups!$A$2:$E$4557,5,0)))),"ERROR")</f>
        <v>ERROR</v>
      </c>
      <c r="U332" s="133" t="str">
        <f>IFERROR(IF(NOT($N332="00"),"",VLOOKUP(CONCATENATE(Q332,P332,LOOKUP(2,1/(Lookups!$I$2:$I$11&lt;=E332)/(Lookups!$J$2:$J$11&gt;=Tool!$C$14),Lookups!$K$2:$K$11)),'HH LLFs'!$A$2:$K$500,3,0)),"ERROR")</f>
        <v/>
      </c>
      <c r="V332" s="132">
        <f>Calcs!$I$2</f>
        <v>44377</v>
      </c>
      <c r="W332" s="132">
        <f>Calcs!$I$4</f>
        <v>44592</v>
      </c>
      <c r="X332" s="153" t="str">
        <f>IF(NOT(N332="00"),"",(VLOOKUP(CONCATENATE(Q332,P332,LOOKUP(2,1/(Lookups!$I$2:$I$11&lt;=Multisite!E332)/(Lookups!$J$2:$J$11&gt;=E332),Lookups!$K$2:$K$11)),'HH LLFs'!$A$2:$F$282,6,0)*365)/12)</f>
        <v/>
      </c>
      <c r="Y332" s="153">
        <f t="shared" si="112"/>
        <v>0</v>
      </c>
      <c r="Z332" s="153" t="str">
        <f t="shared" si="121"/>
        <v/>
      </c>
      <c r="AA332" s="153" t="str">
        <f t="shared" si="113"/>
        <v/>
      </c>
      <c r="AB332" s="153" t="str">
        <f t="shared" si="122"/>
        <v/>
      </c>
      <c r="AC332" s="153" t="str">
        <f t="shared" si="114"/>
        <v/>
      </c>
      <c r="AD332" s="153" t="str">
        <f t="shared" si="115"/>
        <v/>
      </c>
      <c r="AE332" s="153" t="str">
        <f t="shared" si="116"/>
        <v/>
      </c>
      <c r="AF332" s="155" t="e">
        <f>LOOKUP(2,1/(Lookups!$I$2:$I$11&lt;=E332)/(Lookups!$J$2:$J$11&gt;=E332),Lookups!$L$2:$L$11)</f>
        <v>#N/A</v>
      </c>
      <c r="AG332" s="142" t="str">
        <f t="shared" si="117"/>
        <v/>
      </c>
      <c r="AH332" s="142" t="str">
        <f t="shared" si="118"/>
        <v/>
      </c>
      <c r="AI332" s="143" t="b">
        <f t="shared" si="123"/>
        <v>0</v>
      </c>
      <c r="AJ332" s="143" t="str">
        <f t="shared" si="119"/>
        <v>Level 1</v>
      </c>
      <c r="AK332" s="142">
        <f t="shared" si="120"/>
        <v>0</v>
      </c>
      <c r="AL332" s="157" t="str">
        <f t="shared" si="128"/>
        <v/>
      </c>
      <c r="AM332" s="144" t="str">
        <f t="shared" si="129"/>
        <v>--FALSE-0</v>
      </c>
      <c r="AN332" s="158" t="str">
        <f t="shared" si="124"/>
        <v/>
      </c>
      <c r="AO332" s="145"/>
      <c r="AP332" s="159" t="str">
        <f>IF($AN332=FALSE,"",IFERROR(INDEX('Flat Rates'!$A$1:$M$3880,MATCH($AM332,'Flat Rates'!$A$1:$A$3880,0),MATCH("Standing Charge",'Flat Rates'!$A$1:$M$1,0))*100,""))</f>
        <v/>
      </c>
      <c r="AQ332" s="148" t="str">
        <f>IF($AN332=FALSE,"",IFERROR((IF(NOT(T332="Unrestricted"),"",INDEX('Flat Rates'!$A$1:$M$3880,MATCH($AM332,'Flat Rates'!$A$1:$A$3880,0),MATCH("Uni/Day Rate",'Flat Rates'!$A$1:$M$1,0)))*100)+H332,""))</f>
        <v/>
      </c>
      <c r="AR332" s="148" t="str">
        <f>IF($AN332=FALSE,"",IFERROR((IF(T332="Unrestricted","",INDEX('Flat Rates'!$A$1:$M$3880,MATCH($AM332,'Flat Rates'!$A$1:$A$3880,0),MATCH("Uni/Day Rate",'Flat Rates'!$A$1:$M$1,0)))*100)+H332,""))</f>
        <v/>
      </c>
      <c r="AS332" s="148" t="str">
        <f>IF($AN332=FALSE,"",IFERROR(IF(INDEX('Flat Rates'!$A$1:$M$3880,MATCH($AM332,'Flat Rates'!$A$1:$A$3880,0),MATCH("Night Unit Rate",'Flat Rates'!$A$1:$M$1,0))=0,"",((INDEX('Flat Rates'!$A$1:$M$3880,MATCH($AM332,'Flat Rates'!$A$1:$A$3880,0),MATCH("Night Unit Rate",'Flat Rates'!$A$1:$M$1,0)))*100)+H332),""))</f>
        <v/>
      </c>
      <c r="AT332" s="148" t="str">
        <f>IF($AN332=FALSE,"",IFERROR(IF(INDEX('Flat Rates'!$A$1:$M$3880,MATCH($AM332,'Flat Rates'!$A$1:$A$3880,0),MATCH("Evening and Weekend Rate",'Flat Rates'!$A$1:$M$1,0))=0,"",((INDEX('Flat Rates'!$A$1:$M$3880,MATCH($AM332,'Flat Rates'!$A$1:$A$3880,0),MATCH("Evening and Weekend Rate",'Flat Rates'!$A$1:$M$1,0)))*100)+H332),""))</f>
        <v/>
      </c>
      <c r="AU332" s="152" t="str">
        <f t="shared" si="125"/>
        <v/>
      </c>
      <c r="AV332" s="152" t="str">
        <f t="shared" si="126"/>
        <v/>
      </c>
      <c r="AW332" s="152" t="str">
        <f t="shared" si="127"/>
        <v/>
      </c>
    </row>
    <row r="333" spans="2:49" ht="15" thickBot="1" x14ac:dyDescent="0.35">
      <c r="B333" s="138" t="str">
        <f t="shared" si="104"/>
        <v/>
      </c>
      <c r="C333" s="137"/>
      <c r="D333" s="139"/>
      <c r="E333" s="140"/>
      <c r="F333" s="140"/>
      <c r="G333" s="139"/>
      <c r="H333" s="151"/>
      <c r="I333" s="139"/>
      <c r="J333" s="138"/>
      <c r="K333" s="139"/>
      <c r="L333" s="141"/>
      <c r="M333" s="133" t="str">
        <f t="shared" si="105"/>
        <v/>
      </c>
      <c r="N333" s="133" t="str">
        <f t="shared" si="106"/>
        <v/>
      </c>
      <c r="O333" s="133" t="str">
        <f t="shared" si="107"/>
        <v/>
      </c>
      <c r="P333" s="133" t="str">
        <f t="shared" si="108"/>
        <v/>
      </c>
      <c r="Q333" s="133" t="str">
        <f t="shared" si="109"/>
        <v/>
      </c>
      <c r="R333" s="133" t="str">
        <f t="shared" si="110"/>
        <v/>
      </c>
      <c r="S333" s="133" t="str">
        <f t="shared" si="111"/>
        <v/>
      </c>
      <c r="T333" s="133" t="str">
        <f>IFERROR(IF($U333="ERROR","ERROR",IF($N333="00",IF(J333="1-Rate","HH 1RATE",IF(J333="2-Rate","HH 2RATE","")),IFERROR(VLOOKUP(CONCATENATE(N333,Q333,O333,P333),Lookups!$A$2:$E$4557,5,0),VLOOKUP(CONCATENATE(N333,Q333,O333),Lookups!$A$2:$E$4557,5,0)))),"ERROR")</f>
        <v>ERROR</v>
      </c>
      <c r="U333" s="133" t="str">
        <f>IFERROR(IF(NOT($N333="00"),"",VLOOKUP(CONCATENATE(Q333,P333,LOOKUP(2,1/(Lookups!$I$2:$I$11&lt;=E333)/(Lookups!$J$2:$J$11&gt;=Tool!$C$14),Lookups!$K$2:$K$11)),'HH LLFs'!$A$2:$K$500,3,0)),"ERROR")</f>
        <v/>
      </c>
      <c r="V333" s="132">
        <f>Calcs!$I$2</f>
        <v>44377</v>
      </c>
      <c r="W333" s="132">
        <f>Calcs!$I$4</f>
        <v>44592</v>
      </c>
      <c r="X333" s="153" t="str">
        <f>IF(NOT(N333="00"),"",(VLOOKUP(CONCATENATE(Q333,P333,LOOKUP(2,1/(Lookups!$I$2:$I$11&lt;=Multisite!E333)/(Lookups!$J$2:$J$11&gt;=E333),Lookups!$K$2:$K$11)),'HH LLFs'!$A$2:$F$282,6,0)*365)/12)</f>
        <v/>
      </c>
      <c r="Y333" s="153">
        <f t="shared" si="112"/>
        <v>0</v>
      </c>
      <c r="Z333" s="153" t="str">
        <f t="shared" si="121"/>
        <v/>
      </c>
      <c r="AA333" s="153" t="str">
        <f t="shared" si="113"/>
        <v/>
      </c>
      <c r="AB333" s="153" t="str">
        <f t="shared" si="122"/>
        <v/>
      </c>
      <c r="AC333" s="153" t="str">
        <f t="shared" si="114"/>
        <v/>
      </c>
      <c r="AD333" s="153" t="str">
        <f t="shared" si="115"/>
        <v/>
      </c>
      <c r="AE333" s="153" t="str">
        <f t="shared" si="116"/>
        <v/>
      </c>
      <c r="AF333" s="155" t="e">
        <f>LOOKUP(2,1/(Lookups!$I$2:$I$11&lt;=E333)/(Lookups!$J$2:$J$11&gt;=E333),Lookups!$L$2:$L$11)</f>
        <v>#N/A</v>
      </c>
      <c r="AG333" s="142" t="str">
        <f t="shared" si="117"/>
        <v/>
      </c>
      <c r="AH333" s="142" t="str">
        <f t="shared" si="118"/>
        <v/>
      </c>
      <c r="AI333" s="143" t="b">
        <f t="shared" si="123"/>
        <v>0</v>
      </c>
      <c r="AJ333" s="143" t="str">
        <f t="shared" si="119"/>
        <v>Level 1</v>
      </c>
      <c r="AK333" s="142">
        <f t="shared" si="120"/>
        <v>0</v>
      </c>
      <c r="AL333" s="157" t="str">
        <f t="shared" si="128"/>
        <v/>
      </c>
      <c r="AM333" s="144" t="str">
        <f t="shared" si="129"/>
        <v>--FALSE-0</v>
      </c>
      <c r="AN333" s="158" t="str">
        <f t="shared" si="124"/>
        <v/>
      </c>
      <c r="AO333" s="145"/>
      <c r="AP333" s="159" t="str">
        <f>IF($AN333=FALSE,"",IFERROR(INDEX('Flat Rates'!$A$1:$M$3880,MATCH($AM333,'Flat Rates'!$A$1:$A$3880,0),MATCH("Standing Charge",'Flat Rates'!$A$1:$M$1,0))*100,""))</f>
        <v/>
      </c>
      <c r="AQ333" s="148" t="str">
        <f>IF($AN333=FALSE,"",IFERROR((IF(NOT(T333="Unrestricted"),"",INDEX('Flat Rates'!$A$1:$M$3880,MATCH($AM333,'Flat Rates'!$A$1:$A$3880,0),MATCH("Uni/Day Rate",'Flat Rates'!$A$1:$M$1,0)))*100)+H333,""))</f>
        <v/>
      </c>
      <c r="AR333" s="148" t="str">
        <f>IF($AN333=FALSE,"",IFERROR((IF(T333="Unrestricted","",INDEX('Flat Rates'!$A$1:$M$3880,MATCH($AM333,'Flat Rates'!$A$1:$A$3880,0),MATCH("Uni/Day Rate",'Flat Rates'!$A$1:$M$1,0)))*100)+H333,""))</f>
        <v/>
      </c>
      <c r="AS333" s="148" t="str">
        <f>IF($AN333=FALSE,"",IFERROR(IF(INDEX('Flat Rates'!$A$1:$M$3880,MATCH($AM333,'Flat Rates'!$A$1:$A$3880,0),MATCH("Night Unit Rate",'Flat Rates'!$A$1:$M$1,0))=0,"",((INDEX('Flat Rates'!$A$1:$M$3880,MATCH($AM333,'Flat Rates'!$A$1:$A$3880,0),MATCH("Night Unit Rate",'Flat Rates'!$A$1:$M$1,0)))*100)+H333),""))</f>
        <v/>
      </c>
      <c r="AT333" s="148" t="str">
        <f>IF($AN333=FALSE,"",IFERROR(IF(INDEX('Flat Rates'!$A$1:$M$3880,MATCH($AM333,'Flat Rates'!$A$1:$A$3880,0),MATCH("Evening and Weekend Rate",'Flat Rates'!$A$1:$M$1,0))=0,"",((INDEX('Flat Rates'!$A$1:$M$3880,MATCH($AM333,'Flat Rates'!$A$1:$A$3880,0),MATCH("Evening and Weekend Rate",'Flat Rates'!$A$1:$M$1,0)))*100)+H333),""))</f>
        <v/>
      </c>
      <c r="AU333" s="152" t="str">
        <f t="shared" si="125"/>
        <v/>
      </c>
      <c r="AV333" s="152" t="str">
        <f t="shared" si="126"/>
        <v/>
      </c>
      <c r="AW333" s="152" t="str">
        <f t="shared" si="127"/>
        <v/>
      </c>
    </row>
    <row r="334" spans="2:49" ht="15" thickBot="1" x14ac:dyDescent="0.35">
      <c r="B334" s="138" t="str">
        <f t="shared" si="104"/>
        <v/>
      </c>
      <c r="C334" s="146"/>
      <c r="D334" s="147"/>
      <c r="E334" s="140"/>
      <c r="F334" s="140"/>
      <c r="G334" s="139"/>
      <c r="H334" s="151"/>
      <c r="I334" s="139"/>
      <c r="J334" s="137"/>
      <c r="K334" s="139"/>
      <c r="L334" s="141"/>
      <c r="M334" s="133" t="str">
        <f t="shared" si="105"/>
        <v/>
      </c>
      <c r="N334" s="133" t="str">
        <f t="shared" si="106"/>
        <v/>
      </c>
      <c r="O334" s="133" t="str">
        <f t="shared" si="107"/>
        <v/>
      </c>
      <c r="P334" s="133" t="str">
        <f t="shared" si="108"/>
        <v/>
      </c>
      <c r="Q334" s="133" t="str">
        <f t="shared" si="109"/>
        <v/>
      </c>
      <c r="R334" s="133" t="str">
        <f t="shared" si="110"/>
        <v/>
      </c>
      <c r="S334" s="133" t="str">
        <f t="shared" si="111"/>
        <v/>
      </c>
      <c r="T334" s="133" t="str">
        <f>IFERROR(IF($U334="ERROR","ERROR",IF($N334="00",IF(J334="1-Rate","HH 1RATE",IF(J334="2-Rate","HH 2RATE","")),IFERROR(VLOOKUP(CONCATENATE(N334,Q334,O334,P334),Lookups!$A$2:$E$4557,5,0),VLOOKUP(CONCATENATE(N334,Q334,O334),Lookups!$A$2:$E$4557,5,0)))),"ERROR")</f>
        <v>ERROR</v>
      </c>
      <c r="U334" s="133" t="str">
        <f>IFERROR(IF(NOT($N334="00"),"",VLOOKUP(CONCATENATE(Q334,P334,LOOKUP(2,1/(Lookups!$I$2:$I$11&lt;=E334)/(Lookups!$J$2:$J$11&gt;=Tool!$C$14),Lookups!$K$2:$K$11)),'HH LLFs'!$A$2:$K$500,3,0)),"ERROR")</f>
        <v/>
      </c>
      <c r="V334" s="132">
        <f>Calcs!$I$2</f>
        <v>44377</v>
      </c>
      <c r="W334" s="132">
        <f>Calcs!$I$4</f>
        <v>44592</v>
      </c>
      <c r="X334" s="153" t="str">
        <f>IF(NOT(N334="00"),"",(VLOOKUP(CONCATENATE(Q334,P334,LOOKUP(2,1/(Lookups!$I$2:$I$11&lt;=Multisite!E334)/(Lookups!$J$2:$J$11&gt;=E334),Lookups!$K$2:$K$11)),'HH LLFs'!$A$2:$F$282,6,0)*365)/12)</f>
        <v/>
      </c>
      <c r="Y334" s="153">
        <f t="shared" si="112"/>
        <v>0</v>
      </c>
      <c r="Z334" s="153" t="str">
        <f t="shared" si="121"/>
        <v/>
      </c>
      <c r="AA334" s="153" t="str">
        <f t="shared" si="113"/>
        <v/>
      </c>
      <c r="AB334" s="153" t="str">
        <f t="shared" si="122"/>
        <v/>
      </c>
      <c r="AC334" s="153" t="str">
        <f t="shared" si="114"/>
        <v/>
      </c>
      <c r="AD334" s="153" t="str">
        <f t="shared" si="115"/>
        <v/>
      </c>
      <c r="AE334" s="153" t="str">
        <f t="shared" si="116"/>
        <v/>
      </c>
      <c r="AF334" s="155" t="e">
        <f>LOOKUP(2,1/(Lookups!$I$2:$I$11&lt;=E334)/(Lookups!$J$2:$J$11&gt;=E334),Lookups!$L$2:$L$11)</f>
        <v>#N/A</v>
      </c>
      <c r="AG334" s="142" t="str">
        <f t="shared" si="117"/>
        <v/>
      </c>
      <c r="AH334" s="142" t="str">
        <f t="shared" si="118"/>
        <v/>
      </c>
      <c r="AI334" s="143" t="b">
        <f t="shared" si="123"/>
        <v>0</v>
      </c>
      <c r="AJ334" s="143" t="str">
        <f t="shared" si="119"/>
        <v>Level 1</v>
      </c>
      <c r="AK334" s="142">
        <f t="shared" si="120"/>
        <v>0</v>
      </c>
      <c r="AL334" s="157" t="str">
        <f t="shared" si="128"/>
        <v/>
      </c>
      <c r="AM334" s="144" t="str">
        <f t="shared" si="129"/>
        <v>--FALSE-0</v>
      </c>
      <c r="AN334" s="158" t="str">
        <f t="shared" si="124"/>
        <v/>
      </c>
      <c r="AO334" s="145"/>
      <c r="AP334" s="159" t="str">
        <f>IF($AN334=FALSE,"",IFERROR(INDEX('Flat Rates'!$A$1:$M$3880,MATCH($AM334,'Flat Rates'!$A$1:$A$3880,0),MATCH("Standing Charge",'Flat Rates'!$A$1:$M$1,0))*100,""))</f>
        <v/>
      </c>
      <c r="AQ334" s="148" t="str">
        <f>IF($AN334=FALSE,"",IFERROR((IF(NOT(T334="Unrestricted"),"",INDEX('Flat Rates'!$A$1:$M$3880,MATCH($AM334,'Flat Rates'!$A$1:$A$3880,0),MATCH("Uni/Day Rate",'Flat Rates'!$A$1:$M$1,0)))*100)+H334,""))</f>
        <v/>
      </c>
      <c r="AR334" s="148" t="str">
        <f>IF($AN334=FALSE,"",IFERROR((IF(T334="Unrestricted","",INDEX('Flat Rates'!$A$1:$M$3880,MATCH($AM334,'Flat Rates'!$A$1:$A$3880,0),MATCH("Uni/Day Rate",'Flat Rates'!$A$1:$M$1,0)))*100)+H334,""))</f>
        <v/>
      </c>
      <c r="AS334" s="148" t="str">
        <f>IF($AN334=FALSE,"",IFERROR(IF(INDEX('Flat Rates'!$A$1:$M$3880,MATCH($AM334,'Flat Rates'!$A$1:$A$3880,0),MATCH("Night Unit Rate",'Flat Rates'!$A$1:$M$1,0))=0,"",((INDEX('Flat Rates'!$A$1:$M$3880,MATCH($AM334,'Flat Rates'!$A$1:$A$3880,0),MATCH("Night Unit Rate",'Flat Rates'!$A$1:$M$1,0)))*100)+H334),""))</f>
        <v/>
      </c>
      <c r="AT334" s="148" t="str">
        <f>IF($AN334=FALSE,"",IFERROR(IF(INDEX('Flat Rates'!$A$1:$M$3880,MATCH($AM334,'Flat Rates'!$A$1:$A$3880,0),MATCH("Evening and Weekend Rate",'Flat Rates'!$A$1:$M$1,0))=0,"",((INDEX('Flat Rates'!$A$1:$M$3880,MATCH($AM334,'Flat Rates'!$A$1:$A$3880,0),MATCH("Evening and Weekend Rate",'Flat Rates'!$A$1:$M$1,0)))*100)+H334),""))</f>
        <v/>
      </c>
      <c r="AU334" s="152" t="str">
        <f t="shared" si="125"/>
        <v/>
      </c>
      <c r="AV334" s="152" t="str">
        <f t="shared" si="126"/>
        <v/>
      </c>
      <c r="AW334" s="152" t="str">
        <f t="shared" si="127"/>
        <v/>
      </c>
    </row>
    <row r="335" spans="2:49" ht="15" thickBot="1" x14ac:dyDescent="0.35">
      <c r="B335" s="138" t="str">
        <f t="shared" si="104"/>
        <v/>
      </c>
      <c r="C335" s="137"/>
      <c r="D335" s="139"/>
      <c r="E335" s="140"/>
      <c r="F335" s="140"/>
      <c r="G335" s="139"/>
      <c r="H335" s="151"/>
      <c r="I335" s="139"/>
      <c r="J335" s="138"/>
      <c r="K335" s="139"/>
      <c r="L335" s="141"/>
      <c r="M335" s="133" t="str">
        <f t="shared" si="105"/>
        <v/>
      </c>
      <c r="N335" s="133" t="str">
        <f t="shared" si="106"/>
        <v/>
      </c>
      <c r="O335" s="133" t="str">
        <f t="shared" si="107"/>
        <v/>
      </c>
      <c r="P335" s="133" t="str">
        <f t="shared" si="108"/>
        <v/>
      </c>
      <c r="Q335" s="133" t="str">
        <f t="shared" si="109"/>
        <v/>
      </c>
      <c r="R335" s="133" t="str">
        <f t="shared" si="110"/>
        <v/>
      </c>
      <c r="S335" s="133" t="str">
        <f t="shared" si="111"/>
        <v/>
      </c>
      <c r="T335" s="133" t="str">
        <f>IFERROR(IF($U335="ERROR","ERROR",IF($N335="00",IF(J335="1-Rate","HH 1RATE",IF(J335="2-Rate","HH 2RATE","")),IFERROR(VLOOKUP(CONCATENATE(N335,Q335,O335,P335),Lookups!$A$2:$E$4557,5,0),VLOOKUP(CONCATENATE(N335,Q335,O335),Lookups!$A$2:$E$4557,5,0)))),"ERROR")</f>
        <v>ERROR</v>
      </c>
      <c r="U335" s="133" t="str">
        <f>IFERROR(IF(NOT($N335="00"),"",VLOOKUP(CONCATENATE(Q335,P335,LOOKUP(2,1/(Lookups!$I$2:$I$11&lt;=E335)/(Lookups!$J$2:$J$11&gt;=Tool!$C$14),Lookups!$K$2:$K$11)),'HH LLFs'!$A$2:$K$500,3,0)),"ERROR")</f>
        <v/>
      </c>
      <c r="V335" s="132">
        <f>Calcs!$I$2</f>
        <v>44377</v>
      </c>
      <c r="W335" s="132">
        <f>Calcs!$I$4</f>
        <v>44592</v>
      </c>
      <c r="X335" s="153" t="str">
        <f>IF(NOT(N335="00"),"",(VLOOKUP(CONCATENATE(Q335,P335,LOOKUP(2,1/(Lookups!$I$2:$I$11&lt;=Multisite!E335)/(Lookups!$J$2:$J$11&gt;=E335),Lookups!$K$2:$K$11)),'HH LLFs'!$A$2:$F$282,6,0)*365)/12)</f>
        <v/>
      </c>
      <c r="Y335" s="153">
        <f t="shared" si="112"/>
        <v>0</v>
      </c>
      <c r="Z335" s="153" t="str">
        <f t="shared" si="121"/>
        <v/>
      </c>
      <c r="AA335" s="153" t="str">
        <f t="shared" si="113"/>
        <v/>
      </c>
      <c r="AB335" s="153" t="str">
        <f t="shared" si="122"/>
        <v/>
      </c>
      <c r="AC335" s="153" t="str">
        <f t="shared" si="114"/>
        <v/>
      </c>
      <c r="AD335" s="153" t="str">
        <f t="shared" si="115"/>
        <v/>
      </c>
      <c r="AE335" s="153" t="str">
        <f t="shared" si="116"/>
        <v/>
      </c>
      <c r="AF335" s="155" t="e">
        <f>LOOKUP(2,1/(Lookups!$I$2:$I$11&lt;=E335)/(Lookups!$J$2:$J$11&gt;=E335),Lookups!$L$2:$L$11)</f>
        <v>#N/A</v>
      </c>
      <c r="AG335" s="142" t="str">
        <f t="shared" si="117"/>
        <v/>
      </c>
      <c r="AH335" s="142" t="str">
        <f t="shared" si="118"/>
        <v/>
      </c>
      <c r="AI335" s="143" t="b">
        <f t="shared" si="123"/>
        <v>0</v>
      </c>
      <c r="AJ335" s="143" t="str">
        <f t="shared" si="119"/>
        <v>Level 1</v>
      </c>
      <c r="AK335" s="142">
        <f t="shared" si="120"/>
        <v>0</v>
      </c>
      <c r="AL335" s="157" t="str">
        <f t="shared" si="128"/>
        <v/>
      </c>
      <c r="AM335" s="144" t="str">
        <f t="shared" si="129"/>
        <v>--FALSE-0</v>
      </c>
      <c r="AN335" s="158" t="str">
        <f t="shared" si="124"/>
        <v/>
      </c>
      <c r="AO335" s="145"/>
      <c r="AP335" s="159" t="str">
        <f>IF($AN335=FALSE,"",IFERROR(INDEX('Flat Rates'!$A$1:$M$3880,MATCH($AM335,'Flat Rates'!$A$1:$A$3880,0),MATCH("Standing Charge",'Flat Rates'!$A$1:$M$1,0))*100,""))</f>
        <v/>
      </c>
      <c r="AQ335" s="148" t="str">
        <f>IF($AN335=FALSE,"",IFERROR((IF(NOT(T335="Unrestricted"),"",INDEX('Flat Rates'!$A$1:$M$3880,MATCH($AM335,'Flat Rates'!$A$1:$A$3880,0),MATCH("Uni/Day Rate",'Flat Rates'!$A$1:$M$1,0)))*100)+H335,""))</f>
        <v/>
      </c>
      <c r="AR335" s="148" t="str">
        <f>IF($AN335=FALSE,"",IFERROR((IF(T335="Unrestricted","",INDEX('Flat Rates'!$A$1:$M$3880,MATCH($AM335,'Flat Rates'!$A$1:$A$3880,0),MATCH("Uni/Day Rate",'Flat Rates'!$A$1:$M$1,0)))*100)+H335,""))</f>
        <v/>
      </c>
      <c r="AS335" s="148" t="str">
        <f>IF($AN335=FALSE,"",IFERROR(IF(INDEX('Flat Rates'!$A$1:$M$3880,MATCH($AM335,'Flat Rates'!$A$1:$A$3880,0),MATCH("Night Unit Rate",'Flat Rates'!$A$1:$M$1,0))=0,"",((INDEX('Flat Rates'!$A$1:$M$3880,MATCH($AM335,'Flat Rates'!$A$1:$A$3880,0),MATCH("Night Unit Rate",'Flat Rates'!$A$1:$M$1,0)))*100)+H335),""))</f>
        <v/>
      </c>
      <c r="AT335" s="148" t="str">
        <f>IF($AN335=FALSE,"",IFERROR(IF(INDEX('Flat Rates'!$A$1:$M$3880,MATCH($AM335,'Flat Rates'!$A$1:$A$3880,0),MATCH("Evening and Weekend Rate",'Flat Rates'!$A$1:$M$1,0))=0,"",((INDEX('Flat Rates'!$A$1:$M$3880,MATCH($AM335,'Flat Rates'!$A$1:$A$3880,0),MATCH("Evening and Weekend Rate",'Flat Rates'!$A$1:$M$1,0)))*100)+H335),""))</f>
        <v/>
      </c>
      <c r="AU335" s="152" t="str">
        <f t="shared" si="125"/>
        <v/>
      </c>
      <c r="AV335" s="152" t="str">
        <f t="shared" si="126"/>
        <v/>
      </c>
      <c r="AW335" s="152" t="str">
        <f t="shared" si="127"/>
        <v/>
      </c>
    </row>
    <row r="336" spans="2:49" ht="15" thickBot="1" x14ac:dyDescent="0.35">
      <c r="B336" s="138" t="str">
        <f t="shared" si="104"/>
        <v/>
      </c>
      <c r="C336" s="146"/>
      <c r="D336" s="147"/>
      <c r="E336" s="140"/>
      <c r="F336" s="140"/>
      <c r="G336" s="139"/>
      <c r="H336" s="151"/>
      <c r="I336" s="139"/>
      <c r="J336" s="137"/>
      <c r="K336" s="139"/>
      <c r="L336" s="141"/>
      <c r="M336" s="133" t="str">
        <f t="shared" si="105"/>
        <v/>
      </c>
      <c r="N336" s="133" t="str">
        <f t="shared" si="106"/>
        <v/>
      </c>
      <c r="O336" s="133" t="str">
        <f t="shared" si="107"/>
        <v/>
      </c>
      <c r="P336" s="133" t="str">
        <f t="shared" si="108"/>
        <v/>
      </c>
      <c r="Q336" s="133" t="str">
        <f t="shared" si="109"/>
        <v/>
      </c>
      <c r="R336" s="133" t="str">
        <f t="shared" si="110"/>
        <v/>
      </c>
      <c r="S336" s="133" t="str">
        <f t="shared" si="111"/>
        <v/>
      </c>
      <c r="T336" s="133" t="str">
        <f>IFERROR(IF($U336="ERROR","ERROR",IF($N336="00",IF(J336="1-Rate","HH 1RATE",IF(J336="2-Rate","HH 2RATE","")),IFERROR(VLOOKUP(CONCATENATE(N336,Q336,O336,P336),Lookups!$A$2:$E$4557,5,0),VLOOKUP(CONCATENATE(N336,Q336,O336),Lookups!$A$2:$E$4557,5,0)))),"ERROR")</f>
        <v>ERROR</v>
      </c>
      <c r="U336" s="133" t="str">
        <f>IFERROR(IF(NOT($N336="00"),"",VLOOKUP(CONCATENATE(Q336,P336,LOOKUP(2,1/(Lookups!$I$2:$I$11&lt;=E336)/(Lookups!$J$2:$J$11&gt;=Tool!$C$14),Lookups!$K$2:$K$11)),'HH LLFs'!$A$2:$K$500,3,0)),"ERROR")</f>
        <v/>
      </c>
      <c r="V336" s="132">
        <f>Calcs!$I$2</f>
        <v>44377</v>
      </c>
      <c r="W336" s="132">
        <f>Calcs!$I$4</f>
        <v>44592</v>
      </c>
      <c r="X336" s="153" t="str">
        <f>IF(NOT(N336="00"),"",(VLOOKUP(CONCATENATE(Q336,P336,LOOKUP(2,1/(Lookups!$I$2:$I$11&lt;=Multisite!E336)/(Lookups!$J$2:$J$11&gt;=E336),Lookups!$K$2:$K$11)),'HH LLFs'!$A$2:$F$282,6,0)*365)/12)</f>
        <v/>
      </c>
      <c r="Y336" s="153">
        <f t="shared" si="112"/>
        <v>0</v>
      </c>
      <c r="Z336" s="153" t="str">
        <f t="shared" si="121"/>
        <v/>
      </c>
      <c r="AA336" s="153" t="str">
        <f t="shared" si="113"/>
        <v/>
      </c>
      <c r="AB336" s="153" t="str">
        <f t="shared" si="122"/>
        <v/>
      </c>
      <c r="AC336" s="153" t="str">
        <f t="shared" si="114"/>
        <v/>
      </c>
      <c r="AD336" s="153" t="str">
        <f t="shared" si="115"/>
        <v/>
      </c>
      <c r="AE336" s="153" t="str">
        <f t="shared" si="116"/>
        <v/>
      </c>
      <c r="AF336" s="155" t="e">
        <f>LOOKUP(2,1/(Lookups!$I$2:$I$11&lt;=E336)/(Lookups!$J$2:$J$11&gt;=E336),Lookups!$L$2:$L$11)</f>
        <v>#N/A</v>
      </c>
      <c r="AG336" s="142" t="str">
        <f t="shared" si="117"/>
        <v/>
      </c>
      <c r="AH336" s="142" t="str">
        <f t="shared" si="118"/>
        <v/>
      </c>
      <c r="AI336" s="143" t="b">
        <f t="shared" si="123"/>
        <v>0</v>
      </c>
      <c r="AJ336" s="143" t="str">
        <f t="shared" si="119"/>
        <v>Level 1</v>
      </c>
      <c r="AK336" s="142">
        <f t="shared" si="120"/>
        <v>0</v>
      </c>
      <c r="AL336" s="157" t="str">
        <f t="shared" si="128"/>
        <v/>
      </c>
      <c r="AM336" s="144" t="str">
        <f t="shared" si="129"/>
        <v>--FALSE-0</v>
      </c>
      <c r="AN336" s="158" t="str">
        <f t="shared" si="124"/>
        <v/>
      </c>
      <c r="AO336" s="145"/>
      <c r="AP336" s="159" t="str">
        <f>IF($AN336=FALSE,"",IFERROR(INDEX('Flat Rates'!$A$1:$M$3880,MATCH($AM336,'Flat Rates'!$A$1:$A$3880,0),MATCH("Standing Charge",'Flat Rates'!$A$1:$M$1,0))*100,""))</f>
        <v/>
      </c>
      <c r="AQ336" s="148" t="str">
        <f>IF($AN336=FALSE,"",IFERROR((IF(NOT(T336="Unrestricted"),"",INDEX('Flat Rates'!$A$1:$M$3880,MATCH($AM336,'Flat Rates'!$A$1:$A$3880,0),MATCH("Uni/Day Rate",'Flat Rates'!$A$1:$M$1,0)))*100)+H336,""))</f>
        <v/>
      </c>
      <c r="AR336" s="148" t="str">
        <f>IF($AN336=FALSE,"",IFERROR((IF(T336="Unrestricted","",INDEX('Flat Rates'!$A$1:$M$3880,MATCH($AM336,'Flat Rates'!$A$1:$A$3880,0),MATCH("Uni/Day Rate",'Flat Rates'!$A$1:$M$1,0)))*100)+H336,""))</f>
        <v/>
      </c>
      <c r="AS336" s="148" t="str">
        <f>IF($AN336=FALSE,"",IFERROR(IF(INDEX('Flat Rates'!$A$1:$M$3880,MATCH($AM336,'Flat Rates'!$A$1:$A$3880,0),MATCH("Night Unit Rate",'Flat Rates'!$A$1:$M$1,0))=0,"",((INDEX('Flat Rates'!$A$1:$M$3880,MATCH($AM336,'Flat Rates'!$A$1:$A$3880,0),MATCH("Night Unit Rate",'Flat Rates'!$A$1:$M$1,0)))*100)+H336),""))</f>
        <v/>
      </c>
      <c r="AT336" s="148" t="str">
        <f>IF($AN336=FALSE,"",IFERROR(IF(INDEX('Flat Rates'!$A$1:$M$3880,MATCH($AM336,'Flat Rates'!$A$1:$A$3880,0),MATCH("Evening and Weekend Rate",'Flat Rates'!$A$1:$M$1,0))=0,"",((INDEX('Flat Rates'!$A$1:$M$3880,MATCH($AM336,'Flat Rates'!$A$1:$A$3880,0),MATCH("Evening and Weekend Rate",'Flat Rates'!$A$1:$M$1,0)))*100)+H336),""))</f>
        <v/>
      </c>
      <c r="AU336" s="152" t="str">
        <f t="shared" si="125"/>
        <v/>
      </c>
      <c r="AV336" s="152" t="str">
        <f t="shared" si="126"/>
        <v/>
      </c>
      <c r="AW336" s="152" t="str">
        <f t="shared" si="127"/>
        <v/>
      </c>
    </row>
    <row r="337" spans="2:49" ht="15" thickBot="1" x14ac:dyDescent="0.35">
      <c r="B337" s="138" t="str">
        <f t="shared" si="104"/>
        <v/>
      </c>
      <c r="C337" s="137"/>
      <c r="D337" s="139"/>
      <c r="E337" s="140"/>
      <c r="F337" s="140"/>
      <c r="G337" s="139"/>
      <c r="H337" s="151"/>
      <c r="I337" s="139"/>
      <c r="J337" s="138"/>
      <c r="K337" s="139"/>
      <c r="L337" s="141"/>
      <c r="M337" s="133" t="str">
        <f t="shared" si="105"/>
        <v/>
      </c>
      <c r="N337" s="133" t="str">
        <f t="shared" si="106"/>
        <v/>
      </c>
      <c r="O337" s="133" t="str">
        <f t="shared" si="107"/>
        <v/>
      </c>
      <c r="P337" s="133" t="str">
        <f t="shared" si="108"/>
        <v/>
      </c>
      <c r="Q337" s="133" t="str">
        <f t="shared" si="109"/>
        <v/>
      </c>
      <c r="R337" s="133" t="str">
        <f t="shared" si="110"/>
        <v/>
      </c>
      <c r="S337" s="133" t="str">
        <f t="shared" si="111"/>
        <v/>
      </c>
      <c r="T337" s="133" t="str">
        <f>IFERROR(IF($U337="ERROR","ERROR",IF($N337="00",IF(J337="1-Rate","HH 1RATE",IF(J337="2-Rate","HH 2RATE","")),IFERROR(VLOOKUP(CONCATENATE(N337,Q337,O337,P337),Lookups!$A$2:$E$4557,5,0),VLOOKUP(CONCATENATE(N337,Q337,O337),Lookups!$A$2:$E$4557,5,0)))),"ERROR")</f>
        <v>ERROR</v>
      </c>
      <c r="U337" s="133" t="str">
        <f>IFERROR(IF(NOT($N337="00"),"",VLOOKUP(CONCATENATE(Q337,P337,LOOKUP(2,1/(Lookups!$I$2:$I$11&lt;=E337)/(Lookups!$J$2:$J$11&gt;=Tool!$C$14),Lookups!$K$2:$K$11)),'HH LLFs'!$A$2:$K$500,3,0)),"ERROR")</f>
        <v/>
      </c>
      <c r="V337" s="132">
        <f>Calcs!$I$2</f>
        <v>44377</v>
      </c>
      <c r="W337" s="132">
        <f>Calcs!$I$4</f>
        <v>44592</v>
      </c>
      <c r="X337" s="153" t="str">
        <f>IF(NOT(N337="00"),"",(VLOOKUP(CONCATENATE(Q337,P337,LOOKUP(2,1/(Lookups!$I$2:$I$11&lt;=Multisite!E337)/(Lookups!$J$2:$J$11&gt;=E337),Lookups!$K$2:$K$11)),'HH LLFs'!$A$2:$F$282,6,0)*365)/12)</f>
        <v/>
      </c>
      <c r="Y337" s="153">
        <f t="shared" si="112"/>
        <v>0</v>
      </c>
      <c r="Z337" s="153" t="str">
        <f t="shared" si="121"/>
        <v/>
      </c>
      <c r="AA337" s="153" t="str">
        <f t="shared" si="113"/>
        <v/>
      </c>
      <c r="AB337" s="153" t="str">
        <f t="shared" si="122"/>
        <v/>
      </c>
      <c r="AC337" s="153" t="str">
        <f t="shared" si="114"/>
        <v/>
      </c>
      <c r="AD337" s="153" t="str">
        <f t="shared" si="115"/>
        <v/>
      </c>
      <c r="AE337" s="153" t="str">
        <f t="shared" si="116"/>
        <v/>
      </c>
      <c r="AF337" s="155" t="e">
        <f>LOOKUP(2,1/(Lookups!$I$2:$I$11&lt;=E337)/(Lookups!$J$2:$J$11&gt;=E337),Lookups!$L$2:$L$11)</f>
        <v>#N/A</v>
      </c>
      <c r="AG337" s="142" t="str">
        <f t="shared" si="117"/>
        <v/>
      </c>
      <c r="AH337" s="142" t="str">
        <f t="shared" si="118"/>
        <v/>
      </c>
      <c r="AI337" s="143" t="b">
        <f t="shared" si="123"/>
        <v>0</v>
      </c>
      <c r="AJ337" s="143" t="str">
        <f t="shared" si="119"/>
        <v>Level 1</v>
      </c>
      <c r="AK337" s="142">
        <f t="shared" si="120"/>
        <v>0</v>
      </c>
      <c r="AL337" s="157" t="str">
        <f t="shared" si="128"/>
        <v/>
      </c>
      <c r="AM337" s="144" t="str">
        <f t="shared" si="129"/>
        <v>--FALSE-0</v>
      </c>
      <c r="AN337" s="158" t="str">
        <f t="shared" si="124"/>
        <v/>
      </c>
      <c r="AO337" s="145"/>
      <c r="AP337" s="159" t="str">
        <f>IF($AN337=FALSE,"",IFERROR(INDEX('Flat Rates'!$A$1:$M$3880,MATCH($AM337,'Flat Rates'!$A$1:$A$3880,0),MATCH("Standing Charge",'Flat Rates'!$A$1:$M$1,0))*100,""))</f>
        <v/>
      </c>
      <c r="AQ337" s="148" t="str">
        <f>IF($AN337=FALSE,"",IFERROR((IF(NOT(T337="Unrestricted"),"",INDEX('Flat Rates'!$A$1:$M$3880,MATCH($AM337,'Flat Rates'!$A$1:$A$3880,0),MATCH("Uni/Day Rate",'Flat Rates'!$A$1:$M$1,0)))*100)+H337,""))</f>
        <v/>
      </c>
      <c r="AR337" s="148" t="str">
        <f>IF($AN337=FALSE,"",IFERROR((IF(T337="Unrestricted","",INDEX('Flat Rates'!$A$1:$M$3880,MATCH($AM337,'Flat Rates'!$A$1:$A$3880,0),MATCH("Uni/Day Rate",'Flat Rates'!$A$1:$M$1,0)))*100)+H337,""))</f>
        <v/>
      </c>
      <c r="AS337" s="148" t="str">
        <f>IF($AN337=FALSE,"",IFERROR(IF(INDEX('Flat Rates'!$A$1:$M$3880,MATCH($AM337,'Flat Rates'!$A$1:$A$3880,0),MATCH("Night Unit Rate",'Flat Rates'!$A$1:$M$1,0))=0,"",((INDEX('Flat Rates'!$A$1:$M$3880,MATCH($AM337,'Flat Rates'!$A$1:$A$3880,0),MATCH("Night Unit Rate",'Flat Rates'!$A$1:$M$1,0)))*100)+H337),""))</f>
        <v/>
      </c>
      <c r="AT337" s="148" t="str">
        <f>IF($AN337=FALSE,"",IFERROR(IF(INDEX('Flat Rates'!$A$1:$M$3880,MATCH($AM337,'Flat Rates'!$A$1:$A$3880,0),MATCH("Evening and Weekend Rate",'Flat Rates'!$A$1:$M$1,0))=0,"",((INDEX('Flat Rates'!$A$1:$M$3880,MATCH($AM337,'Flat Rates'!$A$1:$A$3880,0),MATCH("Evening and Weekend Rate",'Flat Rates'!$A$1:$M$1,0)))*100)+H337),""))</f>
        <v/>
      </c>
      <c r="AU337" s="152" t="str">
        <f t="shared" si="125"/>
        <v/>
      </c>
      <c r="AV337" s="152" t="str">
        <f t="shared" si="126"/>
        <v/>
      </c>
      <c r="AW337" s="152" t="str">
        <f t="shared" si="127"/>
        <v/>
      </c>
    </row>
    <row r="338" spans="2:49" ht="15" thickBot="1" x14ac:dyDescent="0.35">
      <c r="B338" s="138" t="str">
        <f t="shared" si="104"/>
        <v/>
      </c>
      <c r="C338" s="146"/>
      <c r="D338" s="147"/>
      <c r="E338" s="140"/>
      <c r="F338" s="140"/>
      <c r="G338" s="139"/>
      <c r="H338" s="151"/>
      <c r="I338" s="139"/>
      <c r="J338" s="137"/>
      <c r="K338" s="139"/>
      <c r="L338" s="141"/>
      <c r="M338" s="133" t="str">
        <f t="shared" si="105"/>
        <v/>
      </c>
      <c r="N338" s="133" t="str">
        <f t="shared" si="106"/>
        <v/>
      </c>
      <c r="O338" s="133" t="str">
        <f t="shared" si="107"/>
        <v/>
      </c>
      <c r="P338" s="133" t="str">
        <f t="shared" si="108"/>
        <v/>
      </c>
      <c r="Q338" s="133" t="str">
        <f t="shared" si="109"/>
        <v/>
      </c>
      <c r="R338" s="133" t="str">
        <f t="shared" si="110"/>
        <v/>
      </c>
      <c r="S338" s="133" t="str">
        <f t="shared" si="111"/>
        <v/>
      </c>
      <c r="T338" s="133" t="str">
        <f>IFERROR(IF($U338="ERROR","ERROR",IF($N338="00",IF(J338="1-Rate","HH 1RATE",IF(J338="2-Rate","HH 2RATE","")),IFERROR(VLOOKUP(CONCATENATE(N338,Q338,O338,P338),Lookups!$A$2:$E$4557,5,0),VLOOKUP(CONCATENATE(N338,Q338,O338),Lookups!$A$2:$E$4557,5,0)))),"ERROR")</f>
        <v>ERROR</v>
      </c>
      <c r="U338" s="133" t="str">
        <f>IFERROR(IF(NOT($N338="00"),"",VLOOKUP(CONCATENATE(Q338,P338,LOOKUP(2,1/(Lookups!$I$2:$I$11&lt;=E338)/(Lookups!$J$2:$J$11&gt;=Tool!$C$14),Lookups!$K$2:$K$11)),'HH LLFs'!$A$2:$K$500,3,0)),"ERROR")</f>
        <v/>
      </c>
      <c r="V338" s="132">
        <f>Calcs!$I$2</f>
        <v>44377</v>
      </c>
      <c r="W338" s="132">
        <f>Calcs!$I$4</f>
        <v>44592</v>
      </c>
      <c r="X338" s="153" t="str">
        <f>IF(NOT(N338="00"),"",(VLOOKUP(CONCATENATE(Q338,P338,LOOKUP(2,1/(Lookups!$I$2:$I$11&lt;=Multisite!E338)/(Lookups!$J$2:$J$11&gt;=E338),Lookups!$K$2:$K$11)),'HH LLFs'!$A$2:$F$282,6,0)*365)/12)</f>
        <v/>
      </c>
      <c r="Y338" s="153">
        <f t="shared" si="112"/>
        <v>0</v>
      </c>
      <c r="Z338" s="153" t="str">
        <f t="shared" si="121"/>
        <v/>
      </c>
      <c r="AA338" s="153" t="str">
        <f t="shared" si="113"/>
        <v/>
      </c>
      <c r="AB338" s="153" t="str">
        <f t="shared" si="122"/>
        <v/>
      </c>
      <c r="AC338" s="153" t="str">
        <f t="shared" si="114"/>
        <v/>
      </c>
      <c r="AD338" s="153" t="str">
        <f t="shared" si="115"/>
        <v/>
      </c>
      <c r="AE338" s="153" t="str">
        <f t="shared" si="116"/>
        <v/>
      </c>
      <c r="AF338" s="155" t="e">
        <f>LOOKUP(2,1/(Lookups!$I$2:$I$11&lt;=E338)/(Lookups!$J$2:$J$11&gt;=E338),Lookups!$L$2:$L$11)</f>
        <v>#N/A</v>
      </c>
      <c r="AG338" s="142" t="str">
        <f t="shared" si="117"/>
        <v/>
      </c>
      <c r="AH338" s="142" t="str">
        <f t="shared" si="118"/>
        <v/>
      </c>
      <c r="AI338" s="143" t="b">
        <f t="shared" si="123"/>
        <v>0</v>
      </c>
      <c r="AJ338" s="143" t="str">
        <f t="shared" si="119"/>
        <v>Level 1</v>
      </c>
      <c r="AK338" s="142">
        <f t="shared" si="120"/>
        <v>0</v>
      </c>
      <c r="AL338" s="157" t="str">
        <f t="shared" si="128"/>
        <v/>
      </c>
      <c r="AM338" s="144" t="str">
        <f t="shared" si="129"/>
        <v>--FALSE-0</v>
      </c>
      <c r="AN338" s="158" t="str">
        <f t="shared" si="124"/>
        <v/>
      </c>
      <c r="AO338" s="145"/>
      <c r="AP338" s="159" t="str">
        <f>IF($AN338=FALSE,"",IFERROR(INDEX('Flat Rates'!$A$1:$M$3880,MATCH($AM338,'Flat Rates'!$A$1:$A$3880,0),MATCH("Standing Charge",'Flat Rates'!$A$1:$M$1,0))*100,""))</f>
        <v/>
      </c>
      <c r="AQ338" s="148" t="str">
        <f>IF($AN338=FALSE,"",IFERROR((IF(NOT(T338="Unrestricted"),"",INDEX('Flat Rates'!$A$1:$M$3880,MATCH($AM338,'Flat Rates'!$A$1:$A$3880,0),MATCH("Uni/Day Rate",'Flat Rates'!$A$1:$M$1,0)))*100)+H338,""))</f>
        <v/>
      </c>
      <c r="AR338" s="148" t="str">
        <f>IF($AN338=FALSE,"",IFERROR((IF(T338="Unrestricted","",INDEX('Flat Rates'!$A$1:$M$3880,MATCH($AM338,'Flat Rates'!$A$1:$A$3880,0),MATCH("Uni/Day Rate",'Flat Rates'!$A$1:$M$1,0)))*100)+H338,""))</f>
        <v/>
      </c>
      <c r="AS338" s="148" t="str">
        <f>IF($AN338=FALSE,"",IFERROR(IF(INDEX('Flat Rates'!$A$1:$M$3880,MATCH($AM338,'Flat Rates'!$A$1:$A$3880,0),MATCH("Night Unit Rate",'Flat Rates'!$A$1:$M$1,0))=0,"",((INDEX('Flat Rates'!$A$1:$M$3880,MATCH($AM338,'Flat Rates'!$A$1:$A$3880,0),MATCH("Night Unit Rate",'Flat Rates'!$A$1:$M$1,0)))*100)+H338),""))</f>
        <v/>
      </c>
      <c r="AT338" s="148" t="str">
        <f>IF($AN338=FALSE,"",IFERROR(IF(INDEX('Flat Rates'!$A$1:$M$3880,MATCH($AM338,'Flat Rates'!$A$1:$A$3880,0),MATCH("Evening and Weekend Rate",'Flat Rates'!$A$1:$M$1,0))=0,"",((INDEX('Flat Rates'!$A$1:$M$3880,MATCH($AM338,'Flat Rates'!$A$1:$A$3880,0),MATCH("Evening and Weekend Rate",'Flat Rates'!$A$1:$M$1,0)))*100)+H338),""))</f>
        <v/>
      </c>
      <c r="AU338" s="152" t="str">
        <f t="shared" si="125"/>
        <v/>
      </c>
      <c r="AV338" s="152" t="str">
        <f t="shared" si="126"/>
        <v/>
      </c>
      <c r="AW338" s="152" t="str">
        <f t="shared" si="127"/>
        <v/>
      </c>
    </row>
    <row r="339" spans="2:49" ht="15" thickBot="1" x14ac:dyDescent="0.35">
      <c r="B339" s="138" t="str">
        <f t="shared" ref="B339:B402" si="130">SUBSTITUTE(C339," ","")</f>
        <v/>
      </c>
      <c r="C339" s="137"/>
      <c r="D339" s="139"/>
      <c r="E339" s="140"/>
      <c r="F339" s="140"/>
      <c r="G339" s="139"/>
      <c r="H339" s="151"/>
      <c r="I339" s="139"/>
      <c r="J339" s="138"/>
      <c r="K339" s="139"/>
      <c r="L339" s="141"/>
      <c r="M339" s="133" t="str">
        <f t="shared" ref="M339:M402" si="131">CONCATENATE(LEFT(B339,2),LEFT(D339,2),MID(B339,3,3))</f>
        <v/>
      </c>
      <c r="N339" s="133" t="str">
        <f t="shared" ref="N339:N402" si="132">IF(LEFT(B339,2)="01","03",IF(LEFT(B339,2)="02","04",LEFT(B339,2)))</f>
        <v/>
      </c>
      <c r="O339" s="133" t="str">
        <f t="shared" ref="O339:O402" si="133">MID(B339,3,3)</f>
        <v/>
      </c>
      <c r="P339" s="133" t="str">
        <f t="shared" ref="P339:P402" si="134">RIGHT(B339,3)</f>
        <v/>
      </c>
      <c r="Q339" s="133" t="str">
        <f t="shared" ref="Q339:Q402" si="135">LEFT(D339,2)</f>
        <v/>
      </c>
      <c r="R339" s="133" t="str">
        <f t="shared" ref="R339:R402" si="136">MID(D339,3,8)</f>
        <v/>
      </c>
      <c r="S339" s="133" t="str">
        <f t="shared" ref="S339:S402" si="137">RIGHT(D339,3)</f>
        <v/>
      </c>
      <c r="T339" s="133" t="str">
        <f>IFERROR(IF($U339="ERROR","ERROR",IF($N339="00",IF(J339="1-Rate","HH 1RATE",IF(J339="2-Rate","HH 2RATE","")),IFERROR(VLOOKUP(CONCATENATE(N339,Q339,O339,P339),Lookups!$A$2:$E$4557,5,0),VLOOKUP(CONCATENATE(N339,Q339,O339),Lookups!$A$2:$E$4557,5,0)))),"ERROR")</f>
        <v>ERROR</v>
      </c>
      <c r="U339" s="133" t="str">
        <f>IFERROR(IF(NOT($N339="00"),"",VLOOKUP(CONCATENATE(Q339,P339,LOOKUP(2,1/(Lookups!$I$2:$I$11&lt;=E339)/(Lookups!$J$2:$J$11&gt;=Tool!$C$14),Lookups!$K$2:$K$11)),'HH LLFs'!$A$2:$K$500,3,0)),"ERROR")</f>
        <v/>
      </c>
      <c r="V339" s="132">
        <f>Calcs!$I$2</f>
        <v>44377</v>
      </c>
      <c r="W339" s="132">
        <f>Calcs!$I$4</f>
        <v>44592</v>
      </c>
      <c r="X339" s="153" t="str">
        <f>IF(NOT(N339="00"),"",(VLOOKUP(CONCATENATE(Q339,P339,LOOKUP(2,1/(Lookups!$I$2:$I$11&lt;=Multisite!E339)/(Lookups!$J$2:$J$11&gt;=E339),Lookups!$K$2:$K$11)),'HH LLFs'!$A$2:$F$282,6,0)*365)/12)</f>
        <v/>
      </c>
      <c r="Y339" s="153">
        <f t="shared" ref="Y339:Y402" si="138">K339</f>
        <v>0</v>
      </c>
      <c r="Z339" s="153" t="str">
        <f t="shared" si="121"/>
        <v/>
      </c>
      <c r="AA339" s="153" t="str">
        <f t="shared" ref="AA339:AA402" si="139">IFERROR(((AQ339*I339)/100),"")</f>
        <v/>
      </c>
      <c r="AB339" s="153" t="str">
        <f t="shared" si="122"/>
        <v/>
      </c>
      <c r="AC339" s="153" t="str">
        <f t="shared" ref="AC339:AC402" si="140">IFERROR((IF(T339="E7",((AS339*I339)*0.3),IF(T339="3-Rate",((AS339*I339)*0.2),IF(T339="HH 2RATE",((AS339*I339)*0.3),"")))/100),"")</f>
        <v/>
      </c>
      <c r="AD339" s="153" t="str">
        <f t="shared" ref="AD339:AD402" si="141">IFERROR((IF(T339="EW",((AT339*I339)*0.4),IF(T339="3-Rate",((AT339*I339)*0.2),""))/100),"")</f>
        <v/>
      </c>
      <c r="AE339" s="153" t="str">
        <f t="shared" ref="AE339:AE402" si="142">IF(Z339="","",IF(T339="3 Rate Half Hourly","",SUM(Z339:AD339,AW339)))</f>
        <v/>
      </c>
      <c r="AF339" s="155" t="e">
        <f>LOOKUP(2,1/(Lookups!$I$2:$I$11&lt;=E339)/(Lookups!$J$2:$J$11&gt;=E339),Lookups!$L$2:$L$11)</f>
        <v>#N/A</v>
      </c>
      <c r="AG339" s="142" t="str">
        <f t="shared" ref="AG339:AG402" si="143">Q339</f>
        <v/>
      </c>
      <c r="AH339" s="142" t="str">
        <f t="shared" ref="AH339:AH402" si="144">IF(E339&gt;W339,"",RIGHT(N339,1))</f>
        <v/>
      </c>
      <c r="AI339" s="143" t="b">
        <f t="shared" si="123"/>
        <v>0</v>
      </c>
      <c r="AJ339" s="143" t="str">
        <f t="shared" ref="AJ339:AJ402" si="145">IF($E339&lt;=$V339,"Level 1",IF($E339&lt;=$W339,"Level 2",""))</f>
        <v>Level 1</v>
      </c>
      <c r="AK339" s="142">
        <f t="shared" ref="AK339:AK402" si="146">IF($G339="SmartFIX – 1 Year","SmartFIX – 1 Year",IF($G339="SmartFIX – 2 Year","SmartFIX – 2 Year",IF($G339="SmartFIX – 3 Year","SmartFIX – 3 Year",IF($G339="SmartPAY12","SmartPAY12",IF($G339="SmartPAY24","SmartPAY24",IF($G339="SmartPAY36","SmartPAY36",IF($G339="SmartFIX – 5 Year","SmartFIX – 5 Year",IF($G339="SmartTRACKER","SmartTRACKER",IF($G339="SmartTRACKER","SmartTRACKER",)))))))))</f>
        <v>0</v>
      </c>
      <c r="AL339" s="157" t="str">
        <f t="shared" si="128"/>
        <v/>
      </c>
      <c r="AM339" s="144" t="str">
        <f t="shared" si="129"/>
        <v>--FALSE-0</v>
      </c>
      <c r="AN339" s="158" t="str">
        <f t="shared" si="124"/>
        <v/>
      </c>
      <c r="AO339" s="145"/>
      <c r="AP339" s="159" t="str">
        <f>IF($AN339=FALSE,"",IFERROR(INDEX('Flat Rates'!$A$1:$M$3880,MATCH($AM339,'Flat Rates'!$A$1:$A$3880,0),MATCH("Standing Charge",'Flat Rates'!$A$1:$M$1,0))*100,""))</f>
        <v/>
      </c>
      <c r="AQ339" s="148" t="str">
        <f>IF($AN339=FALSE,"",IFERROR((IF(NOT(T339="Unrestricted"),"",INDEX('Flat Rates'!$A$1:$M$3880,MATCH($AM339,'Flat Rates'!$A$1:$A$3880,0),MATCH("Uni/Day Rate",'Flat Rates'!$A$1:$M$1,0)))*100)+H339,""))</f>
        <v/>
      </c>
      <c r="AR339" s="148" t="str">
        <f>IF($AN339=FALSE,"",IFERROR((IF(T339="Unrestricted","",INDEX('Flat Rates'!$A$1:$M$3880,MATCH($AM339,'Flat Rates'!$A$1:$A$3880,0),MATCH("Uni/Day Rate",'Flat Rates'!$A$1:$M$1,0)))*100)+H339,""))</f>
        <v/>
      </c>
      <c r="AS339" s="148" t="str">
        <f>IF($AN339=FALSE,"",IFERROR(IF(INDEX('Flat Rates'!$A$1:$M$3880,MATCH($AM339,'Flat Rates'!$A$1:$A$3880,0),MATCH("Night Unit Rate",'Flat Rates'!$A$1:$M$1,0))=0,"",((INDEX('Flat Rates'!$A$1:$M$3880,MATCH($AM339,'Flat Rates'!$A$1:$A$3880,0),MATCH("Night Unit Rate",'Flat Rates'!$A$1:$M$1,0)))*100)+H339),""))</f>
        <v/>
      </c>
      <c r="AT339" s="148" t="str">
        <f>IF($AN339=FALSE,"",IFERROR(IF(INDEX('Flat Rates'!$A$1:$M$3880,MATCH($AM339,'Flat Rates'!$A$1:$A$3880,0),MATCH("Evening and Weekend Rate",'Flat Rates'!$A$1:$M$1,0))=0,"",((INDEX('Flat Rates'!$A$1:$M$3880,MATCH($AM339,'Flat Rates'!$A$1:$A$3880,0),MATCH("Evening and Weekend Rate",'Flat Rates'!$A$1:$M$1,0)))*100)+H339),""))</f>
        <v/>
      </c>
      <c r="AU339" s="152" t="str">
        <f t="shared" si="125"/>
        <v/>
      </c>
      <c r="AV339" s="152" t="str">
        <f t="shared" si="126"/>
        <v/>
      </c>
      <c r="AW339" s="152" t="str">
        <f t="shared" si="127"/>
        <v/>
      </c>
    </row>
    <row r="340" spans="2:49" ht="15" thickBot="1" x14ac:dyDescent="0.35">
      <c r="B340" s="138" t="str">
        <f t="shared" si="130"/>
        <v/>
      </c>
      <c r="C340" s="146"/>
      <c r="D340" s="147"/>
      <c r="E340" s="140"/>
      <c r="F340" s="140"/>
      <c r="G340" s="139"/>
      <c r="H340" s="151"/>
      <c r="I340" s="139"/>
      <c r="J340" s="137"/>
      <c r="K340" s="139"/>
      <c r="L340" s="141"/>
      <c r="M340" s="133" t="str">
        <f t="shared" si="131"/>
        <v/>
      </c>
      <c r="N340" s="133" t="str">
        <f t="shared" si="132"/>
        <v/>
      </c>
      <c r="O340" s="133" t="str">
        <f t="shared" si="133"/>
        <v/>
      </c>
      <c r="P340" s="133" t="str">
        <f t="shared" si="134"/>
        <v/>
      </c>
      <c r="Q340" s="133" t="str">
        <f t="shared" si="135"/>
        <v/>
      </c>
      <c r="R340" s="133" t="str">
        <f t="shared" si="136"/>
        <v/>
      </c>
      <c r="S340" s="133" t="str">
        <f t="shared" si="137"/>
        <v/>
      </c>
      <c r="T340" s="133" t="str">
        <f>IFERROR(IF($U340="ERROR","ERROR",IF($N340="00",IF(J340="1-Rate","HH 1RATE",IF(J340="2-Rate","HH 2RATE","")),IFERROR(VLOOKUP(CONCATENATE(N340,Q340,O340,P340),Lookups!$A$2:$E$4557,5,0),VLOOKUP(CONCATENATE(N340,Q340,O340),Lookups!$A$2:$E$4557,5,0)))),"ERROR")</f>
        <v>ERROR</v>
      </c>
      <c r="U340" s="133" t="str">
        <f>IFERROR(IF(NOT($N340="00"),"",VLOOKUP(CONCATENATE(Q340,P340,LOOKUP(2,1/(Lookups!$I$2:$I$11&lt;=E340)/(Lookups!$J$2:$J$11&gt;=Tool!$C$14),Lookups!$K$2:$K$11)),'HH LLFs'!$A$2:$K$500,3,0)),"ERROR")</f>
        <v/>
      </c>
      <c r="V340" s="132">
        <f>Calcs!$I$2</f>
        <v>44377</v>
      </c>
      <c r="W340" s="132">
        <f>Calcs!$I$4</f>
        <v>44592</v>
      </c>
      <c r="X340" s="153" t="str">
        <f>IF(NOT(N340="00"),"",(VLOOKUP(CONCATENATE(Q340,P340,LOOKUP(2,1/(Lookups!$I$2:$I$11&lt;=Multisite!E340)/(Lookups!$J$2:$J$11&gt;=E340),Lookups!$K$2:$K$11)),'HH LLFs'!$A$2:$F$282,6,0)*365)/12)</f>
        <v/>
      </c>
      <c r="Y340" s="153">
        <f t="shared" si="138"/>
        <v>0</v>
      </c>
      <c r="Z340" s="153" t="str">
        <f t="shared" ref="Z340:Z403" si="147">IFERROR(((IF(I340="3 `Rate Half Hourly","",AP340*365)/100)),"")</f>
        <v/>
      </c>
      <c r="AA340" s="153" t="str">
        <f t="shared" si="139"/>
        <v/>
      </c>
      <c r="AB340" s="153" t="str">
        <f t="shared" ref="AB340:AB403" si="148">IFERROR((IF(T340="E7",((AR340*I340)*0.7),IF(T340="EW",((AR340*I340)*0.6),IF(T340="3-Rate",((AR340*I340)*0.6),IF(T340="HH 2RATE",((AR340*I340)*0.7),IF(T340="HH 1RATE",(AR340*I340),"")))))/100),"")</f>
        <v/>
      </c>
      <c r="AC340" s="153" t="str">
        <f t="shared" si="140"/>
        <v/>
      </c>
      <c r="AD340" s="153" t="str">
        <f t="shared" si="141"/>
        <v/>
      </c>
      <c r="AE340" s="153" t="str">
        <f t="shared" si="142"/>
        <v/>
      </c>
      <c r="AF340" s="155" t="e">
        <f>LOOKUP(2,1/(Lookups!$I$2:$I$11&lt;=E340)/(Lookups!$J$2:$J$11&gt;=E340),Lookups!$L$2:$L$11)</f>
        <v>#N/A</v>
      </c>
      <c r="AG340" s="142" t="str">
        <f t="shared" si="143"/>
        <v/>
      </c>
      <c r="AH340" s="142" t="str">
        <f t="shared" si="144"/>
        <v/>
      </c>
      <c r="AI340" s="143" t="b">
        <f t="shared" ref="AI340:AI403" si="149">IF(T340="Unrestricted","U",IF(T340="E7","E7",IF(T340="EW","EW",IF(T340="3-Rate","3RATE",IF(T340="3 Rate Half Hourly","TOU",IF(T340="HH 2RATE",CONCATENATE("HH 2RATE ",U340),IF(T340="HH 1RATE",CONCATENATE("HH 1RATE ",U340))))))))</f>
        <v>0</v>
      </c>
      <c r="AJ340" s="143" t="str">
        <f t="shared" si="145"/>
        <v>Level 1</v>
      </c>
      <c r="AK340" s="142">
        <f t="shared" si="146"/>
        <v>0</v>
      </c>
      <c r="AL340" s="157" t="str">
        <f t="shared" si="128"/>
        <v/>
      </c>
      <c r="AM340" s="144" t="str">
        <f t="shared" si="129"/>
        <v>--FALSE-0</v>
      </c>
      <c r="AN340" s="158" t="str">
        <f t="shared" ref="AN340:AN403" si="150">IFERROR(CHOOSE(IF(OR(F340="Acquisition",F340="Renewal"),1,0)+IF(OR(F340="Smartpay",F340="Smartpay_Renewal"),2,0),IF(OR(ISNUMBER(SEARCH("fix",G340)),ISNUMBER(SEARCH("Tracker",G340))),TRUE,FALSE),IF(ISNUMBER(SEARCH("pay",G340)),TRUE,FALSE)),"")</f>
        <v/>
      </c>
      <c r="AO340" s="145"/>
      <c r="AP340" s="159" t="str">
        <f>IF($AN340=FALSE,"",IFERROR(INDEX('Flat Rates'!$A$1:$M$3880,MATCH($AM340,'Flat Rates'!$A$1:$A$3880,0),MATCH("Standing Charge",'Flat Rates'!$A$1:$M$1,0))*100,""))</f>
        <v/>
      </c>
      <c r="AQ340" s="148" t="str">
        <f>IF($AN340=FALSE,"",IFERROR((IF(NOT(T340="Unrestricted"),"",INDEX('Flat Rates'!$A$1:$M$3880,MATCH($AM340,'Flat Rates'!$A$1:$A$3880,0),MATCH("Uni/Day Rate",'Flat Rates'!$A$1:$M$1,0)))*100)+H340,""))</f>
        <v/>
      </c>
      <c r="AR340" s="148" t="str">
        <f>IF($AN340=FALSE,"",IFERROR((IF(T340="Unrestricted","",INDEX('Flat Rates'!$A$1:$M$3880,MATCH($AM340,'Flat Rates'!$A$1:$A$3880,0),MATCH("Uni/Day Rate",'Flat Rates'!$A$1:$M$1,0)))*100)+H340,""))</f>
        <v/>
      </c>
      <c r="AS340" s="148" t="str">
        <f>IF($AN340=FALSE,"",IFERROR(IF(INDEX('Flat Rates'!$A$1:$M$3880,MATCH($AM340,'Flat Rates'!$A$1:$A$3880,0),MATCH("Night Unit Rate",'Flat Rates'!$A$1:$M$1,0))=0,"",((INDEX('Flat Rates'!$A$1:$M$3880,MATCH($AM340,'Flat Rates'!$A$1:$A$3880,0),MATCH("Night Unit Rate",'Flat Rates'!$A$1:$M$1,0)))*100)+H340),""))</f>
        <v/>
      </c>
      <c r="AT340" s="148" t="str">
        <f>IF($AN340=FALSE,"",IFERROR(IF(INDEX('Flat Rates'!$A$1:$M$3880,MATCH($AM340,'Flat Rates'!$A$1:$A$3880,0),MATCH("Evening and Weekend Rate",'Flat Rates'!$A$1:$M$1,0))=0,"",((INDEX('Flat Rates'!$A$1:$M$3880,MATCH($AM340,'Flat Rates'!$A$1:$A$3880,0),MATCH("Evening and Weekend Rate",'Flat Rates'!$A$1:$M$1,0)))*100)+H340),""))</f>
        <v/>
      </c>
      <c r="AU340" s="152" t="str">
        <f t="shared" ref="AU340:AU403" si="151">IF($AN340=FALSE,"",IF(I340="","",AE340))</f>
        <v/>
      </c>
      <c r="AV340" s="152" t="str">
        <f t="shared" ref="AV340:AV403" si="152">IF($AN340=FALSE,"",IF(AU340="","",IF(I340&lt;12000,((AE340*1.05)/12),(((I340*AF340)+AE340)*1.2)/12)))</f>
        <v/>
      </c>
      <c r="AW340" s="152" t="str">
        <f t="shared" ref="AW340:AW403" si="153">IF($AN340=FALSE,"",IF(NOT(N340="00"),"",IFERROR(((X340/100)*Y340)*12,"")))</f>
        <v/>
      </c>
    </row>
    <row r="341" spans="2:49" ht="15" thickBot="1" x14ac:dyDescent="0.35">
      <c r="B341" s="138" t="str">
        <f t="shared" si="130"/>
        <v/>
      </c>
      <c r="C341" s="137"/>
      <c r="D341" s="139"/>
      <c r="E341" s="140"/>
      <c r="F341" s="140"/>
      <c r="G341" s="139"/>
      <c r="H341" s="151"/>
      <c r="I341" s="139"/>
      <c r="J341" s="138"/>
      <c r="K341" s="139"/>
      <c r="L341" s="141"/>
      <c r="M341" s="133" t="str">
        <f t="shared" si="131"/>
        <v/>
      </c>
      <c r="N341" s="133" t="str">
        <f t="shared" si="132"/>
        <v/>
      </c>
      <c r="O341" s="133" t="str">
        <f t="shared" si="133"/>
        <v/>
      </c>
      <c r="P341" s="133" t="str">
        <f t="shared" si="134"/>
        <v/>
      </c>
      <c r="Q341" s="133" t="str">
        <f t="shared" si="135"/>
        <v/>
      </c>
      <c r="R341" s="133" t="str">
        <f t="shared" si="136"/>
        <v/>
      </c>
      <c r="S341" s="133" t="str">
        <f t="shared" si="137"/>
        <v/>
      </c>
      <c r="T341" s="133" t="str">
        <f>IFERROR(IF($U341="ERROR","ERROR",IF($N341="00",IF(J341="1-Rate","HH 1RATE",IF(J341="2-Rate","HH 2RATE","")),IFERROR(VLOOKUP(CONCATENATE(N341,Q341,O341,P341),Lookups!$A$2:$E$4557,5,0),VLOOKUP(CONCATENATE(N341,Q341,O341),Lookups!$A$2:$E$4557,5,0)))),"ERROR")</f>
        <v>ERROR</v>
      </c>
      <c r="U341" s="133" t="str">
        <f>IFERROR(IF(NOT($N341="00"),"",VLOOKUP(CONCATENATE(Q341,P341,LOOKUP(2,1/(Lookups!$I$2:$I$11&lt;=E341)/(Lookups!$J$2:$J$11&gt;=Tool!$C$14),Lookups!$K$2:$K$11)),'HH LLFs'!$A$2:$K$500,3,0)),"ERROR")</f>
        <v/>
      </c>
      <c r="V341" s="132">
        <f>Calcs!$I$2</f>
        <v>44377</v>
      </c>
      <c r="W341" s="132">
        <f>Calcs!$I$4</f>
        <v>44592</v>
      </c>
      <c r="X341" s="153" t="str">
        <f>IF(NOT(N341="00"),"",(VLOOKUP(CONCATENATE(Q341,P341,LOOKUP(2,1/(Lookups!$I$2:$I$11&lt;=Multisite!E341)/(Lookups!$J$2:$J$11&gt;=E341),Lookups!$K$2:$K$11)),'HH LLFs'!$A$2:$F$282,6,0)*365)/12)</f>
        <v/>
      </c>
      <c r="Y341" s="153">
        <f t="shared" si="138"/>
        <v>0</v>
      </c>
      <c r="Z341" s="153" t="str">
        <f t="shared" si="147"/>
        <v/>
      </c>
      <c r="AA341" s="153" t="str">
        <f t="shared" si="139"/>
        <v/>
      </c>
      <c r="AB341" s="153" t="str">
        <f t="shared" si="148"/>
        <v/>
      </c>
      <c r="AC341" s="153" t="str">
        <f t="shared" si="140"/>
        <v/>
      </c>
      <c r="AD341" s="153" t="str">
        <f t="shared" si="141"/>
        <v/>
      </c>
      <c r="AE341" s="153" t="str">
        <f t="shared" si="142"/>
        <v/>
      </c>
      <c r="AF341" s="155" t="e">
        <f>LOOKUP(2,1/(Lookups!$I$2:$I$11&lt;=E341)/(Lookups!$J$2:$J$11&gt;=E341),Lookups!$L$2:$L$11)</f>
        <v>#N/A</v>
      </c>
      <c r="AG341" s="142" t="str">
        <f t="shared" si="143"/>
        <v/>
      </c>
      <c r="AH341" s="142" t="str">
        <f t="shared" si="144"/>
        <v/>
      </c>
      <c r="AI341" s="143" t="b">
        <f t="shared" si="149"/>
        <v>0</v>
      </c>
      <c r="AJ341" s="143" t="str">
        <f t="shared" si="145"/>
        <v>Level 1</v>
      </c>
      <c r="AK341" s="142">
        <f t="shared" si="146"/>
        <v>0</v>
      </c>
      <c r="AL341" s="157" t="str">
        <f t="shared" ref="AL341:AL404" si="154">IF(F341="Renewal"," Renewal",IF(F341="Smartpay_Renewal","_Renewal",""))</f>
        <v/>
      </c>
      <c r="AM341" s="144" t="str">
        <f t="shared" ref="AM341:AM404" si="155">IF(NOT($AI341="TOU"),CONCATENATE($AG341,"-",$AH341,"-",$AI341,"-",$AK341,$AL341,IF(AJ341="Level 2",CONCATENATE(" (",AJ341,")"),"")),CONCATENATE($AG341,"-",$AH341,"-",$AI341,"-",$AK341,$AL341,IF(AJ341="Level 2",CONCATENATE(" (",AJ341,")"),"")))</f>
        <v>--FALSE-0</v>
      </c>
      <c r="AN341" s="158" t="str">
        <f t="shared" si="150"/>
        <v/>
      </c>
      <c r="AO341" s="145"/>
      <c r="AP341" s="159" t="str">
        <f>IF($AN341=FALSE,"",IFERROR(INDEX('Flat Rates'!$A$1:$M$3880,MATCH($AM341,'Flat Rates'!$A$1:$A$3880,0),MATCH("Standing Charge",'Flat Rates'!$A$1:$M$1,0))*100,""))</f>
        <v/>
      </c>
      <c r="AQ341" s="148" t="str">
        <f>IF($AN341=FALSE,"",IFERROR((IF(NOT(T341="Unrestricted"),"",INDEX('Flat Rates'!$A$1:$M$3880,MATCH($AM341,'Flat Rates'!$A$1:$A$3880,0),MATCH("Uni/Day Rate",'Flat Rates'!$A$1:$M$1,0)))*100)+H341,""))</f>
        <v/>
      </c>
      <c r="AR341" s="148" t="str">
        <f>IF($AN341=FALSE,"",IFERROR((IF(T341="Unrestricted","",INDEX('Flat Rates'!$A$1:$M$3880,MATCH($AM341,'Flat Rates'!$A$1:$A$3880,0),MATCH("Uni/Day Rate",'Flat Rates'!$A$1:$M$1,0)))*100)+H341,""))</f>
        <v/>
      </c>
      <c r="AS341" s="148" t="str">
        <f>IF($AN341=FALSE,"",IFERROR(IF(INDEX('Flat Rates'!$A$1:$M$3880,MATCH($AM341,'Flat Rates'!$A$1:$A$3880,0),MATCH("Night Unit Rate",'Flat Rates'!$A$1:$M$1,0))=0,"",((INDEX('Flat Rates'!$A$1:$M$3880,MATCH($AM341,'Flat Rates'!$A$1:$A$3880,0),MATCH("Night Unit Rate",'Flat Rates'!$A$1:$M$1,0)))*100)+H341),""))</f>
        <v/>
      </c>
      <c r="AT341" s="148" t="str">
        <f>IF($AN341=FALSE,"",IFERROR(IF(INDEX('Flat Rates'!$A$1:$M$3880,MATCH($AM341,'Flat Rates'!$A$1:$A$3880,0),MATCH("Evening and Weekend Rate",'Flat Rates'!$A$1:$M$1,0))=0,"",((INDEX('Flat Rates'!$A$1:$M$3880,MATCH($AM341,'Flat Rates'!$A$1:$A$3880,0),MATCH("Evening and Weekend Rate",'Flat Rates'!$A$1:$M$1,0)))*100)+H341),""))</f>
        <v/>
      </c>
      <c r="AU341" s="152" t="str">
        <f t="shared" si="151"/>
        <v/>
      </c>
      <c r="AV341" s="152" t="str">
        <f t="shared" si="152"/>
        <v/>
      </c>
      <c r="AW341" s="152" t="str">
        <f t="shared" si="153"/>
        <v/>
      </c>
    </row>
    <row r="342" spans="2:49" ht="15" thickBot="1" x14ac:dyDescent="0.35">
      <c r="B342" s="138" t="str">
        <f t="shared" si="130"/>
        <v/>
      </c>
      <c r="C342" s="146"/>
      <c r="D342" s="147"/>
      <c r="E342" s="140"/>
      <c r="F342" s="140"/>
      <c r="G342" s="139"/>
      <c r="H342" s="151"/>
      <c r="I342" s="139"/>
      <c r="J342" s="137"/>
      <c r="K342" s="139"/>
      <c r="L342" s="141"/>
      <c r="M342" s="133" t="str">
        <f t="shared" si="131"/>
        <v/>
      </c>
      <c r="N342" s="133" t="str">
        <f t="shared" si="132"/>
        <v/>
      </c>
      <c r="O342" s="133" t="str">
        <f t="shared" si="133"/>
        <v/>
      </c>
      <c r="P342" s="133" t="str">
        <f t="shared" si="134"/>
        <v/>
      </c>
      <c r="Q342" s="133" t="str">
        <f t="shared" si="135"/>
        <v/>
      </c>
      <c r="R342" s="133" t="str">
        <f t="shared" si="136"/>
        <v/>
      </c>
      <c r="S342" s="133" t="str">
        <f t="shared" si="137"/>
        <v/>
      </c>
      <c r="T342" s="133" t="str">
        <f>IFERROR(IF($U342="ERROR","ERROR",IF($N342="00",IF(J342="1-Rate","HH 1RATE",IF(J342="2-Rate","HH 2RATE","")),IFERROR(VLOOKUP(CONCATENATE(N342,Q342,O342,P342),Lookups!$A$2:$E$4557,5,0),VLOOKUP(CONCATENATE(N342,Q342,O342),Lookups!$A$2:$E$4557,5,0)))),"ERROR")</f>
        <v>ERROR</v>
      </c>
      <c r="U342" s="133" t="str">
        <f>IFERROR(IF(NOT($N342="00"),"",VLOOKUP(CONCATENATE(Q342,P342,LOOKUP(2,1/(Lookups!$I$2:$I$11&lt;=E342)/(Lookups!$J$2:$J$11&gt;=Tool!$C$14),Lookups!$K$2:$K$11)),'HH LLFs'!$A$2:$K$500,3,0)),"ERROR")</f>
        <v/>
      </c>
      <c r="V342" s="132">
        <f>Calcs!$I$2</f>
        <v>44377</v>
      </c>
      <c r="W342" s="132">
        <f>Calcs!$I$4</f>
        <v>44592</v>
      </c>
      <c r="X342" s="153" t="str">
        <f>IF(NOT(N342="00"),"",(VLOOKUP(CONCATENATE(Q342,P342,LOOKUP(2,1/(Lookups!$I$2:$I$11&lt;=Multisite!E342)/(Lookups!$J$2:$J$11&gt;=E342),Lookups!$K$2:$K$11)),'HH LLFs'!$A$2:$F$282,6,0)*365)/12)</f>
        <v/>
      </c>
      <c r="Y342" s="153">
        <f t="shared" si="138"/>
        <v>0</v>
      </c>
      <c r="Z342" s="153" t="str">
        <f t="shared" si="147"/>
        <v/>
      </c>
      <c r="AA342" s="153" t="str">
        <f t="shared" si="139"/>
        <v/>
      </c>
      <c r="AB342" s="153" t="str">
        <f t="shared" si="148"/>
        <v/>
      </c>
      <c r="AC342" s="153" t="str">
        <f t="shared" si="140"/>
        <v/>
      </c>
      <c r="AD342" s="153" t="str">
        <f t="shared" si="141"/>
        <v/>
      </c>
      <c r="AE342" s="153" t="str">
        <f t="shared" si="142"/>
        <v/>
      </c>
      <c r="AF342" s="155" t="e">
        <f>LOOKUP(2,1/(Lookups!$I$2:$I$11&lt;=E342)/(Lookups!$J$2:$J$11&gt;=E342),Lookups!$L$2:$L$11)</f>
        <v>#N/A</v>
      </c>
      <c r="AG342" s="142" t="str">
        <f t="shared" si="143"/>
        <v/>
      </c>
      <c r="AH342" s="142" t="str">
        <f t="shared" si="144"/>
        <v/>
      </c>
      <c r="AI342" s="143" t="b">
        <f t="shared" si="149"/>
        <v>0</v>
      </c>
      <c r="AJ342" s="143" t="str">
        <f t="shared" si="145"/>
        <v>Level 1</v>
      </c>
      <c r="AK342" s="142">
        <f t="shared" si="146"/>
        <v>0</v>
      </c>
      <c r="AL342" s="157" t="str">
        <f t="shared" si="154"/>
        <v/>
      </c>
      <c r="AM342" s="144" t="str">
        <f t="shared" si="155"/>
        <v>--FALSE-0</v>
      </c>
      <c r="AN342" s="158" t="str">
        <f t="shared" si="150"/>
        <v/>
      </c>
      <c r="AO342" s="145"/>
      <c r="AP342" s="159" t="str">
        <f>IF($AN342=FALSE,"",IFERROR(INDEX('Flat Rates'!$A$1:$M$3880,MATCH($AM342,'Flat Rates'!$A$1:$A$3880,0),MATCH("Standing Charge",'Flat Rates'!$A$1:$M$1,0))*100,""))</f>
        <v/>
      </c>
      <c r="AQ342" s="148" t="str">
        <f>IF($AN342=FALSE,"",IFERROR((IF(NOT(T342="Unrestricted"),"",INDEX('Flat Rates'!$A$1:$M$3880,MATCH($AM342,'Flat Rates'!$A$1:$A$3880,0),MATCH("Uni/Day Rate",'Flat Rates'!$A$1:$M$1,0)))*100)+H342,""))</f>
        <v/>
      </c>
      <c r="AR342" s="148" t="str">
        <f>IF($AN342=FALSE,"",IFERROR((IF(T342="Unrestricted","",INDEX('Flat Rates'!$A$1:$M$3880,MATCH($AM342,'Flat Rates'!$A$1:$A$3880,0),MATCH("Uni/Day Rate",'Flat Rates'!$A$1:$M$1,0)))*100)+H342,""))</f>
        <v/>
      </c>
      <c r="AS342" s="148" t="str">
        <f>IF($AN342=FALSE,"",IFERROR(IF(INDEX('Flat Rates'!$A$1:$M$3880,MATCH($AM342,'Flat Rates'!$A$1:$A$3880,0),MATCH("Night Unit Rate",'Flat Rates'!$A$1:$M$1,0))=0,"",((INDEX('Flat Rates'!$A$1:$M$3880,MATCH($AM342,'Flat Rates'!$A$1:$A$3880,0),MATCH("Night Unit Rate",'Flat Rates'!$A$1:$M$1,0)))*100)+H342),""))</f>
        <v/>
      </c>
      <c r="AT342" s="148" t="str">
        <f>IF($AN342=FALSE,"",IFERROR(IF(INDEX('Flat Rates'!$A$1:$M$3880,MATCH($AM342,'Flat Rates'!$A$1:$A$3880,0),MATCH("Evening and Weekend Rate",'Flat Rates'!$A$1:$M$1,0))=0,"",((INDEX('Flat Rates'!$A$1:$M$3880,MATCH($AM342,'Flat Rates'!$A$1:$A$3880,0),MATCH("Evening and Weekend Rate",'Flat Rates'!$A$1:$M$1,0)))*100)+H342),""))</f>
        <v/>
      </c>
      <c r="AU342" s="152" t="str">
        <f t="shared" si="151"/>
        <v/>
      </c>
      <c r="AV342" s="152" t="str">
        <f t="shared" si="152"/>
        <v/>
      </c>
      <c r="AW342" s="152" t="str">
        <f t="shared" si="153"/>
        <v/>
      </c>
    </row>
    <row r="343" spans="2:49" ht="15" thickBot="1" x14ac:dyDescent="0.35">
      <c r="B343" s="138" t="str">
        <f t="shared" si="130"/>
        <v/>
      </c>
      <c r="C343" s="137"/>
      <c r="D343" s="139"/>
      <c r="E343" s="140"/>
      <c r="F343" s="140"/>
      <c r="G343" s="139"/>
      <c r="H343" s="151"/>
      <c r="I343" s="139"/>
      <c r="J343" s="138"/>
      <c r="K343" s="139"/>
      <c r="L343" s="141"/>
      <c r="M343" s="133" t="str">
        <f t="shared" si="131"/>
        <v/>
      </c>
      <c r="N343" s="133" t="str">
        <f t="shared" si="132"/>
        <v/>
      </c>
      <c r="O343" s="133" t="str">
        <f t="shared" si="133"/>
        <v/>
      </c>
      <c r="P343" s="133" t="str">
        <f t="shared" si="134"/>
        <v/>
      </c>
      <c r="Q343" s="133" t="str">
        <f t="shared" si="135"/>
        <v/>
      </c>
      <c r="R343" s="133" t="str">
        <f t="shared" si="136"/>
        <v/>
      </c>
      <c r="S343" s="133" t="str">
        <f t="shared" si="137"/>
        <v/>
      </c>
      <c r="T343" s="133" t="str">
        <f>IFERROR(IF($U343="ERROR","ERROR",IF($N343="00",IF(J343="1-Rate","HH 1RATE",IF(J343="2-Rate","HH 2RATE","")),IFERROR(VLOOKUP(CONCATENATE(N343,Q343,O343,P343),Lookups!$A$2:$E$4557,5,0),VLOOKUP(CONCATENATE(N343,Q343,O343),Lookups!$A$2:$E$4557,5,0)))),"ERROR")</f>
        <v>ERROR</v>
      </c>
      <c r="U343" s="133" t="str">
        <f>IFERROR(IF(NOT($N343="00"),"",VLOOKUP(CONCATENATE(Q343,P343,LOOKUP(2,1/(Lookups!$I$2:$I$11&lt;=E343)/(Lookups!$J$2:$J$11&gt;=Tool!$C$14),Lookups!$K$2:$K$11)),'HH LLFs'!$A$2:$K$500,3,0)),"ERROR")</f>
        <v/>
      </c>
      <c r="V343" s="132">
        <f>Calcs!$I$2</f>
        <v>44377</v>
      </c>
      <c r="W343" s="132">
        <f>Calcs!$I$4</f>
        <v>44592</v>
      </c>
      <c r="X343" s="153" t="str">
        <f>IF(NOT(N343="00"),"",(VLOOKUP(CONCATENATE(Q343,P343,LOOKUP(2,1/(Lookups!$I$2:$I$11&lt;=Multisite!E343)/(Lookups!$J$2:$J$11&gt;=E343),Lookups!$K$2:$K$11)),'HH LLFs'!$A$2:$F$282,6,0)*365)/12)</f>
        <v/>
      </c>
      <c r="Y343" s="153">
        <f t="shared" si="138"/>
        <v>0</v>
      </c>
      <c r="Z343" s="153" t="str">
        <f t="shared" si="147"/>
        <v/>
      </c>
      <c r="AA343" s="153" t="str">
        <f t="shared" si="139"/>
        <v/>
      </c>
      <c r="AB343" s="153" t="str">
        <f t="shared" si="148"/>
        <v/>
      </c>
      <c r="AC343" s="153" t="str">
        <f t="shared" si="140"/>
        <v/>
      </c>
      <c r="AD343" s="153" t="str">
        <f t="shared" si="141"/>
        <v/>
      </c>
      <c r="AE343" s="153" t="str">
        <f t="shared" si="142"/>
        <v/>
      </c>
      <c r="AF343" s="155" t="e">
        <f>LOOKUP(2,1/(Lookups!$I$2:$I$11&lt;=E343)/(Lookups!$J$2:$J$11&gt;=E343),Lookups!$L$2:$L$11)</f>
        <v>#N/A</v>
      </c>
      <c r="AG343" s="142" t="str">
        <f t="shared" si="143"/>
        <v/>
      </c>
      <c r="AH343" s="142" t="str">
        <f t="shared" si="144"/>
        <v/>
      </c>
      <c r="AI343" s="143" t="b">
        <f t="shared" si="149"/>
        <v>0</v>
      </c>
      <c r="AJ343" s="143" t="str">
        <f t="shared" si="145"/>
        <v>Level 1</v>
      </c>
      <c r="AK343" s="142">
        <f t="shared" si="146"/>
        <v>0</v>
      </c>
      <c r="AL343" s="157" t="str">
        <f t="shared" si="154"/>
        <v/>
      </c>
      <c r="AM343" s="144" t="str">
        <f t="shared" si="155"/>
        <v>--FALSE-0</v>
      </c>
      <c r="AN343" s="158" t="str">
        <f t="shared" si="150"/>
        <v/>
      </c>
      <c r="AO343" s="145"/>
      <c r="AP343" s="159" t="str">
        <f>IF($AN343=FALSE,"",IFERROR(INDEX('Flat Rates'!$A$1:$M$3880,MATCH($AM343,'Flat Rates'!$A$1:$A$3880,0),MATCH("Standing Charge",'Flat Rates'!$A$1:$M$1,0))*100,""))</f>
        <v/>
      </c>
      <c r="AQ343" s="148" t="str">
        <f>IF($AN343=FALSE,"",IFERROR((IF(NOT(T343="Unrestricted"),"",INDEX('Flat Rates'!$A$1:$M$3880,MATCH($AM343,'Flat Rates'!$A$1:$A$3880,0),MATCH("Uni/Day Rate",'Flat Rates'!$A$1:$M$1,0)))*100)+H343,""))</f>
        <v/>
      </c>
      <c r="AR343" s="148" t="str">
        <f>IF($AN343=FALSE,"",IFERROR((IF(T343="Unrestricted","",INDEX('Flat Rates'!$A$1:$M$3880,MATCH($AM343,'Flat Rates'!$A$1:$A$3880,0),MATCH("Uni/Day Rate",'Flat Rates'!$A$1:$M$1,0)))*100)+H343,""))</f>
        <v/>
      </c>
      <c r="AS343" s="148" t="str">
        <f>IF($AN343=FALSE,"",IFERROR(IF(INDEX('Flat Rates'!$A$1:$M$3880,MATCH($AM343,'Flat Rates'!$A$1:$A$3880,0),MATCH("Night Unit Rate",'Flat Rates'!$A$1:$M$1,0))=0,"",((INDEX('Flat Rates'!$A$1:$M$3880,MATCH($AM343,'Flat Rates'!$A$1:$A$3880,0),MATCH("Night Unit Rate",'Flat Rates'!$A$1:$M$1,0)))*100)+H343),""))</f>
        <v/>
      </c>
      <c r="AT343" s="148" t="str">
        <f>IF($AN343=FALSE,"",IFERROR(IF(INDEX('Flat Rates'!$A$1:$M$3880,MATCH($AM343,'Flat Rates'!$A$1:$A$3880,0),MATCH("Evening and Weekend Rate",'Flat Rates'!$A$1:$M$1,0))=0,"",((INDEX('Flat Rates'!$A$1:$M$3880,MATCH($AM343,'Flat Rates'!$A$1:$A$3880,0),MATCH("Evening and Weekend Rate",'Flat Rates'!$A$1:$M$1,0)))*100)+H343),""))</f>
        <v/>
      </c>
      <c r="AU343" s="152" t="str">
        <f t="shared" si="151"/>
        <v/>
      </c>
      <c r="AV343" s="152" t="str">
        <f t="shared" si="152"/>
        <v/>
      </c>
      <c r="AW343" s="152" t="str">
        <f t="shared" si="153"/>
        <v/>
      </c>
    </row>
    <row r="344" spans="2:49" ht="15" thickBot="1" x14ac:dyDescent="0.35">
      <c r="B344" s="138" t="str">
        <f t="shared" si="130"/>
        <v/>
      </c>
      <c r="C344" s="146"/>
      <c r="D344" s="147"/>
      <c r="E344" s="140"/>
      <c r="F344" s="140"/>
      <c r="G344" s="139"/>
      <c r="H344" s="151"/>
      <c r="I344" s="139"/>
      <c r="J344" s="137"/>
      <c r="K344" s="139"/>
      <c r="L344" s="141"/>
      <c r="M344" s="133" t="str">
        <f t="shared" si="131"/>
        <v/>
      </c>
      <c r="N344" s="133" t="str">
        <f t="shared" si="132"/>
        <v/>
      </c>
      <c r="O344" s="133" t="str">
        <f t="shared" si="133"/>
        <v/>
      </c>
      <c r="P344" s="133" t="str">
        <f t="shared" si="134"/>
        <v/>
      </c>
      <c r="Q344" s="133" t="str">
        <f t="shared" si="135"/>
        <v/>
      </c>
      <c r="R344" s="133" t="str">
        <f t="shared" si="136"/>
        <v/>
      </c>
      <c r="S344" s="133" t="str">
        <f t="shared" si="137"/>
        <v/>
      </c>
      <c r="T344" s="133" t="str">
        <f>IFERROR(IF($U344="ERROR","ERROR",IF($N344="00",IF(J344="1-Rate","HH 1RATE",IF(J344="2-Rate","HH 2RATE","")),IFERROR(VLOOKUP(CONCATENATE(N344,Q344,O344,P344),Lookups!$A$2:$E$4557,5,0),VLOOKUP(CONCATENATE(N344,Q344,O344),Lookups!$A$2:$E$4557,5,0)))),"ERROR")</f>
        <v>ERROR</v>
      </c>
      <c r="U344" s="133" t="str">
        <f>IFERROR(IF(NOT($N344="00"),"",VLOOKUP(CONCATENATE(Q344,P344,LOOKUP(2,1/(Lookups!$I$2:$I$11&lt;=E344)/(Lookups!$J$2:$J$11&gt;=Tool!$C$14),Lookups!$K$2:$K$11)),'HH LLFs'!$A$2:$K$500,3,0)),"ERROR")</f>
        <v/>
      </c>
      <c r="V344" s="132">
        <f>Calcs!$I$2</f>
        <v>44377</v>
      </c>
      <c r="W344" s="132">
        <f>Calcs!$I$4</f>
        <v>44592</v>
      </c>
      <c r="X344" s="153" t="str">
        <f>IF(NOT(N344="00"),"",(VLOOKUP(CONCATENATE(Q344,P344,LOOKUP(2,1/(Lookups!$I$2:$I$11&lt;=Multisite!E344)/(Lookups!$J$2:$J$11&gt;=E344),Lookups!$K$2:$K$11)),'HH LLFs'!$A$2:$F$282,6,0)*365)/12)</f>
        <v/>
      </c>
      <c r="Y344" s="153">
        <f t="shared" si="138"/>
        <v>0</v>
      </c>
      <c r="Z344" s="153" t="str">
        <f t="shared" si="147"/>
        <v/>
      </c>
      <c r="AA344" s="153" t="str">
        <f t="shared" si="139"/>
        <v/>
      </c>
      <c r="AB344" s="153" t="str">
        <f t="shared" si="148"/>
        <v/>
      </c>
      <c r="AC344" s="153" t="str">
        <f t="shared" si="140"/>
        <v/>
      </c>
      <c r="AD344" s="153" t="str">
        <f t="shared" si="141"/>
        <v/>
      </c>
      <c r="AE344" s="153" t="str">
        <f t="shared" si="142"/>
        <v/>
      </c>
      <c r="AF344" s="155" t="e">
        <f>LOOKUP(2,1/(Lookups!$I$2:$I$11&lt;=E344)/(Lookups!$J$2:$J$11&gt;=E344),Lookups!$L$2:$L$11)</f>
        <v>#N/A</v>
      </c>
      <c r="AG344" s="142" t="str">
        <f t="shared" si="143"/>
        <v/>
      </c>
      <c r="AH344" s="142" t="str">
        <f t="shared" si="144"/>
        <v/>
      </c>
      <c r="AI344" s="143" t="b">
        <f t="shared" si="149"/>
        <v>0</v>
      </c>
      <c r="AJ344" s="143" t="str">
        <f t="shared" si="145"/>
        <v>Level 1</v>
      </c>
      <c r="AK344" s="142">
        <f t="shared" si="146"/>
        <v>0</v>
      </c>
      <c r="AL344" s="157" t="str">
        <f t="shared" si="154"/>
        <v/>
      </c>
      <c r="AM344" s="144" t="str">
        <f t="shared" si="155"/>
        <v>--FALSE-0</v>
      </c>
      <c r="AN344" s="158" t="str">
        <f t="shared" si="150"/>
        <v/>
      </c>
      <c r="AO344" s="145"/>
      <c r="AP344" s="159" t="str">
        <f>IF($AN344=FALSE,"",IFERROR(INDEX('Flat Rates'!$A$1:$M$3880,MATCH($AM344,'Flat Rates'!$A$1:$A$3880,0),MATCH("Standing Charge",'Flat Rates'!$A$1:$M$1,0))*100,""))</f>
        <v/>
      </c>
      <c r="AQ344" s="148" t="str">
        <f>IF($AN344=FALSE,"",IFERROR((IF(NOT(T344="Unrestricted"),"",INDEX('Flat Rates'!$A$1:$M$3880,MATCH($AM344,'Flat Rates'!$A$1:$A$3880,0),MATCH("Uni/Day Rate",'Flat Rates'!$A$1:$M$1,0)))*100)+H344,""))</f>
        <v/>
      </c>
      <c r="AR344" s="148" t="str">
        <f>IF($AN344=FALSE,"",IFERROR((IF(T344="Unrestricted","",INDEX('Flat Rates'!$A$1:$M$3880,MATCH($AM344,'Flat Rates'!$A$1:$A$3880,0),MATCH("Uni/Day Rate",'Flat Rates'!$A$1:$M$1,0)))*100)+H344,""))</f>
        <v/>
      </c>
      <c r="AS344" s="148" t="str">
        <f>IF($AN344=FALSE,"",IFERROR(IF(INDEX('Flat Rates'!$A$1:$M$3880,MATCH($AM344,'Flat Rates'!$A$1:$A$3880,0),MATCH("Night Unit Rate",'Flat Rates'!$A$1:$M$1,0))=0,"",((INDEX('Flat Rates'!$A$1:$M$3880,MATCH($AM344,'Flat Rates'!$A$1:$A$3880,0),MATCH("Night Unit Rate",'Flat Rates'!$A$1:$M$1,0)))*100)+H344),""))</f>
        <v/>
      </c>
      <c r="AT344" s="148" t="str">
        <f>IF($AN344=FALSE,"",IFERROR(IF(INDEX('Flat Rates'!$A$1:$M$3880,MATCH($AM344,'Flat Rates'!$A$1:$A$3880,0),MATCH("Evening and Weekend Rate",'Flat Rates'!$A$1:$M$1,0))=0,"",((INDEX('Flat Rates'!$A$1:$M$3880,MATCH($AM344,'Flat Rates'!$A$1:$A$3880,0),MATCH("Evening and Weekend Rate",'Flat Rates'!$A$1:$M$1,0)))*100)+H344),""))</f>
        <v/>
      </c>
      <c r="AU344" s="152" t="str">
        <f t="shared" si="151"/>
        <v/>
      </c>
      <c r="AV344" s="152" t="str">
        <f t="shared" si="152"/>
        <v/>
      </c>
      <c r="AW344" s="152" t="str">
        <f t="shared" si="153"/>
        <v/>
      </c>
    </row>
    <row r="345" spans="2:49" ht="15" thickBot="1" x14ac:dyDescent="0.35">
      <c r="B345" s="138" t="str">
        <f t="shared" si="130"/>
        <v/>
      </c>
      <c r="C345" s="137"/>
      <c r="D345" s="139"/>
      <c r="E345" s="140"/>
      <c r="F345" s="140"/>
      <c r="G345" s="139"/>
      <c r="H345" s="151"/>
      <c r="I345" s="139"/>
      <c r="J345" s="138"/>
      <c r="K345" s="139"/>
      <c r="L345" s="141"/>
      <c r="M345" s="133" t="str">
        <f t="shared" si="131"/>
        <v/>
      </c>
      <c r="N345" s="133" t="str">
        <f t="shared" si="132"/>
        <v/>
      </c>
      <c r="O345" s="133" t="str">
        <f t="shared" si="133"/>
        <v/>
      </c>
      <c r="P345" s="133" t="str">
        <f t="shared" si="134"/>
        <v/>
      </c>
      <c r="Q345" s="133" t="str">
        <f t="shared" si="135"/>
        <v/>
      </c>
      <c r="R345" s="133" t="str">
        <f t="shared" si="136"/>
        <v/>
      </c>
      <c r="S345" s="133" t="str">
        <f t="shared" si="137"/>
        <v/>
      </c>
      <c r="T345" s="133" t="str">
        <f>IFERROR(IF($U345="ERROR","ERROR",IF($N345="00",IF(J345="1-Rate","HH 1RATE",IF(J345="2-Rate","HH 2RATE","")),IFERROR(VLOOKUP(CONCATENATE(N345,Q345,O345,P345),Lookups!$A$2:$E$4557,5,0),VLOOKUP(CONCATENATE(N345,Q345,O345),Lookups!$A$2:$E$4557,5,0)))),"ERROR")</f>
        <v>ERROR</v>
      </c>
      <c r="U345" s="133" t="str">
        <f>IFERROR(IF(NOT($N345="00"),"",VLOOKUP(CONCATENATE(Q345,P345,LOOKUP(2,1/(Lookups!$I$2:$I$11&lt;=E345)/(Lookups!$J$2:$J$11&gt;=Tool!$C$14),Lookups!$K$2:$K$11)),'HH LLFs'!$A$2:$K$500,3,0)),"ERROR")</f>
        <v/>
      </c>
      <c r="V345" s="132">
        <f>Calcs!$I$2</f>
        <v>44377</v>
      </c>
      <c r="W345" s="132">
        <f>Calcs!$I$4</f>
        <v>44592</v>
      </c>
      <c r="X345" s="153" t="str">
        <f>IF(NOT(N345="00"),"",(VLOOKUP(CONCATENATE(Q345,P345,LOOKUP(2,1/(Lookups!$I$2:$I$11&lt;=Multisite!E345)/(Lookups!$J$2:$J$11&gt;=E345),Lookups!$K$2:$K$11)),'HH LLFs'!$A$2:$F$282,6,0)*365)/12)</f>
        <v/>
      </c>
      <c r="Y345" s="153">
        <f t="shared" si="138"/>
        <v>0</v>
      </c>
      <c r="Z345" s="153" t="str">
        <f t="shared" si="147"/>
        <v/>
      </c>
      <c r="AA345" s="153" t="str">
        <f t="shared" si="139"/>
        <v/>
      </c>
      <c r="AB345" s="153" t="str">
        <f t="shared" si="148"/>
        <v/>
      </c>
      <c r="AC345" s="153" t="str">
        <f t="shared" si="140"/>
        <v/>
      </c>
      <c r="AD345" s="153" t="str">
        <f t="shared" si="141"/>
        <v/>
      </c>
      <c r="AE345" s="153" t="str">
        <f t="shared" si="142"/>
        <v/>
      </c>
      <c r="AF345" s="155" t="e">
        <f>LOOKUP(2,1/(Lookups!$I$2:$I$11&lt;=E345)/(Lookups!$J$2:$J$11&gt;=E345),Lookups!$L$2:$L$11)</f>
        <v>#N/A</v>
      </c>
      <c r="AG345" s="142" t="str">
        <f t="shared" si="143"/>
        <v/>
      </c>
      <c r="AH345" s="142" t="str">
        <f t="shared" si="144"/>
        <v/>
      </c>
      <c r="AI345" s="143" t="b">
        <f t="shared" si="149"/>
        <v>0</v>
      </c>
      <c r="AJ345" s="143" t="str">
        <f t="shared" si="145"/>
        <v>Level 1</v>
      </c>
      <c r="AK345" s="142">
        <f t="shared" si="146"/>
        <v>0</v>
      </c>
      <c r="AL345" s="157" t="str">
        <f t="shared" si="154"/>
        <v/>
      </c>
      <c r="AM345" s="144" t="str">
        <f t="shared" si="155"/>
        <v>--FALSE-0</v>
      </c>
      <c r="AN345" s="158" t="str">
        <f t="shared" si="150"/>
        <v/>
      </c>
      <c r="AO345" s="145"/>
      <c r="AP345" s="159" t="str">
        <f>IF($AN345=FALSE,"",IFERROR(INDEX('Flat Rates'!$A$1:$M$3880,MATCH($AM345,'Flat Rates'!$A$1:$A$3880,0),MATCH("Standing Charge",'Flat Rates'!$A$1:$M$1,0))*100,""))</f>
        <v/>
      </c>
      <c r="AQ345" s="148" t="str">
        <f>IF($AN345=FALSE,"",IFERROR((IF(NOT(T345="Unrestricted"),"",INDEX('Flat Rates'!$A$1:$M$3880,MATCH($AM345,'Flat Rates'!$A$1:$A$3880,0),MATCH("Uni/Day Rate",'Flat Rates'!$A$1:$M$1,0)))*100)+H345,""))</f>
        <v/>
      </c>
      <c r="AR345" s="148" t="str">
        <f>IF($AN345=FALSE,"",IFERROR((IF(T345="Unrestricted","",INDEX('Flat Rates'!$A$1:$M$3880,MATCH($AM345,'Flat Rates'!$A$1:$A$3880,0),MATCH("Uni/Day Rate",'Flat Rates'!$A$1:$M$1,0)))*100)+H345,""))</f>
        <v/>
      </c>
      <c r="AS345" s="148" t="str">
        <f>IF($AN345=FALSE,"",IFERROR(IF(INDEX('Flat Rates'!$A$1:$M$3880,MATCH($AM345,'Flat Rates'!$A$1:$A$3880,0),MATCH("Night Unit Rate",'Flat Rates'!$A$1:$M$1,0))=0,"",((INDEX('Flat Rates'!$A$1:$M$3880,MATCH($AM345,'Flat Rates'!$A$1:$A$3880,0),MATCH("Night Unit Rate",'Flat Rates'!$A$1:$M$1,0)))*100)+H345),""))</f>
        <v/>
      </c>
      <c r="AT345" s="148" t="str">
        <f>IF($AN345=FALSE,"",IFERROR(IF(INDEX('Flat Rates'!$A$1:$M$3880,MATCH($AM345,'Flat Rates'!$A$1:$A$3880,0),MATCH("Evening and Weekend Rate",'Flat Rates'!$A$1:$M$1,0))=0,"",((INDEX('Flat Rates'!$A$1:$M$3880,MATCH($AM345,'Flat Rates'!$A$1:$A$3880,0),MATCH("Evening and Weekend Rate",'Flat Rates'!$A$1:$M$1,0)))*100)+H345),""))</f>
        <v/>
      </c>
      <c r="AU345" s="152" t="str">
        <f t="shared" si="151"/>
        <v/>
      </c>
      <c r="AV345" s="152" t="str">
        <f t="shared" si="152"/>
        <v/>
      </c>
      <c r="AW345" s="152" t="str">
        <f t="shared" si="153"/>
        <v/>
      </c>
    </row>
    <row r="346" spans="2:49" ht="15" thickBot="1" x14ac:dyDescent="0.35">
      <c r="B346" s="138" t="str">
        <f t="shared" si="130"/>
        <v/>
      </c>
      <c r="C346" s="146"/>
      <c r="D346" s="147"/>
      <c r="E346" s="140"/>
      <c r="F346" s="140"/>
      <c r="G346" s="139"/>
      <c r="H346" s="151"/>
      <c r="I346" s="139"/>
      <c r="J346" s="137"/>
      <c r="K346" s="139"/>
      <c r="L346" s="141"/>
      <c r="M346" s="133" t="str">
        <f t="shared" si="131"/>
        <v/>
      </c>
      <c r="N346" s="133" t="str">
        <f t="shared" si="132"/>
        <v/>
      </c>
      <c r="O346" s="133" t="str">
        <f t="shared" si="133"/>
        <v/>
      </c>
      <c r="P346" s="133" t="str">
        <f t="shared" si="134"/>
        <v/>
      </c>
      <c r="Q346" s="133" t="str">
        <f t="shared" si="135"/>
        <v/>
      </c>
      <c r="R346" s="133" t="str">
        <f t="shared" si="136"/>
        <v/>
      </c>
      <c r="S346" s="133" t="str">
        <f t="shared" si="137"/>
        <v/>
      </c>
      <c r="T346" s="133" t="str">
        <f>IFERROR(IF($U346="ERROR","ERROR",IF($N346="00",IF(J346="1-Rate","HH 1RATE",IF(J346="2-Rate","HH 2RATE","")),IFERROR(VLOOKUP(CONCATENATE(N346,Q346,O346,P346),Lookups!$A$2:$E$4557,5,0),VLOOKUP(CONCATENATE(N346,Q346,O346),Lookups!$A$2:$E$4557,5,0)))),"ERROR")</f>
        <v>ERROR</v>
      </c>
      <c r="U346" s="133" t="str">
        <f>IFERROR(IF(NOT($N346="00"),"",VLOOKUP(CONCATENATE(Q346,P346,LOOKUP(2,1/(Lookups!$I$2:$I$11&lt;=E346)/(Lookups!$J$2:$J$11&gt;=Tool!$C$14),Lookups!$K$2:$K$11)),'HH LLFs'!$A$2:$K$500,3,0)),"ERROR")</f>
        <v/>
      </c>
      <c r="V346" s="132">
        <f>Calcs!$I$2</f>
        <v>44377</v>
      </c>
      <c r="W346" s="132">
        <f>Calcs!$I$4</f>
        <v>44592</v>
      </c>
      <c r="X346" s="153" t="str">
        <f>IF(NOT(N346="00"),"",(VLOOKUP(CONCATENATE(Q346,P346,LOOKUP(2,1/(Lookups!$I$2:$I$11&lt;=Multisite!E346)/(Lookups!$J$2:$J$11&gt;=E346),Lookups!$K$2:$K$11)),'HH LLFs'!$A$2:$F$282,6,0)*365)/12)</f>
        <v/>
      </c>
      <c r="Y346" s="153">
        <f t="shared" si="138"/>
        <v>0</v>
      </c>
      <c r="Z346" s="153" t="str">
        <f t="shared" si="147"/>
        <v/>
      </c>
      <c r="AA346" s="153" t="str">
        <f t="shared" si="139"/>
        <v/>
      </c>
      <c r="AB346" s="153" t="str">
        <f t="shared" si="148"/>
        <v/>
      </c>
      <c r="AC346" s="153" t="str">
        <f t="shared" si="140"/>
        <v/>
      </c>
      <c r="AD346" s="153" t="str">
        <f t="shared" si="141"/>
        <v/>
      </c>
      <c r="AE346" s="153" t="str">
        <f t="shared" si="142"/>
        <v/>
      </c>
      <c r="AF346" s="155" t="e">
        <f>LOOKUP(2,1/(Lookups!$I$2:$I$11&lt;=E346)/(Lookups!$J$2:$J$11&gt;=E346),Lookups!$L$2:$L$11)</f>
        <v>#N/A</v>
      </c>
      <c r="AG346" s="142" t="str">
        <f t="shared" si="143"/>
        <v/>
      </c>
      <c r="AH346" s="142" t="str">
        <f t="shared" si="144"/>
        <v/>
      </c>
      <c r="AI346" s="143" t="b">
        <f t="shared" si="149"/>
        <v>0</v>
      </c>
      <c r="AJ346" s="143" t="str">
        <f t="shared" si="145"/>
        <v>Level 1</v>
      </c>
      <c r="AK346" s="142">
        <f t="shared" si="146"/>
        <v>0</v>
      </c>
      <c r="AL346" s="157" t="str">
        <f t="shared" si="154"/>
        <v/>
      </c>
      <c r="AM346" s="144" t="str">
        <f t="shared" si="155"/>
        <v>--FALSE-0</v>
      </c>
      <c r="AN346" s="158" t="str">
        <f t="shared" si="150"/>
        <v/>
      </c>
      <c r="AO346" s="145"/>
      <c r="AP346" s="159" t="str">
        <f>IF($AN346=FALSE,"",IFERROR(INDEX('Flat Rates'!$A$1:$M$3880,MATCH($AM346,'Flat Rates'!$A$1:$A$3880,0),MATCH("Standing Charge",'Flat Rates'!$A$1:$M$1,0))*100,""))</f>
        <v/>
      </c>
      <c r="AQ346" s="148" t="str">
        <f>IF($AN346=FALSE,"",IFERROR((IF(NOT(T346="Unrestricted"),"",INDEX('Flat Rates'!$A$1:$M$3880,MATCH($AM346,'Flat Rates'!$A$1:$A$3880,0),MATCH("Uni/Day Rate",'Flat Rates'!$A$1:$M$1,0)))*100)+H346,""))</f>
        <v/>
      </c>
      <c r="AR346" s="148" t="str">
        <f>IF($AN346=FALSE,"",IFERROR((IF(T346="Unrestricted","",INDEX('Flat Rates'!$A$1:$M$3880,MATCH($AM346,'Flat Rates'!$A$1:$A$3880,0),MATCH("Uni/Day Rate",'Flat Rates'!$A$1:$M$1,0)))*100)+H346,""))</f>
        <v/>
      </c>
      <c r="AS346" s="148" t="str">
        <f>IF($AN346=FALSE,"",IFERROR(IF(INDEX('Flat Rates'!$A$1:$M$3880,MATCH($AM346,'Flat Rates'!$A$1:$A$3880,0),MATCH("Night Unit Rate",'Flat Rates'!$A$1:$M$1,0))=0,"",((INDEX('Flat Rates'!$A$1:$M$3880,MATCH($AM346,'Flat Rates'!$A$1:$A$3880,0),MATCH("Night Unit Rate",'Flat Rates'!$A$1:$M$1,0)))*100)+H346),""))</f>
        <v/>
      </c>
      <c r="AT346" s="148" t="str">
        <f>IF($AN346=FALSE,"",IFERROR(IF(INDEX('Flat Rates'!$A$1:$M$3880,MATCH($AM346,'Flat Rates'!$A$1:$A$3880,0),MATCH("Evening and Weekend Rate",'Flat Rates'!$A$1:$M$1,0))=0,"",((INDEX('Flat Rates'!$A$1:$M$3880,MATCH($AM346,'Flat Rates'!$A$1:$A$3880,0),MATCH("Evening and Weekend Rate",'Flat Rates'!$A$1:$M$1,0)))*100)+H346),""))</f>
        <v/>
      </c>
      <c r="AU346" s="152" t="str">
        <f t="shared" si="151"/>
        <v/>
      </c>
      <c r="AV346" s="152" t="str">
        <f t="shared" si="152"/>
        <v/>
      </c>
      <c r="AW346" s="152" t="str">
        <f t="shared" si="153"/>
        <v/>
      </c>
    </row>
    <row r="347" spans="2:49" ht="15" thickBot="1" x14ac:dyDescent="0.35">
      <c r="B347" s="138" t="str">
        <f t="shared" si="130"/>
        <v/>
      </c>
      <c r="C347" s="137"/>
      <c r="D347" s="139"/>
      <c r="E347" s="140"/>
      <c r="F347" s="140"/>
      <c r="G347" s="139"/>
      <c r="H347" s="151"/>
      <c r="I347" s="139"/>
      <c r="J347" s="138"/>
      <c r="K347" s="139"/>
      <c r="L347" s="141"/>
      <c r="M347" s="133" t="str">
        <f t="shared" si="131"/>
        <v/>
      </c>
      <c r="N347" s="133" t="str">
        <f t="shared" si="132"/>
        <v/>
      </c>
      <c r="O347" s="133" t="str">
        <f t="shared" si="133"/>
        <v/>
      </c>
      <c r="P347" s="133" t="str">
        <f t="shared" si="134"/>
        <v/>
      </c>
      <c r="Q347" s="133" t="str">
        <f t="shared" si="135"/>
        <v/>
      </c>
      <c r="R347" s="133" t="str">
        <f t="shared" si="136"/>
        <v/>
      </c>
      <c r="S347" s="133" t="str">
        <f t="shared" si="137"/>
        <v/>
      </c>
      <c r="T347" s="133" t="str">
        <f>IFERROR(IF($U347="ERROR","ERROR",IF($N347="00",IF(J347="1-Rate","HH 1RATE",IF(J347="2-Rate","HH 2RATE","")),IFERROR(VLOOKUP(CONCATENATE(N347,Q347,O347,P347),Lookups!$A$2:$E$4557,5,0),VLOOKUP(CONCATENATE(N347,Q347,O347),Lookups!$A$2:$E$4557,5,0)))),"ERROR")</f>
        <v>ERROR</v>
      </c>
      <c r="U347" s="133" t="str">
        <f>IFERROR(IF(NOT($N347="00"),"",VLOOKUP(CONCATENATE(Q347,P347,LOOKUP(2,1/(Lookups!$I$2:$I$11&lt;=E347)/(Lookups!$J$2:$J$11&gt;=Tool!$C$14),Lookups!$K$2:$K$11)),'HH LLFs'!$A$2:$K$500,3,0)),"ERROR")</f>
        <v/>
      </c>
      <c r="V347" s="132">
        <f>Calcs!$I$2</f>
        <v>44377</v>
      </c>
      <c r="W347" s="132">
        <f>Calcs!$I$4</f>
        <v>44592</v>
      </c>
      <c r="X347" s="153" t="str">
        <f>IF(NOT(N347="00"),"",(VLOOKUP(CONCATENATE(Q347,P347,LOOKUP(2,1/(Lookups!$I$2:$I$11&lt;=Multisite!E347)/(Lookups!$J$2:$J$11&gt;=E347),Lookups!$K$2:$K$11)),'HH LLFs'!$A$2:$F$282,6,0)*365)/12)</f>
        <v/>
      </c>
      <c r="Y347" s="153">
        <f t="shared" si="138"/>
        <v>0</v>
      </c>
      <c r="Z347" s="153" t="str">
        <f t="shared" si="147"/>
        <v/>
      </c>
      <c r="AA347" s="153" t="str">
        <f t="shared" si="139"/>
        <v/>
      </c>
      <c r="AB347" s="153" t="str">
        <f t="shared" si="148"/>
        <v/>
      </c>
      <c r="AC347" s="153" t="str">
        <f t="shared" si="140"/>
        <v/>
      </c>
      <c r="AD347" s="153" t="str">
        <f t="shared" si="141"/>
        <v/>
      </c>
      <c r="AE347" s="153" t="str">
        <f t="shared" si="142"/>
        <v/>
      </c>
      <c r="AF347" s="155" t="e">
        <f>LOOKUP(2,1/(Lookups!$I$2:$I$11&lt;=E347)/(Lookups!$J$2:$J$11&gt;=E347),Lookups!$L$2:$L$11)</f>
        <v>#N/A</v>
      </c>
      <c r="AG347" s="142" t="str">
        <f t="shared" si="143"/>
        <v/>
      </c>
      <c r="AH347" s="142" t="str">
        <f t="shared" si="144"/>
        <v/>
      </c>
      <c r="AI347" s="143" t="b">
        <f t="shared" si="149"/>
        <v>0</v>
      </c>
      <c r="AJ347" s="143" t="str">
        <f t="shared" si="145"/>
        <v>Level 1</v>
      </c>
      <c r="AK347" s="142">
        <f t="shared" si="146"/>
        <v>0</v>
      </c>
      <c r="AL347" s="157" t="str">
        <f t="shared" si="154"/>
        <v/>
      </c>
      <c r="AM347" s="144" t="str">
        <f t="shared" si="155"/>
        <v>--FALSE-0</v>
      </c>
      <c r="AN347" s="158" t="str">
        <f t="shared" si="150"/>
        <v/>
      </c>
      <c r="AO347" s="145"/>
      <c r="AP347" s="159" t="str">
        <f>IF($AN347=FALSE,"",IFERROR(INDEX('Flat Rates'!$A$1:$M$3880,MATCH($AM347,'Flat Rates'!$A$1:$A$3880,0),MATCH("Standing Charge",'Flat Rates'!$A$1:$M$1,0))*100,""))</f>
        <v/>
      </c>
      <c r="AQ347" s="148" t="str">
        <f>IF($AN347=FALSE,"",IFERROR((IF(NOT(T347="Unrestricted"),"",INDEX('Flat Rates'!$A$1:$M$3880,MATCH($AM347,'Flat Rates'!$A$1:$A$3880,0),MATCH("Uni/Day Rate",'Flat Rates'!$A$1:$M$1,0)))*100)+H347,""))</f>
        <v/>
      </c>
      <c r="AR347" s="148" t="str">
        <f>IF($AN347=FALSE,"",IFERROR((IF(T347="Unrestricted","",INDEX('Flat Rates'!$A$1:$M$3880,MATCH($AM347,'Flat Rates'!$A$1:$A$3880,0),MATCH("Uni/Day Rate",'Flat Rates'!$A$1:$M$1,0)))*100)+H347,""))</f>
        <v/>
      </c>
      <c r="AS347" s="148" t="str">
        <f>IF($AN347=FALSE,"",IFERROR(IF(INDEX('Flat Rates'!$A$1:$M$3880,MATCH($AM347,'Flat Rates'!$A$1:$A$3880,0),MATCH("Night Unit Rate",'Flat Rates'!$A$1:$M$1,0))=0,"",((INDEX('Flat Rates'!$A$1:$M$3880,MATCH($AM347,'Flat Rates'!$A$1:$A$3880,0),MATCH("Night Unit Rate",'Flat Rates'!$A$1:$M$1,0)))*100)+H347),""))</f>
        <v/>
      </c>
      <c r="AT347" s="148" t="str">
        <f>IF($AN347=FALSE,"",IFERROR(IF(INDEX('Flat Rates'!$A$1:$M$3880,MATCH($AM347,'Flat Rates'!$A$1:$A$3880,0),MATCH("Evening and Weekend Rate",'Flat Rates'!$A$1:$M$1,0))=0,"",((INDEX('Flat Rates'!$A$1:$M$3880,MATCH($AM347,'Flat Rates'!$A$1:$A$3880,0),MATCH("Evening and Weekend Rate",'Flat Rates'!$A$1:$M$1,0)))*100)+H347),""))</f>
        <v/>
      </c>
      <c r="AU347" s="152" t="str">
        <f t="shared" si="151"/>
        <v/>
      </c>
      <c r="AV347" s="152" t="str">
        <f t="shared" si="152"/>
        <v/>
      </c>
      <c r="AW347" s="152" t="str">
        <f t="shared" si="153"/>
        <v/>
      </c>
    </row>
    <row r="348" spans="2:49" ht="15" thickBot="1" x14ac:dyDescent="0.35">
      <c r="B348" s="138" t="str">
        <f t="shared" si="130"/>
        <v/>
      </c>
      <c r="C348" s="146"/>
      <c r="D348" s="147"/>
      <c r="E348" s="140"/>
      <c r="F348" s="140"/>
      <c r="G348" s="139"/>
      <c r="H348" s="151"/>
      <c r="I348" s="139"/>
      <c r="J348" s="137"/>
      <c r="K348" s="139"/>
      <c r="L348" s="141"/>
      <c r="M348" s="133" t="str">
        <f t="shared" si="131"/>
        <v/>
      </c>
      <c r="N348" s="133" t="str">
        <f t="shared" si="132"/>
        <v/>
      </c>
      <c r="O348" s="133" t="str">
        <f t="shared" si="133"/>
        <v/>
      </c>
      <c r="P348" s="133" t="str">
        <f t="shared" si="134"/>
        <v/>
      </c>
      <c r="Q348" s="133" t="str">
        <f t="shared" si="135"/>
        <v/>
      </c>
      <c r="R348" s="133" t="str">
        <f t="shared" si="136"/>
        <v/>
      </c>
      <c r="S348" s="133" t="str">
        <f t="shared" si="137"/>
        <v/>
      </c>
      <c r="T348" s="133" t="str">
        <f>IFERROR(IF($U348="ERROR","ERROR",IF($N348="00",IF(J348="1-Rate","HH 1RATE",IF(J348="2-Rate","HH 2RATE","")),IFERROR(VLOOKUP(CONCATENATE(N348,Q348,O348,P348),Lookups!$A$2:$E$4557,5,0),VLOOKUP(CONCATENATE(N348,Q348,O348),Lookups!$A$2:$E$4557,5,0)))),"ERROR")</f>
        <v>ERROR</v>
      </c>
      <c r="U348" s="133" t="str">
        <f>IFERROR(IF(NOT($N348="00"),"",VLOOKUP(CONCATENATE(Q348,P348,LOOKUP(2,1/(Lookups!$I$2:$I$11&lt;=E348)/(Lookups!$J$2:$J$11&gt;=Tool!$C$14),Lookups!$K$2:$K$11)),'HH LLFs'!$A$2:$K$500,3,0)),"ERROR")</f>
        <v/>
      </c>
      <c r="V348" s="132">
        <f>Calcs!$I$2</f>
        <v>44377</v>
      </c>
      <c r="W348" s="132">
        <f>Calcs!$I$4</f>
        <v>44592</v>
      </c>
      <c r="X348" s="153" t="str">
        <f>IF(NOT(N348="00"),"",(VLOOKUP(CONCATENATE(Q348,P348,LOOKUP(2,1/(Lookups!$I$2:$I$11&lt;=Multisite!E348)/(Lookups!$J$2:$J$11&gt;=E348),Lookups!$K$2:$K$11)),'HH LLFs'!$A$2:$F$282,6,0)*365)/12)</f>
        <v/>
      </c>
      <c r="Y348" s="153">
        <f t="shared" si="138"/>
        <v>0</v>
      </c>
      <c r="Z348" s="153" t="str">
        <f t="shared" si="147"/>
        <v/>
      </c>
      <c r="AA348" s="153" t="str">
        <f t="shared" si="139"/>
        <v/>
      </c>
      <c r="AB348" s="153" t="str">
        <f t="shared" si="148"/>
        <v/>
      </c>
      <c r="AC348" s="153" t="str">
        <f t="shared" si="140"/>
        <v/>
      </c>
      <c r="AD348" s="153" t="str">
        <f t="shared" si="141"/>
        <v/>
      </c>
      <c r="AE348" s="153" t="str">
        <f t="shared" si="142"/>
        <v/>
      </c>
      <c r="AF348" s="155" t="e">
        <f>LOOKUP(2,1/(Lookups!$I$2:$I$11&lt;=E348)/(Lookups!$J$2:$J$11&gt;=E348),Lookups!$L$2:$L$11)</f>
        <v>#N/A</v>
      </c>
      <c r="AG348" s="142" t="str">
        <f t="shared" si="143"/>
        <v/>
      </c>
      <c r="AH348" s="142" t="str">
        <f t="shared" si="144"/>
        <v/>
      </c>
      <c r="AI348" s="143" t="b">
        <f t="shared" si="149"/>
        <v>0</v>
      </c>
      <c r="AJ348" s="143" t="str">
        <f t="shared" si="145"/>
        <v>Level 1</v>
      </c>
      <c r="AK348" s="142">
        <f t="shared" si="146"/>
        <v>0</v>
      </c>
      <c r="AL348" s="157" t="str">
        <f t="shared" si="154"/>
        <v/>
      </c>
      <c r="AM348" s="144" t="str">
        <f t="shared" si="155"/>
        <v>--FALSE-0</v>
      </c>
      <c r="AN348" s="158" t="str">
        <f t="shared" si="150"/>
        <v/>
      </c>
      <c r="AO348" s="145"/>
      <c r="AP348" s="159" t="str">
        <f>IF($AN348=FALSE,"",IFERROR(INDEX('Flat Rates'!$A$1:$M$3880,MATCH($AM348,'Flat Rates'!$A$1:$A$3880,0),MATCH("Standing Charge",'Flat Rates'!$A$1:$M$1,0))*100,""))</f>
        <v/>
      </c>
      <c r="AQ348" s="148" t="str">
        <f>IF($AN348=FALSE,"",IFERROR((IF(NOT(T348="Unrestricted"),"",INDEX('Flat Rates'!$A$1:$M$3880,MATCH($AM348,'Flat Rates'!$A$1:$A$3880,0),MATCH("Uni/Day Rate",'Flat Rates'!$A$1:$M$1,0)))*100)+H348,""))</f>
        <v/>
      </c>
      <c r="AR348" s="148" t="str">
        <f>IF($AN348=FALSE,"",IFERROR((IF(T348="Unrestricted","",INDEX('Flat Rates'!$A$1:$M$3880,MATCH($AM348,'Flat Rates'!$A$1:$A$3880,0),MATCH("Uni/Day Rate",'Flat Rates'!$A$1:$M$1,0)))*100)+H348,""))</f>
        <v/>
      </c>
      <c r="AS348" s="148" t="str">
        <f>IF($AN348=FALSE,"",IFERROR(IF(INDEX('Flat Rates'!$A$1:$M$3880,MATCH($AM348,'Flat Rates'!$A$1:$A$3880,0),MATCH("Night Unit Rate",'Flat Rates'!$A$1:$M$1,0))=0,"",((INDEX('Flat Rates'!$A$1:$M$3880,MATCH($AM348,'Flat Rates'!$A$1:$A$3880,0),MATCH("Night Unit Rate",'Flat Rates'!$A$1:$M$1,0)))*100)+H348),""))</f>
        <v/>
      </c>
      <c r="AT348" s="148" t="str">
        <f>IF($AN348=FALSE,"",IFERROR(IF(INDEX('Flat Rates'!$A$1:$M$3880,MATCH($AM348,'Flat Rates'!$A$1:$A$3880,0),MATCH("Evening and Weekend Rate",'Flat Rates'!$A$1:$M$1,0))=0,"",((INDEX('Flat Rates'!$A$1:$M$3880,MATCH($AM348,'Flat Rates'!$A$1:$A$3880,0),MATCH("Evening and Weekend Rate",'Flat Rates'!$A$1:$M$1,0)))*100)+H348),""))</f>
        <v/>
      </c>
      <c r="AU348" s="152" t="str">
        <f t="shared" si="151"/>
        <v/>
      </c>
      <c r="AV348" s="152" t="str">
        <f t="shared" si="152"/>
        <v/>
      </c>
      <c r="AW348" s="152" t="str">
        <f t="shared" si="153"/>
        <v/>
      </c>
    </row>
    <row r="349" spans="2:49" ht="15" thickBot="1" x14ac:dyDescent="0.35">
      <c r="B349" s="138" t="str">
        <f t="shared" si="130"/>
        <v/>
      </c>
      <c r="C349" s="137"/>
      <c r="D349" s="139"/>
      <c r="E349" s="140"/>
      <c r="F349" s="140"/>
      <c r="G349" s="139"/>
      <c r="H349" s="151"/>
      <c r="I349" s="139"/>
      <c r="J349" s="138"/>
      <c r="K349" s="139"/>
      <c r="L349" s="141"/>
      <c r="M349" s="133" t="str">
        <f t="shared" si="131"/>
        <v/>
      </c>
      <c r="N349" s="133" t="str">
        <f t="shared" si="132"/>
        <v/>
      </c>
      <c r="O349" s="133" t="str">
        <f t="shared" si="133"/>
        <v/>
      </c>
      <c r="P349" s="133" t="str">
        <f t="shared" si="134"/>
        <v/>
      </c>
      <c r="Q349" s="133" t="str">
        <f t="shared" si="135"/>
        <v/>
      </c>
      <c r="R349" s="133" t="str">
        <f t="shared" si="136"/>
        <v/>
      </c>
      <c r="S349" s="133" t="str">
        <f t="shared" si="137"/>
        <v/>
      </c>
      <c r="T349" s="133" t="str">
        <f>IFERROR(IF($U349="ERROR","ERROR",IF($N349="00",IF(J349="1-Rate","HH 1RATE",IF(J349="2-Rate","HH 2RATE","")),IFERROR(VLOOKUP(CONCATENATE(N349,Q349,O349,P349),Lookups!$A$2:$E$4557,5,0),VLOOKUP(CONCATENATE(N349,Q349,O349),Lookups!$A$2:$E$4557,5,0)))),"ERROR")</f>
        <v>ERROR</v>
      </c>
      <c r="U349" s="133" t="str">
        <f>IFERROR(IF(NOT($N349="00"),"",VLOOKUP(CONCATENATE(Q349,P349,LOOKUP(2,1/(Lookups!$I$2:$I$11&lt;=E349)/(Lookups!$J$2:$J$11&gt;=Tool!$C$14),Lookups!$K$2:$K$11)),'HH LLFs'!$A$2:$K$500,3,0)),"ERROR")</f>
        <v/>
      </c>
      <c r="V349" s="132">
        <f>Calcs!$I$2</f>
        <v>44377</v>
      </c>
      <c r="W349" s="132">
        <f>Calcs!$I$4</f>
        <v>44592</v>
      </c>
      <c r="X349" s="153" t="str">
        <f>IF(NOT(N349="00"),"",(VLOOKUP(CONCATENATE(Q349,P349,LOOKUP(2,1/(Lookups!$I$2:$I$11&lt;=Multisite!E349)/(Lookups!$J$2:$J$11&gt;=E349),Lookups!$K$2:$K$11)),'HH LLFs'!$A$2:$F$282,6,0)*365)/12)</f>
        <v/>
      </c>
      <c r="Y349" s="153">
        <f t="shared" si="138"/>
        <v>0</v>
      </c>
      <c r="Z349" s="153" t="str">
        <f t="shared" si="147"/>
        <v/>
      </c>
      <c r="AA349" s="153" t="str">
        <f t="shared" si="139"/>
        <v/>
      </c>
      <c r="AB349" s="153" t="str">
        <f t="shared" si="148"/>
        <v/>
      </c>
      <c r="AC349" s="153" t="str">
        <f t="shared" si="140"/>
        <v/>
      </c>
      <c r="AD349" s="153" t="str">
        <f t="shared" si="141"/>
        <v/>
      </c>
      <c r="AE349" s="153" t="str">
        <f t="shared" si="142"/>
        <v/>
      </c>
      <c r="AF349" s="155" t="e">
        <f>LOOKUP(2,1/(Lookups!$I$2:$I$11&lt;=E349)/(Lookups!$J$2:$J$11&gt;=E349),Lookups!$L$2:$L$11)</f>
        <v>#N/A</v>
      </c>
      <c r="AG349" s="142" t="str">
        <f t="shared" si="143"/>
        <v/>
      </c>
      <c r="AH349" s="142" t="str">
        <f t="shared" si="144"/>
        <v/>
      </c>
      <c r="AI349" s="143" t="b">
        <f t="shared" si="149"/>
        <v>0</v>
      </c>
      <c r="AJ349" s="143" t="str">
        <f t="shared" si="145"/>
        <v>Level 1</v>
      </c>
      <c r="AK349" s="142">
        <f t="shared" si="146"/>
        <v>0</v>
      </c>
      <c r="AL349" s="157" t="str">
        <f t="shared" si="154"/>
        <v/>
      </c>
      <c r="AM349" s="144" t="str">
        <f t="shared" si="155"/>
        <v>--FALSE-0</v>
      </c>
      <c r="AN349" s="158" t="str">
        <f t="shared" si="150"/>
        <v/>
      </c>
      <c r="AO349" s="145"/>
      <c r="AP349" s="159" t="str">
        <f>IF($AN349=FALSE,"",IFERROR(INDEX('Flat Rates'!$A$1:$M$3880,MATCH($AM349,'Flat Rates'!$A$1:$A$3880,0),MATCH("Standing Charge",'Flat Rates'!$A$1:$M$1,0))*100,""))</f>
        <v/>
      </c>
      <c r="AQ349" s="148" t="str">
        <f>IF($AN349=FALSE,"",IFERROR((IF(NOT(T349="Unrestricted"),"",INDEX('Flat Rates'!$A$1:$M$3880,MATCH($AM349,'Flat Rates'!$A$1:$A$3880,0),MATCH("Uni/Day Rate",'Flat Rates'!$A$1:$M$1,0)))*100)+H349,""))</f>
        <v/>
      </c>
      <c r="AR349" s="148" t="str">
        <f>IF($AN349=FALSE,"",IFERROR((IF(T349="Unrestricted","",INDEX('Flat Rates'!$A$1:$M$3880,MATCH($AM349,'Flat Rates'!$A$1:$A$3880,0),MATCH("Uni/Day Rate",'Flat Rates'!$A$1:$M$1,0)))*100)+H349,""))</f>
        <v/>
      </c>
      <c r="AS349" s="148" t="str">
        <f>IF($AN349=FALSE,"",IFERROR(IF(INDEX('Flat Rates'!$A$1:$M$3880,MATCH($AM349,'Flat Rates'!$A$1:$A$3880,0),MATCH("Night Unit Rate",'Flat Rates'!$A$1:$M$1,0))=0,"",((INDEX('Flat Rates'!$A$1:$M$3880,MATCH($AM349,'Flat Rates'!$A$1:$A$3880,0),MATCH("Night Unit Rate",'Flat Rates'!$A$1:$M$1,0)))*100)+H349),""))</f>
        <v/>
      </c>
      <c r="AT349" s="148" t="str">
        <f>IF($AN349=FALSE,"",IFERROR(IF(INDEX('Flat Rates'!$A$1:$M$3880,MATCH($AM349,'Flat Rates'!$A$1:$A$3880,0),MATCH("Evening and Weekend Rate",'Flat Rates'!$A$1:$M$1,0))=0,"",((INDEX('Flat Rates'!$A$1:$M$3880,MATCH($AM349,'Flat Rates'!$A$1:$A$3880,0),MATCH("Evening and Weekend Rate",'Flat Rates'!$A$1:$M$1,0)))*100)+H349),""))</f>
        <v/>
      </c>
      <c r="AU349" s="152" t="str">
        <f t="shared" si="151"/>
        <v/>
      </c>
      <c r="AV349" s="152" t="str">
        <f t="shared" si="152"/>
        <v/>
      </c>
      <c r="AW349" s="152" t="str">
        <f t="shared" si="153"/>
        <v/>
      </c>
    </row>
    <row r="350" spans="2:49" ht="15" thickBot="1" x14ac:dyDescent="0.35">
      <c r="B350" s="138" t="str">
        <f t="shared" si="130"/>
        <v/>
      </c>
      <c r="C350" s="146"/>
      <c r="D350" s="147"/>
      <c r="E350" s="140"/>
      <c r="F350" s="140"/>
      <c r="G350" s="139"/>
      <c r="H350" s="151"/>
      <c r="I350" s="139"/>
      <c r="J350" s="137"/>
      <c r="K350" s="139"/>
      <c r="L350" s="141"/>
      <c r="M350" s="133" t="str">
        <f t="shared" si="131"/>
        <v/>
      </c>
      <c r="N350" s="133" t="str">
        <f t="shared" si="132"/>
        <v/>
      </c>
      <c r="O350" s="133" t="str">
        <f t="shared" si="133"/>
        <v/>
      </c>
      <c r="P350" s="133" t="str">
        <f t="shared" si="134"/>
        <v/>
      </c>
      <c r="Q350" s="133" t="str">
        <f t="shared" si="135"/>
        <v/>
      </c>
      <c r="R350" s="133" t="str">
        <f t="shared" si="136"/>
        <v/>
      </c>
      <c r="S350" s="133" t="str">
        <f t="shared" si="137"/>
        <v/>
      </c>
      <c r="T350" s="133" t="str">
        <f>IFERROR(IF($U350="ERROR","ERROR",IF($N350="00",IF(J350="1-Rate","HH 1RATE",IF(J350="2-Rate","HH 2RATE","")),IFERROR(VLOOKUP(CONCATENATE(N350,Q350,O350,P350),Lookups!$A$2:$E$4557,5,0),VLOOKUP(CONCATENATE(N350,Q350,O350),Lookups!$A$2:$E$4557,5,0)))),"ERROR")</f>
        <v>ERROR</v>
      </c>
      <c r="U350" s="133" t="str">
        <f>IFERROR(IF(NOT($N350="00"),"",VLOOKUP(CONCATENATE(Q350,P350,LOOKUP(2,1/(Lookups!$I$2:$I$11&lt;=E350)/(Lookups!$J$2:$J$11&gt;=Tool!$C$14),Lookups!$K$2:$K$11)),'HH LLFs'!$A$2:$K$500,3,0)),"ERROR")</f>
        <v/>
      </c>
      <c r="V350" s="132">
        <f>Calcs!$I$2</f>
        <v>44377</v>
      </c>
      <c r="W350" s="132">
        <f>Calcs!$I$4</f>
        <v>44592</v>
      </c>
      <c r="X350" s="153" t="str">
        <f>IF(NOT(N350="00"),"",(VLOOKUP(CONCATENATE(Q350,P350,LOOKUP(2,1/(Lookups!$I$2:$I$11&lt;=Multisite!E350)/(Lookups!$J$2:$J$11&gt;=E350),Lookups!$K$2:$K$11)),'HH LLFs'!$A$2:$F$282,6,0)*365)/12)</f>
        <v/>
      </c>
      <c r="Y350" s="153">
        <f t="shared" si="138"/>
        <v>0</v>
      </c>
      <c r="Z350" s="153" t="str">
        <f t="shared" si="147"/>
        <v/>
      </c>
      <c r="AA350" s="153" t="str">
        <f t="shared" si="139"/>
        <v/>
      </c>
      <c r="AB350" s="153" t="str">
        <f t="shared" si="148"/>
        <v/>
      </c>
      <c r="AC350" s="153" t="str">
        <f t="shared" si="140"/>
        <v/>
      </c>
      <c r="AD350" s="153" t="str">
        <f t="shared" si="141"/>
        <v/>
      </c>
      <c r="AE350" s="153" t="str">
        <f t="shared" si="142"/>
        <v/>
      </c>
      <c r="AF350" s="155" t="e">
        <f>LOOKUP(2,1/(Lookups!$I$2:$I$11&lt;=E350)/(Lookups!$J$2:$J$11&gt;=E350),Lookups!$L$2:$L$11)</f>
        <v>#N/A</v>
      </c>
      <c r="AG350" s="142" t="str">
        <f t="shared" si="143"/>
        <v/>
      </c>
      <c r="AH350" s="142" t="str">
        <f t="shared" si="144"/>
        <v/>
      </c>
      <c r="AI350" s="143" t="b">
        <f t="shared" si="149"/>
        <v>0</v>
      </c>
      <c r="AJ350" s="143" t="str">
        <f t="shared" si="145"/>
        <v>Level 1</v>
      </c>
      <c r="AK350" s="142">
        <f t="shared" si="146"/>
        <v>0</v>
      </c>
      <c r="AL350" s="157" t="str">
        <f t="shared" si="154"/>
        <v/>
      </c>
      <c r="AM350" s="144" t="str">
        <f t="shared" si="155"/>
        <v>--FALSE-0</v>
      </c>
      <c r="AN350" s="158" t="str">
        <f t="shared" si="150"/>
        <v/>
      </c>
      <c r="AO350" s="145"/>
      <c r="AP350" s="159" t="str">
        <f>IF($AN350=FALSE,"",IFERROR(INDEX('Flat Rates'!$A$1:$M$3880,MATCH($AM350,'Flat Rates'!$A$1:$A$3880,0),MATCH("Standing Charge",'Flat Rates'!$A$1:$M$1,0))*100,""))</f>
        <v/>
      </c>
      <c r="AQ350" s="148" t="str">
        <f>IF($AN350=FALSE,"",IFERROR((IF(NOT(T350="Unrestricted"),"",INDEX('Flat Rates'!$A$1:$M$3880,MATCH($AM350,'Flat Rates'!$A$1:$A$3880,0),MATCH("Uni/Day Rate",'Flat Rates'!$A$1:$M$1,0)))*100)+H350,""))</f>
        <v/>
      </c>
      <c r="AR350" s="148" t="str">
        <f>IF($AN350=FALSE,"",IFERROR((IF(T350="Unrestricted","",INDEX('Flat Rates'!$A$1:$M$3880,MATCH($AM350,'Flat Rates'!$A$1:$A$3880,0),MATCH("Uni/Day Rate",'Flat Rates'!$A$1:$M$1,0)))*100)+H350,""))</f>
        <v/>
      </c>
      <c r="AS350" s="148" t="str">
        <f>IF($AN350=FALSE,"",IFERROR(IF(INDEX('Flat Rates'!$A$1:$M$3880,MATCH($AM350,'Flat Rates'!$A$1:$A$3880,0),MATCH("Night Unit Rate",'Flat Rates'!$A$1:$M$1,0))=0,"",((INDEX('Flat Rates'!$A$1:$M$3880,MATCH($AM350,'Flat Rates'!$A$1:$A$3880,0),MATCH("Night Unit Rate",'Flat Rates'!$A$1:$M$1,0)))*100)+H350),""))</f>
        <v/>
      </c>
      <c r="AT350" s="148" t="str">
        <f>IF($AN350=FALSE,"",IFERROR(IF(INDEX('Flat Rates'!$A$1:$M$3880,MATCH($AM350,'Flat Rates'!$A$1:$A$3880,0),MATCH("Evening and Weekend Rate",'Flat Rates'!$A$1:$M$1,0))=0,"",((INDEX('Flat Rates'!$A$1:$M$3880,MATCH($AM350,'Flat Rates'!$A$1:$A$3880,0),MATCH("Evening and Weekend Rate",'Flat Rates'!$A$1:$M$1,0)))*100)+H350),""))</f>
        <v/>
      </c>
      <c r="AU350" s="152" t="str">
        <f t="shared" si="151"/>
        <v/>
      </c>
      <c r="AV350" s="152" t="str">
        <f t="shared" si="152"/>
        <v/>
      </c>
      <c r="AW350" s="152" t="str">
        <f t="shared" si="153"/>
        <v/>
      </c>
    </row>
    <row r="351" spans="2:49" ht="15" thickBot="1" x14ac:dyDescent="0.35">
      <c r="B351" s="138" t="str">
        <f t="shared" si="130"/>
        <v/>
      </c>
      <c r="C351" s="137"/>
      <c r="D351" s="139"/>
      <c r="E351" s="140"/>
      <c r="F351" s="140"/>
      <c r="G351" s="139"/>
      <c r="H351" s="151"/>
      <c r="I351" s="139"/>
      <c r="J351" s="138"/>
      <c r="K351" s="139"/>
      <c r="L351" s="141"/>
      <c r="M351" s="133" t="str">
        <f t="shared" si="131"/>
        <v/>
      </c>
      <c r="N351" s="133" t="str">
        <f t="shared" si="132"/>
        <v/>
      </c>
      <c r="O351" s="133" t="str">
        <f t="shared" si="133"/>
        <v/>
      </c>
      <c r="P351" s="133" t="str">
        <f t="shared" si="134"/>
        <v/>
      </c>
      <c r="Q351" s="133" t="str">
        <f t="shared" si="135"/>
        <v/>
      </c>
      <c r="R351" s="133" t="str">
        <f t="shared" si="136"/>
        <v/>
      </c>
      <c r="S351" s="133" t="str">
        <f t="shared" si="137"/>
        <v/>
      </c>
      <c r="T351" s="133" t="str">
        <f>IFERROR(IF($U351="ERROR","ERROR",IF($N351="00",IF(J351="1-Rate","HH 1RATE",IF(J351="2-Rate","HH 2RATE","")),IFERROR(VLOOKUP(CONCATENATE(N351,Q351,O351,P351),Lookups!$A$2:$E$4557,5,0),VLOOKUP(CONCATENATE(N351,Q351,O351),Lookups!$A$2:$E$4557,5,0)))),"ERROR")</f>
        <v>ERROR</v>
      </c>
      <c r="U351" s="133" t="str">
        <f>IFERROR(IF(NOT($N351="00"),"",VLOOKUP(CONCATENATE(Q351,P351,LOOKUP(2,1/(Lookups!$I$2:$I$11&lt;=E351)/(Lookups!$J$2:$J$11&gt;=Tool!$C$14),Lookups!$K$2:$K$11)),'HH LLFs'!$A$2:$K$500,3,0)),"ERROR")</f>
        <v/>
      </c>
      <c r="V351" s="132">
        <f>Calcs!$I$2</f>
        <v>44377</v>
      </c>
      <c r="W351" s="132">
        <f>Calcs!$I$4</f>
        <v>44592</v>
      </c>
      <c r="X351" s="153" t="str">
        <f>IF(NOT(N351="00"),"",(VLOOKUP(CONCATENATE(Q351,P351,LOOKUP(2,1/(Lookups!$I$2:$I$11&lt;=Multisite!E351)/(Lookups!$J$2:$J$11&gt;=E351),Lookups!$K$2:$K$11)),'HH LLFs'!$A$2:$F$282,6,0)*365)/12)</f>
        <v/>
      </c>
      <c r="Y351" s="153">
        <f t="shared" si="138"/>
        <v>0</v>
      </c>
      <c r="Z351" s="153" t="str">
        <f t="shared" si="147"/>
        <v/>
      </c>
      <c r="AA351" s="153" t="str">
        <f t="shared" si="139"/>
        <v/>
      </c>
      <c r="AB351" s="153" t="str">
        <f t="shared" si="148"/>
        <v/>
      </c>
      <c r="AC351" s="153" t="str">
        <f t="shared" si="140"/>
        <v/>
      </c>
      <c r="AD351" s="153" t="str">
        <f t="shared" si="141"/>
        <v/>
      </c>
      <c r="AE351" s="153" t="str">
        <f t="shared" si="142"/>
        <v/>
      </c>
      <c r="AF351" s="155" t="e">
        <f>LOOKUP(2,1/(Lookups!$I$2:$I$11&lt;=E351)/(Lookups!$J$2:$J$11&gt;=E351),Lookups!$L$2:$L$11)</f>
        <v>#N/A</v>
      </c>
      <c r="AG351" s="142" t="str">
        <f t="shared" si="143"/>
        <v/>
      </c>
      <c r="AH351" s="142" t="str">
        <f t="shared" si="144"/>
        <v/>
      </c>
      <c r="AI351" s="143" t="b">
        <f t="shared" si="149"/>
        <v>0</v>
      </c>
      <c r="AJ351" s="143" t="str">
        <f t="shared" si="145"/>
        <v>Level 1</v>
      </c>
      <c r="AK351" s="142">
        <f t="shared" si="146"/>
        <v>0</v>
      </c>
      <c r="AL351" s="157" t="str">
        <f t="shared" si="154"/>
        <v/>
      </c>
      <c r="AM351" s="144" t="str">
        <f t="shared" si="155"/>
        <v>--FALSE-0</v>
      </c>
      <c r="AN351" s="158" t="str">
        <f t="shared" si="150"/>
        <v/>
      </c>
      <c r="AO351" s="145"/>
      <c r="AP351" s="159" t="str">
        <f>IF($AN351=FALSE,"",IFERROR(INDEX('Flat Rates'!$A$1:$M$3880,MATCH($AM351,'Flat Rates'!$A$1:$A$3880,0),MATCH("Standing Charge",'Flat Rates'!$A$1:$M$1,0))*100,""))</f>
        <v/>
      </c>
      <c r="AQ351" s="148" t="str">
        <f>IF($AN351=FALSE,"",IFERROR((IF(NOT(T351="Unrestricted"),"",INDEX('Flat Rates'!$A$1:$M$3880,MATCH($AM351,'Flat Rates'!$A$1:$A$3880,0),MATCH("Uni/Day Rate",'Flat Rates'!$A$1:$M$1,0)))*100)+H351,""))</f>
        <v/>
      </c>
      <c r="AR351" s="148" t="str">
        <f>IF($AN351=FALSE,"",IFERROR((IF(T351="Unrestricted","",INDEX('Flat Rates'!$A$1:$M$3880,MATCH($AM351,'Flat Rates'!$A$1:$A$3880,0),MATCH("Uni/Day Rate",'Flat Rates'!$A$1:$M$1,0)))*100)+H351,""))</f>
        <v/>
      </c>
      <c r="AS351" s="148" t="str">
        <f>IF($AN351=FALSE,"",IFERROR(IF(INDEX('Flat Rates'!$A$1:$M$3880,MATCH($AM351,'Flat Rates'!$A$1:$A$3880,0),MATCH("Night Unit Rate",'Flat Rates'!$A$1:$M$1,0))=0,"",((INDEX('Flat Rates'!$A$1:$M$3880,MATCH($AM351,'Flat Rates'!$A$1:$A$3880,0),MATCH("Night Unit Rate",'Flat Rates'!$A$1:$M$1,0)))*100)+H351),""))</f>
        <v/>
      </c>
      <c r="AT351" s="148" t="str">
        <f>IF($AN351=FALSE,"",IFERROR(IF(INDEX('Flat Rates'!$A$1:$M$3880,MATCH($AM351,'Flat Rates'!$A$1:$A$3880,0),MATCH("Evening and Weekend Rate",'Flat Rates'!$A$1:$M$1,0))=0,"",((INDEX('Flat Rates'!$A$1:$M$3880,MATCH($AM351,'Flat Rates'!$A$1:$A$3880,0),MATCH("Evening and Weekend Rate",'Flat Rates'!$A$1:$M$1,0)))*100)+H351),""))</f>
        <v/>
      </c>
      <c r="AU351" s="152" t="str">
        <f t="shared" si="151"/>
        <v/>
      </c>
      <c r="AV351" s="152" t="str">
        <f t="shared" si="152"/>
        <v/>
      </c>
      <c r="AW351" s="152" t="str">
        <f t="shared" si="153"/>
        <v/>
      </c>
    </row>
    <row r="352" spans="2:49" ht="15" thickBot="1" x14ac:dyDescent="0.35">
      <c r="B352" s="138" t="str">
        <f t="shared" si="130"/>
        <v/>
      </c>
      <c r="C352" s="146"/>
      <c r="D352" s="147"/>
      <c r="E352" s="140"/>
      <c r="F352" s="140"/>
      <c r="G352" s="139"/>
      <c r="H352" s="151"/>
      <c r="I352" s="139"/>
      <c r="J352" s="137"/>
      <c r="K352" s="139"/>
      <c r="L352" s="141"/>
      <c r="M352" s="133" t="str">
        <f t="shared" si="131"/>
        <v/>
      </c>
      <c r="N352" s="133" t="str">
        <f t="shared" si="132"/>
        <v/>
      </c>
      <c r="O352" s="133" t="str">
        <f t="shared" si="133"/>
        <v/>
      </c>
      <c r="P352" s="133" t="str">
        <f t="shared" si="134"/>
        <v/>
      </c>
      <c r="Q352" s="133" t="str">
        <f t="shared" si="135"/>
        <v/>
      </c>
      <c r="R352" s="133" t="str">
        <f t="shared" si="136"/>
        <v/>
      </c>
      <c r="S352" s="133" t="str">
        <f t="shared" si="137"/>
        <v/>
      </c>
      <c r="T352" s="133" t="str">
        <f>IFERROR(IF($U352="ERROR","ERROR",IF($N352="00",IF(J352="1-Rate","HH 1RATE",IF(J352="2-Rate","HH 2RATE","")),IFERROR(VLOOKUP(CONCATENATE(N352,Q352,O352,P352),Lookups!$A$2:$E$4557,5,0),VLOOKUP(CONCATENATE(N352,Q352,O352),Lookups!$A$2:$E$4557,5,0)))),"ERROR")</f>
        <v>ERROR</v>
      </c>
      <c r="U352" s="133" t="str">
        <f>IFERROR(IF(NOT($N352="00"),"",VLOOKUP(CONCATENATE(Q352,P352,LOOKUP(2,1/(Lookups!$I$2:$I$11&lt;=E352)/(Lookups!$J$2:$J$11&gt;=Tool!$C$14),Lookups!$K$2:$K$11)),'HH LLFs'!$A$2:$K$500,3,0)),"ERROR")</f>
        <v/>
      </c>
      <c r="V352" s="132">
        <f>Calcs!$I$2</f>
        <v>44377</v>
      </c>
      <c r="W352" s="132">
        <f>Calcs!$I$4</f>
        <v>44592</v>
      </c>
      <c r="X352" s="153" t="str">
        <f>IF(NOT(N352="00"),"",(VLOOKUP(CONCATENATE(Q352,P352,LOOKUP(2,1/(Lookups!$I$2:$I$11&lt;=Multisite!E352)/(Lookups!$J$2:$J$11&gt;=E352),Lookups!$K$2:$K$11)),'HH LLFs'!$A$2:$F$282,6,0)*365)/12)</f>
        <v/>
      </c>
      <c r="Y352" s="153">
        <f t="shared" si="138"/>
        <v>0</v>
      </c>
      <c r="Z352" s="153" t="str">
        <f t="shared" si="147"/>
        <v/>
      </c>
      <c r="AA352" s="153" t="str">
        <f t="shared" si="139"/>
        <v/>
      </c>
      <c r="AB352" s="153" t="str">
        <f t="shared" si="148"/>
        <v/>
      </c>
      <c r="AC352" s="153" t="str">
        <f t="shared" si="140"/>
        <v/>
      </c>
      <c r="AD352" s="153" t="str">
        <f t="shared" si="141"/>
        <v/>
      </c>
      <c r="AE352" s="153" t="str">
        <f t="shared" si="142"/>
        <v/>
      </c>
      <c r="AF352" s="155" t="e">
        <f>LOOKUP(2,1/(Lookups!$I$2:$I$11&lt;=E352)/(Lookups!$J$2:$J$11&gt;=E352),Lookups!$L$2:$L$11)</f>
        <v>#N/A</v>
      </c>
      <c r="AG352" s="142" t="str">
        <f t="shared" si="143"/>
        <v/>
      </c>
      <c r="AH352" s="142" t="str">
        <f t="shared" si="144"/>
        <v/>
      </c>
      <c r="AI352" s="143" t="b">
        <f t="shared" si="149"/>
        <v>0</v>
      </c>
      <c r="AJ352" s="143" t="str">
        <f t="shared" si="145"/>
        <v>Level 1</v>
      </c>
      <c r="AK352" s="142">
        <f t="shared" si="146"/>
        <v>0</v>
      </c>
      <c r="AL352" s="157" t="str">
        <f t="shared" si="154"/>
        <v/>
      </c>
      <c r="AM352" s="144" t="str">
        <f t="shared" si="155"/>
        <v>--FALSE-0</v>
      </c>
      <c r="AN352" s="158" t="str">
        <f t="shared" si="150"/>
        <v/>
      </c>
      <c r="AO352" s="145"/>
      <c r="AP352" s="159" t="str">
        <f>IF($AN352=FALSE,"",IFERROR(INDEX('Flat Rates'!$A$1:$M$3880,MATCH($AM352,'Flat Rates'!$A$1:$A$3880,0),MATCH("Standing Charge",'Flat Rates'!$A$1:$M$1,0))*100,""))</f>
        <v/>
      </c>
      <c r="AQ352" s="148" t="str">
        <f>IF($AN352=FALSE,"",IFERROR((IF(NOT(T352="Unrestricted"),"",INDEX('Flat Rates'!$A$1:$M$3880,MATCH($AM352,'Flat Rates'!$A$1:$A$3880,0),MATCH("Uni/Day Rate",'Flat Rates'!$A$1:$M$1,0)))*100)+H352,""))</f>
        <v/>
      </c>
      <c r="AR352" s="148" t="str">
        <f>IF($AN352=FALSE,"",IFERROR((IF(T352="Unrestricted","",INDEX('Flat Rates'!$A$1:$M$3880,MATCH($AM352,'Flat Rates'!$A$1:$A$3880,0),MATCH("Uni/Day Rate",'Flat Rates'!$A$1:$M$1,0)))*100)+H352,""))</f>
        <v/>
      </c>
      <c r="AS352" s="148" t="str">
        <f>IF($AN352=FALSE,"",IFERROR(IF(INDEX('Flat Rates'!$A$1:$M$3880,MATCH($AM352,'Flat Rates'!$A$1:$A$3880,0),MATCH("Night Unit Rate",'Flat Rates'!$A$1:$M$1,0))=0,"",((INDEX('Flat Rates'!$A$1:$M$3880,MATCH($AM352,'Flat Rates'!$A$1:$A$3880,0),MATCH("Night Unit Rate",'Flat Rates'!$A$1:$M$1,0)))*100)+H352),""))</f>
        <v/>
      </c>
      <c r="AT352" s="148" t="str">
        <f>IF($AN352=FALSE,"",IFERROR(IF(INDEX('Flat Rates'!$A$1:$M$3880,MATCH($AM352,'Flat Rates'!$A$1:$A$3880,0),MATCH("Evening and Weekend Rate",'Flat Rates'!$A$1:$M$1,0))=0,"",((INDEX('Flat Rates'!$A$1:$M$3880,MATCH($AM352,'Flat Rates'!$A$1:$A$3880,0),MATCH("Evening and Weekend Rate",'Flat Rates'!$A$1:$M$1,0)))*100)+H352),""))</f>
        <v/>
      </c>
      <c r="AU352" s="152" t="str">
        <f t="shared" si="151"/>
        <v/>
      </c>
      <c r="AV352" s="152" t="str">
        <f t="shared" si="152"/>
        <v/>
      </c>
      <c r="AW352" s="152" t="str">
        <f t="shared" si="153"/>
        <v/>
      </c>
    </row>
    <row r="353" spans="2:49" ht="15" thickBot="1" x14ac:dyDescent="0.35">
      <c r="B353" s="138" t="str">
        <f t="shared" si="130"/>
        <v/>
      </c>
      <c r="C353" s="137"/>
      <c r="D353" s="139"/>
      <c r="E353" s="140"/>
      <c r="F353" s="140"/>
      <c r="G353" s="139"/>
      <c r="H353" s="151"/>
      <c r="I353" s="139"/>
      <c r="J353" s="138"/>
      <c r="K353" s="139"/>
      <c r="L353" s="141"/>
      <c r="M353" s="133" t="str">
        <f t="shared" si="131"/>
        <v/>
      </c>
      <c r="N353" s="133" t="str">
        <f t="shared" si="132"/>
        <v/>
      </c>
      <c r="O353" s="133" t="str">
        <f t="shared" si="133"/>
        <v/>
      </c>
      <c r="P353" s="133" t="str">
        <f t="shared" si="134"/>
        <v/>
      </c>
      <c r="Q353" s="133" t="str">
        <f t="shared" si="135"/>
        <v/>
      </c>
      <c r="R353" s="133" t="str">
        <f t="shared" si="136"/>
        <v/>
      </c>
      <c r="S353" s="133" t="str">
        <f t="shared" si="137"/>
        <v/>
      </c>
      <c r="T353" s="133" t="str">
        <f>IFERROR(IF($U353="ERROR","ERROR",IF($N353="00",IF(J353="1-Rate","HH 1RATE",IF(J353="2-Rate","HH 2RATE","")),IFERROR(VLOOKUP(CONCATENATE(N353,Q353,O353,P353),Lookups!$A$2:$E$4557,5,0),VLOOKUP(CONCATENATE(N353,Q353,O353),Lookups!$A$2:$E$4557,5,0)))),"ERROR")</f>
        <v>ERROR</v>
      </c>
      <c r="U353" s="133" t="str">
        <f>IFERROR(IF(NOT($N353="00"),"",VLOOKUP(CONCATENATE(Q353,P353,LOOKUP(2,1/(Lookups!$I$2:$I$11&lt;=E353)/(Lookups!$J$2:$J$11&gt;=Tool!$C$14),Lookups!$K$2:$K$11)),'HH LLFs'!$A$2:$K$500,3,0)),"ERROR")</f>
        <v/>
      </c>
      <c r="V353" s="132">
        <f>Calcs!$I$2</f>
        <v>44377</v>
      </c>
      <c r="W353" s="132">
        <f>Calcs!$I$4</f>
        <v>44592</v>
      </c>
      <c r="X353" s="153" t="str">
        <f>IF(NOT(N353="00"),"",(VLOOKUP(CONCATENATE(Q353,P353,LOOKUP(2,1/(Lookups!$I$2:$I$11&lt;=Multisite!E353)/(Lookups!$J$2:$J$11&gt;=E353),Lookups!$K$2:$K$11)),'HH LLFs'!$A$2:$F$282,6,0)*365)/12)</f>
        <v/>
      </c>
      <c r="Y353" s="153">
        <f t="shared" si="138"/>
        <v>0</v>
      </c>
      <c r="Z353" s="153" t="str">
        <f t="shared" si="147"/>
        <v/>
      </c>
      <c r="AA353" s="153" t="str">
        <f t="shared" si="139"/>
        <v/>
      </c>
      <c r="AB353" s="153" t="str">
        <f t="shared" si="148"/>
        <v/>
      </c>
      <c r="AC353" s="153" t="str">
        <f t="shared" si="140"/>
        <v/>
      </c>
      <c r="AD353" s="153" t="str">
        <f t="shared" si="141"/>
        <v/>
      </c>
      <c r="AE353" s="153" t="str">
        <f t="shared" si="142"/>
        <v/>
      </c>
      <c r="AF353" s="155" t="e">
        <f>LOOKUP(2,1/(Lookups!$I$2:$I$11&lt;=E353)/(Lookups!$J$2:$J$11&gt;=E353),Lookups!$L$2:$L$11)</f>
        <v>#N/A</v>
      </c>
      <c r="AG353" s="142" t="str">
        <f t="shared" si="143"/>
        <v/>
      </c>
      <c r="AH353" s="142" t="str">
        <f t="shared" si="144"/>
        <v/>
      </c>
      <c r="AI353" s="143" t="b">
        <f t="shared" si="149"/>
        <v>0</v>
      </c>
      <c r="AJ353" s="143" t="str">
        <f t="shared" si="145"/>
        <v>Level 1</v>
      </c>
      <c r="AK353" s="142">
        <f t="shared" si="146"/>
        <v>0</v>
      </c>
      <c r="AL353" s="157" t="str">
        <f t="shared" si="154"/>
        <v/>
      </c>
      <c r="AM353" s="144" t="str">
        <f t="shared" si="155"/>
        <v>--FALSE-0</v>
      </c>
      <c r="AN353" s="158" t="str">
        <f t="shared" si="150"/>
        <v/>
      </c>
      <c r="AO353" s="145"/>
      <c r="AP353" s="159" t="str">
        <f>IF($AN353=FALSE,"",IFERROR(INDEX('Flat Rates'!$A$1:$M$3880,MATCH($AM353,'Flat Rates'!$A$1:$A$3880,0),MATCH("Standing Charge",'Flat Rates'!$A$1:$M$1,0))*100,""))</f>
        <v/>
      </c>
      <c r="AQ353" s="148" t="str">
        <f>IF($AN353=FALSE,"",IFERROR((IF(NOT(T353="Unrestricted"),"",INDEX('Flat Rates'!$A$1:$M$3880,MATCH($AM353,'Flat Rates'!$A$1:$A$3880,0),MATCH("Uni/Day Rate",'Flat Rates'!$A$1:$M$1,0)))*100)+H353,""))</f>
        <v/>
      </c>
      <c r="AR353" s="148" t="str">
        <f>IF($AN353=FALSE,"",IFERROR((IF(T353="Unrestricted","",INDEX('Flat Rates'!$A$1:$M$3880,MATCH($AM353,'Flat Rates'!$A$1:$A$3880,0),MATCH("Uni/Day Rate",'Flat Rates'!$A$1:$M$1,0)))*100)+H353,""))</f>
        <v/>
      </c>
      <c r="AS353" s="148" t="str">
        <f>IF($AN353=FALSE,"",IFERROR(IF(INDEX('Flat Rates'!$A$1:$M$3880,MATCH($AM353,'Flat Rates'!$A$1:$A$3880,0),MATCH("Night Unit Rate",'Flat Rates'!$A$1:$M$1,0))=0,"",((INDEX('Flat Rates'!$A$1:$M$3880,MATCH($AM353,'Flat Rates'!$A$1:$A$3880,0),MATCH("Night Unit Rate",'Flat Rates'!$A$1:$M$1,0)))*100)+H353),""))</f>
        <v/>
      </c>
      <c r="AT353" s="148" t="str">
        <f>IF($AN353=FALSE,"",IFERROR(IF(INDEX('Flat Rates'!$A$1:$M$3880,MATCH($AM353,'Flat Rates'!$A$1:$A$3880,0),MATCH("Evening and Weekend Rate",'Flat Rates'!$A$1:$M$1,0))=0,"",((INDEX('Flat Rates'!$A$1:$M$3880,MATCH($AM353,'Flat Rates'!$A$1:$A$3880,0),MATCH("Evening and Weekend Rate",'Flat Rates'!$A$1:$M$1,0)))*100)+H353),""))</f>
        <v/>
      </c>
      <c r="AU353" s="152" t="str">
        <f t="shared" si="151"/>
        <v/>
      </c>
      <c r="AV353" s="152" t="str">
        <f t="shared" si="152"/>
        <v/>
      </c>
      <c r="AW353" s="152" t="str">
        <f t="shared" si="153"/>
        <v/>
      </c>
    </row>
    <row r="354" spans="2:49" ht="15" thickBot="1" x14ac:dyDescent="0.35">
      <c r="B354" s="138" t="str">
        <f t="shared" si="130"/>
        <v/>
      </c>
      <c r="C354" s="146"/>
      <c r="D354" s="147"/>
      <c r="E354" s="140"/>
      <c r="F354" s="140"/>
      <c r="G354" s="139"/>
      <c r="H354" s="151"/>
      <c r="I354" s="139"/>
      <c r="J354" s="137"/>
      <c r="K354" s="139"/>
      <c r="L354" s="141"/>
      <c r="M354" s="133" t="str">
        <f t="shared" si="131"/>
        <v/>
      </c>
      <c r="N354" s="133" t="str">
        <f t="shared" si="132"/>
        <v/>
      </c>
      <c r="O354" s="133" t="str">
        <f t="shared" si="133"/>
        <v/>
      </c>
      <c r="P354" s="133" t="str">
        <f t="shared" si="134"/>
        <v/>
      </c>
      <c r="Q354" s="133" t="str">
        <f t="shared" si="135"/>
        <v/>
      </c>
      <c r="R354" s="133" t="str">
        <f t="shared" si="136"/>
        <v/>
      </c>
      <c r="S354" s="133" t="str">
        <f t="shared" si="137"/>
        <v/>
      </c>
      <c r="T354" s="133" t="str">
        <f>IFERROR(IF($U354="ERROR","ERROR",IF($N354="00",IF(J354="1-Rate","HH 1RATE",IF(J354="2-Rate","HH 2RATE","")),IFERROR(VLOOKUP(CONCATENATE(N354,Q354,O354,P354),Lookups!$A$2:$E$4557,5,0),VLOOKUP(CONCATENATE(N354,Q354,O354),Lookups!$A$2:$E$4557,5,0)))),"ERROR")</f>
        <v>ERROR</v>
      </c>
      <c r="U354" s="133" t="str">
        <f>IFERROR(IF(NOT($N354="00"),"",VLOOKUP(CONCATENATE(Q354,P354,LOOKUP(2,1/(Lookups!$I$2:$I$11&lt;=E354)/(Lookups!$J$2:$J$11&gt;=Tool!$C$14),Lookups!$K$2:$K$11)),'HH LLFs'!$A$2:$K$500,3,0)),"ERROR")</f>
        <v/>
      </c>
      <c r="V354" s="132">
        <f>Calcs!$I$2</f>
        <v>44377</v>
      </c>
      <c r="W354" s="132">
        <f>Calcs!$I$4</f>
        <v>44592</v>
      </c>
      <c r="X354" s="153" t="str">
        <f>IF(NOT(N354="00"),"",(VLOOKUP(CONCATENATE(Q354,P354,LOOKUP(2,1/(Lookups!$I$2:$I$11&lt;=Multisite!E354)/(Lookups!$J$2:$J$11&gt;=E354),Lookups!$K$2:$K$11)),'HH LLFs'!$A$2:$F$282,6,0)*365)/12)</f>
        <v/>
      </c>
      <c r="Y354" s="153">
        <f t="shared" si="138"/>
        <v>0</v>
      </c>
      <c r="Z354" s="153" t="str">
        <f t="shared" si="147"/>
        <v/>
      </c>
      <c r="AA354" s="153" t="str">
        <f t="shared" si="139"/>
        <v/>
      </c>
      <c r="AB354" s="153" t="str">
        <f t="shared" si="148"/>
        <v/>
      </c>
      <c r="AC354" s="153" t="str">
        <f t="shared" si="140"/>
        <v/>
      </c>
      <c r="AD354" s="153" t="str">
        <f t="shared" si="141"/>
        <v/>
      </c>
      <c r="AE354" s="153" t="str">
        <f t="shared" si="142"/>
        <v/>
      </c>
      <c r="AF354" s="155" t="e">
        <f>LOOKUP(2,1/(Lookups!$I$2:$I$11&lt;=E354)/(Lookups!$J$2:$J$11&gt;=E354),Lookups!$L$2:$L$11)</f>
        <v>#N/A</v>
      </c>
      <c r="AG354" s="142" t="str">
        <f t="shared" si="143"/>
        <v/>
      </c>
      <c r="AH354" s="142" t="str">
        <f t="shared" si="144"/>
        <v/>
      </c>
      <c r="AI354" s="143" t="b">
        <f t="shared" si="149"/>
        <v>0</v>
      </c>
      <c r="AJ354" s="143" t="str">
        <f t="shared" si="145"/>
        <v>Level 1</v>
      </c>
      <c r="AK354" s="142">
        <f t="shared" si="146"/>
        <v>0</v>
      </c>
      <c r="AL354" s="157" t="str">
        <f t="shared" si="154"/>
        <v/>
      </c>
      <c r="AM354" s="144" t="str">
        <f t="shared" si="155"/>
        <v>--FALSE-0</v>
      </c>
      <c r="AN354" s="158" t="str">
        <f t="shared" si="150"/>
        <v/>
      </c>
      <c r="AO354" s="145"/>
      <c r="AP354" s="159" t="str">
        <f>IF($AN354=FALSE,"",IFERROR(INDEX('Flat Rates'!$A$1:$M$3880,MATCH($AM354,'Flat Rates'!$A$1:$A$3880,0),MATCH("Standing Charge",'Flat Rates'!$A$1:$M$1,0))*100,""))</f>
        <v/>
      </c>
      <c r="AQ354" s="148" t="str">
        <f>IF($AN354=FALSE,"",IFERROR((IF(NOT(T354="Unrestricted"),"",INDEX('Flat Rates'!$A$1:$M$3880,MATCH($AM354,'Flat Rates'!$A$1:$A$3880,0),MATCH("Uni/Day Rate",'Flat Rates'!$A$1:$M$1,0)))*100)+H354,""))</f>
        <v/>
      </c>
      <c r="AR354" s="148" t="str">
        <f>IF($AN354=FALSE,"",IFERROR((IF(T354="Unrestricted","",INDEX('Flat Rates'!$A$1:$M$3880,MATCH($AM354,'Flat Rates'!$A$1:$A$3880,0),MATCH("Uni/Day Rate",'Flat Rates'!$A$1:$M$1,0)))*100)+H354,""))</f>
        <v/>
      </c>
      <c r="AS354" s="148" t="str">
        <f>IF($AN354=FALSE,"",IFERROR(IF(INDEX('Flat Rates'!$A$1:$M$3880,MATCH($AM354,'Flat Rates'!$A$1:$A$3880,0),MATCH("Night Unit Rate",'Flat Rates'!$A$1:$M$1,0))=0,"",((INDEX('Flat Rates'!$A$1:$M$3880,MATCH($AM354,'Flat Rates'!$A$1:$A$3880,0),MATCH("Night Unit Rate",'Flat Rates'!$A$1:$M$1,0)))*100)+H354),""))</f>
        <v/>
      </c>
      <c r="AT354" s="148" t="str">
        <f>IF($AN354=FALSE,"",IFERROR(IF(INDEX('Flat Rates'!$A$1:$M$3880,MATCH($AM354,'Flat Rates'!$A$1:$A$3880,0),MATCH("Evening and Weekend Rate",'Flat Rates'!$A$1:$M$1,0))=0,"",((INDEX('Flat Rates'!$A$1:$M$3880,MATCH($AM354,'Flat Rates'!$A$1:$A$3880,0),MATCH("Evening and Weekend Rate",'Flat Rates'!$A$1:$M$1,0)))*100)+H354),""))</f>
        <v/>
      </c>
      <c r="AU354" s="152" t="str">
        <f t="shared" si="151"/>
        <v/>
      </c>
      <c r="AV354" s="152" t="str">
        <f t="shared" si="152"/>
        <v/>
      </c>
      <c r="AW354" s="152" t="str">
        <f t="shared" si="153"/>
        <v/>
      </c>
    </row>
    <row r="355" spans="2:49" ht="15" thickBot="1" x14ac:dyDescent="0.35">
      <c r="B355" s="138" t="str">
        <f t="shared" si="130"/>
        <v/>
      </c>
      <c r="C355" s="137"/>
      <c r="D355" s="139"/>
      <c r="E355" s="140"/>
      <c r="F355" s="140"/>
      <c r="G355" s="139"/>
      <c r="H355" s="151"/>
      <c r="I355" s="139"/>
      <c r="J355" s="138"/>
      <c r="K355" s="139"/>
      <c r="L355" s="141"/>
      <c r="M355" s="133" t="str">
        <f t="shared" si="131"/>
        <v/>
      </c>
      <c r="N355" s="133" t="str">
        <f t="shared" si="132"/>
        <v/>
      </c>
      <c r="O355" s="133" t="str">
        <f t="shared" si="133"/>
        <v/>
      </c>
      <c r="P355" s="133" t="str">
        <f t="shared" si="134"/>
        <v/>
      </c>
      <c r="Q355" s="133" t="str">
        <f t="shared" si="135"/>
        <v/>
      </c>
      <c r="R355" s="133" t="str">
        <f t="shared" si="136"/>
        <v/>
      </c>
      <c r="S355" s="133" t="str">
        <f t="shared" si="137"/>
        <v/>
      </c>
      <c r="T355" s="133" t="str">
        <f>IFERROR(IF($U355="ERROR","ERROR",IF($N355="00",IF(J355="1-Rate","HH 1RATE",IF(J355="2-Rate","HH 2RATE","")),IFERROR(VLOOKUP(CONCATENATE(N355,Q355,O355,P355),Lookups!$A$2:$E$4557,5,0),VLOOKUP(CONCATENATE(N355,Q355,O355),Lookups!$A$2:$E$4557,5,0)))),"ERROR")</f>
        <v>ERROR</v>
      </c>
      <c r="U355" s="133" t="str">
        <f>IFERROR(IF(NOT($N355="00"),"",VLOOKUP(CONCATENATE(Q355,P355,LOOKUP(2,1/(Lookups!$I$2:$I$11&lt;=E355)/(Lookups!$J$2:$J$11&gt;=Tool!$C$14),Lookups!$K$2:$K$11)),'HH LLFs'!$A$2:$K$500,3,0)),"ERROR")</f>
        <v/>
      </c>
      <c r="V355" s="132">
        <f>Calcs!$I$2</f>
        <v>44377</v>
      </c>
      <c r="W355" s="132">
        <f>Calcs!$I$4</f>
        <v>44592</v>
      </c>
      <c r="X355" s="153" t="str">
        <f>IF(NOT(N355="00"),"",(VLOOKUP(CONCATENATE(Q355,P355,LOOKUP(2,1/(Lookups!$I$2:$I$11&lt;=Multisite!E355)/(Lookups!$J$2:$J$11&gt;=E355),Lookups!$K$2:$K$11)),'HH LLFs'!$A$2:$F$282,6,0)*365)/12)</f>
        <v/>
      </c>
      <c r="Y355" s="153">
        <f t="shared" si="138"/>
        <v>0</v>
      </c>
      <c r="Z355" s="153" t="str">
        <f t="shared" si="147"/>
        <v/>
      </c>
      <c r="AA355" s="153" t="str">
        <f t="shared" si="139"/>
        <v/>
      </c>
      <c r="AB355" s="153" t="str">
        <f t="shared" si="148"/>
        <v/>
      </c>
      <c r="AC355" s="153" t="str">
        <f t="shared" si="140"/>
        <v/>
      </c>
      <c r="AD355" s="153" t="str">
        <f t="shared" si="141"/>
        <v/>
      </c>
      <c r="AE355" s="153" t="str">
        <f t="shared" si="142"/>
        <v/>
      </c>
      <c r="AF355" s="155" t="e">
        <f>LOOKUP(2,1/(Lookups!$I$2:$I$11&lt;=E355)/(Lookups!$J$2:$J$11&gt;=E355),Lookups!$L$2:$L$11)</f>
        <v>#N/A</v>
      </c>
      <c r="AG355" s="142" t="str">
        <f t="shared" si="143"/>
        <v/>
      </c>
      <c r="AH355" s="142" t="str">
        <f t="shared" si="144"/>
        <v/>
      </c>
      <c r="AI355" s="143" t="b">
        <f t="shared" si="149"/>
        <v>0</v>
      </c>
      <c r="AJ355" s="143" t="str">
        <f t="shared" si="145"/>
        <v>Level 1</v>
      </c>
      <c r="AK355" s="142">
        <f t="shared" si="146"/>
        <v>0</v>
      </c>
      <c r="AL355" s="157" t="str">
        <f t="shared" si="154"/>
        <v/>
      </c>
      <c r="AM355" s="144" t="str">
        <f t="shared" si="155"/>
        <v>--FALSE-0</v>
      </c>
      <c r="AN355" s="158" t="str">
        <f t="shared" si="150"/>
        <v/>
      </c>
      <c r="AO355" s="145"/>
      <c r="AP355" s="159" t="str">
        <f>IF($AN355=FALSE,"",IFERROR(INDEX('Flat Rates'!$A$1:$M$3880,MATCH($AM355,'Flat Rates'!$A$1:$A$3880,0),MATCH("Standing Charge",'Flat Rates'!$A$1:$M$1,0))*100,""))</f>
        <v/>
      </c>
      <c r="AQ355" s="148" t="str">
        <f>IF($AN355=FALSE,"",IFERROR((IF(NOT(T355="Unrestricted"),"",INDEX('Flat Rates'!$A$1:$M$3880,MATCH($AM355,'Flat Rates'!$A$1:$A$3880,0),MATCH("Uni/Day Rate",'Flat Rates'!$A$1:$M$1,0)))*100)+H355,""))</f>
        <v/>
      </c>
      <c r="AR355" s="148" t="str">
        <f>IF($AN355=FALSE,"",IFERROR((IF(T355="Unrestricted","",INDEX('Flat Rates'!$A$1:$M$3880,MATCH($AM355,'Flat Rates'!$A$1:$A$3880,0),MATCH("Uni/Day Rate",'Flat Rates'!$A$1:$M$1,0)))*100)+H355,""))</f>
        <v/>
      </c>
      <c r="AS355" s="148" t="str">
        <f>IF($AN355=FALSE,"",IFERROR(IF(INDEX('Flat Rates'!$A$1:$M$3880,MATCH($AM355,'Flat Rates'!$A$1:$A$3880,0),MATCH("Night Unit Rate",'Flat Rates'!$A$1:$M$1,0))=0,"",((INDEX('Flat Rates'!$A$1:$M$3880,MATCH($AM355,'Flat Rates'!$A$1:$A$3880,0),MATCH("Night Unit Rate",'Flat Rates'!$A$1:$M$1,0)))*100)+H355),""))</f>
        <v/>
      </c>
      <c r="AT355" s="148" t="str">
        <f>IF($AN355=FALSE,"",IFERROR(IF(INDEX('Flat Rates'!$A$1:$M$3880,MATCH($AM355,'Flat Rates'!$A$1:$A$3880,0),MATCH("Evening and Weekend Rate",'Flat Rates'!$A$1:$M$1,0))=0,"",((INDEX('Flat Rates'!$A$1:$M$3880,MATCH($AM355,'Flat Rates'!$A$1:$A$3880,0),MATCH("Evening and Weekend Rate",'Flat Rates'!$A$1:$M$1,0)))*100)+H355),""))</f>
        <v/>
      </c>
      <c r="AU355" s="152" t="str">
        <f t="shared" si="151"/>
        <v/>
      </c>
      <c r="AV355" s="152" t="str">
        <f t="shared" si="152"/>
        <v/>
      </c>
      <c r="AW355" s="152" t="str">
        <f t="shared" si="153"/>
        <v/>
      </c>
    </row>
    <row r="356" spans="2:49" ht="15" thickBot="1" x14ac:dyDescent="0.35">
      <c r="B356" s="138" t="str">
        <f t="shared" si="130"/>
        <v/>
      </c>
      <c r="C356" s="146"/>
      <c r="D356" s="147"/>
      <c r="E356" s="140"/>
      <c r="F356" s="140"/>
      <c r="G356" s="139"/>
      <c r="H356" s="151"/>
      <c r="I356" s="139"/>
      <c r="J356" s="137"/>
      <c r="K356" s="139"/>
      <c r="L356" s="141"/>
      <c r="M356" s="133" t="str">
        <f t="shared" si="131"/>
        <v/>
      </c>
      <c r="N356" s="133" t="str">
        <f t="shared" si="132"/>
        <v/>
      </c>
      <c r="O356" s="133" t="str">
        <f t="shared" si="133"/>
        <v/>
      </c>
      <c r="P356" s="133" t="str">
        <f t="shared" si="134"/>
        <v/>
      </c>
      <c r="Q356" s="133" t="str">
        <f t="shared" si="135"/>
        <v/>
      </c>
      <c r="R356" s="133" t="str">
        <f t="shared" si="136"/>
        <v/>
      </c>
      <c r="S356" s="133" t="str">
        <f t="shared" si="137"/>
        <v/>
      </c>
      <c r="T356" s="133" t="str">
        <f>IFERROR(IF($U356="ERROR","ERROR",IF($N356="00",IF(J356="1-Rate","HH 1RATE",IF(J356="2-Rate","HH 2RATE","")),IFERROR(VLOOKUP(CONCATENATE(N356,Q356,O356,P356),Lookups!$A$2:$E$4557,5,0),VLOOKUP(CONCATENATE(N356,Q356,O356),Lookups!$A$2:$E$4557,5,0)))),"ERROR")</f>
        <v>ERROR</v>
      </c>
      <c r="U356" s="133" t="str">
        <f>IFERROR(IF(NOT($N356="00"),"",VLOOKUP(CONCATENATE(Q356,P356,LOOKUP(2,1/(Lookups!$I$2:$I$11&lt;=E356)/(Lookups!$J$2:$J$11&gt;=Tool!$C$14),Lookups!$K$2:$K$11)),'HH LLFs'!$A$2:$K$500,3,0)),"ERROR")</f>
        <v/>
      </c>
      <c r="V356" s="132">
        <f>Calcs!$I$2</f>
        <v>44377</v>
      </c>
      <c r="W356" s="132">
        <f>Calcs!$I$4</f>
        <v>44592</v>
      </c>
      <c r="X356" s="153" t="str">
        <f>IF(NOT(N356="00"),"",(VLOOKUP(CONCATENATE(Q356,P356,LOOKUP(2,1/(Lookups!$I$2:$I$11&lt;=Multisite!E356)/(Lookups!$J$2:$J$11&gt;=E356),Lookups!$K$2:$K$11)),'HH LLFs'!$A$2:$F$282,6,0)*365)/12)</f>
        <v/>
      </c>
      <c r="Y356" s="153">
        <f t="shared" si="138"/>
        <v>0</v>
      </c>
      <c r="Z356" s="153" t="str">
        <f t="shared" si="147"/>
        <v/>
      </c>
      <c r="AA356" s="153" t="str">
        <f t="shared" si="139"/>
        <v/>
      </c>
      <c r="AB356" s="153" t="str">
        <f t="shared" si="148"/>
        <v/>
      </c>
      <c r="AC356" s="153" t="str">
        <f t="shared" si="140"/>
        <v/>
      </c>
      <c r="AD356" s="153" t="str">
        <f t="shared" si="141"/>
        <v/>
      </c>
      <c r="AE356" s="153" t="str">
        <f t="shared" si="142"/>
        <v/>
      </c>
      <c r="AF356" s="155" t="e">
        <f>LOOKUP(2,1/(Lookups!$I$2:$I$11&lt;=E356)/(Lookups!$J$2:$J$11&gt;=E356),Lookups!$L$2:$L$11)</f>
        <v>#N/A</v>
      </c>
      <c r="AG356" s="142" t="str">
        <f t="shared" si="143"/>
        <v/>
      </c>
      <c r="AH356" s="142" t="str">
        <f t="shared" si="144"/>
        <v/>
      </c>
      <c r="AI356" s="143" t="b">
        <f t="shared" si="149"/>
        <v>0</v>
      </c>
      <c r="AJ356" s="143" t="str">
        <f t="shared" si="145"/>
        <v>Level 1</v>
      </c>
      <c r="AK356" s="142">
        <f t="shared" si="146"/>
        <v>0</v>
      </c>
      <c r="AL356" s="157" t="str">
        <f t="shared" si="154"/>
        <v/>
      </c>
      <c r="AM356" s="144" t="str">
        <f t="shared" si="155"/>
        <v>--FALSE-0</v>
      </c>
      <c r="AN356" s="158" t="str">
        <f t="shared" si="150"/>
        <v/>
      </c>
      <c r="AO356" s="145"/>
      <c r="AP356" s="159" t="str">
        <f>IF($AN356=FALSE,"",IFERROR(INDEX('Flat Rates'!$A$1:$M$3880,MATCH($AM356,'Flat Rates'!$A$1:$A$3880,0),MATCH("Standing Charge",'Flat Rates'!$A$1:$M$1,0))*100,""))</f>
        <v/>
      </c>
      <c r="AQ356" s="148" t="str">
        <f>IF($AN356=FALSE,"",IFERROR((IF(NOT(T356="Unrestricted"),"",INDEX('Flat Rates'!$A$1:$M$3880,MATCH($AM356,'Flat Rates'!$A$1:$A$3880,0),MATCH("Uni/Day Rate",'Flat Rates'!$A$1:$M$1,0)))*100)+H356,""))</f>
        <v/>
      </c>
      <c r="AR356" s="148" t="str">
        <f>IF($AN356=FALSE,"",IFERROR((IF(T356="Unrestricted","",INDEX('Flat Rates'!$A$1:$M$3880,MATCH($AM356,'Flat Rates'!$A$1:$A$3880,0),MATCH("Uni/Day Rate",'Flat Rates'!$A$1:$M$1,0)))*100)+H356,""))</f>
        <v/>
      </c>
      <c r="AS356" s="148" t="str">
        <f>IF($AN356=FALSE,"",IFERROR(IF(INDEX('Flat Rates'!$A$1:$M$3880,MATCH($AM356,'Flat Rates'!$A$1:$A$3880,0),MATCH("Night Unit Rate",'Flat Rates'!$A$1:$M$1,0))=0,"",((INDEX('Flat Rates'!$A$1:$M$3880,MATCH($AM356,'Flat Rates'!$A$1:$A$3880,0),MATCH("Night Unit Rate",'Flat Rates'!$A$1:$M$1,0)))*100)+H356),""))</f>
        <v/>
      </c>
      <c r="AT356" s="148" t="str">
        <f>IF($AN356=FALSE,"",IFERROR(IF(INDEX('Flat Rates'!$A$1:$M$3880,MATCH($AM356,'Flat Rates'!$A$1:$A$3880,0),MATCH("Evening and Weekend Rate",'Flat Rates'!$A$1:$M$1,0))=0,"",((INDEX('Flat Rates'!$A$1:$M$3880,MATCH($AM356,'Flat Rates'!$A$1:$A$3880,0),MATCH("Evening and Weekend Rate",'Flat Rates'!$A$1:$M$1,0)))*100)+H356),""))</f>
        <v/>
      </c>
      <c r="AU356" s="152" t="str">
        <f t="shared" si="151"/>
        <v/>
      </c>
      <c r="AV356" s="152" t="str">
        <f t="shared" si="152"/>
        <v/>
      </c>
      <c r="AW356" s="152" t="str">
        <f t="shared" si="153"/>
        <v/>
      </c>
    </row>
    <row r="357" spans="2:49" ht="15" thickBot="1" x14ac:dyDescent="0.35">
      <c r="B357" s="138" t="str">
        <f t="shared" si="130"/>
        <v/>
      </c>
      <c r="C357" s="137"/>
      <c r="D357" s="139"/>
      <c r="E357" s="140"/>
      <c r="F357" s="140"/>
      <c r="G357" s="139"/>
      <c r="H357" s="151"/>
      <c r="I357" s="139"/>
      <c r="J357" s="138"/>
      <c r="K357" s="139"/>
      <c r="L357" s="141"/>
      <c r="M357" s="133" t="str">
        <f t="shared" si="131"/>
        <v/>
      </c>
      <c r="N357" s="133" t="str">
        <f t="shared" si="132"/>
        <v/>
      </c>
      <c r="O357" s="133" t="str">
        <f t="shared" si="133"/>
        <v/>
      </c>
      <c r="P357" s="133" t="str">
        <f t="shared" si="134"/>
        <v/>
      </c>
      <c r="Q357" s="133" t="str">
        <f t="shared" si="135"/>
        <v/>
      </c>
      <c r="R357" s="133" t="str">
        <f t="shared" si="136"/>
        <v/>
      </c>
      <c r="S357" s="133" t="str">
        <f t="shared" si="137"/>
        <v/>
      </c>
      <c r="T357" s="133" t="str">
        <f>IFERROR(IF($U357="ERROR","ERROR",IF($N357="00",IF(J357="1-Rate","HH 1RATE",IF(J357="2-Rate","HH 2RATE","")),IFERROR(VLOOKUP(CONCATENATE(N357,Q357,O357,P357),Lookups!$A$2:$E$4557,5,0),VLOOKUP(CONCATENATE(N357,Q357,O357),Lookups!$A$2:$E$4557,5,0)))),"ERROR")</f>
        <v>ERROR</v>
      </c>
      <c r="U357" s="133" t="str">
        <f>IFERROR(IF(NOT($N357="00"),"",VLOOKUP(CONCATENATE(Q357,P357,LOOKUP(2,1/(Lookups!$I$2:$I$11&lt;=E357)/(Lookups!$J$2:$J$11&gt;=Tool!$C$14),Lookups!$K$2:$K$11)),'HH LLFs'!$A$2:$K$500,3,0)),"ERROR")</f>
        <v/>
      </c>
      <c r="V357" s="132">
        <f>Calcs!$I$2</f>
        <v>44377</v>
      </c>
      <c r="W357" s="132">
        <f>Calcs!$I$4</f>
        <v>44592</v>
      </c>
      <c r="X357" s="153" t="str">
        <f>IF(NOT(N357="00"),"",(VLOOKUP(CONCATENATE(Q357,P357,LOOKUP(2,1/(Lookups!$I$2:$I$11&lt;=Multisite!E357)/(Lookups!$J$2:$J$11&gt;=E357),Lookups!$K$2:$K$11)),'HH LLFs'!$A$2:$F$282,6,0)*365)/12)</f>
        <v/>
      </c>
      <c r="Y357" s="153">
        <f t="shared" si="138"/>
        <v>0</v>
      </c>
      <c r="Z357" s="153" t="str">
        <f t="shared" si="147"/>
        <v/>
      </c>
      <c r="AA357" s="153" t="str">
        <f t="shared" si="139"/>
        <v/>
      </c>
      <c r="AB357" s="153" t="str">
        <f t="shared" si="148"/>
        <v/>
      </c>
      <c r="AC357" s="153" t="str">
        <f t="shared" si="140"/>
        <v/>
      </c>
      <c r="AD357" s="153" t="str">
        <f t="shared" si="141"/>
        <v/>
      </c>
      <c r="AE357" s="153" t="str">
        <f t="shared" si="142"/>
        <v/>
      </c>
      <c r="AF357" s="155" t="e">
        <f>LOOKUP(2,1/(Lookups!$I$2:$I$11&lt;=E357)/(Lookups!$J$2:$J$11&gt;=E357),Lookups!$L$2:$L$11)</f>
        <v>#N/A</v>
      </c>
      <c r="AG357" s="142" t="str">
        <f t="shared" si="143"/>
        <v/>
      </c>
      <c r="AH357" s="142" t="str">
        <f t="shared" si="144"/>
        <v/>
      </c>
      <c r="AI357" s="143" t="b">
        <f t="shared" si="149"/>
        <v>0</v>
      </c>
      <c r="AJ357" s="143" t="str">
        <f t="shared" si="145"/>
        <v>Level 1</v>
      </c>
      <c r="AK357" s="142">
        <f t="shared" si="146"/>
        <v>0</v>
      </c>
      <c r="AL357" s="157" t="str">
        <f t="shared" si="154"/>
        <v/>
      </c>
      <c r="AM357" s="144" t="str">
        <f t="shared" si="155"/>
        <v>--FALSE-0</v>
      </c>
      <c r="AN357" s="158" t="str">
        <f t="shared" si="150"/>
        <v/>
      </c>
      <c r="AO357" s="145"/>
      <c r="AP357" s="159" t="str">
        <f>IF($AN357=FALSE,"",IFERROR(INDEX('Flat Rates'!$A$1:$M$3880,MATCH($AM357,'Flat Rates'!$A$1:$A$3880,0),MATCH("Standing Charge",'Flat Rates'!$A$1:$M$1,0))*100,""))</f>
        <v/>
      </c>
      <c r="AQ357" s="148" t="str">
        <f>IF($AN357=FALSE,"",IFERROR((IF(NOT(T357="Unrestricted"),"",INDEX('Flat Rates'!$A$1:$M$3880,MATCH($AM357,'Flat Rates'!$A$1:$A$3880,0),MATCH("Uni/Day Rate",'Flat Rates'!$A$1:$M$1,0)))*100)+H357,""))</f>
        <v/>
      </c>
      <c r="AR357" s="148" t="str">
        <f>IF($AN357=FALSE,"",IFERROR((IF(T357="Unrestricted","",INDEX('Flat Rates'!$A$1:$M$3880,MATCH($AM357,'Flat Rates'!$A$1:$A$3880,0),MATCH("Uni/Day Rate",'Flat Rates'!$A$1:$M$1,0)))*100)+H357,""))</f>
        <v/>
      </c>
      <c r="AS357" s="148" t="str">
        <f>IF($AN357=FALSE,"",IFERROR(IF(INDEX('Flat Rates'!$A$1:$M$3880,MATCH($AM357,'Flat Rates'!$A$1:$A$3880,0),MATCH("Night Unit Rate",'Flat Rates'!$A$1:$M$1,0))=0,"",((INDEX('Flat Rates'!$A$1:$M$3880,MATCH($AM357,'Flat Rates'!$A$1:$A$3880,0),MATCH("Night Unit Rate",'Flat Rates'!$A$1:$M$1,0)))*100)+H357),""))</f>
        <v/>
      </c>
      <c r="AT357" s="148" t="str">
        <f>IF($AN357=FALSE,"",IFERROR(IF(INDEX('Flat Rates'!$A$1:$M$3880,MATCH($AM357,'Flat Rates'!$A$1:$A$3880,0),MATCH("Evening and Weekend Rate",'Flat Rates'!$A$1:$M$1,0))=0,"",((INDEX('Flat Rates'!$A$1:$M$3880,MATCH($AM357,'Flat Rates'!$A$1:$A$3880,0),MATCH("Evening and Weekend Rate",'Flat Rates'!$A$1:$M$1,0)))*100)+H357),""))</f>
        <v/>
      </c>
      <c r="AU357" s="152" t="str">
        <f t="shared" si="151"/>
        <v/>
      </c>
      <c r="AV357" s="152" t="str">
        <f t="shared" si="152"/>
        <v/>
      </c>
      <c r="AW357" s="152" t="str">
        <f t="shared" si="153"/>
        <v/>
      </c>
    </row>
    <row r="358" spans="2:49" ht="15" thickBot="1" x14ac:dyDescent="0.35">
      <c r="B358" s="138" t="str">
        <f t="shared" si="130"/>
        <v/>
      </c>
      <c r="C358" s="146"/>
      <c r="D358" s="147"/>
      <c r="E358" s="140"/>
      <c r="F358" s="140"/>
      <c r="G358" s="139"/>
      <c r="H358" s="151"/>
      <c r="I358" s="139"/>
      <c r="J358" s="137"/>
      <c r="K358" s="139"/>
      <c r="L358" s="141"/>
      <c r="M358" s="133" t="str">
        <f t="shared" si="131"/>
        <v/>
      </c>
      <c r="N358" s="133" t="str">
        <f t="shared" si="132"/>
        <v/>
      </c>
      <c r="O358" s="133" t="str">
        <f t="shared" si="133"/>
        <v/>
      </c>
      <c r="P358" s="133" t="str">
        <f t="shared" si="134"/>
        <v/>
      </c>
      <c r="Q358" s="133" t="str">
        <f t="shared" si="135"/>
        <v/>
      </c>
      <c r="R358" s="133" t="str">
        <f t="shared" si="136"/>
        <v/>
      </c>
      <c r="S358" s="133" t="str">
        <f t="shared" si="137"/>
        <v/>
      </c>
      <c r="T358" s="133" t="str">
        <f>IFERROR(IF($U358="ERROR","ERROR",IF($N358="00",IF(J358="1-Rate","HH 1RATE",IF(J358="2-Rate","HH 2RATE","")),IFERROR(VLOOKUP(CONCATENATE(N358,Q358,O358,P358),Lookups!$A$2:$E$4557,5,0),VLOOKUP(CONCATENATE(N358,Q358,O358),Lookups!$A$2:$E$4557,5,0)))),"ERROR")</f>
        <v>ERROR</v>
      </c>
      <c r="U358" s="133" t="str">
        <f>IFERROR(IF(NOT($N358="00"),"",VLOOKUP(CONCATENATE(Q358,P358,LOOKUP(2,1/(Lookups!$I$2:$I$11&lt;=E358)/(Lookups!$J$2:$J$11&gt;=Tool!$C$14),Lookups!$K$2:$K$11)),'HH LLFs'!$A$2:$K$500,3,0)),"ERROR")</f>
        <v/>
      </c>
      <c r="V358" s="132">
        <f>Calcs!$I$2</f>
        <v>44377</v>
      </c>
      <c r="W358" s="132">
        <f>Calcs!$I$4</f>
        <v>44592</v>
      </c>
      <c r="X358" s="153" t="str">
        <f>IF(NOT(N358="00"),"",(VLOOKUP(CONCATENATE(Q358,P358,LOOKUP(2,1/(Lookups!$I$2:$I$11&lt;=Multisite!E358)/(Lookups!$J$2:$J$11&gt;=E358),Lookups!$K$2:$K$11)),'HH LLFs'!$A$2:$F$282,6,0)*365)/12)</f>
        <v/>
      </c>
      <c r="Y358" s="153">
        <f t="shared" si="138"/>
        <v>0</v>
      </c>
      <c r="Z358" s="153" t="str">
        <f t="shared" si="147"/>
        <v/>
      </c>
      <c r="AA358" s="153" t="str">
        <f t="shared" si="139"/>
        <v/>
      </c>
      <c r="AB358" s="153" t="str">
        <f t="shared" si="148"/>
        <v/>
      </c>
      <c r="AC358" s="153" t="str">
        <f t="shared" si="140"/>
        <v/>
      </c>
      <c r="AD358" s="153" t="str">
        <f t="shared" si="141"/>
        <v/>
      </c>
      <c r="AE358" s="153" t="str">
        <f t="shared" si="142"/>
        <v/>
      </c>
      <c r="AF358" s="155" t="e">
        <f>LOOKUP(2,1/(Lookups!$I$2:$I$11&lt;=E358)/(Lookups!$J$2:$J$11&gt;=E358),Lookups!$L$2:$L$11)</f>
        <v>#N/A</v>
      </c>
      <c r="AG358" s="142" t="str">
        <f t="shared" si="143"/>
        <v/>
      </c>
      <c r="AH358" s="142" t="str">
        <f t="shared" si="144"/>
        <v/>
      </c>
      <c r="AI358" s="143" t="b">
        <f t="shared" si="149"/>
        <v>0</v>
      </c>
      <c r="AJ358" s="143" t="str">
        <f t="shared" si="145"/>
        <v>Level 1</v>
      </c>
      <c r="AK358" s="142">
        <f t="shared" si="146"/>
        <v>0</v>
      </c>
      <c r="AL358" s="157" t="str">
        <f t="shared" si="154"/>
        <v/>
      </c>
      <c r="AM358" s="144" t="str">
        <f t="shared" si="155"/>
        <v>--FALSE-0</v>
      </c>
      <c r="AN358" s="158" t="str">
        <f t="shared" si="150"/>
        <v/>
      </c>
      <c r="AO358" s="145"/>
      <c r="AP358" s="159" t="str">
        <f>IF($AN358=FALSE,"",IFERROR(INDEX('Flat Rates'!$A$1:$M$3880,MATCH($AM358,'Flat Rates'!$A$1:$A$3880,0),MATCH("Standing Charge",'Flat Rates'!$A$1:$M$1,0))*100,""))</f>
        <v/>
      </c>
      <c r="AQ358" s="148" t="str">
        <f>IF($AN358=FALSE,"",IFERROR((IF(NOT(T358="Unrestricted"),"",INDEX('Flat Rates'!$A$1:$M$3880,MATCH($AM358,'Flat Rates'!$A$1:$A$3880,0),MATCH("Uni/Day Rate",'Flat Rates'!$A$1:$M$1,0)))*100)+H358,""))</f>
        <v/>
      </c>
      <c r="AR358" s="148" t="str">
        <f>IF($AN358=FALSE,"",IFERROR((IF(T358="Unrestricted","",INDEX('Flat Rates'!$A$1:$M$3880,MATCH($AM358,'Flat Rates'!$A$1:$A$3880,0),MATCH("Uni/Day Rate",'Flat Rates'!$A$1:$M$1,0)))*100)+H358,""))</f>
        <v/>
      </c>
      <c r="AS358" s="148" t="str">
        <f>IF($AN358=FALSE,"",IFERROR(IF(INDEX('Flat Rates'!$A$1:$M$3880,MATCH($AM358,'Flat Rates'!$A$1:$A$3880,0),MATCH("Night Unit Rate",'Flat Rates'!$A$1:$M$1,0))=0,"",((INDEX('Flat Rates'!$A$1:$M$3880,MATCH($AM358,'Flat Rates'!$A$1:$A$3880,0),MATCH("Night Unit Rate",'Flat Rates'!$A$1:$M$1,0)))*100)+H358),""))</f>
        <v/>
      </c>
      <c r="AT358" s="148" t="str">
        <f>IF($AN358=FALSE,"",IFERROR(IF(INDEX('Flat Rates'!$A$1:$M$3880,MATCH($AM358,'Flat Rates'!$A$1:$A$3880,0),MATCH("Evening and Weekend Rate",'Flat Rates'!$A$1:$M$1,0))=0,"",((INDEX('Flat Rates'!$A$1:$M$3880,MATCH($AM358,'Flat Rates'!$A$1:$A$3880,0),MATCH("Evening and Weekend Rate",'Flat Rates'!$A$1:$M$1,0)))*100)+H358),""))</f>
        <v/>
      </c>
      <c r="AU358" s="152" t="str">
        <f t="shared" si="151"/>
        <v/>
      </c>
      <c r="AV358" s="152" t="str">
        <f t="shared" si="152"/>
        <v/>
      </c>
      <c r="AW358" s="152" t="str">
        <f t="shared" si="153"/>
        <v/>
      </c>
    </row>
    <row r="359" spans="2:49" ht="15" thickBot="1" x14ac:dyDescent="0.35">
      <c r="B359" s="138" t="str">
        <f t="shared" si="130"/>
        <v/>
      </c>
      <c r="C359" s="137"/>
      <c r="D359" s="139"/>
      <c r="E359" s="140"/>
      <c r="F359" s="140"/>
      <c r="G359" s="139"/>
      <c r="H359" s="151"/>
      <c r="I359" s="139"/>
      <c r="J359" s="138"/>
      <c r="K359" s="139"/>
      <c r="L359" s="141"/>
      <c r="M359" s="133" t="str">
        <f t="shared" si="131"/>
        <v/>
      </c>
      <c r="N359" s="133" t="str">
        <f t="shared" si="132"/>
        <v/>
      </c>
      <c r="O359" s="133" t="str">
        <f t="shared" si="133"/>
        <v/>
      </c>
      <c r="P359" s="133" t="str">
        <f t="shared" si="134"/>
        <v/>
      </c>
      <c r="Q359" s="133" t="str">
        <f t="shared" si="135"/>
        <v/>
      </c>
      <c r="R359" s="133" t="str">
        <f t="shared" si="136"/>
        <v/>
      </c>
      <c r="S359" s="133" t="str">
        <f t="shared" si="137"/>
        <v/>
      </c>
      <c r="T359" s="133" t="str">
        <f>IFERROR(IF($U359="ERROR","ERROR",IF($N359="00",IF(J359="1-Rate","HH 1RATE",IF(J359="2-Rate","HH 2RATE","")),IFERROR(VLOOKUP(CONCATENATE(N359,Q359,O359,P359),Lookups!$A$2:$E$4557,5,0),VLOOKUP(CONCATENATE(N359,Q359,O359),Lookups!$A$2:$E$4557,5,0)))),"ERROR")</f>
        <v>ERROR</v>
      </c>
      <c r="U359" s="133" t="str">
        <f>IFERROR(IF(NOT($N359="00"),"",VLOOKUP(CONCATENATE(Q359,P359,LOOKUP(2,1/(Lookups!$I$2:$I$11&lt;=E359)/(Lookups!$J$2:$J$11&gt;=Tool!$C$14),Lookups!$K$2:$K$11)),'HH LLFs'!$A$2:$K$500,3,0)),"ERROR")</f>
        <v/>
      </c>
      <c r="V359" s="132">
        <f>Calcs!$I$2</f>
        <v>44377</v>
      </c>
      <c r="W359" s="132">
        <f>Calcs!$I$4</f>
        <v>44592</v>
      </c>
      <c r="X359" s="153" t="str">
        <f>IF(NOT(N359="00"),"",(VLOOKUP(CONCATENATE(Q359,P359,LOOKUP(2,1/(Lookups!$I$2:$I$11&lt;=Multisite!E359)/(Lookups!$J$2:$J$11&gt;=E359),Lookups!$K$2:$K$11)),'HH LLFs'!$A$2:$F$282,6,0)*365)/12)</f>
        <v/>
      </c>
      <c r="Y359" s="153">
        <f t="shared" si="138"/>
        <v>0</v>
      </c>
      <c r="Z359" s="153" t="str">
        <f t="shared" si="147"/>
        <v/>
      </c>
      <c r="AA359" s="153" t="str">
        <f t="shared" si="139"/>
        <v/>
      </c>
      <c r="AB359" s="153" t="str">
        <f t="shared" si="148"/>
        <v/>
      </c>
      <c r="AC359" s="153" t="str">
        <f t="shared" si="140"/>
        <v/>
      </c>
      <c r="AD359" s="153" t="str">
        <f t="shared" si="141"/>
        <v/>
      </c>
      <c r="AE359" s="153" t="str">
        <f t="shared" si="142"/>
        <v/>
      </c>
      <c r="AF359" s="155" t="e">
        <f>LOOKUP(2,1/(Lookups!$I$2:$I$11&lt;=E359)/(Lookups!$J$2:$J$11&gt;=E359),Lookups!$L$2:$L$11)</f>
        <v>#N/A</v>
      </c>
      <c r="AG359" s="142" t="str">
        <f t="shared" si="143"/>
        <v/>
      </c>
      <c r="AH359" s="142" t="str">
        <f t="shared" si="144"/>
        <v/>
      </c>
      <c r="AI359" s="143" t="b">
        <f t="shared" si="149"/>
        <v>0</v>
      </c>
      <c r="AJ359" s="143" t="str">
        <f t="shared" si="145"/>
        <v>Level 1</v>
      </c>
      <c r="AK359" s="142">
        <f t="shared" si="146"/>
        <v>0</v>
      </c>
      <c r="AL359" s="157" t="str">
        <f t="shared" si="154"/>
        <v/>
      </c>
      <c r="AM359" s="144" t="str">
        <f t="shared" si="155"/>
        <v>--FALSE-0</v>
      </c>
      <c r="AN359" s="158" t="str">
        <f t="shared" si="150"/>
        <v/>
      </c>
      <c r="AO359" s="145"/>
      <c r="AP359" s="159" t="str">
        <f>IF($AN359=FALSE,"",IFERROR(INDEX('Flat Rates'!$A$1:$M$3880,MATCH($AM359,'Flat Rates'!$A$1:$A$3880,0),MATCH("Standing Charge",'Flat Rates'!$A$1:$M$1,0))*100,""))</f>
        <v/>
      </c>
      <c r="AQ359" s="148" t="str">
        <f>IF($AN359=FALSE,"",IFERROR((IF(NOT(T359="Unrestricted"),"",INDEX('Flat Rates'!$A$1:$M$3880,MATCH($AM359,'Flat Rates'!$A$1:$A$3880,0),MATCH("Uni/Day Rate",'Flat Rates'!$A$1:$M$1,0)))*100)+H359,""))</f>
        <v/>
      </c>
      <c r="AR359" s="148" t="str">
        <f>IF($AN359=FALSE,"",IFERROR((IF(T359="Unrestricted","",INDEX('Flat Rates'!$A$1:$M$3880,MATCH($AM359,'Flat Rates'!$A$1:$A$3880,0),MATCH("Uni/Day Rate",'Flat Rates'!$A$1:$M$1,0)))*100)+H359,""))</f>
        <v/>
      </c>
      <c r="AS359" s="148" t="str">
        <f>IF($AN359=FALSE,"",IFERROR(IF(INDEX('Flat Rates'!$A$1:$M$3880,MATCH($AM359,'Flat Rates'!$A$1:$A$3880,0),MATCH("Night Unit Rate",'Flat Rates'!$A$1:$M$1,0))=0,"",((INDEX('Flat Rates'!$A$1:$M$3880,MATCH($AM359,'Flat Rates'!$A$1:$A$3880,0),MATCH("Night Unit Rate",'Flat Rates'!$A$1:$M$1,0)))*100)+H359),""))</f>
        <v/>
      </c>
      <c r="AT359" s="148" t="str">
        <f>IF($AN359=FALSE,"",IFERROR(IF(INDEX('Flat Rates'!$A$1:$M$3880,MATCH($AM359,'Flat Rates'!$A$1:$A$3880,0),MATCH("Evening and Weekend Rate",'Flat Rates'!$A$1:$M$1,0))=0,"",((INDEX('Flat Rates'!$A$1:$M$3880,MATCH($AM359,'Flat Rates'!$A$1:$A$3880,0),MATCH("Evening and Weekend Rate",'Flat Rates'!$A$1:$M$1,0)))*100)+H359),""))</f>
        <v/>
      </c>
      <c r="AU359" s="152" t="str">
        <f t="shared" si="151"/>
        <v/>
      </c>
      <c r="AV359" s="152" t="str">
        <f t="shared" si="152"/>
        <v/>
      </c>
      <c r="AW359" s="152" t="str">
        <f t="shared" si="153"/>
        <v/>
      </c>
    </row>
    <row r="360" spans="2:49" ht="15" thickBot="1" x14ac:dyDescent="0.35">
      <c r="B360" s="138" t="str">
        <f t="shared" si="130"/>
        <v/>
      </c>
      <c r="C360" s="146"/>
      <c r="D360" s="147"/>
      <c r="E360" s="140"/>
      <c r="F360" s="140"/>
      <c r="G360" s="139"/>
      <c r="H360" s="151"/>
      <c r="I360" s="139"/>
      <c r="J360" s="137"/>
      <c r="K360" s="139"/>
      <c r="L360" s="141"/>
      <c r="M360" s="133" t="str">
        <f t="shared" si="131"/>
        <v/>
      </c>
      <c r="N360" s="133" t="str">
        <f t="shared" si="132"/>
        <v/>
      </c>
      <c r="O360" s="133" t="str">
        <f t="shared" si="133"/>
        <v/>
      </c>
      <c r="P360" s="133" t="str">
        <f t="shared" si="134"/>
        <v/>
      </c>
      <c r="Q360" s="133" t="str">
        <f t="shared" si="135"/>
        <v/>
      </c>
      <c r="R360" s="133" t="str">
        <f t="shared" si="136"/>
        <v/>
      </c>
      <c r="S360" s="133" t="str">
        <f t="shared" si="137"/>
        <v/>
      </c>
      <c r="T360" s="133" t="str">
        <f>IFERROR(IF($U360="ERROR","ERROR",IF($N360="00",IF(J360="1-Rate","HH 1RATE",IF(J360="2-Rate","HH 2RATE","")),IFERROR(VLOOKUP(CONCATENATE(N360,Q360,O360,P360),Lookups!$A$2:$E$4557,5,0),VLOOKUP(CONCATENATE(N360,Q360,O360),Lookups!$A$2:$E$4557,5,0)))),"ERROR")</f>
        <v>ERROR</v>
      </c>
      <c r="U360" s="133" t="str">
        <f>IFERROR(IF(NOT($N360="00"),"",VLOOKUP(CONCATENATE(Q360,P360,LOOKUP(2,1/(Lookups!$I$2:$I$11&lt;=E360)/(Lookups!$J$2:$J$11&gt;=Tool!$C$14),Lookups!$K$2:$K$11)),'HH LLFs'!$A$2:$K$500,3,0)),"ERROR")</f>
        <v/>
      </c>
      <c r="V360" s="132">
        <f>Calcs!$I$2</f>
        <v>44377</v>
      </c>
      <c r="W360" s="132">
        <f>Calcs!$I$4</f>
        <v>44592</v>
      </c>
      <c r="X360" s="153" t="str">
        <f>IF(NOT(N360="00"),"",(VLOOKUP(CONCATENATE(Q360,P360,LOOKUP(2,1/(Lookups!$I$2:$I$11&lt;=Multisite!E360)/(Lookups!$J$2:$J$11&gt;=E360),Lookups!$K$2:$K$11)),'HH LLFs'!$A$2:$F$282,6,0)*365)/12)</f>
        <v/>
      </c>
      <c r="Y360" s="153">
        <f t="shared" si="138"/>
        <v>0</v>
      </c>
      <c r="Z360" s="153" t="str">
        <f t="shared" si="147"/>
        <v/>
      </c>
      <c r="AA360" s="153" t="str">
        <f t="shared" si="139"/>
        <v/>
      </c>
      <c r="AB360" s="153" t="str">
        <f t="shared" si="148"/>
        <v/>
      </c>
      <c r="AC360" s="153" t="str">
        <f t="shared" si="140"/>
        <v/>
      </c>
      <c r="AD360" s="153" t="str">
        <f t="shared" si="141"/>
        <v/>
      </c>
      <c r="AE360" s="153" t="str">
        <f t="shared" si="142"/>
        <v/>
      </c>
      <c r="AF360" s="155" t="e">
        <f>LOOKUP(2,1/(Lookups!$I$2:$I$11&lt;=E360)/(Lookups!$J$2:$J$11&gt;=E360),Lookups!$L$2:$L$11)</f>
        <v>#N/A</v>
      </c>
      <c r="AG360" s="142" t="str">
        <f t="shared" si="143"/>
        <v/>
      </c>
      <c r="AH360" s="142" t="str">
        <f t="shared" si="144"/>
        <v/>
      </c>
      <c r="AI360" s="143" t="b">
        <f t="shared" si="149"/>
        <v>0</v>
      </c>
      <c r="AJ360" s="143" t="str">
        <f t="shared" si="145"/>
        <v>Level 1</v>
      </c>
      <c r="AK360" s="142">
        <f t="shared" si="146"/>
        <v>0</v>
      </c>
      <c r="AL360" s="157" t="str">
        <f t="shared" si="154"/>
        <v/>
      </c>
      <c r="AM360" s="144" t="str">
        <f t="shared" si="155"/>
        <v>--FALSE-0</v>
      </c>
      <c r="AN360" s="158" t="str">
        <f t="shared" si="150"/>
        <v/>
      </c>
      <c r="AO360" s="145"/>
      <c r="AP360" s="159" t="str">
        <f>IF($AN360=FALSE,"",IFERROR(INDEX('Flat Rates'!$A$1:$M$3880,MATCH($AM360,'Flat Rates'!$A$1:$A$3880,0),MATCH("Standing Charge",'Flat Rates'!$A$1:$M$1,0))*100,""))</f>
        <v/>
      </c>
      <c r="AQ360" s="148" t="str">
        <f>IF($AN360=FALSE,"",IFERROR((IF(NOT(T360="Unrestricted"),"",INDEX('Flat Rates'!$A$1:$M$3880,MATCH($AM360,'Flat Rates'!$A$1:$A$3880,0),MATCH("Uni/Day Rate",'Flat Rates'!$A$1:$M$1,0)))*100)+H360,""))</f>
        <v/>
      </c>
      <c r="AR360" s="148" t="str">
        <f>IF($AN360=FALSE,"",IFERROR((IF(T360="Unrestricted","",INDEX('Flat Rates'!$A$1:$M$3880,MATCH($AM360,'Flat Rates'!$A$1:$A$3880,0),MATCH("Uni/Day Rate",'Flat Rates'!$A$1:$M$1,0)))*100)+H360,""))</f>
        <v/>
      </c>
      <c r="AS360" s="148" t="str">
        <f>IF($AN360=FALSE,"",IFERROR(IF(INDEX('Flat Rates'!$A$1:$M$3880,MATCH($AM360,'Flat Rates'!$A$1:$A$3880,0),MATCH("Night Unit Rate",'Flat Rates'!$A$1:$M$1,0))=0,"",((INDEX('Flat Rates'!$A$1:$M$3880,MATCH($AM360,'Flat Rates'!$A$1:$A$3880,0),MATCH("Night Unit Rate",'Flat Rates'!$A$1:$M$1,0)))*100)+H360),""))</f>
        <v/>
      </c>
      <c r="AT360" s="148" t="str">
        <f>IF($AN360=FALSE,"",IFERROR(IF(INDEX('Flat Rates'!$A$1:$M$3880,MATCH($AM360,'Flat Rates'!$A$1:$A$3880,0),MATCH("Evening and Weekend Rate",'Flat Rates'!$A$1:$M$1,0))=0,"",((INDEX('Flat Rates'!$A$1:$M$3880,MATCH($AM360,'Flat Rates'!$A$1:$A$3880,0),MATCH("Evening and Weekend Rate",'Flat Rates'!$A$1:$M$1,0)))*100)+H360),""))</f>
        <v/>
      </c>
      <c r="AU360" s="152" t="str">
        <f t="shared" si="151"/>
        <v/>
      </c>
      <c r="AV360" s="152" t="str">
        <f t="shared" si="152"/>
        <v/>
      </c>
      <c r="AW360" s="152" t="str">
        <f t="shared" si="153"/>
        <v/>
      </c>
    </row>
    <row r="361" spans="2:49" ht="15" thickBot="1" x14ac:dyDescent="0.35">
      <c r="B361" s="138" t="str">
        <f t="shared" si="130"/>
        <v/>
      </c>
      <c r="C361" s="137"/>
      <c r="D361" s="139"/>
      <c r="E361" s="140"/>
      <c r="F361" s="140"/>
      <c r="G361" s="139"/>
      <c r="H361" s="151"/>
      <c r="I361" s="139"/>
      <c r="J361" s="138"/>
      <c r="K361" s="139"/>
      <c r="L361" s="141"/>
      <c r="M361" s="133" t="str">
        <f t="shared" si="131"/>
        <v/>
      </c>
      <c r="N361" s="133" t="str">
        <f t="shared" si="132"/>
        <v/>
      </c>
      <c r="O361" s="133" t="str">
        <f t="shared" si="133"/>
        <v/>
      </c>
      <c r="P361" s="133" t="str">
        <f t="shared" si="134"/>
        <v/>
      </c>
      <c r="Q361" s="133" t="str">
        <f t="shared" si="135"/>
        <v/>
      </c>
      <c r="R361" s="133" t="str">
        <f t="shared" si="136"/>
        <v/>
      </c>
      <c r="S361" s="133" t="str">
        <f t="shared" si="137"/>
        <v/>
      </c>
      <c r="T361" s="133" t="str">
        <f>IFERROR(IF($U361="ERROR","ERROR",IF($N361="00",IF(J361="1-Rate","HH 1RATE",IF(J361="2-Rate","HH 2RATE","")),IFERROR(VLOOKUP(CONCATENATE(N361,Q361,O361,P361),Lookups!$A$2:$E$4557,5,0),VLOOKUP(CONCATENATE(N361,Q361,O361),Lookups!$A$2:$E$4557,5,0)))),"ERROR")</f>
        <v>ERROR</v>
      </c>
      <c r="U361" s="133" t="str">
        <f>IFERROR(IF(NOT($N361="00"),"",VLOOKUP(CONCATENATE(Q361,P361,LOOKUP(2,1/(Lookups!$I$2:$I$11&lt;=E361)/(Lookups!$J$2:$J$11&gt;=Tool!$C$14),Lookups!$K$2:$K$11)),'HH LLFs'!$A$2:$K$500,3,0)),"ERROR")</f>
        <v/>
      </c>
      <c r="V361" s="132">
        <f>Calcs!$I$2</f>
        <v>44377</v>
      </c>
      <c r="W361" s="132">
        <f>Calcs!$I$4</f>
        <v>44592</v>
      </c>
      <c r="X361" s="153" t="str">
        <f>IF(NOT(N361="00"),"",(VLOOKUP(CONCATENATE(Q361,P361,LOOKUP(2,1/(Lookups!$I$2:$I$11&lt;=Multisite!E361)/(Lookups!$J$2:$J$11&gt;=E361),Lookups!$K$2:$K$11)),'HH LLFs'!$A$2:$F$282,6,0)*365)/12)</f>
        <v/>
      </c>
      <c r="Y361" s="153">
        <f t="shared" si="138"/>
        <v>0</v>
      </c>
      <c r="Z361" s="153" t="str">
        <f t="shared" si="147"/>
        <v/>
      </c>
      <c r="AA361" s="153" t="str">
        <f t="shared" si="139"/>
        <v/>
      </c>
      <c r="AB361" s="153" t="str">
        <f t="shared" si="148"/>
        <v/>
      </c>
      <c r="AC361" s="153" t="str">
        <f t="shared" si="140"/>
        <v/>
      </c>
      <c r="AD361" s="153" t="str">
        <f t="shared" si="141"/>
        <v/>
      </c>
      <c r="AE361" s="153" t="str">
        <f t="shared" si="142"/>
        <v/>
      </c>
      <c r="AF361" s="155" t="e">
        <f>LOOKUP(2,1/(Lookups!$I$2:$I$11&lt;=E361)/(Lookups!$J$2:$J$11&gt;=E361),Lookups!$L$2:$L$11)</f>
        <v>#N/A</v>
      </c>
      <c r="AG361" s="142" t="str">
        <f t="shared" si="143"/>
        <v/>
      </c>
      <c r="AH361" s="142" t="str">
        <f t="shared" si="144"/>
        <v/>
      </c>
      <c r="AI361" s="143" t="b">
        <f t="shared" si="149"/>
        <v>0</v>
      </c>
      <c r="AJ361" s="143" t="str">
        <f t="shared" si="145"/>
        <v>Level 1</v>
      </c>
      <c r="AK361" s="142">
        <f t="shared" si="146"/>
        <v>0</v>
      </c>
      <c r="AL361" s="157" t="str">
        <f t="shared" si="154"/>
        <v/>
      </c>
      <c r="AM361" s="144" t="str">
        <f t="shared" si="155"/>
        <v>--FALSE-0</v>
      </c>
      <c r="AN361" s="158" t="str">
        <f t="shared" si="150"/>
        <v/>
      </c>
      <c r="AO361" s="145"/>
      <c r="AP361" s="159" t="str">
        <f>IF($AN361=FALSE,"",IFERROR(INDEX('Flat Rates'!$A$1:$M$3880,MATCH($AM361,'Flat Rates'!$A$1:$A$3880,0),MATCH("Standing Charge",'Flat Rates'!$A$1:$M$1,0))*100,""))</f>
        <v/>
      </c>
      <c r="AQ361" s="148" t="str">
        <f>IF($AN361=FALSE,"",IFERROR((IF(NOT(T361="Unrestricted"),"",INDEX('Flat Rates'!$A$1:$M$3880,MATCH($AM361,'Flat Rates'!$A$1:$A$3880,0),MATCH("Uni/Day Rate",'Flat Rates'!$A$1:$M$1,0)))*100)+H361,""))</f>
        <v/>
      </c>
      <c r="AR361" s="148" t="str">
        <f>IF($AN361=FALSE,"",IFERROR((IF(T361="Unrestricted","",INDEX('Flat Rates'!$A$1:$M$3880,MATCH($AM361,'Flat Rates'!$A$1:$A$3880,0),MATCH("Uni/Day Rate",'Flat Rates'!$A$1:$M$1,0)))*100)+H361,""))</f>
        <v/>
      </c>
      <c r="AS361" s="148" t="str">
        <f>IF($AN361=FALSE,"",IFERROR(IF(INDEX('Flat Rates'!$A$1:$M$3880,MATCH($AM361,'Flat Rates'!$A$1:$A$3880,0),MATCH("Night Unit Rate",'Flat Rates'!$A$1:$M$1,0))=0,"",((INDEX('Flat Rates'!$A$1:$M$3880,MATCH($AM361,'Flat Rates'!$A$1:$A$3880,0),MATCH("Night Unit Rate",'Flat Rates'!$A$1:$M$1,0)))*100)+H361),""))</f>
        <v/>
      </c>
      <c r="AT361" s="148" t="str">
        <f>IF($AN361=FALSE,"",IFERROR(IF(INDEX('Flat Rates'!$A$1:$M$3880,MATCH($AM361,'Flat Rates'!$A$1:$A$3880,0),MATCH("Evening and Weekend Rate",'Flat Rates'!$A$1:$M$1,0))=0,"",((INDEX('Flat Rates'!$A$1:$M$3880,MATCH($AM361,'Flat Rates'!$A$1:$A$3880,0),MATCH("Evening and Weekend Rate",'Flat Rates'!$A$1:$M$1,0)))*100)+H361),""))</f>
        <v/>
      </c>
      <c r="AU361" s="152" t="str">
        <f t="shared" si="151"/>
        <v/>
      </c>
      <c r="AV361" s="152" t="str">
        <f t="shared" si="152"/>
        <v/>
      </c>
      <c r="AW361" s="152" t="str">
        <f t="shared" si="153"/>
        <v/>
      </c>
    </row>
    <row r="362" spans="2:49" ht="15" thickBot="1" x14ac:dyDescent="0.35">
      <c r="B362" s="138" t="str">
        <f t="shared" si="130"/>
        <v/>
      </c>
      <c r="C362" s="146"/>
      <c r="D362" s="147"/>
      <c r="E362" s="140"/>
      <c r="F362" s="140"/>
      <c r="G362" s="139"/>
      <c r="H362" s="151"/>
      <c r="I362" s="139"/>
      <c r="J362" s="137"/>
      <c r="K362" s="139"/>
      <c r="L362" s="141"/>
      <c r="M362" s="133" t="str">
        <f t="shared" si="131"/>
        <v/>
      </c>
      <c r="N362" s="133" t="str">
        <f t="shared" si="132"/>
        <v/>
      </c>
      <c r="O362" s="133" t="str">
        <f t="shared" si="133"/>
        <v/>
      </c>
      <c r="P362" s="133" t="str">
        <f t="shared" si="134"/>
        <v/>
      </c>
      <c r="Q362" s="133" t="str">
        <f t="shared" si="135"/>
        <v/>
      </c>
      <c r="R362" s="133" t="str">
        <f t="shared" si="136"/>
        <v/>
      </c>
      <c r="S362" s="133" t="str">
        <f t="shared" si="137"/>
        <v/>
      </c>
      <c r="T362" s="133" t="str">
        <f>IFERROR(IF($U362="ERROR","ERROR",IF($N362="00",IF(J362="1-Rate","HH 1RATE",IF(J362="2-Rate","HH 2RATE","")),IFERROR(VLOOKUP(CONCATENATE(N362,Q362,O362,P362),Lookups!$A$2:$E$4557,5,0),VLOOKUP(CONCATENATE(N362,Q362,O362),Lookups!$A$2:$E$4557,5,0)))),"ERROR")</f>
        <v>ERROR</v>
      </c>
      <c r="U362" s="133" t="str">
        <f>IFERROR(IF(NOT($N362="00"),"",VLOOKUP(CONCATENATE(Q362,P362,LOOKUP(2,1/(Lookups!$I$2:$I$11&lt;=E362)/(Lookups!$J$2:$J$11&gt;=Tool!$C$14),Lookups!$K$2:$K$11)),'HH LLFs'!$A$2:$K$500,3,0)),"ERROR")</f>
        <v/>
      </c>
      <c r="V362" s="132">
        <f>Calcs!$I$2</f>
        <v>44377</v>
      </c>
      <c r="W362" s="132">
        <f>Calcs!$I$4</f>
        <v>44592</v>
      </c>
      <c r="X362" s="153" t="str">
        <f>IF(NOT(N362="00"),"",(VLOOKUP(CONCATENATE(Q362,P362,LOOKUP(2,1/(Lookups!$I$2:$I$11&lt;=Multisite!E362)/(Lookups!$J$2:$J$11&gt;=E362),Lookups!$K$2:$K$11)),'HH LLFs'!$A$2:$F$282,6,0)*365)/12)</f>
        <v/>
      </c>
      <c r="Y362" s="153">
        <f t="shared" si="138"/>
        <v>0</v>
      </c>
      <c r="Z362" s="153" t="str">
        <f t="shared" si="147"/>
        <v/>
      </c>
      <c r="AA362" s="153" t="str">
        <f t="shared" si="139"/>
        <v/>
      </c>
      <c r="AB362" s="153" t="str">
        <f t="shared" si="148"/>
        <v/>
      </c>
      <c r="AC362" s="153" t="str">
        <f t="shared" si="140"/>
        <v/>
      </c>
      <c r="AD362" s="153" t="str">
        <f t="shared" si="141"/>
        <v/>
      </c>
      <c r="AE362" s="153" t="str">
        <f t="shared" si="142"/>
        <v/>
      </c>
      <c r="AF362" s="155" t="e">
        <f>LOOKUP(2,1/(Lookups!$I$2:$I$11&lt;=E362)/(Lookups!$J$2:$J$11&gt;=E362),Lookups!$L$2:$L$11)</f>
        <v>#N/A</v>
      </c>
      <c r="AG362" s="142" t="str">
        <f t="shared" si="143"/>
        <v/>
      </c>
      <c r="AH362" s="142" t="str">
        <f t="shared" si="144"/>
        <v/>
      </c>
      <c r="AI362" s="143" t="b">
        <f t="shared" si="149"/>
        <v>0</v>
      </c>
      <c r="AJ362" s="143" t="str">
        <f t="shared" si="145"/>
        <v>Level 1</v>
      </c>
      <c r="AK362" s="142">
        <f t="shared" si="146"/>
        <v>0</v>
      </c>
      <c r="AL362" s="157" t="str">
        <f t="shared" si="154"/>
        <v/>
      </c>
      <c r="AM362" s="144" t="str">
        <f t="shared" si="155"/>
        <v>--FALSE-0</v>
      </c>
      <c r="AN362" s="158" t="str">
        <f t="shared" si="150"/>
        <v/>
      </c>
      <c r="AO362" s="145"/>
      <c r="AP362" s="159" t="str">
        <f>IF($AN362=FALSE,"",IFERROR(INDEX('Flat Rates'!$A$1:$M$3880,MATCH($AM362,'Flat Rates'!$A$1:$A$3880,0),MATCH("Standing Charge",'Flat Rates'!$A$1:$M$1,0))*100,""))</f>
        <v/>
      </c>
      <c r="AQ362" s="148" t="str">
        <f>IF($AN362=FALSE,"",IFERROR((IF(NOT(T362="Unrestricted"),"",INDEX('Flat Rates'!$A$1:$M$3880,MATCH($AM362,'Flat Rates'!$A$1:$A$3880,0),MATCH("Uni/Day Rate",'Flat Rates'!$A$1:$M$1,0)))*100)+H362,""))</f>
        <v/>
      </c>
      <c r="AR362" s="148" t="str">
        <f>IF($AN362=FALSE,"",IFERROR((IF(T362="Unrestricted","",INDEX('Flat Rates'!$A$1:$M$3880,MATCH($AM362,'Flat Rates'!$A$1:$A$3880,0),MATCH("Uni/Day Rate",'Flat Rates'!$A$1:$M$1,0)))*100)+H362,""))</f>
        <v/>
      </c>
      <c r="AS362" s="148" t="str">
        <f>IF($AN362=FALSE,"",IFERROR(IF(INDEX('Flat Rates'!$A$1:$M$3880,MATCH($AM362,'Flat Rates'!$A$1:$A$3880,0),MATCH("Night Unit Rate",'Flat Rates'!$A$1:$M$1,0))=0,"",((INDEX('Flat Rates'!$A$1:$M$3880,MATCH($AM362,'Flat Rates'!$A$1:$A$3880,0),MATCH("Night Unit Rate",'Flat Rates'!$A$1:$M$1,0)))*100)+H362),""))</f>
        <v/>
      </c>
      <c r="AT362" s="148" t="str">
        <f>IF($AN362=FALSE,"",IFERROR(IF(INDEX('Flat Rates'!$A$1:$M$3880,MATCH($AM362,'Flat Rates'!$A$1:$A$3880,0),MATCH("Evening and Weekend Rate",'Flat Rates'!$A$1:$M$1,0))=0,"",((INDEX('Flat Rates'!$A$1:$M$3880,MATCH($AM362,'Flat Rates'!$A$1:$A$3880,0),MATCH("Evening and Weekend Rate",'Flat Rates'!$A$1:$M$1,0)))*100)+H362),""))</f>
        <v/>
      </c>
      <c r="AU362" s="152" t="str">
        <f t="shared" si="151"/>
        <v/>
      </c>
      <c r="AV362" s="152" t="str">
        <f t="shared" si="152"/>
        <v/>
      </c>
      <c r="AW362" s="152" t="str">
        <f t="shared" si="153"/>
        <v/>
      </c>
    </row>
    <row r="363" spans="2:49" ht="15" thickBot="1" x14ac:dyDescent="0.35">
      <c r="B363" s="138" t="str">
        <f t="shared" si="130"/>
        <v/>
      </c>
      <c r="C363" s="137"/>
      <c r="D363" s="139"/>
      <c r="E363" s="140"/>
      <c r="F363" s="140"/>
      <c r="G363" s="139"/>
      <c r="H363" s="151"/>
      <c r="I363" s="139"/>
      <c r="J363" s="138"/>
      <c r="K363" s="139"/>
      <c r="L363" s="141"/>
      <c r="M363" s="133" t="str">
        <f t="shared" si="131"/>
        <v/>
      </c>
      <c r="N363" s="133" t="str">
        <f t="shared" si="132"/>
        <v/>
      </c>
      <c r="O363" s="133" t="str">
        <f t="shared" si="133"/>
        <v/>
      </c>
      <c r="P363" s="133" t="str">
        <f t="shared" si="134"/>
        <v/>
      </c>
      <c r="Q363" s="133" t="str">
        <f t="shared" si="135"/>
        <v/>
      </c>
      <c r="R363" s="133" t="str">
        <f t="shared" si="136"/>
        <v/>
      </c>
      <c r="S363" s="133" t="str">
        <f t="shared" si="137"/>
        <v/>
      </c>
      <c r="T363" s="133" t="str">
        <f>IFERROR(IF($U363="ERROR","ERROR",IF($N363="00",IF(J363="1-Rate","HH 1RATE",IF(J363="2-Rate","HH 2RATE","")),IFERROR(VLOOKUP(CONCATENATE(N363,Q363,O363,P363),Lookups!$A$2:$E$4557,5,0),VLOOKUP(CONCATENATE(N363,Q363,O363),Lookups!$A$2:$E$4557,5,0)))),"ERROR")</f>
        <v>ERROR</v>
      </c>
      <c r="U363" s="133" t="str">
        <f>IFERROR(IF(NOT($N363="00"),"",VLOOKUP(CONCATENATE(Q363,P363,LOOKUP(2,1/(Lookups!$I$2:$I$11&lt;=E363)/(Lookups!$J$2:$J$11&gt;=Tool!$C$14),Lookups!$K$2:$K$11)),'HH LLFs'!$A$2:$K$500,3,0)),"ERROR")</f>
        <v/>
      </c>
      <c r="V363" s="132">
        <f>Calcs!$I$2</f>
        <v>44377</v>
      </c>
      <c r="W363" s="132">
        <f>Calcs!$I$4</f>
        <v>44592</v>
      </c>
      <c r="X363" s="153" t="str">
        <f>IF(NOT(N363="00"),"",(VLOOKUP(CONCATENATE(Q363,P363,LOOKUP(2,1/(Lookups!$I$2:$I$11&lt;=Multisite!E363)/(Lookups!$J$2:$J$11&gt;=E363),Lookups!$K$2:$K$11)),'HH LLFs'!$A$2:$F$282,6,0)*365)/12)</f>
        <v/>
      </c>
      <c r="Y363" s="153">
        <f t="shared" si="138"/>
        <v>0</v>
      </c>
      <c r="Z363" s="153" t="str">
        <f t="shared" si="147"/>
        <v/>
      </c>
      <c r="AA363" s="153" t="str">
        <f t="shared" si="139"/>
        <v/>
      </c>
      <c r="AB363" s="153" t="str">
        <f t="shared" si="148"/>
        <v/>
      </c>
      <c r="AC363" s="153" t="str">
        <f t="shared" si="140"/>
        <v/>
      </c>
      <c r="AD363" s="153" t="str">
        <f t="shared" si="141"/>
        <v/>
      </c>
      <c r="AE363" s="153" t="str">
        <f t="shared" si="142"/>
        <v/>
      </c>
      <c r="AF363" s="155" t="e">
        <f>LOOKUP(2,1/(Lookups!$I$2:$I$11&lt;=E363)/(Lookups!$J$2:$J$11&gt;=E363),Lookups!$L$2:$L$11)</f>
        <v>#N/A</v>
      </c>
      <c r="AG363" s="142" t="str">
        <f t="shared" si="143"/>
        <v/>
      </c>
      <c r="AH363" s="142" t="str">
        <f t="shared" si="144"/>
        <v/>
      </c>
      <c r="AI363" s="143" t="b">
        <f t="shared" si="149"/>
        <v>0</v>
      </c>
      <c r="AJ363" s="143" t="str">
        <f t="shared" si="145"/>
        <v>Level 1</v>
      </c>
      <c r="AK363" s="142">
        <f t="shared" si="146"/>
        <v>0</v>
      </c>
      <c r="AL363" s="157" t="str">
        <f t="shared" si="154"/>
        <v/>
      </c>
      <c r="AM363" s="144" t="str">
        <f t="shared" si="155"/>
        <v>--FALSE-0</v>
      </c>
      <c r="AN363" s="158" t="str">
        <f t="shared" si="150"/>
        <v/>
      </c>
      <c r="AO363" s="145"/>
      <c r="AP363" s="159" t="str">
        <f>IF($AN363=FALSE,"",IFERROR(INDEX('Flat Rates'!$A$1:$M$3880,MATCH($AM363,'Flat Rates'!$A$1:$A$3880,0),MATCH("Standing Charge",'Flat Rates'!$A$1:$M$1,0))*100,""))</f>
        <v/>
      </c>
      <c r="AQ363" s="148" t="str">
        <f>IF($AN363=FALSE,"",IFERROR((IF(NOT(T363="Unrestricted"),"",INDEX('Flat Rates'!$A$1:$M$3880,MATCH($AM363,'Flat Rates'!$A$1:$A$3880,0),MATCH("Uni/Day Rate",'Flat Rates'!$A$1:$M$1,0)))*100)+H363,""))</f>
        <v/>
      </c>
      <c r="AR363" s="148" t="str">
        <f>IF($AN363=FALSE,"",IFERROR((IF(T363="Unrestricted","",INDEX('Flat Rates'!$A$1:$M$3880,MATCH($AM363,'Flat Rates'!$A$1:$A$3880,0),MATCH("Uni/Day Rate",'Flat Rates'!$A$1:$M$1,0)))*100)+H363,""))</f>
        <v/>
      </c>
      <c r="AS363" s="148" t="str">
        <f>IF($AN363=FALSE,"",IFERROR(IF(INDEX('Flat Rates'!$A$1:$M$3880,MATCH($AM363,'Flat Rates'!$A$1:$A$3880,0),MATCH("Night Unit Rate",'Flat Rates'!$A$1:$M$1,0))=0,"",((INDEX('Flat Rates'!$A$1:$M$3880,MATCH($AM363,'Flat Rates'!$A$1:$A$3880,0),MATCH("Night Unit Rate",'Flat Rates'!$A$1:$M$1,0)))*100)+H363),""))</f>
        <v/>
      </c>
      <c r="AT363" s="148" t="str">
        <f>IF($AN363=FALSE,"",IFERROR(IF(INDEX('Flat Rates'!$A$1:$M$3880,MATCH($AM363,'Flat Rates'!$A$1:$A$3880,0),MATCH("Evening and Weekend Rate",'Flat Rates'!$A$1:$M$1,0))=0,"",((INDEX('Flat Rates'!$A$1:$M$3880,MATCH($AM363,'Flat Rates'!$A$1:$A$3880,0),MATCH("Evening and Weekend Rate",'Flat Rates'!$A$1:$M$1,0)))*100)+H363),""))</f>
        <v/>
      </c>
      <c r="AU363" s="152" t="str">
        <f t="shared" si="151"/>
        <v/>
      </c>
      <c r="AV363" s="152" t="str">
        <f t="shared" si="152"/>
        <v/>
      </c>
      <c r="AW363" s="152" t="str">
        <f t="shared" si="153"/>
        <v/>
      </c>
    </row>
    <row r="364" spans="2:49" ht="15" thickBot="1" x14ac:dyDescent="0.35">
      <c r="B364" s="138" t="str">
        <f t="shared" si="130"/>
        <v/>
      </c>
      <c r="C364" s="146"/>
      <c r="D364" s="147"/>
      <c r="E364" s="140"/>
      <c r="F364" s="140"/>
      <c r="G364" s="139"/>
      <c r="H364" s="151"/>
      <c r="I364" s="139"/>
      <c r="J364" s="137"/>
      <c r="K364" s="139"/>
      <c r="L364" s="141"/>
      <c r="M364" s="133" t="str">
        <f t="shared" si="131"/>
        <v/>
      </c>
      <c r="N364" s="133" t="str">
        <f t="shared" si="132"/>
        <v/>
      </c>
      <c r="O364" s="133" t="str">
        <f t="shared" si="133"/>
        <v/>
      </c>
      <c r="P364" s="133" t="str">
        <f t="shared" si="134"/>
        <v/>
      </c>
      <c r="Q364" s="133" t="str">
        <f t="shared" si="135"/>
        <v/>
      </c>
      <c r="R364" s="133" t="str">
        <f t="shared" si="136"/>
        <v/>
      </c>
      <c r="S364" s="133" t="str">
        <f t="shared" si="137"/>
        <v/>
      </c>
      <c r="T364" s="133" t="str">
        <f>IFERROR(IF($U364="ERROR","ERROR",IF($N364="00",IF(J364="1-Rate","HH 1RATE",IF(J364="2-Rate","HH 2RATE","")),IFERROR(VLOOKUP(CONCATENATE(N364,Q364,O364,P364),Lookups!$A$2:$E$4557,5,0),VLOOKUP(CONCATENATE(N364,Q364,O364),Lookups!$A$2:$E$4557,5,0)))),"ERROR")</f>
        <v>ERROR</v>
      </c>
      <c r="U364" s="133" t="str">
        <f>IFERROR(IF(NOT($N364="00"),"",VLOOKUP(CONCATENATE(Q364,P364,LOOKUP(2,1/(Lookups!$I$2:$I$11&lt;=E364)/(Lookups!$J$2:$J$11&gt;=Tool!$C$14),Lookups!$K$2:$K$11)),'HH LLFs'!$A$2:$K$500,3,0)),"ERROR")</f>
        <v/>
      </c>
      <c r="V364" s="132">
        <f>Calcs!$I$2</f>
        <v>44377</v>
      </c>
      <c r="W364" s="132">
        <f>Calcs!$I$4</f>
        <v>44592</v>
      </c>
      <c r="X364" s="153" t="str">
        <f>IF(NOT(N364="00"),"",(VLOOKUP(CONCATENATE(Q364,P364,LOOKUP(2,1/(Lookups!$I$2:$I$11&lt;=Multisite!E364)/(Lookups!$J$2:$J$11&gt;=E364),Lookups!$K$2:$K$11)),'HH LLFs'!$A$2:$F$282,6,0)*365)/12)</f>
        <v/>
      </c>
      <c r="Y364" s="153">
        <f t="shared" si="138"/>
        <v>0</v>
      </c>
      <c r="Z364" s="153" t="str">
        <f t="shared" si="147"/>
        <v/>
      </c>
      <c r="AA364" s="153" t="str">
        <f t="shared" si="139"/>
        <v/>
      </c>
      <c r="AB364" s="153" t="str">
        <f t="shared" si="148"/>
        <v/>
      </c>
      <c r="AC364" s="153" t="str">
        <f t="shared" si="140"/>
        <v/>
      </c>
      <c r="AD364" s="153" t="str">
        <f t="shared" si="141"/>
        <v/>
      </c>
      <c r="AE364" s="153" t="str">
        <f t="shared" si="142"/>
        <v/>
      </c>
      <c r="AF364" s="155" t="e">
        <f>LOOKUP(2,1/(Lookups!$I$2:$I$11&lt;=E364)/(Lookups!$J$2:$J$11&gt;=E364),Lookups!$L$2:$L$11)</f>
        <v>#N/A</v>
      </c>
      <c r="AG364" s="142" t="str">
        <f t="shared" si="143"/>
        <v/>
      </c>
      <c r="AH364" s="142" t="str">
        <f t="shared" si="144"/>
        <v/>
      </c>
      <c r="AI364" s="143" t="b">
        <f t="shared" si="149"/>
        <v>0</v>
      </c>
      <c r="AJ364" s="143" t="str">
        <f t="shared" si="145"/>
        <v>Level 1</v>
      </c>
      <c r="AK364" s="142">
        <f t="shared" si="146"/>
        <v>0</v>
      </c>
      <c r="AL364" s="157" t="str">
        <f t="shared" si="154"/>
        <v/>
      </c>
      <c r="AM364" s="144" t="str">
        <f t="shared" si="155"/>
        <v>--FALSE-0</v>
      </c>
      <c r="AN364" s="158" t="str">
        <f t="shared" si="150"/>
        <v/>
      </c>
      <c r="AO364" s="145"/>
      <c r="AP364" s="159" t="str">
        <f>IF($AN364=FALSE,"",IFERROR(INDEX('Flat Rates'!$A$1:$M$3880,MATCH($AM364,'Flat Rates'!$A$1:$A$3880,0),MATCH("Standing Charge",'Flat Rates'!$A$1:$M$1,0))*100,""))</f>
        <v/>
      </c>
      <c r="AQ364" s="148" t="str">
        <f>IF($AN364=FALSE,"",IFERROR((IF(NOT(T364="Unrestricted"),"",INDEX('Flat Rates'!$A$1:$M$3880,MATCH($AM364,'Flat Rates'!$A$1:$A$3880,0),MATCH("Uni/Day Rate",'Flat Rates'!$A$1:$M$1,0)))*100)+H364,""))</f>
        <v/>
      </c>
      <c r="AR364" s="148" t="str">
        <f>IF($AN364=FALSE,"",IFERROR((IF(T364="Unrestricted","",INDEX('Flat Rates'!$A$1:$M$3880,MATCH($AM364,'Flat Rates'!$A$1:$A$3880,0),MATCH("Uni/Day Rate",'Flat Rates'!$A$1:$M$1,0)))*100)+H364,""))</f>
        <v/>
      </c>
      <c r="AS364" s="148" t="str">
        <f>IF($AN364=FALSE,"",IFERROR(IF(INDEX('Flat Rates'!$A$1:$M$3880,MATCH($AM364,'Flat Rates'!$A$1:$A$3880,0),MATCH("Night Unit Rate",'Flat Rates'!$A$1:$M$1,0))=0,"",((INDEX('Flat Rates'!$A$1:$M$3880,MATCH($AM364,'Flat Rates'!$A$1:$A$3880,0),MATCH("Night Unit Rate",'Flat Rates'!$A$1:$M$1,0)))*100)+H364),""))</f>
        <v/>
      </c>
      <c r="AT364" s="148" t="str">
        <f>IF($AN364=FALSE,"",IFERROR(IF(INDEX('Flat Rates'!$A$1:$M$3880,MATCH($AM364,'Flat Rates'!$A$1:$A$3880,0),MATCH("Evening and Weekend Rate",'Flat Rates'!$A$1:$M$1,0))=0,"",((INDEX('Flat Rates'!$A$1:$M$3880,MATCH($AM364,'Flat Rates'!$A$1:$A$3880,0),MATCH("Evening and Weekend Rate",'Flat Rates'!$A$1:$M$1,0)))*100)+H364),""))</f>
        <v/>
      </c>
      <c r="AU364" s="152" t="str">
        <f t="shared" si="151"/>
        <v/>
      </c>
      <c r="AV364" s="152" t="str">
        <f t="shared" si="152"/>
        <v/>
      </c>
      <c r="AW364" s="152" t="str">
        <f t="shared" si="153"/>
        <v/>
      </c>
    </row>
    <row r="365" spans="2:49" ht="15" thickBot="1" x14ac:dyDescent="0.35">
      <c r="B365" s="138" t="str">
        <f t="shared" si="130"/>
        <v/>
      </c>
      <c r="C365" s="137"/>
      <c r="D365" s="139"/>
      <c r="E365" s="140"/>
      <c r="F365" s="140"/>
      <c r="G365" s="139"/>
      <c r="H365" s="151"/>
      <c r="I365" s="139"/>
      <c r="J365" s="138"/>
      <c r="K365" s="139"/>
      <c r="L365" s="141"/>
      <c r="M365" s="133" t="str">
        <f t="shared" si="131"/>
        <v/>
      </c>
      <c r="N365" s="133" t="str">
        <f t="shared" si="132"/>
        <v/>
      </c>
      <c r="O365" s="133" t="str">
        <f t="shared" si="133"/>
        <v/>
      </c>
      <c r="P365" s="133" t="str">
        <f t="shared" si="134"/>
        <v/>
      </c>
      <c r="Q365" s="133" t="str">
        <f t="shared" si="135"/>
        <v/>
      </c>
      <c r="R365" s="133" t="str">
        <f t="shared" si="136"/>
        <v/>
      </c>
      <c r="S365" s="133" t="str">
        <f t="shared" si="137"/>
        <v/>
      </c>
      <c r="T365" s="133" t="str">
        <f>IFERROR(IF($U365="ERROR","ERROR",IF($N365="00",IF(J365="1-Rate","HH 1RATE",IF(J365="2-Rate","HH 2RATE","")),IFERROR(VLOOKUP(CONCATENATE(N365,Q365,O365,P365),Lookups!$A$2:$E$4557,5,0),VLOOKUP(CONCATENATE(N365,Q365,O365),Lookups!$A$2:$E$4557,5,0)))),"ERROR")</f>
        <v>ERROR</v>
      </c>
      <c r="U365" s="133" t="str">
        <f>IFERROR(IF(NOT($N365="00"),"",VLOOKUP(CONCATENATE(Q365,P365,LOOKUP(2,1/(Lookups!$I$2:$I$11&lt;=E365)/(Lookups!$J$2:$J$11&gt;=Tool!$C$14),Lookups!$K$2:$K$11)),'HH LLFs'!$A$2:$K$500,3,0)),"ERROR")</f>
        <v/>
      </c>
      <c r="V365" s="132">
        <f>Calcs!$I$2</f>
        <v>44377</v>
      </c>
      <c r="W365" s="132">
        <f>Calcs!$I$4</f>
        <v>44592</v>
      </c>
      <c r="X365" s="153" t="str">
        <f>IF(NOT(N365="00"),"",(VLOOKUP(CONCATENATE(Q365,P365,LOOKUP(2,1/(Lookups!$I$2:$I$11&lt;=Multisite!E365)/(Lookups!$J$2:$J$11&gt;=E365),Lookups!$K$2:$K$11)),'HH LLFs'!$A$2:$F$282,6,0)*365)/12)</f>
        <v/>
      </c>
      <c r="Y365" s="153">
        <f t="shared" si="138"/>
        <v>0</v>
      </c>
      <c r="Z365" s="153" t="str">
        <f t="shared" si="147"/>
        <v/>
      </c>
      <c r="AA365" s="153" t="str">
        <f t="shared" si="139"/>
        <v/>
      </c>
      <c r="AB365" s="153" t="str">
        <f t="shared" si="148"/>
        <v/>
      </c>
      <c r="AC365" s="153" t="str">
        <f t="shared" si="140"/>
        <v/>
      </c>
      <c r="AD365" s="153" t="str">
        <f t="shared" si="141"/>
        <v/>
      </c>
      <c r="AE365" s="153" t="str">
        <f t="shared" si="142"/>
        <v/>
      </c>
      <c r="AF365" s="155" t="e">
        <f>LOOKUP(2,1/(Lookups!$I$2:$I$11&lt;=E365)/(Lookups!$J$2:$J$11&gt;=E365),Lookups!$L$2:$L$11)</f>
        <v>#N/A</v>
      </c>
      <c r="AG365" s="142" t="str">
        <f t="shared" si="143"/>
        <v/>
      </c>
      <c r="AH365" s="142" t="str">
        <f t="shared" si="144"/>
        <v/>
      </c>
      <c r="AI365" s="143" t="b">
        <f t="shared" si="149"/>
        <v>0</v>
      </c>
      <c r="AJ365" s="143" t="str">
        <f t="shared" si="145"/>
        <v>Level 1</v>
      </c>
      <c r="AK365" s="142">
        <f t="shared" si="146"/>
        <v>0</v>
      </c>
      <c r="AL365" s="157" t="str">
        <f t="shared" si="154"/>
        <v/>
      </c>
      <c r="AM365" s="144" t="str">
        <f t="shared" si="155"/>
        <v>--FALSE-0</v>
      </c>
      <c r="AN365" s="158" t="str">
        <f t="shared" si="150"/>
        <v/>
      </c>
      <c r="AO365" s="145"/>
      <c r="AP365" s="159" t="str">
        <f>IF($AN365=FALSE,"",IFERROR(INDEX('Flat Rates'!$A$1:$M$3880,MATCH($AM365,'Flat Rates'!$A$1:$A$3880,0),MATCH("Standing Charge",'Flat Rates'!$A$1:$M$1,0))*100,""))</f>
        <v/>
      </c>
      <c r="AQ365" s="148" t="str">
        <f>IF($AN365=FALSE,"",IFERROR((IF(NOT(T365="Unrestricted"),"",INDEX('Flat Rates'!$A$1:$M$3880,MATCH($AM365,'Flat Rates'!$A$1:$A$3880,0),MATCH("Uni/Day Rate",'Flat Rates'!$A$1:$M$1,0)))*100)+H365,""))</f>
        <v/>
      </c>
      <c r="AR365" s="148" t="str">
        <f>IF($AN365=FALSE,"",IFERROR((IF(T365="Unrestricted","",INDEX('Flat Rates'!$A$1:$M$3880,MATCH($AM365,'Flat Rates'!$A$1:$A$3880,0),MATCH("Uni/Day Rate",'Flat Rates'!$A$1:$M$1,0)))*100)+H365,""))</f>
        <v/>
      </c>
      <c r="AS365" s="148" t="str">
        <f>IF($AN365=FALSE,"",IFERROR(IF(INDEX('Flat Rates'!$A$1:$M$3880,MATCH($AM365,'Flat Rates'!$A$1:$A$3880,0),MATCH("Night Unit Rate",'Flat Rates'!$A$1:$M$1,0))=0,"",((INDEX('Flat Rates'!$A$1:$M$3880,MATCH($AM365,'Flat Rates'!$A$1:$A$3880,0),MATCH("Night Unit Rate",'Flat Rates'!$A$1:$M$1,0)))*100)+H365),""))</f>
        <v/>
      </c>
      <c r="AT365" s="148" t="str">
        <f>IF($AN365=FALSE,"",IFERROR(IF(INDEX('Flat Rates'!$A$1:$M$3880,MATCH($AM365,'Flat Rates'!$A$1:$A$3880,0),MATCH("Evening and Weekend Rate",'Flat Rates'!$A$1:$M$1,0))=0,"",((INDEX('Flat Rates'!$A$1:$M$3880,MATCH($AM365,'Flat Rates'!$A$1:$A$3880,0),MATCH("Evening and Weekend Rate",'Flat Rates'!$A$1:$M$1,0)))*100)+H365),""))</f>
        <v/>
      </c>
      <c r="AU365" s="152" t="str">
        <f t="shared" si="151"/>
        <v/>
      </c>
      <c r="AV365" s="152" t="str">
        <f t="shared" si="152"/>
        <v/>
      </c>
      <c r="AW365" s="152" t="str">
        <f t="shared" si="153"/>
        <v/>
      </c>
    </row>
    <row r="366" spans="2:49" ht="15" thickBot="1" x14ac:dyDescent="0.35">
      <c r="B366" s="138" t="str">
        <f t="shared" si="130"/>
        <v/>
      </c>
      <c r="C366" s="146"/>
      <c r="D366" s="147"/>
      <c r="E366" s="140"/>
      <c r="F366" s="140"/>
      <c r="G366" s="139"/>
      <c r="H366" s="151"/>
      <c r="I366" s="139"/>
      <c r="J366" s="137"/>
      <c r="K366" s="139"/>
      <c r="L366" s="141"/>
      <c r="M366" s="133" t="str">
        <f t="shared" si="131"/>
        <v/>
      </c>
      <c r="N366" s="133" t="str">
        <f t="shared" si="132"/>
        <v/>
      </c>
      <c r="O366" s="133" t="str">
        <f t="shared" si="133"/>
        <v/>
      </c>
      <c r="P366" s="133" t="str">
        <f t="shared" si="134"/>
        <v/>
      </c>
      <c r="Q366" s="133" t="str">
        <f t="shared" si="135"/>
        <v/>
      </c>
      <c r="R366" s="133" t="str">
        <f t="shared" si="136"/>
        <v/>
      </c>
      <c r="S366" s="133" t="str">
        <f t="shared" si="137"/>
        <v/>
      </c>
      <c r="T366" s="133" t="str">
        <f>IFERROR(IF($U366="ERROR","ERROR",IF($N366="00",IF(J366="1-Rate","HH 1RATE",IF(J366="2-Rate","HH 2RATE","")),IFERROR(VLOOKUP(CONCATENATE(N366,Q366,O366,P366),Lookups!$A$2:$E$4557,5,0),VLOOKUP(CONCATENATE(N366,Q366,O366),Lookups!$A$2:$E$4557,5,0)))),"ERROR")</f>
        <v>ERROR</v>
      </c>
      <c r="U366" s="133" t="str">
        <f>IFERROR(IF(NOT($N366="00"),"",VLOOKUP(CONCATENATE(Q366,P366,LOOKUP(2,1/(Lookups!$I$2:$I$11&lt;=E366)/(Lookups!$J$2:$J$11&gt;=Tool!$C$14),Lookups!$K$2:$K$11)),'HH LLFs'!$A$2:$K$500,3,0)),"ERROR")</f>
        <v/>
      </c>
      <c r="V366" s="132">
        <f>Calcs!$I$2</f>
        <v>44377</v>
      </c>
      <c r="W366" s="132">
        <f>Calcs!$I$4</f>
        <v>44592</v>
      </c>
      <c r="X366" s="153" t="str">
        <f>IF(NOT(N366="00"),"",(VLOOKUP(CONCATENATE(Q366,P366,LOOKUP(2,1/(Lookups!$I$2:$I$11&lt;=Multisite!E366)/(Lookups!$J$2:$J$11&gt;=E366),Lookups!$K$2:$K$11)),'HH LLFs'!$A$2:$F$282,6,0)*365)/12)</f>
        <v/>
      </c>
      <c r="Y366" s="153">
        <f t="shared" si="138"/>
        <v>0</v>
      </c>
      <c r="Z366" s="153" t="str">
        <f t="shared" si="147"/>
        <v/>
      </c>
      <c r="AA366" s="153" t="str">
        <f t="shared" si="139"/>
        <v/>
      </c>
      <c r="AB366" s="153" t="str">
        <f t="shared" si="148"/>
        <v/>
      </c>
      <c r="AC366" s="153" t="str">
        <f t="shared" si="140"/>
        <v/>
      </c>
      <c r="AD366" s="153" t="str">
        <f t="shared" si="141"/>
        <v/>
      </c>
      <c r="AE366" s="153" t="str">
        <f t="shared" si="142"/>
        <v/>
      </c>
      <c r="AF366" s="155" t="e">
        <f>LOOKUP(2,1/(Lookups!$I$2:$I$11&lt;=E366)/(Lookups!$J$2:$J$11&gt;=E366),Lookups!$L$2:$L$11)</f>
        <v>#N/A</v>
      </c>
      <c r="AG366" s="142" t="str">
        <f t="shared" si="143"/>
        <v/>
      </c>
      <c r="AH366" s="142" t="str">
        <f t="shared" si="144"/>
        <v/>
      </c>
      <c r="AI366" s="143" t="b">
        <f t="shared" si="149"/>
        <v>0</v>
      </c>
      <c r="AJ366" s="143" t="str">
        <f t="shared" si="145"/>
        <v>Level 1</v>
      </c>
      <c r="AK366" s="142">
        <f t="shared" si="146"/>
        <v>0</v>
      </c>
      <c r="AL366" s="157" t="str">
        <f t="shared" si="154"/>
        <v/>
      </c>
      <c r="AM366" s="144" t="str">
        <f t="shared" si="155"/>
        <v>--FALSE-0</v>
      </c>
      <c r="AN366" s="158" t="str">
        <f t="shared" si="150"/>
        <v/>
      </c>
      <c r="AO366" s="145"/>
      <c r="AP366" s="159" t="str">
        <f>IF($AN366=FALSE,"",IFERROR(INDEX('Flat Rates'!$A$1:$M$3880,MATCH($AM366,'Flat Rates'!$A$1:$A$3880,0),MATCH("Standing Charge",'Flat Rates'!$A$1:$M$1,0))*100,""))</f>
        <v/>
      </c>
      <c r="AQ366" s="148" t="str">
        <f>IF($AN366=FALSE,"",IFERROR((IF(NOT(T366="Unrestricted"),"",INDEX('Flat Rates'!$A$1:$M$3880,MATCH($AM366,'Flat Rates'!$A$1:$A$3880,0),MATCH("Uni/Day Rate",'Flat Rates'!$A$1:$M$1,0)))*100)+H366,""))</f>
        <v/>
      </c>
      <c r="AR366" s="148" t="str">
        <f>IF($AN366=FALSE,"",IFERROR((IF(T366="Unrestricted","",INDEX('Flat Rates'!$A$1:$M$3880,MATCH($AM366,'Flat Rates'!$A$1:$A$3880,0),MATCH("Uni/Day Rate",'Flat Rates'!$A$1:$M$1,0)))*100)+H366,""))</f>
        <v/>
      </c>
      <c r="AS366" s="148" t="str">
        <f>IF($AN366=FALSE,"",IFERROR(IF(INDEX('Flat Rates'!$A$1:$M$3880,MATCH($AM366,'Flat Rates'!$A$1:$A$3880,0),MATCH("Night Unit Rate",'Flat Rates'!$A$1:$M$1,0))=0,"",((INDEX('Flat Rates'!$A$1:$M$3880,MATCH($AM366,'Flat Rates'!$A$1:$A$3880,0),MATCH("Night Unit Rate",'Flat Rates'!$A$1:$M$1,0)))*100)+H366),""))</f>
        <v/>
      </c>
      <c r="AT366" s="148" t="str">
        <f>IF($AN366=FALSE,"",IFERROR(IF(INDEX('Flat Rates'!$A$1:$M$3880,MATCH($AM366,'Flat Rates'!$A$1:$A$3880,0),MATCH("Evening and Weekend Rate",'Flat Rates'!$A$1:$M$1,0))=0,"",((INDEX('Flat Rates'!$A$1:$M$3880,MATCH($AM366,'Flat Rates'!$A$1:$A$3880,0),MATCH("Evening and Weekend Rate",'Flat Rates'!$A$1:$M$1,0)))*100)+H366),""))</f>
        <v/>
      </c>
      <c r="AU366" s="152" t="str">
        <f t="shared" si="151"/>
        <v/>
      </c>
      <c r="AV366" s="152" t="str">
        <f t="shared" si="152"/>
        <v/>
      </c>
      <c r="AW366" s="152" t="str">
        <f t="shared" si="153"/>
        <v/>
      </c>
    </row>
    <row r="367" spans="2:49" ht="15" thickBot="1" x14ac:dyDescent="0.35">
      <c r="B367" s="138" t="str">
        <f t="shared" si="130"/>
        <v/>
      </c>
      <c r="C367" s="137"/>
      <c r="D367" s="139"/>
      <c r="E367" s="140"/>
      <c r="F367" s="140"/>
      <c r="G367" s="139"/>
      <c r="H367" s="151"/>
      <c r="I367" s="139"/>
      <c r="J367" s="138"/>
      <c r="K367" s="139"/>
      <c r="L367" s="141"/>
      <c r="M367" s="133" t="str">
        <f t="shared" si="131"/>
        <v/>
      </c>
      <c r="N367" s="133" t="str">
        <f t="shared" si="132"/>
        <v/>
      </c>
      <c r="O367" s="133" t="str">
        <f t="shared" si="133"/>
        <v/>
      </c>
      <c r="P367" s="133" t="str">
        <f t="shared" si="134"/>
        <v/>
      </c>
      <c r="Q367" s="133" t="str">
        <f t="shared" si="135"/>
        <v/>
      </c>
      <c r="R367" s="133" t="str">
        <f t="shared" si="136"/>
        <v/>
      </c>
      <c r="S367" s="133" t="str">
        <f t="shared" si="137"/>
        <v/>
      </c>
      <c r="T367" s="133" t="str">
        <f>IFERROR(IF($U367="ERROR","ERROR",IF($N367="00",IF(J367="1-Rate","HH 1RATE",IF(J367="2-Rate","HH 2RATE","")),IFERROR(VLOOKUP(CONCATENATE(N367,Q367,O367,P367),Lookups!$A$2:$E$4557,5,0),VLOOKUP(CONCATENATE(N367,Q367,O367),Lookups!$A$2:$E$4557,5,0)))),"ERROR")</f>
        <v>ERROR</v>
      </c>
      <c r="U367" s="133" t="str">
        <f>IFERROR(IF(NOT($N367="00"),"",VLOOKUP(CONCATENATE(Q367,P367,LOOKUP(2,1/(Lookups!$I$2:$I$11&lt;=E367)/(Lookups!$J$2:$J$11&gt;=Tool!$C$14),Lookups!$K$2:$K$11)),'HH LLFs'!$A$2:$K$500,3,0)),"ERROR")</f>
        <v/>
      </c>
      <c r="V367" s="132">
        <f>Calcs!$I$2</f>
        <v>44377</v>
      </c>
      <c r="W367" s="132">
        <f>Calcs!$I$4</f>
        <v>44592</v>
      </c>
      <c r="X367" s="153" t="str">
        <f>IF(NOT(N367="00"),"",(VLOOKUP(CONCATENATE(Q367,P367,LOOKUP(2,1/(Lookups!$I$2:$I$11&lt;=Multisite!E367)/(Lookups!$J$2:$J$11&gt;=E367),Lookups!$K$2:$K$11)),'HH LLFs'!$A$2:$F$282,6,0)*365)/12)</f>
        <v/>
      </c>
      <c r="Y367" s="153">
        <f t="shared" si="138"/>
        <v>0</v>
      </c>
      <c r="Z367" s="153" t="str">
        <f t="shared" si="147"/>
        <v/>
      </c>
      <c r="AA367" s="153" t="str">
        <f t="shared" si="139"/>
        <v/>
      </c>
      <c r="AB367" s="153" t="str">
        <f t="shared" si="148"/>
        <v/>
      </c>
      <c r="AC367" s="153" t="str">
        <f t="shared" si="140"/>
        <v/>
      </c>
      <c r="AD367" s="153" t="str">
        <f t="shared" si="141"/>
        <v/>
      </c>
      <c r="AE367" s="153" t="str">
        <f t="shared" si="142"/>
        <v/>
      </c>
      <c r="AF367" s="155" t="e">
        <f>LOOKUP(2,1/(Lookups!$I$2:$I$11&lt;=E367)/(Lookups!$J$2:$J$11&gt;=E367),Lookups!$L$2:$L$11)</f>
        <v>#N/A</v>
      </c>
      <c r="AG367" s="142" t="str">
        <f t="shared" si="143"/>
        <v/>
      </c>
      <c r="AH367" s="142" t="str">
        <f t="shared" si="144"/>
        <v/>
      </c>
      <c r="AI367" s="143" t="b">
        <f t="shared" si="149"/>
        <v>0</v>
      </c>
      <c r="AJ367" s="143" t="str">
        <f t="shared" si="145"/>
        <v>Level 1</v>
      </c>
      <c r="AK367" s="142">
        <f t="shared" si="146"/>
        <v>0</v>
      </c>
      <c r="AL367" s="157" t="str">
        <f t="shared" si="154"/>
        <v/>
      </c>
      <c r="AM367" s="144" t="str">
        <f t="shared" si="155"/>
        <v>--FALSE-0</v>
      </c>
      <c r="AN367" s="158" t="str">
        <f t="shared" si="150"/>
        <v/>
      </c>
      <c r="AO367" s="145"/>
      <c r="AP367" s="159" t="str">
        <f>IF($AN367=FALSE,"",IFERROR(INDEX('Flat Rates'!$A$1:$M$3880,MATCH($AM367,'Flat Rates'!$A$1:$A$3880,0),MATCH("Standing Charge",'Flat Rates'!$A$1:$M$1,0))*100,""))</f>
        <v/>
      </c>
      <c r="AQ367" s="148" t="str">
        <f>IF($AN367=FALSE,"",IFERROR((IF(NOT(T367="Unrestricted"),"",INDEX('Flat Rates'!$A$1:$M$3880,MATCH($AM367,'Flat Rates'!$A$1:$A$3880,0),MATCH("Uni/Day Rate",'Flat Rates'!$A$1:$M$1,0)))*100)+H367,""))</f>
        <v/>
      </c>
      <c r="AR367" s="148" t="str">
        <f>IF($AN367=FALSE,"",IFERROR((IF(T367="Unrestricted","",INDEX('Flat Rates'!$A$1:$M$3880,MATCH($AM367,'Flat Rates'!$A$1:$A$3880,0),MATCH("Uni/Day Rate",'Flat Rates'!$A$1:$M$1,0)))*100)+H367,""))</f>
        <v/>
      </c>
      <c r="AS367" s="148" t="str">
        <f>IF($AN367=FALSE,"",IFERROR(IF(INDEX('Flat Rates'!$A$1:$M$3880,MATCH($AM367,'Flat Rates'!$A$1:$A$3880,0),MATCH("Night Unit Rate",'Flat Rates'!$A$1:$M$1,0))=0,"",((INDEX('Flat Rates'!$A$1:$M$3880,MATCH($AM367,'Flat Rates'!$A$1:$A$3880,0),MATCH("Night Unit Rate",'Flat Rates'!$A$1:$M$1,0)))*100)+H367),""))</f>
        <v/>
      </c>
      <c r="AT367" s="148" t="str">
        <f>IF($AN367=FALSE,"",IFERROR(IF(INDEX('Flat Rates'!$A$1:$M$3880,MATCH($AM367,'Flat Rates'!$A$1:$A$3880,0),MATCH("Evening and Weekend Rate",'Flat Rates'!$A$1:$M$1,0))=0,"",((INDEX('Flat Rates'!$A$1:$M$3880,MATCH($AM367,'Flat Rates'!$A$1:$A$3880,0),MATCH("Evening and Weekend Rate",'Flat Rates'!$A$1:$M$1,0)))*100)+H367),""))</f>
        <v/>
      </c>
      <c r="AU367" s="152" t="str">
        <f t="shared" si="151"/>
        <v/>
      </c>
      <c r="AV367" s="152" t="str">
        <f t="shared" si="152"/>
        <v/>
      </c>
      <c r="AW367" s="152" t="str">
        <f t="shared" si="153"/>
        <v/>
      </c>
    </row>
    <row r="368" spans="2:49" ht="15" thickBot="1" x14ac:dyDescent="0.35">
      <c r="B368" s="138" t="str">
        <f t="shared" si="130"/>
        <v/>
      </c>
      <c r="C368" s="146"/>
      <c r="D368" s="147"/>
      <c r="E368" s="140"/>
      <c r="F368" s="140"/>
      <c r="G368" s="139"/>
      <c r="H368" s="151"/>
      <c r="I368" s="139"/>
      <c r="J368" s="137"/>
      <c r="K368" s="139"/>
      <c r="L368" s="141"/>
      <c r="M368" s="133" t="str">
        <f t="shared" si="131"/>
        <v/>
      </c>
      <c r="N368" s="133" t="str">
        <f t="shared" si="132"/>
        <v/>
      </c>
      <c r="O368" s="133" t="str">
        <f t="shared" si="133"/>
        <v/>
      </c>
      <c r="P368" s="133" t="str">
        <f t="shared" si="134"/>
        <v/>
      </c>
      <c r="Q368" s="133" t="str">
        <f t="shared" si="135"/>
        <v/>
      </c>
      <c r="R368" s="133" t="str">
        <f t="shared" si="136"/>
        <v/>
      </c>
      <c r="S368" s="133" t="str">
        <f t="shared" si="137"/>
        <v/>
      </c>
      <c r="T368" s="133" t="str">
        <f>IFERROR(IF($U368="ERROR","ERROR",IF($N368="00",IF(J368="1-Rate","HH 1RATE",IF(J368="2-Rate","HH 2RATE","")),IFERROR(VLOOKUP(CONCATENATE(N368,Q368,O368,P368),Lookups!$A$2:$E$4557,5,0),VLOOKUP(CONCATENATE(N368,Q368,O368),Lookups!$A$2:$E$4557,5,0)))),"ERROR")</f>
        <v>ERROR</v>
      </c>
      <c r="U368" s="133" t="str">
        <f>IFERROR(IF(NOT($N368="00"),"",VLOOKUP(CONCATENATE(Q368,P368,LOOKUP(2,1/(Lookups!$I$2:$I$11&lt;=E368)/(Lookups!$J$2:$J$11&gt;=Tool!$C$14),Lookups!$K$2:$K$11)),'HH LLFs'!$A$2:$K$500,3,0)),"ERROR")</f>
        <v/>
      </c>
      <c r="V368" s="132">
        <f>Calcs!$I$2</f>
        <v>44377</v>
      </c>
      <c r="W368" s="132">
        <f>Calcs!$I$4</f>
        <v>44592</v>
      </c>
      <c r="X368" s="153" t="str">
        <f>IF(NOT(N368="00"),"",(VLOOKUP(CONCATENATE(Q368,P368,LOOKUP(2,1/(Lookups!$I$2:$I$11&lt;=Multisite!E368)/(Lookups!$J$2:$J$11&gt;=E368),Lookups!$K$2:$K$11)),'HH LLFs'!$A$2:$F$282,6,0)*365)/12)</f>
        <v/>
      </c>
      <c r="Y368" s="153">
        <f t="shared" si="138"/>
        <v>0</v>
      </c>
      <c r="Z368" s="153" t="str">
        <f t="shared" si="147"/>
        <v/>
      </c>
      <c r="AA368" s="153" t="str">
        <f t="shared" si="139"/>
        <v/>
      </c>
      <c r="AB368" s="153" t="str">
        <f t="shared" si="148"/>
        <v/>
      </c>
      <c r="AC368" s="153" t="str">
        <f t="shared" si="140"/>
        <v/>
      </c>
      <c r="AD368" s="153" t="str">
        <f t="shared" si="141"/>
        <v/>
      </c>
      <c r="AE368" s="153" t="str">
        <f t="shared" si="142"/>
        <v/>
      </c>
      <c r="AF368" s="155" t="e">
        <f>LOOKUP(2,1/(Lookups!$I$2:$I$11&lt;=E368)/(Lookups!$J$2:$J$11&gt;=E368),Lookups!$L$2:$L$11)</f>
        <v>#N/A</v>
      </c>
      <c r="AG368" s="142" t="str">
        <f t="shared" si="143"/>
        <v/>
      </c>
      <c r="AH368" s="142" t="str">
        <f t="shared" si="144"/>
        <v/>
      </c>
      <c r="AI368" s="143" t="b">
        <f t="shared" si="149"/>
        <v>0</v>
      </c>
      <c r="AJ368" s="143" t="str">
        <f t="shared" si="145"/>
        <v>Level 1</v>
      </c>
      <c r="AK368" s="142">
        <f t="shared" si="146"/>
        <v>0</v>
      </c>
      <c r="AL368" s="157" t="str">
        <f t="shared" si="154"/>
        <v/>
      </c>
      <c r="AM368" s="144" t="str">
        <f t="shared" si="155"/>
        <v>--FALSE-0</v>
      </c>
      <c r="AN368" s="158" t="str">
        <f t="shared" si="150"/>
        <v/>
      </c>
      <c r="AO368" s="145"/>
      <c r="AP368" s="159" t="str">
        <f>IF($AN368=FALSE,"",IFERROR(INDEX('Flat Rates'!$A$1:$M$3880,MATCH($AM368,'Flat Rates'!$A$1:$A$3880,0),MATCH("Standing Charge",'Flat Rates'!$A$1:$M$1,0))*100,""))</f>
        <v/>
      </c>
      <c r="AQ368" s="148" t="str">
        <f>IF($AN368=FALSE,"",IFERROR((IF(NOT(T368="Unrestricted"),"",INDEX('Flat Rates'!$A$1:$M$3880,MATCH($AM368,'Flat Rates'!$A$1:$A$3880,0),MATCH("Uni/Day Rate",'Flat Rates'!$A$1:$M$1,0)))*100)+H368,""))</f>
        <v/>
      </c>
      <c r="AR368" s="148" t="str">
        <f>IF($AN368=FALSE,"",IFERROR((IF(T368="Unrestricted","",INDEX('Flat Rates'!$A$1:$M$3880,MATCH($AM368,'Flat Rates'!$A$1:$A$3880,0),MATCH("Uni/Day Rate",'Flat Rates'!$A$1:$M$1,0)))*100)+H368,""))</f>
        <v/>
      </c>
      <c r="AS368" s="148" t="str">
        <f>IF($AN368=FALSE,"",IFERROR(IF(INDEX('Flat Rates'!$A$1:$M$3880,MATCH($AM368,'Flat Rates'!$A$1:$A$3880,0),MATCH("Night Unit Rate",'Flat Rates'!$A$1:$M$1,0))=0,"",((INDEX('Flat Rates'!$A$1:$M$3880,MATCH($AM368,'Flat Rates'!$A$1:$A$3880,0),MATCH("Night Unit Rate",'Flat Rates'!$A$1:$M$1,0)))*100)+H368),""))</f>
        <v/>
      </c>
      <c r="AT368" s="148" t="str">
        <f>IF($AN368=FALSE,"",IFERROR(IF(INDEX('Flat Rates'!$A$1:$M$3880,MATCH($AM368,'Flat Rates'!$A$1:$A$3880,0),MATCH("Evening and Weekend Rate",'Flat Rates'!$A$1:$M$1,0))=0,"",((INDEX('Flat Rates'!$A$1:$M$3880,MATCH($AM368,'Flat Rates'!$A$1:$A$3880,0),MATCH("Evening and Weekend Rate",'Flat Rates'!$A$1:$M$1,0)))*100)+H368),""))</f>
        <v/>
      </c>
      <c r="AU368" s="152" t="str">
        <f t="shared" si="151"/>
        <v/>
      </c>
      <c r="AV368" s="152" t="str">
        <f t="shared" si="152"/>
        <v/>
      </c>
      <c r="AW368" s="152" t="str">
        <f t="shared" si="153"/>
        <v/>
      </c>
    </row>
    <row r="369" spans="2:49" ht="15" thickBot="1" x14ac:dyDescent="0.35">
      <c r="B369" s="138" t="str">
        <f t="shared" si="130"/>
        <v/>
      </c>
      <c r="C369" s="137"/>
      <c r="D369" s="139"/>
      <c r="E369" s="140"/>
      <c r="F369" s="140"/>
      <c r="G369" s="139"/>
      <c r="H369" s="151"/>
      <c r="I369" s="139"/>
      <c r="J369" s="138"/>
      <c r="K369" s="139"/>
      <c r="L369" s="141"/>
      <c r="M369" s="133" t="str">
        <f t="shared" si="131"/>
        <v/>
      </c>
      <c r="N369" s="133" t="str">
        <f t="shared" si="132"/>
        <v/>
      </c>
      <c r="O369" s="133" t="str">
        <f t="shared" si="133"/>
        <v/>
      </c>
      <c r="P369" s="133" t="str">
        <f t="shared" si="134"/>
        <v/>
      </c>
      <c r="Q369" s="133" t="str">
        <f t="shared" si="135"/>
        <v/>
      </c>
      <c r="R369" s="133" t="str">
        <f t="shared" si="136"/>
        <v/>
      </c>
      <c r="S369" s="133" t="str">
        <f t="shared" si="137"/>
        <v/>
      </c>
      <c r="T369" s="133" t="str">
        <f>IFERROR(IF($U369="ERROR","ERROR",IF($N369="00",IF(J369="1-Rate","HH 1RATE",IF(J369="2-Rate","HH 2RATE","")),IFERROR(VLOOKUP(CONCATENATE(N369,Q369,O369,P369),Lookups!$A$2:$E$4557,5,0),VLOOKUP(CONCATENATE(N369,Q369,O369),Lookups!$A$2:$E$4557,5,0)))),"ERROR")</f>
        <v>ERROR</v>
      </c>
      <c r="U369" s="133" t="str">
        <f>IFERROR(IF(NOT($N369="00"),"",VLOOKUP(CONCATENATE(Q369,P369,LOOKUP(2,1/(Lookups!$I$2:$I$11&lt;=E369)/(Lookups!$J$2:$J$11&gt;=Tool!$C$14),Lookups!$K$2:$K$11)),'HH LLFs'!$A$2:$K$500,3,0)),"ERROR")</f>
        <v/>
      </c>
      <c r="V369" s="132">
        <f>Calcs!$I$2</f>
        <v>44377</v>
      </c>
      <c r="W369" s="132">
        <f>Calcs!$I$4</f>
        <v>44592</v>
      </c>
      <c r="X369" s="153" t="str">
        <f>IF(NOT(N369="00"),"",(VLOOKUP(CONCATENATE(Q369,P369,LOOKUP(2,1/(Lookups!$I$2:$I$11&lt;=Multisite!E369)/(Lookups!$J$2:$J$11&gt;=E369),Lookups!$K$2:$K$11)),'HH LLFs'!$A$2:$F$282,6,0)*365)/12)</f>
        <v/>
      </c>
      <c r="Y369" s="153">
        <f t="shared" si="138"/>
        <v>0</v>
      </c>
      <c r="Z369" s="153" t="str">
        <f t="shared" si="147"/>
        <v/>
      </c>
      <c r="AA369" s="153" t="str">
        <f t="shared" si="139"/>
        <v/>
      </c>
      <c r="AB369" s="153" t="str">
        <f t="shared" si="148"/>
        <v/>
      </c>
      <c r="AC369" s="153" t="str">
        <f t="shared" si="140"/>
        <v/>
      </c>
      <c r="AD369" s="153" t="str">
        <f t="shared" si="141"/>
        <v/>
      </c>
      <c r="AE369" s="153" t="str">
        <f t="shared" si="142"/>
        <v/>
      </c>
      <c r="AF369" s="155" t="e">
        <f>LOOKUP(2,1/(Lookups!$I$2:$I$11&lt;=E369)/(Lookups!$J$2:$J$11&gt;=E369),Lookups!$L$2:$L$11)</f>
        <v>#N/A</v>
      </c>
      <c r="AG369" s="142" t="str">
        <f t="shared" si="143"/>
        <v/>
      </c>
      <c r="AH369" s="142" t="str">
        <f t="shared" si="144"/>
        <v/>
      </c>
      <c r="AI369" s="143" t="b">
        <f t="shared" si="149"/>
        <v>0</v>
      </c>
      <c r="AJ369" s="143" t="str">
        <f t="shared" si="145"/>
        <v>Level 1</v>
      </c>
      <c r="AK369" s="142">
        <f t="shared" si="146"/>
        <v>0</v>
      </c>
      <c r="AL369" s="157" t="str">
        <f t="shared" si="154"/>
        <v/>
      </c>
      <c r="AM369" s="144" t="str">
        <f t="shared" si="155"/>
        <v>--FALSE-0</v>
      </c>
      <c r="AN369" s="158" t="str">
        <f t="shared" si="150"/>
        <v/>
      </c>
      <c r="AO369" s="145"/>
      <c r="AP369" s="159" t="str">
        <f>IF($AN369=FALSE,"",IFERROR(INDEX('Flat Rates'!$A$1:$M$3880,MATCH($AM369,'Flat Rates'!$A$1:$A$3880,0),MATCH("Standing Charge",'Flat Rates'!$A$1:$M$1,0))*100,""))</f>
        <v/>
      </c>
      <c r="AQ369" s="148" t="str">
        <f>IF($AN369=FALSE,"",IFERROR((IF(NOT(T369="Unrestricted"),"",INDEX('Flat Rates'!$A$1:$M$3880,MATCH($AM369,'Flat Rates'!$A$1:$A$3880,0),MATCH("Uni/Day Rate",'Flat Rates'!$A$1:$M$1,0)))*100)+H369,""))</f>
        <v/>
      </c>
      <c r="AR369" s="148" t="str">
        <f>IF($AN369=FALSE,"",IFERROR((IF(T369="Unrestricted","",INDEX('Flat Rates'!$A$1:$M$3880,MATCH($AM369,'Flat Rates'!$A$1:$A$3880,0),MATCH("Uni/Day Rate",'Flat Rates'!$A$1:$M$1,0)))*100)+H369,""))</f>
        <v/>
      </c>
      <c r="AS369" s="148" t="str">
        <f>IF($AN369=FALSE,"",IFERROR(IF(INDEX('Flat Rates'!$A$1:$M$3880,MATCH($AM369,'Flat Rates'!$A$1:$A$3880,0),MATCH("Night Unit Rate",'Flat Rates'!$A$1:$M$1,0))=0,"",((INDEX('Flat Rates'!$A$1:$M$3880,MATCH($AM369,'Flat Rates'!$A$1:$A$3880,0),MATCH("Night Unit Rate",'Flat Rates'!$A$1:$M$1,0)))*100)+H369),""))</f>
        <v/>
      </c>
      <c r="AT369" s="148" t="str">
        <f>IF($AN369=FALSE,"",IFERROR(IF(INDEX('Flat Rates'!$A$1:$M$3880,MATCH($AM369,'Flat Rates'!$A$1:$A$3880,0),MATCH("Evening and Weekend Rate",'Flat Rates'!$A$1:$M$1,0))=0,"",((INDEX('Flat Rates'!$A$1:$M$3880,MATCH($AM369,'Flat Rates'!$A$1:$A$3880,0),MATCH("Evening and Weekend Rate",'Flat Rates'!$A$1:$M$1,0)))*100)+H369),""))</f>
        <v/>
      </c>
      <c r="AU369" s="152" t="str">
        <f t="shared" si="151"/>
        <v/>
      </c>
      <c r="AV369" s="152" t="str">
        <f t="shared" si="152"/>
        <v/>
      </c>
      <c r="AW369" s="152" t="str">
        <f t="shared" si="153"/>
        <v/>
      </c>
    </row>
    <row r="370" spans="2:49" ht="15" thickBot="1" x14ac:dyDescent="0.35">
      <c r="B370" s="138" t="str">
        <f t="shared" si="130"/>
        <v/>
      </c>
      <c r="C370" s="146"/>
      <c r="D370" s="147"/>
      <c r="E370" s="140"/>
      <c r="F370" s="140"/>
      <c r="G370" s="139"/>
      <c r="H370" s="151"/>
      <c r="I370" s="139"/>
      <c r="J370" s="137"/>
      <c r="K370" s="139"/>
      <c r="L370" s="141"/>
      <c r="M370" s="133" t="str">
        <f t="shared" si="131"/>
        <v/>
      </c>
      <c r="N370" s="133" t="str">
        <f t="shared" si="132"/>
        <v/>
      </c>
      <c r="O370" s="133" t="str">
        <f t="shared" si="133"/>
        <v/>
      </c>
      <c r="P370" s="133" t="str">
        <f t="shared" si="134"/>
        <v/>
      </c>
      <c r="Q370" s="133" t="str">
        <f t="shared" si="135"/>
        <v/>
      </c>
      <c r="R370" s="133" t="str">
        <f t="shared" si="136"/>
        <v/>
      </c>
      <c r="S370" s="133" t="str">
        <f t="shared" si="137"/>
        <v/>
      </c>
      <c r="T370" s="133" t="str">
        <f>IFERROR(IF($U370="ERROR","ERROR",IF($N370="00",IF(J370="1-Rate","HH 1RATE",IF(J370="2-Rate","HH 2RATE","")),IFERROR(VLOOKUP(CONCATENATE(N370,Q370,O370,P370),Lookups!$A$2:$E$4557,5,0),VLOOKUP(CONCATENATE(N370,Q370,O370),Lookups!$A$2:$E$4557,5,0)))),"ERROR")</f>
        <v>ERROR</v>
      </c>
      <c r="U370" s="133" t="str">
        <f>IFERROR(IF(NOT($N370="00"),"",VLOOKUP(CONCATENATE(Q370,P370,LOOKUP(2,1/(Lookups!$I$2:$I$11&lt;=E370)/(Lookups!$J$2:$J$11&gt;=Tool!$C$14),Lookups!$K$2:$K$11)),'HH LLFs'!$A$2:$K$500,3,0)),"ERROR")</f>
        <v/>
      </c>
      <c r="V370" s="132">
        <f>Calcs!$I$2</f>
        <v>44377</v>
      </c>
      <c r="W370" s="132">
        <f>Calcs!$I$4</f>
        <v>44592</v>
      </c>
      <c r="X370" s="153" t="str">
        <f>IF(NOT(N370="00"),"",(VLOOKUP(CONCATENATE(Q370,P370,LOOKUP(2,1/(Lookups!$I$2:$I$11&lt;=Multisite!E370)/(Lookups!$J$2:$J$11&gt;=E370),Lookups!$K$2:$K$11)),'HH LLFs'!$A$2:$F$282,6,0)*365)/12)</f>
        <v/>
      </c>
      <c r="Y370" s="153">
        <f t="shared" si="138"/>
        <v>0</v>
      </c>
      <c r="Z370" s="153" t="str">
        <f t="shared" si="147"/>
        <v/>
      </c>
      <c r="AA370" s="153" t="str">
        <f t="shared" si="139"/>
        <v/>
      </c>
      <c r="AB370" s="153" t="str">
        <f t="shared" si="148"/>
        <v/>
      </c>
      <c r="AC370" s="153" t="str">
        <f t="shared" si="140"/>
        <v/>
      </c>
      <c r="AD370" s="153" t="str">
        <f t="shared" si="141"/>
        <v/>
      </c>
      <c r="AE370" s="153" t="str">
        <f t="shared" si="142"/>
        <v/>
      </c>
      <c r="AF370" s="155" t="e">
        <f>LOOKUP(2,1/(Lookups!$I$2:$I$11&lt;=E370)/(Lookups!$J$2:$J$11&gt;=E370),Lookups!$L$2:$L$11)</f>
        <v>#N/A</v>
      </c>
      <c r="AG370" s="142" t="str">
        <f t="shared" si="143"/>
        <v/>
      </c>
      <c r="AH370" s="142" t="str">
        <f t="shared" si="144"/>
        <v/>
      </c>
      <c r="AI370" s="143" t="b">
        <f t="shared" si="149"/>
        <v>0</v>
      </c>
      <c r="AJ370" s="143" t="str">
        <f t="shared" si="145"/>
        <v>Level 1</v>
      </c>
      <c r="AK370" s="142">
        <f t="shared" si="146"/>
        <v>0</v>
      </c>
      <c r="AL370" s="157" t="str">
        <f t="shared" si="154"/>
        <v/>
      </c>
      <c r="AM370" s="144" t="str">
        <f t="shared" si="155"/>
        <v>--FALSE-0</v>
      </c>
      <c r="AN370" s="158" t="str">
        <f t="shared" si="150"/>
        <v/>
      </c>
      <c r="AO370" s="145"/>
      <c r="AP370" s="159" t="str">
        <f>IF($AN370=FALSE,"",IFERROR(INDEX('Flat Rates'!$A$1:$M$3880,MATCH($AM370,'Flat Rates'!$A$1:$A$3880,0),MATCH("Standing Charge",'Flat Rates'!$A$1:$M$1,0))*100,""))</f>
        <v/>
      </c>
      <c r="AQ370" s="148" t="str">
        <f>IF($AN370=FALSE,"",IFERROR((IF(NOT(T370="Unrestricted"),"",INDEX('Flat Rates'!$A$1:$M$3880,MATCH($AM370,'Flat Rates'!$A$1:$A$3880,0),MATCH("Uni/Day Rate",'Flat Rates'!$A$1:$M$1,0)))*100)+H370,""))</f>
        <v/>
      </c>
      <c r="AR370" s="148" t="str">
        <f>IF($AN370=FALSE,"",IFERROR((IF(T370="Unrestricted","",INDEX('Flat Rates'!$A$1:$M$3880,MATCH($AM370,'Flat Rates'!$A$1:$A$3880,0),MATCH("Uni/Day Rate",'Flat Rates'!$A$1:$M$1,0)))*100)+H370,""))</f>
        <v/>
      </c>
      <c r="AS370" s="148" t="str">
        <f>IF($AN370=FALSE,"",IFERROR(IF(INDEX('Flat Rates'!$A$1:$M$3880,MATCH($AM370,'Flat Rates'!$A$1:$A$3880,0),MATCH("Night Unit Rate",'Flat Rates'!$A$1:$M$1,0))=0,"",((INDEX('Flat Rates'!$A$1:$M$3880,MATCH($AM370,'Flat Rates'!$A$1:$A$3880,0),MATCH("Night Unit Rate",'Flat Rates'!$A$1:$M$1,0)))*100)+H370),""))</f>
        <v/>
      </c>
      <c r="AT370" s="148" t="str">
        <f>IF($AN370=FALSE,"",IFERROR(IF(INDEX('Flat Rates'!$A$1:$M$3880,MATCH($AM370,'Flat Rates'!$A$1:$A$3880,0),MATCH("Evening and Weekend Rate",'Flat Rates'!$A$1:$M$1,0))=0,"",((INDEX('Flat Rates'!$A$1:$M$3880,MATCH($AM370,'Flat Rates'!$A$1:$A$3880,0),MATCH("Evening and Weekend Rate",'Flat Rates'!$A$1:$M$1,0)))*100)+H370),""))</f>
        <v/>
      </c>
      <c r="AU370" s="152" t="str">
        <f t="shared" si="151"/>
        <v/>
      </c>
      <c r="AV370" s="152" t="str">
        <f t="shared" si="152"/>
        <v/>
      </c>
      <c r="AW370" s="152" t="str">
        <f t="shared" si="153"/>
        <v/>
      </c>
    </row>
    <row r="371" spans="2:49" ht="15" thickBot="1" x14ac:dyDescent="0.35">
      <c r="B371" s="138" t="str">
        <f t="shared" si="130"/>
        <v/>
      </c>
      <c r="C371" s="137"/>
      <c r="D371" s="139"/>
      <c r="E371" s="140"/>
      <c r="F371" s="140"/>
      <c r="G371" s="139"/>
      <c r="H371" s="151"/>
      <c r="I371" s="139"/>
      <c r="J371" s="138"/>
      <c r="K371" s="139"/>
      <c r="L371" s="141"/>
      <c r="M371" s="133" t="str">
        <f t="shared" si="131"/>
        <v/>
      </c>
      <c r="N371" s="133" t="str">
        <f t="shared" si="132"/>
        <v/>
      </c>
      <c r="O371" s="133" t="str">
        <f t="shared" si="133"/>
        <v/>
      </c>
      <c r="P371" s="133" t="str">
        <f t="shared" si="134"/>
        <v/>
      </c>
      <c r="Q371" s="133" t="str">
        <f t="shared" si="135"/>
        <v/>
      </c>
      <c r="R371" s="133" t="str">
        <f t="shared" si="136"/>
        <v/>
      </c>
      <c r="S371" s="133" t="str">
        <f t="shared" si="137"/>
        <v/>
      </c>
      <c r="T371" s="133" t="str">
        <f>IFERROR(IF($U371="ERROR","ERROR",IF($N371="00",IF(J371="1-Rate","HH 1RATE",IF(J371="2-Rate","HH 2RATE","")),IFERROR(VLOOKUP(CONCATENATE(N371,Q371,O371,P371),Lookups!$A$2:$E$4557,5,0),VLOOKUP(CONCATENATE(N371,Q371,O371),Lookups!$A$2:$E$4557,5,0)))),"ERROR")</f>
        <v>ERROR</v>
      </c>
      <c r="U371" s="133" t="str">
        <f>IFERROR(IF(NOT($N371="00"),"",VLOOKUP(CONCATENATE(Q371,P371,LOOKUP(2,1/(Lookups!$I$2:$I$11&lt;=E371)/(Lookups!$J$2:$J$11&gt;=Tool!$C$14),Lookups!$K$2:$K$11)),'HH LLFs'!$A$2:$K$500,3,0)),"ERROR")</f>
        <v/>
      </c>
      <c r="V371" s="132">
        <f>Calcs!$I$2</f>
        <v>44377</v>
      </c>
      <c r="W371" s="132">
        <f>Calcs!$I$4</f>
        <v>44592</v>
      </c>
      <c r="X371" s="153" t="str">
        <f>IF(NOT(N371="00"),"",(VLOOKUP(CONCATENATE(Q371,P371,LOOKUP(2,1/(Lookups!$I$2:$I$11&lt;=Multisite!E371)/(Lookups!$J$2:$J$11&gt;=E371),Lookups!$K$2:$K$11)),'HH LLFs'!$A$2:$F$282,6,0)*365)/12)</f>
        <v/>
      </c>
      <c r="Y371" s="153">
        <f t="shared" si="138"/>
        <v>0</v>
      </c>
      <c r="Z371" s="153" t="str">
        <f t="shared" si="147"/>
        <v/>
      </c>
      <c r="AA371" s="153" t="str">
        <f t="shared" si="139"/>
        <v/>
      </c>
      <c r="AB371" s="153" t="str">
        <f t="shared" si="148"/>
        <v/>
      </c>
      <c r="AC371" s="153" t="str">
        <f t="shared" si="140"/>
        <v/>
      </c>
      <c r="AD371" s="153" t="str">
        <f t="shared" si="141"/>
        <v/>
      </c>
      <c r="AE371" s="153" t="str">
        <f t="shared" si="142"/>
        <v/>
      </c>
      <c r="AF371" s="155" t="e">
        <f>LOOKUP(2,1/(Lookups!$I$2:$I$11&lt;=E371)/(Lookups!$J$2:$J$11&gt;=E371),Lookups!$L$2:$L$11)</f>
        <v>#N/A</v>
      </c>
      <c r="AG371" s="142" t="str">
        <f t="shared" si="143"/>
        <v/>
      </c>
      <c r="AH371" s="142" t="str">
        <f t="shared" si="144"/>
        <v/>
      </c>
      <c r="AI371" s="143" t="b">
        <f t="shared" si="149"/>
        <v>0</v>
      </c>
      <c r="AJ371" s="143" t="str">
        <f t="shared" si="145"/>
        <v>Level 1</v>
      </c>
      <c r="AK371" s="142">
        <f t="shared" si="146"/>
        <v>0</v>
      </c>
      <c r="AL371" s="157" t="str">
        <f t="shared" si="154"/>
        <v/>
      </c>
      <c r="AM371" s="144" t="str">
        <f t="shared" si="155"/>
        <v>--FALSE-0</v>
      </c>
      <c r="AN371" s="158" t="str">
        <f t="shared" si="150"/>
        <v/>
      </c>
      <c r="AO371" s="145"/>
      <c r="AP371" s="159" t="str">
        <f>IF($AN371=FALSE,"",IFERROR(INDEX('Flat Rates'!$A$1:$M$3880,MATCH($AM371,'Flat Rates'!$A$1:$A$3880,0),MATCH("Standing Charge",'Flat Rates'!$A$1:$M$1,0))*100,""))</f>
        <v/>
      </c>
      <c r="AQ371" s="148" t="str">
        <f>IF($AN371=FALSE,"",IFERROR((IF(NOT(T371="Unrestricted"),"",INDEX('Flat Rates'!$A$1:$M$3880,MATCH($AM371,'Flat Rates'!$A$1:$A$3880,0),MATCH("Uni/Day Rate",'Flat Rates'!$A$1:$M$1,0)))*100)+H371,""))</f>
        <v/>
      </c>
      <c r="AR371" s="148" t="str">
        <f>IF($AN371=FALSE,"",IFERROR((IF(T371="Unrestricted","",INDEX('Flat Rates'!$A$1:$M$3880,MATCH($AM371,'Flat Rates'!$A$1:$A$3880,0),MATCH("Uni/Day Rate",'Flat Rates'!$A$1:$M$1,0)))*100)+H371,""))</f>
        <v/>
      </c>
      <c r="AS371" s="148" t="str">
        <f>IF($AN371=FALSE,"",IFERROR(IF(INDEX('Flat Rates'!$A$1:$M$3880,MATCH($AM371,'Flat Rates'!$A$1:$A$3880,0),MATCH("Night Unit Rate",'Flat Rates'!$A$1:$M$1,0))=0,"",((INDEX('Flat Rates'!$A$1:$M$3880,MATCH($AM371,'Flat Rates'!$A$1:$A$3880,0),MATCH("Night Unit Rate",'Flat Rates'!$A$1:$M$1,0)))*100)+H371),""))</f>
        <v/>
      </c>
      <c r="AT371" s="148" t="str">
        <f>IF($AN371=FALSE,"",IFERROR(IF(INDEX('Flat Rates'!$A$1:$M$3880,MATCH($AM371,'Flat Rates'!$A$1:$A$3880,0),MATCH("Evening and Weekend Rate",'Flat Rates'!$A$1:$M$1,0))=0,"",((INDEX('Flat Rates'!$A$1:$M$3880,MATCH($AM371,'Flat Rates'!$A$1:$A$3880,0),MATCH("Evening and Weekend Rate",'Flat Rates'!$A$1:$M$1,0)))*100)+H371),""))</f>
        <v/>
      </c>
      <c r="AU371" s="152" t="str">
        <f t="shared" si="151"/>
        <v/>
      </c>
      <c r="AV371" s="152" t="str">
        <f t="shared" si="152"/>
        <v/>
      </c>
      <c r="AW371" s="152" t="str">
        <f t="shared" si="153"/>
        <v/>
      </c>
    </row>
    <row r="372" spans="2:49" ht="15" thickBot="1" x14ac:dyDescent="0.35">
      <c r="B372" s="138" t="str">
        <f t="shared" si="130"/>
        <v/>
      </c>
      <c r="C372" s="146"/>
      <c r="D372" s="147"/>
      <c r="E372" s="140"/>
      <c r="F372" s="140"/>
      <c r="G372" s="139"/>
      <c r="H372" s="151"/>
      <c r="I372" s="139"/>
      <c r="J372" s="137"/>
      <c r="K372" s="139"/>
      <c r="L372" s="141"/>
      <c r="M372" s="133" t="str">
        <f t="shared" si="131"/>
        <v/>
      </c>
      <c r="N372" s="133" t="str">
        <f t="shared" si="132"/>
        <v/>
      </c>
      <c r="O372" s="133" t="str">
        <f t="shared" si="133"/>
        <v/>
      </c>
      <c r="P372" s="133" t="str">
        <f t="shared" si="134"/>
        <v/>
      </c>
      <c r="Q372" s="133" t="str">
        <f t="shared" si="135"/>
        <v/>
      </c>
      <c r="R372" s="133" t="str">
        <f t="shared" si="136"/>
        <v/>
      </c>
      <c r="S372" s="133" t="str">
        <f t="shared" si="137"/>
        <v/>
      </c>
      <c r="T372" s="133" t="str">
        <f>IFERROR(IF($U372="ERROR","ERROR",IF($N372="00",IF(J372="1-Rate","HH 1RATE",IF(J372="2-Rate","HH 2RATE","")),IFERROR(VLOOKUP(CONCATENATE(N372,Q372,O372,P372),Lookups!$A$2:$E$4557,5,0),VLOOKUP(CONCATENATE(N372,Q372,O372),Lookups!$A$2:$E$4557,5,0)))),"ERROR")</f>
        <v>ERROR</v>
      </c>
      <c r="U372" s="133" t="str">
        <f>IFERROR(IF(NOT($N372="00"),"",VLOOKUP(CONCATENATE(Q372,P372,LOOKUP(2,1/(Lookups!$I$2:$I$11&lt;=E372)/(Lookups!$J$2:$J$11&gt;=Tool!$C$14),Lookups!$K$2:$K$11)),'HH LLFs'!$A$2:$K$500,3,0)),"ERROR")</f>
        <v/>
      </c>
      <c r="V372" s="132">
        <f>Calcs!$I$2</f>
        <v>44377</v>
      </c>
      <c r="W372" s="132">
        <f>Calcs!$I$4</f>
        <v>44592</v>
      </c>
      <c r="X372" s="153" t="str">
        <f>IF(NOT(N372="00"),"",(VLOOKUP(CONCATENATE(Q372,P372,LOOKUP(2,1/(Lookups!$I$2:$I$11&lt;=Multisite!E372)/(Lookups!$J$2:$J$11&gt;=E372),Lookups!$K$2:$K$11)),'HH LLFs'!$A$2:$F$282,6,0)*365)/12)</f>
        <v/>
      </c>
      <c r="Y372" s="153">
        <f t="shared" si="138"/>
        <v>0</v>
      </c>
      <c r="Z372" s="153" t="str">
        <f t="shared" si="147"/>
        <v/>
      </c>
      <c r="AA372" s="153" t="str">
        <f t="shared" si="139"/>
        <v/>
      </c>
      <c r="AB372" s="153" t="str">
        <f t="shared" si="148"/>
        <v/>
      </c>
      <c r="AC372" s="153" t="str">
        <f t="shared" si="140"/>
        <v/>
      </c>
      <c r="AD372" s="153" t="str">
        <f t="shared" si="141"/>
        <v/>
      </c>
      <c r="AE372" s="153" t="str">
        <f t="shared" si="142"/>
        <v/>
      </c>
      <c r="AF372" s="155" t="e">
        <f>LOOKUP(2,1/(Lookups!$I$2:$I$11&lt;=E372)/(Lookups!$J$2:$J$11&gt;=E372),Lookups!$L$2:$L$11)</f>
        <v>#N/A</v>
      </c>
      <c r="AG372" s="142" t="str">
        <f t="shared" si="143"/>
        <v/>
      </c>
      <c r="AH372" s="142" t="str">
        <f t="shared" si="144"/>
        <v/>
      </c>
      <c r="AI372" s="143" t="b">
        <f t="shared" si="149"/>
        <v>0</v>
      </c>
      <c r="AJ372" s="143" t="str">
        <f t="shared" si="145"/>
        <v>Level 1</v>
      </c>
      <c r="AK372" s="142">
        <f t="shared" si="146"/>
        <v>0</v>
      </c>
      <c r="AL372" s="157" t="str">
        <f t="shared" si="154"/>
        <v/>
      </c>
      <c r="AM372" s="144" t="str">
        <f t="shared" si="155"/>
        <v>--FALSE-0</v>
      </c>
      <c r="AN372" s="158" t="str">
        <f t="shared" si="150"/>
        <v/>
      </c>
      <c r="AO372" s="145"/>
      <c r="AP372" s="159" t="str">
        <f>IF($AN372=FALSE,"",IFERROR(INDEX('Flat Rates'!$A$1:$M$3880,MATCH($AM372,'Flat Rates'!$A$1:$A$3880,0),MATCH("Standing Charge",'Flat Rates'!$A$1:$M$1,0))*100,""))</f>
        <v/>
      </c>
      <c r="AQ372" s="148" t="str">
        <f>IF($AN372=FALSE,"",IFERROR((IF(NOT(T372="Unrestricted"),"",INDEX('Flat Rates'!$A$1:$M$3880,MATCH($AM372,'Flat Rates'!$A$1:$A$3880,0),MATCH("Uni/Day Rate",'Flat Rates'!$A$1:$M$1,0)))*100)+H372,""))</f>
        <v/>
      </c>
      <c r="AR372" s="148" t="str">
        <f>IF($AN372=FALSE,"",IFERROR((IF(T372="Unrestricted","",INDEX('Flat Rates'!$A$1:$M$3880,MATCH($AM372,'Flat Rates'!$A$1:$A$3880,0),MATCH("Uni/Day Rate",'Flat Rates'!$A$1:$M$1,0)))*100)+H372,""))</f>
        <v/>
      </c>
      <c r="AS372" s="148" t="str">
        <f>IF($AN372=FALSE,"",IFERROR(IF(INDEX('Flat Rates'!$A$1:$M$3880,MATCH($AM372,'Flat Rates'!$A$1:$A$3880,0),MATCH("Night Unit Rate",'Flat Rates'!$A$1:$M$1,0))=0,"",((INDEX('Flat Rates'!$A$1:$M$3880,MATCH($AM372,'Flat Rates'!$A$1:$A$3880,0),MATCH("Night Unit Rate",'Flat Rates'!$A$1:$M$1,0)))*100)+H372),""))</f>
        <v/>
      </c>
      <c r="AT372" s="148" t="str">
        <f>IF($AN372=FALSE,"",IFERROR(IF(INDEX('Flat Rates'!$A$1:$M$3880,MATCH($AM372,'Flat Rates'!$A$1:$A$3880,0),MATCH("Evening and Weekend Rate",'Flat Rates'!$A$1:$M$1,0))=0,"",((INDEX('Flat Rates'!$A$1:$M$3880,MATCH($AM372,'Flat Rates'!$A$1:$A$3880,0),MATCH("Evening and Weekend Rate",'Flat Rates'!$A$1:$M$1,0)))*100)+H372),""))</f>
        <v/>
      </c>
      <c r="AU372" s="152" t="str">
        <f t="shared" si="151"/>
        <v/>
      </c>
      <c r="AV372" s="152" t="str">
        <f t="shared" si="152"/>
        <v/>
      </c>
      <c r="AW372" s="152" t="str">
        <f t="shared" si="153"/>
        <v/>
      </c>
    </row>
    <row r="373" spans="2:49" ht="15" thickBot="1" x14ac:dyDescent="0.35">
      <c r="B373" s="138" t="str">
        <f t="shared" si="130"/>
        <v/>
      </c>
      <c r="C373" s="137"/>
      <c r="D373" s="139"/>
      <c r="E373" s="140"/>
      <c r="F373" s="140"/>
      <c r="G373" s="139"/>
      <c r="H373" s="151"/>
      <c r="I373" s="139"/>
      <c r="J373" s="138"/>
      <c r="K373" s="139"/>
      <c r="L373" s="141"/>
      <c r="M373" s="133" t="str">
        <f t="shared" si="131"/>
        <v/>
      </c>
      <c r="N373" s="133" t="str">
        <f t="shared" si="132"/>
        <v/>
      </c>
      <c r="O373" s="133" t="str">
        <f t="shared" si="133"/>
        <v/>
      </c>
      <c r="P373" s="133" t="str">
        <f t="shared" si="134"/>
        <v/>
      </c>
      <c r="Q373" s="133" t="str">
        <f t="shared" si="135"/>
        <v/>
      </c>
      <c r="R373" s="133" t="str">
        <f t="shared" si="136"/>
        <v/>
      </c>
      <c r="S373" s="133" t="str">
        <f t="shared" si="137"/>
        <v/>
      </c>
      <c r="T373" s="133" t="str">
        <f>IFERROR(IF($U373="ERROR","ERROR",IF($N373="00",IF(J373="1-Rate","HH 1RATE",IF(J373="2-Rate","HH 2RATE","")),IFERROR(VLOOKUP(CONCATENATE(N373,Q373,O373,P373),Lookups!$A$2:$E$4557,5,0),VLOOKUP(CONCATENATE(N373,Q373,O373),Lookups!$A$2:$E$4557,5,0)))),"ERROR")</f>
        <v>ERROR</v>
      </c>
      <c r="U373" s="133" t="str">
        <f>IFERROR(IF(NOT($N373="00"),"",VLOOKUP(CONCATENATE(Q373,P373,LOOKUP(2,1/(Lookups!$I$2:$I$11&lt;=E373)/(Lookups!$J$2:$J$11&gt;=Tool!$C$14),Lookups!$K$2:$K$11)),'HH LLFs'!$A$2:$K$500,3,0)),"ERROR")</f>
        <v/>
      </c>
      <c r="V373" s="132">
        <f>Calcs!$I$2</f>
        <v>44377</v>
      </c>
      <c r="W373" s="132">
        <f>Calcs!$I$4</f>
        <v>44592</v>
      </c>
      <c r="X373" s="153" t="str">
        <f>IF(NOT(N373="00"),"",(VLOOKUP(CONCATENATE(Q373,P373,LOOKUP(2,1/(Lookups!$I$2:$I$11&lt;=Multisite!E373)/(Lookups!$J$2:$J$11&gt;=E373),Lookups!$K$2:$K$11)),'HH LLFs'!$A$2:$F$282,6,0)*365)/12)</f>
        <v/>
      </c>
      <c r="Y373" s="153">
        <f t="shared" si="138"/>
        <v>0</v>
      </c>
      <c r="Z373" s="153" t="str">
        <f t="shared" si="147"/>
        <v/>
      </c>
      <c r="AA373" s="153" t="str">
        <f t="shared" si="139"/>
        <v/>
      </c>
      <c r="AB373" s="153" t="str">
        <f t="shared" si="148"/>
        <v/>
      </c>
      <c r="AC373" s="153" t="str">
        <f t="shared" si="140"/>
        <v/>
      </c>
      <c r="AD373" s="153" t="str">
        <f t="shared" si="141"/>
        <v/>
      </c>
      <c r="AE373" s="153" t="str">
        <f t="shared" si="142"/>
        <v/>
      </c>
      <c r="AF373" s="155" t="e">
        <f>LOOKUP(2,1/(Lookups!$I$2:$I$11&lt;=E373)/(Lookups!$J$2:$J$11&gt;=E373),Lookups!$L$2:$L$11)</f>
        <v>#N/A</v>
      </c>
      <c r="AG373" s="142" t="str">
        <f t="shared" si="143"/>
        <v/>
      </c>
      <c r="AH373" s="142" t="str">
        <f t="shared" si="144"/>
        <v/>
      </c>
      <c r="AI373" s="143" t="b">
        <f t="shared" si="149"/>
        <v>0</v>
      </c>
      <c r="AJ373" s="143" t="str">
        <f t="shared" si="145"/>
        <v>Level 1</v>
      </c>
      <c r="AK373" s="142">
        <f t="shared" si="146"/>
        <v>0</v>
      </c>
      <c r="AL373" s="157" t="str">
        <f t="shared" si="154"/>
        <v/>
      </c>
      <c r="AM373" s="144" t="str">
        <f t="shared" si="155"/>
        <v>--FALSE-0</v>
      </c>
      <c r="AN373" s="158" t="str">
        <f t="shared" si="150"/>
        <v/>
      </c>
      <c r="AO373" s="145"/>
      <c r="AP373" s="159" t="str">
        <f>IF($AN373=FALSE,"",IFERROR(INDEX('Flat Rates'!$A$1:$M$3880,MATCH($AM373,'Flat Rates'!$A$1:$A$3880,0),MATCH("Standing Charge",'Flat Rates'!$A$1:$M$1,0))*100,""))</f>
        <v/>
      </c>
      <c r="AQ373" s="148" t="str">
        <f>IF($AN373=FALSE,"",IFERROR((IF(NOT(T373="Unrestricted"),"",INDEX('Flat Rates'!$A$1:$M$3880,MATCH($AM373,'Flat Rates'!$A$1:$A$3880,0),MATCH("Uni/Day Rate",'Flat Rates'!$A$1:$M$1,0)))*100)+H373,""))</f>
        <v/>
      </c>
      <c r="AR373" s="148" t="str">
        <f>IF($AN373=FALSE,"",IFERROR((IF(T373="Unrestricted","",INDEX('Flat Rates'!$A$1:$M$3880,MATCH($AM373,'Flat Rates'!$A$1:$A$3880,0),MATCH("Uni/Day Rate",'Flat Rates'!$A$1:$M$1,0)))*100)+H373,""))</f>
        <v/>
      </c>
      <c r="AS373" s="148" t="str">
        <f>IF($AN373=FALSE,"",IFERROR(IF(INDEX('Flat Rates'!$A$1:$M$3880,MATCH($AM373,'Flat Rates'!$A$1:$A$3880,0),MATCH("Night Unit Rate",'Flat Rates'!$A$1:$M$1,0))=0,"",((INDEX('Flat Rates'!$A$1:$M$3880,MATCH($AM373,'Flat Rates'!$A$1:$A$3880,0),MATCH("Night Unit Rate",'Flat Rates'!$A$1:$M$1,0)))*100)+H373),""))</f>
        <v/>
      </c>
      <c r="AT373" s="148" t="str">
        <f>IF($AN373=FALSE,"",IFERROR(IF(INDEX('Flat Rates'!$A$1:$M$3880,MATCH($AM373,'Flat Rates'!$A$1:$A$3880,0),MATCH("Evening and Weekend Rate",'Flat Rates'!$A$1:$M$1,0))=0,"",((INDEX('Flat Rates'!$A$1:$M$3880,MATCH($AM373,'Flat Rates'!$A$1:$A$3880,0),MATCH("Evening and Weekend Rate",'Flat Rates'!$A$1:$M$1,0)))*100)+H373),""))</f>
        <v/>
      </c>
      <c r="AU373" s="152" t="str">
        <f t="shared" si="151"/>
        <v/>
      </c>
      <c r="AV373" s="152" t="str">
        <f t="shared" si="152"/>
        <v/>
      </c>
      <c r="AW373" s="152" t="str">
        <f t="shared" si="153"/>
        <v/>
      </c>
    </row>
    <row r="374" spans="2:49" ht="15" thickBot="1" x14ac:dyDescent="0.35">
      <c r="B374" s="138" t="str">
        <f t="shared" si="130"/>
        <v/>
      </c>
      <c r="C374" s="146"/>
      <c r="D374" s="147"/>
      <c r="E374" s="140"/>
      <c r="F374" s="140"/>
      <c r="G374" s="139"/>
      <c r="H374" s="151"/>
      <c r="I374" s="139"/>
      <c r="J374" s="137"/>
      <c r="K374" s="139"/>
      <c r="L374" s="141"/>
      <c r="M374" s="133" t="str">
        <f t="shared" si="131"/>
        <v/>
      </c>
      <c r="N374" s="133" t="str">
        <f t="shared" si="132"/>
        <v/>
      </c>
      <c r="O374" s="133" t="str">
        <f t="shared" si="133"/>
        <v/>
      </c>
      <c r="P374" s="133" t="str">
        <f t="shared" si="134"/>
        <v/>
      </c>
      <c r="Q374" s="133" t="str">
        <f t="shared" si="135"/>
        <v/>
      </c>
      <c r="R374" s="133" t="str">
        <f t="shared" si="136"/>
        <v/>
      </c>
      <c r="S374" s="133" t="str">
        <f t="shared" si="137"/>
        <v/>
      </c>
      <c r="T374" s="133" t="str">
        <f>IFERROR(IF($U374="ERROR","ERROR",IF($N374="00",IF(J374="1-Rate","HH 1RATE",IF(J374="2-Rate","HH 2RATE","")),IFERROR(VLOOKUP(CONCATENATE(N374,Q374,O374,P374),Lookups!$A$2:$E$4557,5,0),VLOOKUP(CONCATENATE(N374,Q374,O374),Lookups!$A$2:$E$4557,5,0)))),"ERROR")</f>
        <v>ERROR</v>
      </c>
      <c r="U374" s="133" t="str">
        <f>IFERROR(IF(NOT($N374="00"),"",VLOOKUP(CONCATENATE(Q374,P374,LOOKUP(2,1/(Lookups!$I$2:$I$11&lt;=E374)/(Lookups!$J$2:$J$11&gt;=Tool!$C$14),Lookups!$K$2:$K$11)),'HH LLFs'!$A$2:$K$500,3,0)),"ERROR")</f>
        <v/>
      </c>
      <c r="V374" s="132">
        <f>Calcs!$I$2</f>
        <v>44377</v>
      </c>
      <c r="W374" s="132">
        <f>Calcs!$I$4</f>
        <v>44592</v>
      </c>
      <c r="X374" s="153" t="str">
        <f>IF(NOT(N374="00"),"",(VLOOKUP(CONCATENATE(Q374,P374,LOOKUP(2,1/(Lookups!$I$2:$I$11&lt;=Multisite!E374)/(Lookups!$J$2:$J$11&gt;=E374),Lookups!$K$2:$K$11)),'HH LLFs'!$A$2:$F$282,6,0)*365)/12)</f>
        <v/>
      </c>
      <c r="Y374" s="153">
        <f t="shared" si="138"/>
        <v>0</v>
      </c>
      <c r="Z374" s="153" t="str">
        <f t="shared" si="147"/>
        <v/>
      </c>
      <c r="AA374" s="153" t="str">
        <f t="shared" si="139"/>
        <v/>
      </c>
      <c r="AB374" s="153" t="str">
        <f t="shared" si="148"/>
        <v/>
      </c>
      <c r="AC374" s="153" t="str">
        <f t="shared" si="140"/>
        <v/>
      </c>
      <c r="AD374" s="153" t="str">
        <f t="shared" si="141"/>
        <v/>
      </c>
      <c r="AE374" s="153" t="str">
        <f t="shared" si="142"/>
        <v/>
      </c>
      <c r="AF374" s="155" t="e">
        <f>LOOKUP(2,1/(Lookups!$I$2:$I$11&lt;=E374)/(Lookups!$J$2:$J$11&gt;=E374),Lookups!$L$2:$L$11)</f>
        <v>#N/A</v>
      </c>
      <c r="AG374" s="142" t="str">
        <f t="shared" si="143"/>
        <v/>
      </c>
      <c r="AH374" s="142" t="str">
        <f t="shared" si="144"/>
        <v/>
      </c>
      <c r="AI374" s="143" t="b">
        <f t="shared" si="149"/>
        <v>0</v>
      </c>
      <c r="AJ374" s="143" t="str">
        <f t="shared" si="145"/>
        <v>Level 1</v>
      </c>
      <c r="AK374" s="142">
        <f t="shared" si="146"/>
        <v>0</v>
      </c>
      <c r="AL374" s="157" t="str">
        <f t="shared" si="154"/>
        <v/>
      </c>
      <c r="AM374" s="144" t="str">
        <f t="shared" si="155"/>
        <v>--FALSE-0</v>
      </c>
      <c r="AN374" s="158" t="str">
        <f t="shared" si="150"/>
        <v/>
      </c>
      <c r="AO374" s="145"/>
      <c r="AP374" s="159" t="str">
        <f>IF($AN374=FALSE,"",IFERROR(INDEX('Flat Rates'!$A$1:$M$3880,MATCH($AM374,'Flat Rates'!$A$1:$A$3880,0),MATCH("Standing Charge",'Flat Rates'!$A$1:$M$1,0))*100,""))</f>
        <v/>
      </c>
      <c r="AQ374" s="148" t="str">
        <f>IF($AN374=FALSE,"",IFERROR((IF(NOT(T374="Unrestricted"),"",INDEX('Flat Rates'!$A$1:$M$3880,MATCH($AM374,'Flat Rates'!$A$1:$A$3880,0),MATCH("Uni/Day Rate",'Flat Rates'!$A$1:$M$1,0)))*100)+H374,""))</f>
        <v/>
      </c>
      <c r="AR374" s="148" t="str">
        <f>IF($AN374=FALSE,"",IFERROR((IF(T374="Unrestricted","",INDEX('Flat Rates'!$A$1:$M$3880,MATCH($AM374,'Flat Rates'!$A$1:$A$3880,0),MATCH("Uni/Day Rate",'Flat Rates'!$A$1:$M$1,0)))*100)+H374,""))</f>
        <v/>
      </c>
      <c r="AS374" s="148" t="str">
        <f>IF($AN374=FALSE,"",IFERROR(IF(INDEX('Flat Rates'!$A$1:$M$3880,MATCH($AM374,'Flat Rates'!$A$1:$A$3880,0),MATCH("Night Unit Rate",'Flat Rates'!$A$1:$M$1,0))=0,"",((INDEX('Flat Rates'!$A$1:$M$3880,MATCH($AM374,'Flat Rates'!$A$1:$A$3880,0),MATCH("Night Unit Rate",'Flat Rates'!$A$1:$M$1,0)))*100)+H374),""))</f>
        <v/>
      </c>
      <c r="AT374" s="148" t="str">
        <f>IF($AN374=FALSE,"",IFERROR(IF(INDEX('Flat Rates'!$A$1:$M$3880,MATCH($AM374,'Flat Rates'!$A$1:$A$3880,0),MATCH("Evening and Weekend Rate",'Flat Rates'!$A$1:$M$1,0))=0,"",((INDEX('Flat Rates'!$A$1:$M$3880,MATCH($AM374,'Flat Rates'!$A$1:$A$3880,0),MATCH("Evening and Weekend Rate",'Flat Rates'!$A$1:$M$1,0)))*100)+H374),""))</f>
        <v/>
      </c>
      <c r="AU374" s="152" t="str">
        <f t="shared" si="151"/>
        <v/>
      </c>
      <c r="AV374" s="152" t="str">
        <f t="shared" si="152"/>
        <v/>
      </c>
      <c r="AW374" s="152" t="str">
        <f t="shared" si="153"/>
        <v/>
      </c>
    </row>
    <row r="375" spans="2:49" ht="15" thickBot="1" x14ac:dyDescent="0.35">
      <c r="B375" s="138" t="str">
        <f t="shared" si="130"/>
        <v/>
      </c>
      <c r="C375" s="137"/>
      <c r="D375" s="139"/>
      <c r="E375" s="140"/>
      <c r="F375" s="140"/>
      <c r="G375" s="139"/>
      <c r="H375" s="151"/>
      <c r="I375" s="139"/>
      <c r="J375" s="138"/>
      <c r="K375" s="139"/>
      <c r="L375" s="141"/>
      <c r="M375" s="133" t="str">
        <f t="shared" si="131"/>
        <v/>
      </c>
      <c r="N375" s="133" t="str">
        <f t="shared" si="132"/>
        <v/>
      </c>
      <c r="O375" s="133" t="str">
        <f t="shared" si="133"/>
        <v/>
      </c>
      <c r="P375" s="133" t="str">
        <f t="shared" si="134"/>
        <v/>
      </c>
      <c r="Q375" s="133" t="str">
        <f t="shared" si="135"/>
        <v/>
      </c>
      <c r="R375" s="133" t="str">
        <f t="shared" si="136"/>
        <v/>
      </c>
      <c r="S375" s="133" t="str">
        <f t="shared" si="137"/>
        <v/>
      </c>
      <c r="T375" s="133" t="str">
        <f>IFERROR(IF($U375="ERROR","ERROR",IF($N375="00",IF(J375="1-Rate","HH 1RATE",IF(J375="2-Rate","HH 2RATE","")),IFERROR(VLOOKUP(CONCATENATE(N375,Q375,O375,P375),Lookups!$A$2:$E$4557,5,0),VLOOKUP(CONCATENATE(N375,Q375,O375),Lookups!$A$2:$E$4557,5,0)))),"ERROR")</f>
        <v>ERROR</v>
      </c>
      <c r="U375" s="133" t="str">
        <f>IFERROR(IF(NOT($N375="00"),"",VLOOKUP(CONCATENATE(Q375,P375,LOOKUP(2,1/(Lookups!$I$2:$I$11&lt;=E375)/(Lookups!$J$2:$J$11&gt;=Tool!$C$14),Lookups!$K$2:$K$11)),'HH LLFs'!$A$2:$K$500,3,0)),"ERROR")</f>
        <v/>
      </c>
      <c r="V375" s="132">
        <f>Calcs!$I$2</f>
        <v>44377</v>
      </c>
      <c r="W375" s="132">
        <f>Calcs!$I$4</f>
        <v>44592</v>
      </c>
      <c r="X375" s="153" t="str">
        <f>IF(NOT(N375="00"),"",(VLOOKUP(CONCATENATE(Q375,P375,LOOKUP(2,1/(Lookups!$I$2:$I$11&lt;=Multisite!E375)/(Lookups!$J$2:$J$11&gt;=E375),Lookups!$K$2:$K$11)),'HH LLFs'!$A$2:$F$282,6,0)*365)/12)</f>
        <v/>
      </c>
      <c r="Y375" s="153">
        <f t="shared" si="138"/>
        <v>0</v>
      </c>
      <c r="Z375" s="153" t="str">
        <f t="shared" si="147"/>
        <v/>
      </c>
      <c r="AA375" s="153" t="str">
        <f t="shared" si="139"/>
        <v/>
      </c>
      <c r="AB375" s="153" t="str">
        <f t="shared" si="148"/>
        <v/>
      </c>
      <c r="AC375" s="153" t="str">
        <f t="shared" si="140"/>
        <v/>
      </c>
      <c r="AD375" s="153" t="str">
        <f t="shared" si="141"/>
        <v/>
      </c>
      <c r="AE375" s="153" t="str">
        <f t="shared" si="142"/>
        <v/>
      </c>
      <c r="AF375" s="155" t="e">
        <f>LOOKUP(2,1/(Lookups!$I$2:$I$11&lt;=E375)/(Lookups!$J$2:$J$11&gt;=E375),Lookups!$L$2:$L$11)</f>
        <v>#N/A</v>
      </c>
      <c r="AG375" s="142" t="str">
        <f t="shared" si="143"/>
        <v/>
      </c>
      <c r="AH375" s="142" t="str">
        <f t="shared" si="144"/>
        <v/>
      </c>
      <c r="AI375" s="143" t="b">
        <f t="shared" si="149"/>
        <v>0</v>
      </c>
      <c r="AJ375" s="143" t="str">
        <f t="shared" si="145"/>
        <v>Level 1</v>
      </c>
      <c r="AK375" s="142">
        <f t="shared" si="146"/>
        <v>0</v>
      </c>
      <c r="AL375" s="157" t="str">
        <f t="shared" si="154"/>
        <v/>
      </c>
      <c r="AM375" s="144" t="str">
        <f t="shared" si="155"/>
        <v>--FALSE-0</v>
      </c>
      <c r="AN375" s="158" t="str">
        <f t="shared" si="150"/>
        <v/>
      </c>
      <c r="AO375" s="145"/>
      <c r="AP375" s="159" t="str">
        <f>IF($AN375=FALSE,"",IFERROR(INDEX('Flat Rates'!$A$1:$M$3880,MATCH($AM375,'Flat Rates'!$A$1:$A$3880,0),MATCH("Standing Charge",'Flat Rates'!$A$1:$M$1,0))*100,""))</f>
        <v/>
      </c>
      <c r="AQ375" s="148" t="str">
        <f>IF($AN375=FALSE,"",IFERROR((IF(NOT(T375="Unrestricted"),"",INDEX('Flat Rates'!$A$1:$M$3880,MATCH($AM375,'Flat Rates'!$A$1:$A$3880,0),MATCH("Uni/Day Rate",'Flat Rates'!$A$1:$M$1,0)))*100)+H375,""))</f>
        <v/>
      </c>
      <c r="AR375" s="148" t="str">
        <f>IF($AN375=FALSE,"",IFERROR((IF(T375="Unrestricted","",INDEX('Flat Rates'!$A$1:$M$3880,MATCH($AM375,'Flat Rates'!$A$1:$A$3880,0),MATCH("Uni/Day Rate",'Flat Rates'!$A$1:$M$1,0)))*100)+H375,""))</f>
        <v/>
      </c>
      <c r="AS375" s="148" t="str">
        <f>IF($AN375=FALSE,"",IFERROR(IF(INDEX('Flat Rates'!$A$1:$M$3880,MATCH($AM375,'Flat Rates'!$A$1:$A$3880,0),MATCH("Night Unit Rate",'Flat Rates'!$A$1:$M$1,0))=0,"",((INDEX('Flat Rates'!$A$1:$M$3880,MATCH($AM375,'Flat Rates'!$A$1:$A$3880,0),MATCH("Night Unit Rate",'Flat Rates'!$A$1:$M$1,0)))*100)+H375),""))</f>
        <v/>
      </c>
      <c r="AT375" s="148" t="str">
        <f>IF($AN375=FALSE,"",IFERROR(IF(INDEX('Flat Rates'!$A$1:$M$3880,MATCH($AM375,'Flat Rates'!$A$1:$A$3880,0),MATCH("Evening and Weekend Rate",'Flat Rates'!$A$1:$M$1,0))=0,"",((INDEX('Flat Rates'!$A$1:$M$3880,MATCH($AM375,'Flat Rates'!$A$1:$A$3880,0),MATCH("Evening and Weekend Rate",'Flat Rates'!$A$1:$M$1,0)))*100)+H375),""))</f>
        <v/>
      </c>
      <c r="AU375" s="152" t="str">
        <f t="shared" si="151"/>
        <v/>
      </c>
      <c r="AV375" s="152" t="str">
        <f t="shared" si="152"/>
        <v/>
      </c>
      <c r="AW375" s="152" t="str">
        <f t="shared" si="153"/>
        <v/>
      </c>
    </row>
    <row r="376" spans="2:49" ht="15" thickBot="1" x14ac:dyDescent="0.35">
      <c r="B376" s="138" t="str">
        <f t="shared" si="130"/>
        <v/>
      </c>
      <c r="C376" s="146"/>
      <c r="D376" s="147"/>
      <c r="E376" s="140"/>
      <c r="F376" s="140"/>
      <c r="G376" s="139"/>
      <c r="H376" s="151"/>
      <c r="I376" s="139"/>
      <c r="J376" s="137"/>
      <c r="K376" s="139"/>
      <c r="L376" s="141"/>
      <c r="M376" s="133" t="str">
        <f t="shared" si="131"/>
        <v/>
      </c>
      <c r="N376" s="133" t="str">
        <f t="shared" si="132"/>
        <v/>
      </c>
      <c r="O376" s="133" t="str">
        <f t="shared" si="133"/>
        <v/>
      </c>
      <c r="P376" s="133" t="str">
        <f t="shared" si="134"/>
        <v/>
      </c>
      <c r="Q376" s="133" t="str">
        <f t="shared" si="135"/>
        <v/>
      </c>
      <c r="R376" s="133" t="str">
        <f t="shared" si="136"/>
        <v/>
      </c>
      <c r="S376" s="133" t="str">
        <f t="shared" si="137"/>
        <v/>
      </c>
      <c r="T376" s="133" t="str">
        <f>IFERROR(IF($U376="ERROR","ERROR",IF($N376="00",IF(J376="1-Rate","HH 1RATE",IF(J376="2-Rate","HH 2RATE","")),IFERROR(VLOOKUP(CONCATENATE(N376,Q376,O376,P376),Lookups!$A$2:$E$4557,5,0),VLOOKUP(CONCATENATE(N376,Q376,O376),Lookups!$A$2:$E$4557,5,0)))),"ERROR")</f>
        <v>ERROR</v>
      </c>
      <c r="U376" s="133" t="str">
        <f>IFERROR(IF(NOT($N376="00"),"",VLOOKUP(CONCATENATE(Q376,P376,LOOKUP(2,1/(Lookups!$I$2:$I$11&lt;=E376)/(Lookups!$J$2:$J$11&gt;=Tool!$C$14),Lookups!$K$2:$K$11)),'HH LLFs'!$A$2:$K$500,3,0)),"ERROR")</f>
        <v/>
      </c>
      <c r="V376" s="132">
        <f>Calcs!$I$2</f>
        <v>44377</v>
      </c>
      <c r="W376" s="132">
        <f>Calcs!$I$4</f>
        <v>44592</v>
      </c>
      <c r="X376" s="153" t="str">
        <f>IF(NOT(N376="00"),"",(VLOOKUP(CONCATENATE(Q376,P376,LOOKUP(2,1/(Lookups!$I$2:$I$11&lt;=Multisite!E376)/(Lookups!$J$2:$J$11&gt;=E376),Lookups!$K$2:$K$11)),'HH LLFs'!$A$2:$F$282,6,0)*365)/12)</f>
        <v/>
      </c>
      <c r="Y376" s="153">
        <f t="shared" si="138"/>
        <v>0</v>
      </c>
      <c r="Z376" s="153" t="str">
        <f t="shared" si="147"/>
        <v/>
      </c>
      <c r="AA376" s="153" t="str">
        <f t="shared" si="139"/>
        <v/>
      </c>
      <c r="AB376" s="153" t="str">
        <f t="shared" si="148"/>
        <v/>
      </c>
      <c r="AC376" s="153" t="str">
        <f t="shared" si="140"/>
        <v/>
      </c>
      <c r="AD376" s="153" t="str">
        <f t="shared" si="141"/>
        <v/>
      </c>
      <c r="AE376" s="153" t="str">
        <f t="shared" si="142"/>
        <v/>
      </c>
      <c r="AF376" s="155" t="e">
        <f>LOOKUP(2,1/(Lookups!$I$2:$I$11&lt;=E376)/(Lookups!$J$2:$J$11&gt;=E376),Lookups!$L$2:$L$11)</f>
        <v>#N/A</v>
      </c>
      <c r="AG376" s="142" t="str">
        <f t="shared" si="143"/>
        <v/>
      </c>
      <c r="AH376" s="142" t="str">
        <f t="shared" si="144"/>
        <v/>
      </c>
      <c r="AI376" s="143" t="b">
        <f t="shared" si="149"/>
        <v>0</v>
      </c>
      <c r="AJ376" s="143" t="str">
        <f t="shared" si="145"/>
        <v>Level 1</v>
      </c>
      <c r="AK376" s="142">
        <f t="shared" si="146"/>
        <v>0</v>
      </c>
      <c r="AL376" s="157" t="str">
        <f t="shared" si="154"/>
        <v/>
      </c>
      <c r="AM376" s="144" t="str">
        <f t="shared" si="155"/>
        <v>--FALSE-0</v>
      </c>
      <c r="AN376" s="158" t="str">
        <f t="shared" si="150"/>
        <v/>
      </c>
      <c r="AO376" s="145"/>
      <c r="AP376" s="159" t="str">
        <f>IF($AN376=FALSE,"",IFERROR(INDEX('Flat Rates'!$A$1:$M$3880,MATCH($AM376,'Flat Rates'!$A$1:$A$3880,0),MATCH("Standing Charge",'Flat Rates'!$A$1:$M$1,0))*100,""))</f>
        <v/>
      </c>
      <c r="AQ376" s="148" t="str">
        <f>IF($AN376=FALSE,"",IFERROR((IF(NOT(T376="Unrestricted"),"",INDEX('Flat Rates'!$A$1:$M$3880,MATCH($AM376,'Flat Rates'!$A$1:$A$3880,0),MATCH("Uni/Day Rate",'Flat Rates'!$A$1:$M$1,0)))*100)+H376,""))</f>
        <v/>
      </c>
      <c r="AR376" s="148" t="str">
        <f>IF($AN376=FALSE,"",IFERROR((IF(T376="Unrestricted","",INDEX('Flat Rates'!$A$1:$M$3880,MATCH($AM376,'Flat Rates'!$A$1:$A$3880,0),MATCH("Uni/Day Rate",'Flat Rates'!$A$1:$M$1,0)))*100)+H376,""))</f>
        <v/>
      </c>
      <c r="AS376" s="148" t="str">
        <f>IF($AN376=FALSE,"",IFERROR(IF(INDEX('Flat Rates'!$A$1:$M$3880,MATCH($AM376,'Flat Rates'!$A$1:$A$3880,0),MATCH("Night Unit Rate",'Flat Rates'!$A$1:$M$1,0))=0,"",((INDEX('Flat Rates'!$A$1:$M$3880,MATCH($AM376,'Flat Rates'!$A$1:$A$3880,0),MATCH("Night Unit Rate",'Flat Rates'!$A$1:$M$1,0)))*100)+H376),""))</f>
        <v/>
      </c>
      <c r="AT376" s="148" t="str">
        <f>IF($AN376=FALSE,"",IFERROR(IF(INDEX('Flat Rates'!$A$1:$M$3880,MATCH($AM376,'Flat Rates'!$A$1:$A$3880,0),MATCH("Evening and Weekend Rate",'Flat Rates'!$A$1:$M$1,0))=0,"",((INDEX('Flat Rates'!$A$1:$M$3880,MATCH($AM376,'Flat Rates'!$A$1:$A$3880,0),MATCH("Evening and Weekend Rate",'Flat Rates'!$A$1:$M$1,0)))*100)+H376),""))</f>
        <v/>
      </c>
      <c r="AU376" s="152" t="str">
        <f t="shared" si="151"/>
        <v/>
      </c>
      <c r="AV376" s="152" t="str">
        <f t="shared" si="152"/>
        <v/>
      </c>
      <c r="AW376" s="152" t="str">
        <f t="shared" si="153"/>
        <v/>
      </c>
    </row>
    <row r="377" spans="2:49" ht="15" thickBot="1" x14ac:dyDescent="0.35">
      <c r="B377" s="138" t="str">
        <f t="shared" si="130"/>
        <v/>
      </c>
      <c r="C377" s="137"/>
      <c r="D377" s="139"/>
      <c r="E377" s="140"/>
      <c r="F377" s="140"/>
      <c r="G377" s="139"/>
      <c r="H377" s="151"/>
      <c r="I377" s="139"/>
      <c r="J377" s="138"/>
      <c r="K377" s="139"/>
      <c r="L377" s="141"/>
      <c r="M377" s="133" t="str">
        <f t="shared" si="131"/>
        <v/>
      </c>
      <c r="N377" s="133" t="str">
        <f t="shared" si="132"/>
        <v/>
      </c>
      <c r="O377" s="133" t="str">
        <f t="shared" si="133"/>
        <v/>
      </c>
      <c r="P377" s="133" t="str">
        <f t="shared" si="134"/>
        <v/>
      </c>
      <c r="Q377" s="133" t="str">
        <f t="shared" si="135"/>
        <v/>
      </c>
      <c r="R377" s="133" t="str">
        <f t="shared" si="136"/>
        <v/>
      </c>
      <c r="S377" s="133" t="str">
        <f t="shared" si="137"/>
        <v/>
      </c>
      <c r="T377" s="133" t="str">
        <f>IFERROR(IF($U377="ERROR","ERROR",IF($N377="00",IF(J377="1-Rate","HH 1RATE",IF(J377="2-Rate","HH 2RATE","")),IFERROR(VLOOKUP(CONCATENATE(N377,Q377,O377,P377),Lookups!$A$2:$E$4557,5,0),VLOOKUP(CONCATENATE(N377,Q377,O377),Lookups!$A$2:$E$4557,5,0)))),"ERROR")</f>
        <v>ERROR</v>
      </c>
      <c r="U377" s="133" t="str">
        <f>IFERROR(IF(NOT($N377="00"),"",VLOOKUP(CONCATENATE(Q377,P377,LOOKUP(2,1/(Lookups!$I$2:$I$11&lt;=E377)/(Lookups!$J$2:$J$11&gt;=Tool!$C$14),Lookups!$K$2:$K$11)),'HH LLFs'!$A$2:$K$500,3,0)),"ERROR")</f>
        <v/>
      </c>
      <c r="V377" s="132">
        <f>Calcs!$I$2</f>
        <v>44377</v>
      </c>
      <c r="W377" s="132">
        <f>Calcs!$I$4</f>
        <v>44592</v>
      </c>
      <c r="X377" s="153" t="str">
        <f>IF(NOT(N377="00"),"",(VLOOKUP(CONCATENATE(Q377,P377,LOOKUP(2,1/(Lookups!$I$2:$I$11&lt;=Multisite!E377)/(Lookups!$J$2:$J$11&gt;=E377),Lookups!$K$2:$K$11)),'HH LLFs'!$A$2:$F$282,6,0)*365)/12)</f>
        <v/>
      </c>
      <c r="Y377" s="153">
        <f t="shared" si="138"/>
        <v>0</v>
      </c>
      <c r="Z377" s="153" t="str">
        <f t="shared" si="147"/>
        <v/>
      </c>
      <c r="AA377" s="153" t="str">
        <f t="shared" si="139"/>
        <v/>
      </c>
      <c r="AB377" s="153" t="str">
        <f t="shared" si="148"/>
        <v/>
      </c>
      <c r="AC377" s="153" t="str">
        <f t="shared" si="140"/>
        <v/>
      </c>
      <c r="AD377" s="153" t="str">
        <f t="shared" si="141"/>
        <v/>
      </c>
      <c r="AE377" s="153" t="str">
        <f t="shared" si="142"/>
        <v/>
      </c>
      <c r="AF377" s="155" t="e">
        <f>LOOKUP(2,1/(Lookups!$I$2:$I$11&lt;=E377)/(Lookups!$J$2:$J$11&gt;=E377),Lookups!$L$2:$L$11)</f>
        <v>#N/A</v>
      </c>
      <c r="AG377" s="142" t="str">
        <f t="shared" si="143"/>
        <v/>
      </c>
      <c r="AH377" s="142" t="str">
        <f t="shared" si="144"/>
        <v/>
      </c>
      <c r="AI377" s="143" t="b">
        <f t="shared" si="149"/>
        <v>0</v>
      </c>
      <c r="AJ377" s="143" t="str">
        <f t="shared" si="145"/>
        <v>Level 1</v>
      </c>
      <c r="AK377" s="142">
        <f t="shared" si="146"/>
        <v>0</v>
      </c>
      <c r="AL377" s="157" t="str">
        <f t="shared" si="154"/>
        <v/>
      </c>
      <c r="AM377" s="144" t="str">
        <f t="shared" si="155"/>
        <v>--FALSE-0</v>
      </c>
      <c r="AN377" s="158" t="str">
        <f t="shared" si="150"/>
        <v/>
      </c>
      <c r="AO377" s="145"/>
      <c r="AP377" s="159" t="str">
        <f>IF($AN377=FALSE,"",IFERROR(INDEX('Flat Rates'!$A$1:$M$3880,MATCH($AM377,'Flat Rates'!$A$1:$A$3880,0),MATCH("Standing Charge",'Flat Rates'!$A$1:$M$1,0))*100,""))</f>
        <v/>
      </c>
      <c r="AQ377" s="148" t="str">
        <f>IF($AN377=FALSE,"",IFERROR((IF(NOT(T377="Unrestricted"),"",INDEX('Flat Rates'!$A$1:$M$3880,MATCH($AM377,'Flat Rates'!$A$1:$A$3880,0),MATCH("Uni/Day Rate",'Flat Rates'!$A$1:$M$1,0)))*100)+H377,""))</f>
        <v/>
      </c>
      <c r="AR377" s="148" t="str">
        <f>IF($AN377=FALSE,"",IFERROR((IF(T377="Unrestricted","",INDEX('Flat Rates'!$A$1:$M$3880,MATCH($AM377,'Flat Rates'!$A$1:$A$3880,0),MATCH("Uni/Day Rate",'Flat Rates'!$A$1:$M$1,0)))*100)+H377,""))</f>
        <v/>
      </c>
      <c r="AS377" s="148" t="str">
        <f>IF($AN377=FALSE,"",IFERROR(IF(INDEX('Flat Rates'!$A$1:$M$3880,MATCH($AM377,'Flat Rates'!$A$1:$A$3880,0),MATCH("Night Unit Rate",'Flat Rates'!$A$1:$M$1,0))=0,"",((INDEX('Flat Rates'!$A$1:$M$3880,MATCH($AM377,'Flat Rates'!$A$1:$A$3880,0),MATCH("Night Unit Rate",'Flat Rates'!$A$1:$M$1,0)))*100)+H377),""))</f>
        <v/>
      </c>
      <c r="AT377" s="148" t="str">
        <f>IF($AN377=FALSE,"",IFERROR(IF(INDEX('Flat Rates'!$A$1:$M$3880,MATCH($AM377,'Flat Rates'!$A$1:$A$3880,0),MATCH("Evening and Weekend Rate",'Flat Rates'!$A$1:$M$1,0))=0,"",((INDEX('Flat Rates'!$A$1:$M$3880,MATCH($AM377,'Flat Rates'!$A$1:$A$3880,0),MATCH("Evening and Weekend Rate",'Flat Rates'!$A$1:$M$1,0)))*100)+H377),""))</f>
        <v/>
      </c>
      <c r="AU377" s="152" t="str">
        <f t="shared" si="151"/>
        <v/>
      </c>
      <c r="AV377" s="152" t="str">
        <f t="shared" si="152"/>
        <v/>
      </c>
      <c r="AW377" s="152" t="str">
        <f t="shared" si="153"/>
        <v/>
      </c>
    </row>
    <row r="378" spans="2:49" ht="15" thickBot="1" x14ac:dyDescent="0.35">
      <c r="B378" s="138" t="str">
        <f t="shared" si="130"/>
        <v/>
      </c>
      <c r="C378" s="146"/>
      <c r="D378" s="147"/>
      <c r="E378" s="140"/>
      <c r="F378" s="140"/>
      <c r="G378" s="139"/>
      <c r="H378" s="151"/>
      <c r="I378" s="139"/>
      <c r="J378" s="137"/>
      <c r="K378" s="139"/>
      <c r="L378" s="141"/>
      <c r="M378" s="133" t="str">
        <f t="shared" si="131"/>
        <v/>
      </c>
      <c r="N378" s="133" t="str">
        <f t="shared" si="132"/>
        <v/>
      </c>
      <c r="O378" s="133" t="str">
        <f t="shared" si="133"/>
        <v/>
      </c>
      <c r="P378" s="133" t="str">
        <f t="shared" si="134"/>
        <v/>
      </c>
      <c r="Q378" s="133" t="str">
        <f t="shared" si="135"/>
        <v/>
      </c>
      <c r="R378" s="133" t="str">
        <f t="shared" si="136"/>
        <v/>
      </c>
      <c r="S378" s="133" t="str">
        <f t="shared" si="137"/>
        <v/>
      </c>
      <c r="T378" s="133" t="str">
        <f>IFERROR(IF($U378="ERROR","ERROR",IF($N378="00",IF(J378="1-Rate","HH 1RATE",IF(J378="2-Rate","HH 2RATE","")),IFERROR(VLOOKUP(CONCATENATE(N378,Q378,O378,P378),Lookups!$A$2:$E$4557,5,0),VLOOKUP(CONCATENATE(N378,Q378,O378),Lookups!$A$2:$E$4557,5,0)))),"ERROR")</f>
        <v>ERROR</v>
      </c>
      <c r="U378" s="133" t="str">
        <f>IFERROR(IF(NOT($N378="00"),"",VLOOKUP(CONCATENATE(Q378,P378,LOOKUP(2,1/(Lookups!$I$2:$I$11&lt;=E378)/(Lookups!$J$2:$J$11&gt;=Tool!$C$14),Lookups!$K$2:$K$11)),'HH LLFs'!$A$2:$K$500,3,0)),"ERROR")</f>
        <v/>
      </c>
      <c r="V378" s="132">
        <f>Calcs!$I$2</f>
        <v>44377</v>
      </c>
      <c r="W378" s="132">
        <f>Calcs!$I$4</f>
        <v>44592</v>
      </c>
      <c r="X378" s="153" t="str">
        <f>IF(NOT(N378="00"),"",(VLOOKUP(CONCATENATE(Q378,P378,LOOKUP(2,1/(Lookups!$I$2:$I$11&lt;=Multisite!E378)/(Lookups!$J$2:$J$11&gt;=E378),Lookups!$K$2:$K$11)),'HH LLFs'!$A$2:$F$282,6,0)*365)/12)</f>
        <v/>
      </c>
      <c r="Y378" s="153">
        <f t="shared" si="138"/>
        <v>0</v>
      </c>
      <c r="Z378" s="153" t="str">
        <f t="shared" si="147"/>
        <v/>
      </c>
      <c r="AA378" s="153" t="str">
        <f t="shared" si="139"/>
        <v/>
      </c>
      <c r="AB378" s="153" t="str">
        <f t="shared" si="148"/>
        <v/>
      </c>
      <c r="AC378" s="153" t="str">
        <f t="shared" si="140"/>
        <v/>
      </c>
      <c r="AD378" s="153" t="str">
        <f t="shared" si="141"/>
        <v/>
      </c>
      <c r="AE378" s="153" t="str">
        <f t="shared" si="142"/>
        <v/>
      </c>
      <c r="AF378" s="155" t="e">
        <f>LOOKUP(2,1/(Lookups!$I$2:$I$11&lt;=E378)/(Lookups!$J$2:$J$11&gt;=E378),Lookups!$L$2:$L$11)</f>
        <v>#N/A</v>
      </c>
      <c r="AG378" s="142" t="str">
        <f t="shared" si="143"/>
        <v/>
      </c>
      <c r="AH378" s="142" t="str">
        <f t="shared" si="144"/>
        <v/>
      </c>
      <c r="AI378" s="143" t="b">
        <f t="shared" si="149"/>
        <v>0</v>
      </c>
      <c r="AJ378" s="143" t="str">
        <f t="shared" si="145"/>
        <v>Level 1</v>
      </c>
      <c r="AK378" s="142">
        <f t="shared" si="146"/>
        <v>0</v>
      </c>
      <c r="AL378" s="157" t="str">
        <f t="shared" si="154"/>
        <v/>
      </c>
      <c r="AM378" s="144" t="str">
        <f t="shared" si="155"/>
        <v>--FALSE-0</v>
      </c>
      <c r="AN378" s="158" t="str">
        <f t="shared" si="150"/>
        <v/>
      </c>
      <c r="AO378" s="145"/>
      <c r="AP378" s="159" t="str">
        <f>IF($AN378=FALSE,"",IFERROR(INDEX('Flat Rates'!$A$1:$M$3880,MATCH($AM378,'Flat Rates'!$A$1:$A$3880,0),MATCH("Standing Charge",'Flat Rates'!$A$1:$M$1,0))*100,""))</f>
        <v/>
      </c>
      <c r="AQ378" s="148" t="str">
        <f>IF($AN378=FALSE,"",IFERROR((IF(NOT(T378="Unrestricted"),"",INDEX('Flat Rates'!$A$1:$M$3880,MATCH($AM378,'Flat Rates'!$A$1:$A$3880,0),MATCH("Uni/Day Rate",'Flat Rates'!$A$1:$M$1,0)))*100)+H378,""))</f>
        <v/>
      </c>
      <c r="AR378" s="148" t="str">
        <f>IF($AN378=FALSE,"",IFERROR((IF(T378="Unrestricted","",INDEX('Flat Rates'!$A$1:$M$3880,MATCH($AM378,'Flat Rates'!$A$1:$A$3880,0),MATCH("Uni/Day Rate",'Flat Rates'!$A$1:$M$1,0)))*100)+H378,""))</f>
        <v/>
      </c>
      <c r="AS378" s="148" t="str">
        <f>IF($AN378=FALSE,"",IFERROR(IF(INDEX('Flat Rates'!$A$1:$M$3880,MATCH($AM378,'Flat Rates'!$A$1:$A$3880,0),MATCH("Night Unit Rate",'Flat Rates'!$A$1:$M$1,0))=0,"",((INDEX('Flat Rates'!$A$1:$M$3880,MATCH($AM378,'Flat Rates'!$A$1:$A$3880,0),MATCH("Night Unit Rate",'Flat Rates'!$A$1:$M$1,0)))*100)+H378),""))</f>
        <v/>
      </c>
      <c r="AT378" s="148" t="str">
        <f>IF($AN378=FALSE,"",IFERROR(IF(INDEX('Flat Rates'!$A$1:$M$3880,MATCH($AM378,'Flat Rates'!$A$1:$A$3880,0),MATCH("Evening and Weekend Rate",'Flat Rates'!$A$1:$M$1,0))=0,"",((INDEX('Flat Rates'!$A$1:$M$3880,MATCH($AM378,'Flat Rates'!$A$1:$A$3880,0),MATCH("Evening and Weekend Rate",'Flat Rates'!$A$1:$M$1,0)))*100)+H378),""))</f>
        <v/>
      </c>
      <c r="AU378" s="152" t="str">
        <f t="shared" si="151"/>
        <v/>
      </c>
      <c r="AV378" s="152" t="str">
        <f t="shared" si="152"/>
        <v/>
      </c>
      <c r="AW378" s="152" t="str">
        <f t="shared" si="153"/>
        <v/>
      </c>
    </row>
    <row r="379" spans="2:49" ht="15" thickBot="1" x14ac:dyDescent="0.35">
      <c r="B379" s="138" t="str">
        <f t="shared" si="130"/>
        <v/>
      </c>
      <c r="C379" s="137"/>
      <c r="D379" s="139"/>
      <c r="E379" s="140"/>
      <c r="F379" s="140"/>
      <c r="G379" s="139"/>
      <c r="H379" s="151"/>
      <c r="I379" s="139"/>
      <c r="J379" s="138"/>
      <c r="K379" s="139"/>
      <c r="L379" s="141"/>
      <c r="M379" s="133" t="str">
        <f t="shared" si="131"/>
        <v/>
      </c>
      <c r="N379" s="133" t="str">
        <f t="shared" si="132"/>
        <v/>
      </c>
      <c r="O379" s="133" t="str">
        <f t="shared" si="133"/>
        <v/>
      </c>
      <c r="P379" s="133" t="str">
        <f t="shared" si="134"/>
        <v/>
      </c>
      <c r="Q379" s="133" t="str">
        <f t="shared" si="135"/>
        <v/>
      </c>
      <c r="R379" s="133" t="str">
        <f t="shared" si="136"/>
        <v/>
      </c>
      <c r="S379" s="133" t="str">
        <f t="shared" si="137"/>
        <v/>
      </c>
      <c r="T379" s="133" t="str">
        <f>IFERROR(IF($U379="ERROR","ERROR",IF($N379="00",IF(J379="1-Rate","HH 1RATE",IF(J379="2-Rate","HH 2RATE","")),IFERROR(VLOOKUP(CONCATENATE(N379,Q379,O379,P379),Lookups!$A$2:$E$4557,5,0),VLOOKUP(CONCATENATE(N379,Q379,O379),Lookups!$A$2:$E$4557,5,0)))),"ERROR")</f>
        <v>ERROR</v>
      </c>
      <c r="U379" s="133" t="str">
        <f>IFERROR(IF(NOT($N379="00"),"",VLOOKUP(CONCATENATE(Q379,P379,LOOKUP(2,1/(Lookups!$I$2:$I$11&lt;=E379)/(Lookups!$J$2:$J$11&gt;=Tool!$C$14),Lookups!$K$2:$K$11)),'HH LLFs'!$A$2:$K$500,3,0)),"ERROR")</f>
        <v/>
      </c>
      <c r="V379" s="132">
        <f>Calcs!$I$2</f>
        <v>44377</v>
      </c>
      <c r="W379" s="132">
        <f>Calcs!$I$4</f>
        <v>44592</v>
      </c>
      <c r="X379" s="153" t="str">
        <f>IF(NOT(N379="00"),"",(VLOOKUP(CONCATENATE(Q379,P379,LOOKUP(2,1/(Lookups!$I$2:$I$11&lt;=Multisite!E379)/(Lookups!$J$2:$J$11&gt;=E379),Lookups!$K$2:$K$11)),'HH LLFs'!$A$2:$F$282,6,0)*365)/12)</f>
        <v/>
      </c>
      <c r="Y379" s="153">
        <f t="shared" si="138"/>
        <v>0</v>
      </c>
      <c r="Z379" s="153" t="str">
        <f t="shared" si="147"/>
        <v/>
      </c>
      <c r="AA379" s="153" t="str">
        <f t="shared" si="139"/>
        <v/>
      </c>
      <c r="AB379" s="153" t="str">
        <f t="shared" si="148"/>
        <v/>
      </c>
      <c r="AC379" s="153" t="str">
        <f t="shared" si="140"/>
        <v/>
      </c>
      <c r="AD379" s="153" t="str">
        <f t="shared" si="141"/>
        <v/>
      </c>
      <c r="AE379" s="153" t="str">
        <f t="shared" si="142"/>
        <v/>
      </c>
      <c r="AF379" s="155" t="e">
        <f>LOOKUP(2,1/(Lookups!$I$2:$I$11&lt;=E379)/(Lookups!$J$2:$J$11&gt;=E379),Lookups!$L$2:$L$11)</f>
        <v>#N/A</v>
      </c>
      <c r="AG379" s="142" t="str">
        <f t="shared" si="143"/>
        <v/>
      </c>
      <c r="AH379" s="142" t="str">
        <f t="shared" si="144"/>
        <v/>
      </c>
      <c r="AI379" s="143" t="b">
        <f t="shared" si="149"/>
        <v>0</v>
      </c>
      <c r="AJ379" s="143" t="str">
        <f t="shared" si="145"/>
        <v>Level 1</v>
      </c>
      <c r="AK379" s="142">
        <f t="shared" si="146"/>
        <v>0</v>
      </c>
      <c r="AL379" s="157" t="str">
        <f t="shared" si="154"/>
        <v/>
      </c>
      <c r="AM379" s="144" t="str">
        <f t="shared" si="155"/>
        <v>--FALSE-0</v>
      </c>
      <c r="AN379" s="158" t="str">
        <f t="shared" si="150"/>
        <v/>
      </c>
      <c r="AO379" s="145"/>
      <c r="AP379" s="159" t="str">
        <f>IF($AN379=FALSE,"",IFERROR(INDEX('Flat Rates'!$A$1:$M$3880,MATCH($AM379,'Flat Rates'!$A$1:$A$3880,0),MATCH("Standing Charge",'Flat Rates'!$A$1:$M$1,0))*100,""))</f>
        <v/>
      </c>
      <c r="AQ379" s="148" t="str">
        <f>IF($AN379=FALSE,"",IFERROR((IF(NOT(T379="Unrestricted"),"",INDEX('Flat Rates'!$A$1:$M$3880,MATCH($AM379,'Flat Rates'!$A$1:$A$3880,0),MATCH("Uni/Day Rate",'Flat Rates'!$A$1:$M$1,0)))*100)+H379,""))</f>
        <v/>
      </c>
      <c r="AR379" s="148" t="str">
        <f>IF($AN379=FALSE,"",IFERROR((IF(T379="Unrestricted","",INDEX('Flat Rates'!$A$1:$M$3880,MATCH($AM379,'Flat Rates'!$A$1:$A$3880,0),MATCH("Uni/Day Rate",'Flat Rates'!$A$1:$M$1,0)))*100)+H379,""))</f>
        <v/>
      </c>
      <c r="AS379" s="148" t="str">
        <f>IF($AN379=FALSE,"",IFERROR(IF(INDEX('Flat Rates'!$A$1:$M$3880,MATCH($AM379,'Flat Rates'!$A$1:$A$3880,0),MATCH("Night Unit Rate",'Flat Rates'!$A$1:$M$1,0))=0,"",((INDEX('Flat Rates'!$A$1:$M$3880,MATCH($AM379,'Flat Rates'!$A$1:$A$3880,0),MATCH("Night Unit Rate",'Flat Rates'!$A$1:$M$1,0)))*100)+H379),""))</f>
        <v/>
      </c>
      <c r="AT379" s="148" t="str">
        <f>IF($AN379=FALSE,"",IFERROR(IF(INDEX('Flat Rates'!$A$1:$M$3880,MATCH($AM379,'Flat Rates'!$A$1:$A$3880,0),MATCH("Evening and Weekend Rate",'Flat Rates'!$A$1:$M$1,0))=0,"",((INDEX('Flat Rates'!$A$1:$M$3880,MATCH($AM379,'Flat Rates'!$A$1:$A$3880,0),MATCH("Evening and Weekend Rate",'Flat Rates'!$A$1:$M$1,0)))*100)+H379),""))</f>
        <v/>
      </c>
      <c r="AU379" s="152" t="str">
        <f t="shared" si="151"/>
        <v/>
      </c>
      <c r="AV379" s="152" t="str">
        <f t="shared" si="152"/>
        <v/>
      </c>
      <c r="AW379" s="152" t="str">
        <f t="shared" si="153"/>
        <v/>
      </c>
    </row>
    <row r="380" spans="2:49" ht="15" thickBot="1" x14ac:dyDescent="0.35">
      <c r="B380" s="138" t="str">
        <f t="shared" si="130"/>
        <v/>
      </c>
      <c r="C380" s="146"/>
      <c r="D380" s="147"/>
      <c r="E380" s="140"/>
      <c r="F380" s="140"/>
      <c r="G380" s="139"/>
      <c r="H380" s="151"/>
      <c r="I380" s="139"/>
      <c r="J380" s="137"/>
      <c r="K380" s="139"/>
      <c r="L380" s="141"/>
      <c r="M380" s="133" t="str">
        <f t="shared" si="131"/>
        <v/>
      </c>
      <c r="N380" s="133" t="str">
        <f t="shared" si="132"/>
        <v/>
      </c>
      <c r="O380" s="133" t="str">
        <f t="shared" si="133"/>
        <v/>
      </c>
      <c r="P380" s="133" t="str">
        <f t="shared" si="134"/>
        <v/>
      </c>
      <c r="Q380" s="133" t="str">
        <f t="shared" si="135"/>
        <v/>
      </c>
      <c r="R380" s="133" t="str">
        <f t="shared" si="136"/>
        <v/>
      </c>
      <c r="S380" s="133" t="str">
        <f t="shared" si="137"/>
        <v/>
      </c>
      <c r="T380" s="133" t="str">
        <f>IFERROR(IF($U380="ERROR","ERROR",IF($N380="00",IF(J380="1-Rate","HH 1RATE",IF(J380="2-Rate","HH 2RATE","")),IFERROR(VLOOKUP(CONCATENATE(N380,Q380,O380,P380),Lookups!$A$2:$E$4557,5,0),VLOOKUP(CONCATENATE(N380,Q380,O380),Lookups!$A$2:$E$4557,5,0)))),"ERROR")</f>
        <v>ERROR</v>
      </c>
      <c r="U380" s="133" t="str">
        <f>IFERROR(IF(NOT($N380="00"),"",VLOOKUP(CONCATENATE(Q380,P380,LOOKUP(2,1/(Lookups!$I$2:$I$11&lt;=E380)/(Lookups!$J$2:$J$11&gt;=Tool!$C$14),Lookups!$K$2:$K$11)),'HH LLFs'!$A$2:$K$500,3,0)),"ERROR")</f>
        <v/>
      </c>
      <c r="V380" s="132">
        <f>Calcs!$I$2</f>
        <v>44377</v>
      </c>
      <c r="W380" s="132">
        <f>Calcs!$I$4</f>
        <v>44592</v>
      </c>
      <c r="X380" s="153" t="str">
        <f>IF(NOT(N380="00"),"",(VLOOKUP(CONCATENATE(Q380,P380,LOOKUP(2,1/(Lookups!$I$2:$I$11&lt;=Multisite!E380)/(Lookups!$J$2:$J$11&gt;=E380),Lookups!$K$2:$K$11)),'HH LLFs'!$A$2:$F$282,6,0)*365)/12)</f>
        <v/>
      </c>
      <c r="Y380" s="153">
        <f t="shared" si="138"/>
        <v>0</v>
      </c>
      <c r="Z380" s="153" t="str">
        <f t="shared" si="147"/>
        <v/>
      </c>
      <c r="AA380" s="153" t="str">
        <f t="shared" si="139"/>
        <v/>
      </c>
      <c r="AB380" s="153" t="str">
        <f t="shared" si="148"/>
        <v/>
      </c>
      <c r="AC380" s="153" t="str">
        <f t="shared" si="140"/>
        <v/>
      </c>
      <c r="AD380" s="153" t="str">
        <f t="shared" si="141"/>
        <v/>
      </c>
      <c r="AE380" s="153" t="str">
        <f t="shared" si="142"/>
        <v/>
      </c>
      <c r="AF380" s="155" t="e">
        <f>LOOKUP(2,1/(Lookups!$I$2:$I$11&lt;=E380)/(Lookups!$J$2:$J$11&gt;=E380),Lookups!$L$2:$L$11)</f>
        <v>#N/A</v>
      </c>
      <c r="AG380" s="142" t="str">
        <f t="shared" si="143"/>
        <v/>
      </c>
      <c r="AH380" s="142" t="str">
        <f t="shared" si="144"/>
        <v/>
      </c>
      <c r="AI380" s="143" t="b">
        <f t="shared" si="149"/>
        <v>0</v>
      </c>
      <c r="AJ380" s="143" t="str">
        <f t="shared" si="145"/>
        <v>Level 1</v>
      </c>
      <c r="AK380" s="142">
        <f t="shared" si="146"/>
        <v>0</v>
      </c>
      <c r="AL380" s="157" t="str">
        <f t="shared" si="154"/>
        <v/>
      </c>
      <c r="AM380" s="144" t="str">
        <f t="shared" si="155"/>
        <v>--FALSE-0</v>
      </c>
      <c r="AN380" s="158" t="str">
        <f t="shared" si="150"/>
        <v/>
      </c>
      <c r="AO380" s="145"/>
      <c r="AP380" s="159" t="str">
        <f>IF($AN380=FALSE,"",IFERROR(INDEX('Flat Rates'!$A$1:$M$3880,MATCH($AM380,'Flat Rates'!$A$1:$A$3880,0),MATCH("Standing Charge",'Flat Rates'!$A$1:$M$1,0))*100,""))</f>
        <v/>
      </c>
      <c r="AQ380" s="148" t="str">
        <f>IF($AN380=FALSE,"",IFERROR((IF(NOT(T380="Unrestricted"),"",INDEX('Flat Rates'!$A$1:$M$3880,MATCH($AM380,'Flat Rates'!$A$1:$A$3880,0),MATCH("Uni/Day Rate",'Flat Rates'!$A$1:$M$1,0)))*100)+H380,""))</f>
        <v/>
      </c>
      <c r="AR380" s="148" t="str">
        <f>IF($AN380=FALSE,"",IFERROR((IF(T380="Unrestricted","",INDEX('Flat Rates'!$A$1:$M$3880,MATCH($AM380,'Flat Rates'!$A$1:$A$3880,0),MATCH("Uni/Day Rate",'Flat Rates'!$A$1:$M$1,0)))*100)+H380,""))</f>
        <v/>
      </c>
      <c r="AS380" s="148" t="str">
        <f>IF($AN380=FALSE,"",IFERROR(IF(INDEX('Flat Rates'!$A$1:$M$3880,MATCH($AM380,'Flat Rates'!$A$1:$A$3880,0),MATCH("Night Unit Rate",'Flat Rates'!$A$1:$M$1,0))=0,"",((INDEX('Flat Rates'!$A$1:$M$3880,MATCH($AM380,'Flat Rates'!$A$1:$A$3880,0),MATCH("Night Unit Rate",'Flat Rates'!$A$1:$M$1,0)))*100)+H380),""))</f>
        <v/>
      </c>
      <c r="AT380" s="148" t="str">
        <f>IF($AN380=FALSE,"",IFERROR(IF(INDEX('Flat Rates'!$A$1:$M$3880,MATCH($AM380,'Flat Rates'!$A$1:$A$3880,0),MATCH("Evening and Weekend Rate",'Flat Rates'!$A$1:$M$1,0))=0,"",((INDEX('Flat Rates'!$A$1:$M$3880,MATCH($AM380,'Flat Rates'!$A$1:$A$3880,0),MATCH("Evening and Weekend Rate",'Flat Rates'!$A$1:$M$1,0)))*100)+H380),""))</f>
        <v/>
      </c>
      <c r="AU380" s="152" t="str">
        <f t="shared" si="151"/>
        <v/>
      </c>
      <c r="AV380" s="152" t="str">
        <f t="shared" si="152"/>
        <v/>
      </c>
      <c r="AW380" s="152" t="str">
        <f t="shared" si="153"/>
        <v/>
      </c>
    </row>
    <row r="381" spans="2:49" ht="15" thickBot="1" x14ac:dyDescent="0.35">
      <c r="B381" s="138" t="str">
        <f t="shared" si="130"/>
        <v/>
      </c>
      <c r="C381" s="137"/>
      <c r="D381" s="139"/>
      <c r="E381" s="140"/>
      <c r="F381" s="140"/>
      <c r="G381" s="139"/>
      <c r="H381" s="151"/>
      <c r="I381" s="139"/>
      <c r="J381" s="138"/>
      <c r="K381" s="139"/>
      <c r="L381" s="141"/>
      <c r="M381" s="133" t="str">
        <f t="shared" si="131"/>
        <v/>
      </c>
      <c r="N381" s="133" t="str">
        <f t="shared" si="132"/>
        <v/>
      </c>
      <c r="O381" s="133" t="str">
        <f t="shared" si="133"/>
        <v/>
      </c>
      <c r="P381" s="133" t="str">
        <f t="shared" si="134"/>
        <v/>
      </c>
      <c r="Q381" s="133" t="str">
        <f t="shared" si="135"/>
        <v/>
      </c>
      <c r="R381" s="133" t="str">
        <f t="shared" si="136"/>
        <v/>
      </c>
      <c r="S381" s="133" t="str">
        <f t="shared" si="137"/>
        <v/>
      </c>
      <c r="T381" s="133" t="str">
        <f>IFERROR(IF($U381="ERROR","ERROR",IF($N381="00",IF(J381="1-Rate","HH 1RATE",IF(J381="2-Rate","HH 2RATE","")),IFERROR(VLOOKUP(CONCATENATE(N381,Q381,O381,P381),Lookups!$A$2:$E$4557,5,0),VLOOKUP(CONCATENATE(N381,Q381,O381),Lookups!$A$2:$E$4557,5,0)))),"ERROR")</f>
        <v>ERROR</v>
      </c>
      <c r="U381" s="133" t="str">
        <f>IFERROR(IF(NOT($N381="00"),"",VLOOKUP(CONCATENATE(Q381,P381,LOOKUP(2,1/(Lookups!$I$2:$I$11&lt;=E381)/(Lookups!$J$2:$J$11&gt;=Tool!$C$14),Lookups!$K$2:$K$11)),'HH LLFs'!$A$2:$K$500,3,0)),"ERROR")</f>
        <v/>
      </c>
      <c r="V381" s="132">
        <f>Calcs!$I$2</f>
        <v>44377</v>
      </c>
      <c r="W381" s="132">
        <f>Calcs!$I$4</f>
        <v>44592</v>
      </c>
      <c r="X381" s="153" t="str">
        <f>IF(NOT(N381="00"),"",(VLOOKUP(CONCATENATE(Q381,P381,LOOKUP(2,1/(Lookups!$I$2:$I$11&lt;=Multisite!E381)/(Lookups!$J$2:$J$11&gt;=E381),Lookups!$K$2:$K$11)),'HH LLFs'!$A$2:$F$282,6,0)*365)/12)</f>
        <v/>
      </c>
      <c r="Y381" s="153">
        <f t="shared" si="138"/>
        <v>0</v>
      </c>
      <c r="Z381" s="153" t="str">
        <f t="shared" si="147"/>
        <v/>
      </c>
      <c r="AA381" s="153" t="str">
        <f t="shared" si="139"/>
        <v/>
      </c>
      <c r="AB381" s="153" t="str">
        <f t="shared" si="148"/>
        <v/>
      </c>
      <c r="AC381" s="153" t="str">
        <f t="shared" si="140"/>
        <v/>
      </c>
      <c r="AD381" s="153" t="str">
        <f t="shared" si="141"/>
        <v/>
      </c>
      <c r="AE381" s="153" t="str">
        <f t="shared" si="142"/>
        <v/>
      </c>
      <c r="AF381" s="155" t="e">
        <f>LOOKUP(2,1/(Lookups!$I$2:$I$11&lt;=E381)/(Lookups!$J$2:$J$11&gt;=E381),Lookups!$L$2:$L$11)</f>
        <v>#N/A</v>
      </c>
      <c r="AG381" s="142" t="str">
        <f t="shared" si="143"/>
        <v/>
      </c>
      <c r="AH381" s="142" t="str">
        <f t="shared" si="144"/>
        <v/>
      </c>
      <c r="AI381" s="143" t="b">
        <f t="shared" si="149"/>
        <v>0</v>
      </c>
      <c r="AJ381" s="143" t="str">
        <f t="shared" si="145"/>
        <v>Level 1</v>
      </c>
      <c r="AK381" s="142">
        <f t="shared" si="146"/>
        <v>0</v>
      </c>
      <c r="AL381" s="157" t="str">
        <f t="shared" si="154"/>
        <v/>
      </c>
      <c r="AM381" s="144" t="str">
        <f t="shared" si="155"/>
        <v>--FALSE-0</v>
      </c>
      <c r="AN381" s="158" t="str">
        <f t="shared" si="150"/>
        <v/>
      </c>
      <c r="AO381" s="145"/>
      <c r="AP381" s="159" t="str">
        <f>IF($AN381=FALSE,"",IFERROR(INDEX('Flat Rates'!$A$1:$M$3880,MATCH($AM381,'Flat Rates'!$A$1:$A$3880,0),MATCH("Standing Charge",'Flat Rates'!$A$1:$M$1,0))*100,""))</f>
        <v/>
      </c>
      <c r="AQ381" s="148" t="str">
        <f>IF($AN381=FALSE,"",IFERROR((IF(NOT(T381="Unrestricted"),"",INDEX('Flat Rates'!$A$1:$M$3880,MATCH($AM381,'Flat Rates'!$A$1:$A$3880,0),MATCH("Uni/Day Rate",'Flat Rates'!$A$1:$M$1,0)))*100)+H381,""))</f>
        <v/>
      </c>
      <c r="AR381" s="148" t="str">
        <f>IF($AN381=FALSE,"",IFERROR((IF(T381="Unrestricted","",INDEX('Flat Rates'!$A$1:$M$3880,MATCH($AM381,'Flat Rates'!$A$1:$A$3880,0),MATCH("Uni/Day Rate",'Flat Rates'!$A$1:$M$1,0)))*100)+H381,""))</f>
        <v/>
      </c>
      <c r="AS381" s="148" t="str">
        <f>IF($AN381=FALSE,"",IFERROR(IF(INDEX('Flat Rates'!$A$1:$M$3880,MATCH($AM381,'Flat Rates'!$A$1:$A$3880,0),MATCH("Night Unit Rate",'Flat Rates'!$A$1:$M$1,0))=0,"",((INDEX('Flat Rates'!$A$1:$M$3880,MATCH($AM381,'Flat Rates'!$A$1:$A$3880,0),MATCH("Night Unit Rate",'Flat Rates'!$A$1:$M$1,0)))*100)+H381),""))</f>
        <v/>
      </c>
      <c r="AT381" s="148" t="str">
        <f>IF($AN381=FALSE,"",IFERROR(IF(INDEX('Flat Rates'!$A$1:$M$3880,MATCH($AM381,'Flat Rates'!$A$1:$A$3880,0),MATCH("Evening and Weekend Rate",'Flat Rates'!$A$1:$M$1,0))=0,"",((INDEX('Flat Rates'!$A$1:$M$3880,MATCH($AM381,'Flat Rates'!$A$1:$A$3880,0),MATCH("Evening and Weekend Rate",'Flat Rates'!$A$1:$M$1,0)))*100)+H381),""))</f>
        <v/>
      </c>
      <c r="AU381" s="152" t="str">
        <f t="shared" si="151"/>
        <v/>
      </c>
      <c r="AV381" s="152" t="str">
        <f t="shared" si="152"/>
        <v/>
      </c>
      <c r="AW381" s="152" t="str">
        <f t="shared" si="153"/>
        <v/>
      </c>
    </row>
    <row r="382" spans="2:49" ht="15" thickBot="1" x14ac:dyDescent="0.35">
      <c r="B382" s="138" t="str">
        <f t="shared" si="130"/>
        <v/>
      </c>
      <c r="C382" s="146"/>
      <c r="D382" s="147"/>
      <c r="E382" s="140"/>
      <c r="F382" s="140"/>
      <c r="G382" s="139"/>
      <c r="H382" s="151"/>
      <c r="I382" s="139"/>
      <c r="J382" s="137"/>
      <c r="K382" s="139"/>
      <c r="L382" s="141"/>
      <c r="M382" s="133" t="str">
        <f t="shared" si="131"/>
        <v/>
      </c>
      <c r="N382" s="133" t="str">
        <f t="shared" si="132"/>
        <v/>
      </c>
      <c r="O382" s="133" t="str">
        <f t="shared" si="133"/>
        <v/>
      </c>
      <c r="P382" s="133" t="str">
        <f t="shared" si="134"/>
        <v/>
      </c>
      <c r="Q382" s="133" t="str">
        <f t="shared" si="135"/>
        <v/>
      </c>
      <c r="R382" s="133" t="str">
        <f t="shared" si="136"/>
        <v/>
      </c>
      <c r="S382" s="133" t="str">
        <f t="shared" si="137"/>
        <v/>
      </c>
      <c r="T382" s="133" t="str">
        <f>IFERROR(IF($U382="ERROR","ERROR",IF($N382="00",IF(J382="1-Rate","HH 1RATE",IF(J382="2-Rate","HH 2RATE","")),IFERROR(VLOOKUP(CONCATENATE(N382,Q382,O382,P382),Lookups!$A$2:$E$4557,5,0),VLOOKUP(CONCATENATE(N382,Q382,O382),Lookups!$A$2:$E$4557,5,0)))),"ERROR")</f>
        <v>ERROR</v>
      </c>
      <c r="U382" s="133" t="str">
        <f>IFERROR(IF(NOT($N382="00"),"",VLOOKUP(CONCATENATE(Q382,P382,LOOKUP(2,1/(Lookups!$I$2:$I$11&lt;=E382)/(Lookups!$J$2:$J$11&gt;=Tool!$C$14),Lookups!$K$2:$K$11)),'HH LLFs'!$A$2:$K$500,3,0)),"ERROR")</f>
        <v/>
      </c>
      <c r="V382" s="132">
        <f>Calcs!$I$2</f>
        <v>44377</v>
      </c>
      <c r="W382" s="132">
        <f>Calcs!$I$4</f>
        <v>44592</v>
      </c>
      <c r="X382" s="153" t="str">
        <f>IF(NOT(N382="00"),"",(VLOOKUP(CONCATENATE(Q382,P382,LOOKUP(2,1/(Lookups!$I$2:$I$11&lt;=Multisite!E382)/(Lookups!$J$2:$J$11&gt;=E382),Lookups!$K$2:$K$11)),'HH LLFs'!$A$2:$F$282,6,0)*365)/12)</f>
        <v/>
      </c>
      <c r="Y382" s="153">
        <f t="shared" si="138"/>
        <v>0</v>
      </c>
      <c r="Z382" s="153" t="str">
        <f t="shared" si="147"/>
        <v/>
      </c>
      <c r="AA382" s="153" t="str">
        <f t="shared" si="139"/>
        <v/>
      </c>
      <c r="AB382" s="153" t="str">
        <f t="shared" si="148"/>
        <v/>
      </c>
      <c r="AC382" s="153" t="str">
        <f t="shared" si="140"/>
        <v/>
      </c>
      <c r="AD382" s="153" t="str">
        <f t="shared" si="141"/>
        <v/>
      </c>
      <c r="AE382" s="153" t="str">
        <f t="shared" si="142"/>
        <v/>
      </c>
      <c r="AF382" s="155" t="e">
        <f>LOOKUP(2,1/(Lookups!$I$2:$I$11&lt;=E382)/(Lookups!$J$2:$J$11&gt;=E382),Lookups!$L$2:$L$11)</f>
        <v>#N/A</v>
      </c>
      <c r="AG382" s="142" t="str">
        <f t="shared" si="143"/>
        <v/>
      </c>
      <c r="AH382" s="142" t="str">
        <f t="shared" si="144"/>
        <v/>
      </c>
      <c r="AI382" s="143" t="b">
        <f t="shared" si="149"/>
        <v>0</v>
      </c>
      <c r="AJ382" s="143" t="str">
        <f t="shared" si="145"/>
        <v>Level 1</v>
      </c>
      <c r="AK382" s="142">
        <f t="shared" si="146"/>
        <v>0</v>
      </c>
      <c r="AL382" s="157" t="str">
        <f t="shared" si="154"/>
        <v/>
      </c>
      <c r="AM382" s="144" t="str">
        <f t="shared" si="155"/>
        <v>--FALSE-0</v>
      </c>
      <c r="AN382" s="158" t="str">
        <f t="shared" si="150"/>
        <v/>
      </c>
      <c r="AO382" s="145"/>
      <c r="AP382" s="159" t="str">
        <f>IF($AN382=FALSE,"",IFERROR(INDEX('Flat Rates'!$A$1:$M$3880,MATCH($AM382,'Flat Rates'!$A$1:$A$3880,0),MATCH("Standing Charge",'Flat Rates'!$A$1:$M$1,0))*100,""))</f>
        <v/>
      </c>
      <c r="AQ382" s="148" t="str">
        <f>IF($AN382=FALSE,"",IFERROR((IF(NOT(T382="Unrestricted"),"",INDEX('Flat Rates'!$A$1:$M$3880,MATCH($AM382,'Flat Rates'!$A$1:$A$3880,0),MATCH("Uni/Day Rate",'Flat Rates'!$A$1:$M$1,0)))*100)+H382,""))</f>
        <v/>
      </c>
      <c r="AR382" s="148" t="str">
        <f>IF($AN382=FALSE,"",IFERROR((IF(T382="Unrestricted","",INDEX('Flat Rates'!$A$1:$M$3880,MATCH($AM382,'Flat Rates'!$A$1:$A$3880,0),MATCH("Uni/Day Rate",'Flat Rates'!$A$1:$M$1,0)))*100)+H382,""))</f>
        <v/>
      </c>
      <c r="AS382" s="148" t="str">
        <f>IF($AN382=FALSE,"",IFERROR(IF(INDEX('Flat Rates'!$A$1:$M$3880,MATCH($AM382,'Flat Rates'!$A$1:$A$3880,0),MATCH("Night Unit Rate",'Flat Rates'!$A$1:$M$1,0))=0,"",((INDEX('Flat Rates'!$A$1:$M$3880,MATCH($AM382,'Flat Rates'!$A$1:$A$3880,0),MATCH("Night Unit Rate",'Flat Rates'!$A$1:$M$1,0)))*100)+H382),""))</f>
        <v/>
      </c>
      <c r="AT382" s="148" t="str">
        <f>IF($AN382=FALSE,"",IFERROR(IF(INDEX('Flat Rates'!$A$1:$M$3880,MATCH($AM382,'Flat Rates'!$A$1:$A$3880,0),MATCH("Evening and Weekend Rate",'Flat Rates'!$A$1:$M$1,0))=0,"",((INDEX('Flat Rates'!$A$1:$M$3880,MATCH($AM382,'Flat Rates'!$A$1:$A$3880,0),MATCH("Evening and Weekend Rate",'Flat Rates'!$A$1:$M$1,0)))*100)+H382),""))</f>
        <v/>
      </c>
      <c r="AU382" s="152" t="str">
        <f t="shared" si="151"/>
        <v/>
      </c>
      <c r="AV382" s="152" t="str">
        <f t="shared" si="152"/>
        <v/>
      </c>
      <c r="AW382" s="152" t="str">
        <f t="shared" si="153"/>
        <v/>
      </c>
    </row>
    <row r="383" spans="2:49" ht="15" thickBot="1" x14ac:dyDescent="0.35">
      <c r="B383" s="138" t="str">
        <f t="shared" si="130"/>
        <v/>
      </c>
      <c r="C383" s="137"/>
      <c r="D383" s="139"/>
      <c r="E383" s="140"/>
      <c r="F383" s="140"/>
      <c r="G383" s="139"/>
      <c r="H383" s="151"/>
      <c r="I383" s="139"/>
      <c r="J383" s="138"/>
      <c r="K383" s="139"/>
      <c r="L383" s="141"/>
      <c r="M383" s="133" t="str">
        <f t="shared" si="131"/>
        <v/>
      </c>
      <c r="N383" s="133" t="str">
        <f t="shared" si="132"/>
        <v/>
      </c>
      <c r="O383" s="133" t="str">
        <f t="shared" si="133"/>
        <v/>
      </c>
      <c r="P383" s="133" t="str">
        <f t="shared" si="134"/>
        <v/>
      </c>
      <c r="Q383" s="133" t="str">
        <f t="shared" si="135"/>
        <v/>
      </c>
      <c r="R383" s="133" t="str">
        <f t="shared" si="136"/>
        <v/>
      </c>
      <c r="S383" s="133" t="str">
        <f t="shared" si="137"/>
        <v/>
      </c>
      <c r="T383" s="133" t="str">
        <f>IFERROR(IF($U383="ERROR","ERROR",IF($N383="00",IF(J383="1-Rate","HH 1RATE",IF(J383="2-Rate","HH 2RATE","")),IFERROR(VLOOKUP(CONCATENATE(N383,Q383,O383,P383),Lookups!$A$2:$E$4557,5,0),VLOOKUP(CONCATENATE(N383,Q383,O383),Lookups!$A$2:$E$4557,5,0)))),"ERROR")</f>
        <v>ERROR</v>
      </c>
      <c r="U383" s="133" t="str">
        <f>IFERROR(IF(NOT($N383="00"),"",VLOOKUP(CONCATENATE(Q383,P383,LOOKUP(2,1/(Lookups!$I$2:$I$11&lt;=E383)/(Lookups!$J$2:$J$11&gt;=Tool!$C$14),Lookups!$K$2:$K$11)),'HH LLFs'!$A$2:$K$500,3,0)),"ERROR")</f>
        <v/>
      </c>
      <c r="V383" s="132">
        <f>Calcs!$I$2</f>
        <v>44377</v>
      </c>
      <c r="W383" s="132">
        <f>Calcs!$I$4</f>
        <v>44592</v>
      </c>
      <c r="X383" s="153" t="str">
        <f>IF(NOT(N383="00"),"",(VLOOKUP(CONCATENATE(Q383,P383,LOOKUP(2,1/(Lookups!$I$2:$I$11&lt;=Multisite!E383)/(Lookups!$J$2:$J$11&gt;=E383),Lookups!$K$2:$K$11)),'HH LLFs'!$A$2:$F$282,6,0)*365)/12)</f>
        <v/>
      </c>
      <c r="Y383" s="153">
        <f t="shared" si="138"/>
        <v>0</v>
      </c>
      <c r="Z383" s="153" t="str">
        <f t="shared" si="147"/>
        <v/>
      </c>
      <c r="AA383" s="153" t="str">
        <f t="shared" si="139"/>
        <v/>
      </c>
      <c r="AB383" s="153" t="str">
        <f t="shared" si="148"/>
        <v/>
      </c>
      <c r="AC383" s="153" t="str">
        <f t="shared" si="140"/>
        <v/>
      </c>
      <c r="AD383" s="153" t="str">
        <f t="shared" si="141"/>
        <v/>
      </c>
      <c r="AE383" s="153" t="str">
        <f t="shared" si="142"/>
        <v/>
      </c>
      <c r="AF383" s="155" t="e">
        <f>LOOKUP(2,1/(Lookups!$I$2:$I$11&lt;=E383)/(Lookups!$J$2:$J$11&gt;=E383),Lookups!$L$2:$L$11)</f>
        <v>#N/A</v>
      </c>
      <c r="AG383" s="142" t="str">
        <f t="shared" si="143"/>
        <v/>
      </c>
      <c r="AH383" s="142" t="str">
        <f t="shared" si="144"/>
        <v/>
      </c>
      <c r="AI383" s="143" t="b">
        <f t="shared" si="149"/>
        <v>0</v>
      </c>
      <c r="AJ383" s="143" t="str">
        <f t="shared" si="145"/>
        <v>Level 1</v>
      </c>
      <c r="AK383" s="142">
        <f t="shared" si="146"/>
        <v>0</v>
      </c>
      <c r="AL383" s="157" t="str">
        <f t="shared" si="154"/>
        <v/>
      </c>
      <c r="AM383" s="144" t="str">
        <f t="shared" si="155"/>
        <v>--FALSE-0</v>
      </c>
      <c r="AN383" s="158" t="str">
        <f t="shared" si="150"/>
        <v/>
      </c>
      <c r="AO383" s="145"/>
      <c r="AP383" s="159" t="str">
        <f>IF($AN383=FALSE,"",IFERROR(INDEX('Flat Rates'!$A$1:$M$3880,MATCH($AM383,'Flat Rates'!$A$1:$A$3880,0),MATCH("Standing Charge",'Flat Rates'!$A$1:$M$1,0))*100,""))</f>
        <v/>
      </c>
      <c r="AQ383" s="148" t="str">
        <f>IF($AN383=FALSE,"",IFERROR((IF(NOT(T383="Unrestricted"),"",INDEX('Flat Rates'!$A$1:$M$3880,MATCH($AM383,'Flat Rates'!$A$1:$A$3880,0),MATCH("Uni/Day Rate",'Flat Rates'!$A$1:$M$1,0)))*100)+H383,""))</f>
        <v/>
      </c>
      <c r="AR383" s="148" t="str">
        <f>IF($AN383=FALSE,"",IFERROR((IF(T383="Unrestricted","",INDEX('Flat Rates'!$A$1:$M$3880,MATCH($AM383,'Flat Rates'!$A$1:$A$3880,0),MATCH("Uni/Day Rate",'Flat Rates'!$A$1:$M$1,0)))*100)+H383,""))</f>
        <v/>
      </c>
      <c r="AS383" s="148" t="str">
        <f>IF($AN383=FALSE,"",IFERROR(IF(INDEX('Flat Rates'!$A$1:$M$3880,MATCH($AM383,'Flat Rates'!$A$1:$A$3880,0),MATCH("Night Unit Rate",'Flat Rates'!$A$1:$M$1,0))=0,"",((INDEX('Flat Rates'!$A$1:$M$3880,MATCH($AM383,'Flat Rates'!$A$1:$A$3880,0),MATCH("Night Unit Rate",'Flat Rates'!$A$1:$M$1,0)))*100)+H383),""))</f>
        <v/>
      </c>
      <c r="AT383" s="148" t="str">
        <f>IF($AN383=FALSE,"",IFERROR(IF(INDEX('Flat Rates'!$A$1:$M$3880,MATCH($AM383,'Flat Rates'!$A$1:$A$3880,0),MATCH("Evening and Weekend Rate",'Flat Rates'!$A$1:$M$1,0))=0,"",((INDEX('Flat Rates'!$A$1:$M$3880,MATCH($AM383,'Flat Rates'!$A$1:$A$3880,0),MATCH("Evening and Weekend Rate",'Flat Rates'!$A$1:$M$1,0)))*100)+H383),""))</f>
        <v/>
      </c>
      <c r="AU383" s="152" t="str">
        <f t="shared" si="151"/>
        <v/>
      </c>
      <c r="AV383" s="152" t="str">
        <f t="shared" si="152"/>
        <v/>
      </c>
      <c r="AW383" s="152" t="str">
        <f t="shared" si="153"/>
        <v/>
      </c>
    </row>
    <row r="384" spans="2:49" ht="15" thickBot="1" x14ac:dyDescent="0.35">
      <c r="B384" s="138" t="str">
        <f t="shared" si="130"/>
        <v/>
      </c>
      <c r="C384" s="146"/>
      <c r="D384" s="147"/>
      <c r="E384" s="140"/>
      <c r="F384" s="140"/>
      <c r="G384" s="139"/>
      <c r="H384" s="151"/>
      <c r="I384" s="139"/>
      <c r="J384" s="137"/>
      <c r="K384" s="139"/>
      <c r="L384" s="141"/>
      <c r="M384" s="133" t="str">
        <f t="shared" si="131"/>
        <v/>
      </c>
      <c r="N384" s="133" t="str">
        <f t="shared" si="132"/>
        <v/>
      </c>
      <c r="O384" s="133" t="str">
        <f t="shared" si="133"/>
        <v/>
      </c>
      <c r="P384" s="133" t="str">
        <f t="shared" si="134"/>
        <v/>
      </c>
      <c r="Q384" s="133" t="str">
        <f t="shared" si="135"/>
        <v/>
      </c>
      <c r="R384" s="133" t="str">
        <f t="shared" si="136"/>
        <v/>
      </c>
      <c r="S384" s="133" t="str">
        <f t="shared" si="137"/>
        <v/>
      </c>
      <c r="T384" s="133" t="str">
        <f>IFERROR(IF($U384="ERROR","ERROR",IF($N384="00",IF(J384="1-Rate","HH 1RATE",IF(J384="2-Rate","HH 2RATE","")),IFERROR(VLOOKUP(CONCATENATE(N384,Q384,O384,P384),Lookups!$A$2:$E$4557,5,0),VLOOKUP(CONCATENATE(N384,Q384,O384),Lookups!$A$2:$E$4557,5,0)))),"ERROR")</f>
        <v>ERROR</v>
      </c>
      <c r="U384" s="133" t="str">
        <f>IFERROR(IF(NOT($N384="00"),"",VLOOKUP(CONCATENATE(Q384,P384,LOOKUP(2,1/(Lookups!$I$2:$I$11&lt;=E384)/(Lookups!$J$2:$J$11&gt;=Tool!$C$14),Lookups!$K$2:$K$11)),'HH LLFs'!$A$2:$K$500,3,0)),"ERROR")</f>
        <v/>
      </c>
      <c r="V384" s="132">
        <f>Calcs!$I$2</f>
        <v>44377</v>
      </c>
      <c r="W384" s="132">
        <f>Calcs!$I$4</f>
        <v>44592</v>
      </c>
      <c r="X384" s="153" t="str">
        <f>IF(NOT(N384="00"),"",(VLOOKUP(CONCATENATE(Q384,P384,LOOKUP(2,1/(Lookups!$I$2:$I$11&lt;=Multisite!E384)/(Lookups!$J$2:$J$11&gt;=E384),Lookups!$K$2:$K$11)),'HH LLFs'!$A$2:$F$282,6,0)*365)/12)</f>
        <v/>
      </c>
      <c r="Y384" s="153">
        <f t="shared" si="138"/>
        <v>0</v>
      </c>
      <c r="Z384" s="153" t="str">
        <f t="shared" si="147"/>
        <v/>
      </c>
      <c r="AA384" s="153" t="str">
        <f t="shared" si="139"/>
        <v/>
      </c>
      <c r="AB384" s="153" t="str">
        <f t="shared" si="148"/>
        <v/>
      </c>
      <c r="AC384" s="153" t="str">
        <f t="shared" si="140"/>
        <v/>
      </c>
      <c r="AD384" s="153" t="str">
        <f t="shared" si="141"/>
        <v/>
      </c>
      <c r="AE384" s="153" t="str">
        <f t="shared" si="142"/>
        <v/>
      </c>
      <c r="AF384" s="155" t="e">
        <f>LOOKUP(2,1/(Lookups!$I$2:$I$11&lt;=E384)/(Lookups!$J$2:$J$11&gt;=E384),Lookups!$L$2:$L$11)</f>
        <v>#N/A</v>
      </c>
      <c r="AG384" s="142" t="str">
        <f t="shared" si="143"/>
        <v/>
      </c>
      <c r="AH384" s="142" t="str">
        <f t="shared" si="144"/>
        <v/>
      </c>
      <c r="AI384" s="143" t="b">
        <f t="shared" si="149"/>
        <v>0</v>
      </c>
      <c r="AJ384" s="143" t="str">
        <f t="shared" si="145"/>
        <v>Level 1</v>
      </c>
      <c r="AK384" s="142">
        <f t="shared" si="146"/>
        <v>0</v>
      </c>
      <c r="AL384" s="157" t="str">
        <f t="shared" si="154"/>
        <v/>
      </c>
      <c r="AM384" s="144" t="str">
        <f t="shared" si="155"/>
        <v>--FALSE-0</v>
      </c>
      <c r="AN384" s="158" t="str">
        <f t="shared" si="150"/>
        <v/>
      </c>
      <c r="AO384" s="145"/>
      <c r="AP384" s="159" t="str">
        <f>IF($AN384=FALSE,"",IFERROR(INDEX('Flat Rates'!$A$1:$M$3880,MATCH($AM384,'Flat Rates'!$A$1:$A$3880,0),MATCH("Standing Charge",'Flat Rates'!$A$1:$M$1,0))*100,""))</f>
        <v/>
      </c>
      <c r="AQ384" s="148" t="str">
        <f>IF($AN384=FALSE,"",IFERROR((IF(NOT(T384="Unrestricted"),"",INDEX('Flat Rates'!$A$1:$M$3880,MATCH($AM384,'Flat Rates'!$A$1:$A$3880,0),MATCH("Uni/Day Rate",'Flat Rates'!$A$1:$M$1,0)))*100)+H384,""))</f>
        <v/>
      </c>
      <c r="AR384" s="148" t="str">
        <f>IF($AN384=FALSE,"",IFERROR((IF(T384="Unrestricted","",INDEX('Flat Rates'!$A$1:$M$3880,MATCH($AM384,'Flat Rates'!$A$1:$A$3880,0),MATCH("Uni/Day Rate",'Flat Rates'!$A$1:$M$1,0)))*100)+H384,""))</f>
        <v/>
      </c>
      <c r="AS384" s="148" t="str">
        <f>IF($AN384=FALSE,"",IFERROR(IF(INDEX('Flat Rates'!$A$1:$M$3880,MATCH($AM384,'Flat Rates'!$A$1:$A$3880,0),MATCH("Night Unit Rate",'Flat Rates'!$A$1:$M$1,0))=0,"",((INDEX('Flat Rates'!$A$1:$M$3880,MATCH($AM384,'Flat Rates'!$A$1:$A$3880,0),MATCH("Night Unit Rate",'Flat Rates'!$A$1:$M$1,0)))*100)+H384),""))</f>
        <v/>
      </c>
      <c r="AT384" s="148" t="str">
        <f>IF($AN384=FALSE,"",IFERROR(IF(INDEX('Flat Rates'!$A$1:$M$3880,MATCH($AM384,'Flat Rates'!$A$1:$A$3880,0),MATCH("Evening and Weekend Rate",'Flat Rates'!$A$1:$M$1,0))=0,"",((INDEX('Flat Rates'!$A$1:$M$3880,MATCH($AM384,'Flat Rates'!$A$1:$A$3880,0),MATCH("Evening and Weekend Rate",'Flat Rates'!$A$1:$M$1,0)))*100)+H384),""))</f>
        <v/>
      </c>
      <c r="AU384" s="152" t="str">
        <f t="shared" si="151"/>
        <v/>
      </c>
      <c r="AV384" s="152" t="str">
        <f t="shared" si="152"/>
        <v/>
      </c>
      <c r="AW384" s="152" t="str">
        <f t="shared" si="153"/>
        <v/>
      </c>
    </row>
    <row r="385" spans="2:49" ht="15" thickBot="1" x14ac:dyDescent="0.35">
      <c r="B385" s="138" t="str">
        <f t="shared" si="130"/>
        <v/>
      </c>
      <c r="C385" s="137"/>
      <c r="D385" s="139"/>
      <c r="E385" s="140"/>
      <c r="F385" s="140"/>
      <c r="G385" s="139"/>
      <c r="H385" s="151"/>
      <c r="I385" s="139"/>
      <c r="J385" s="138"/>
      <c r="K385" s="139"/>
      <c r="L385" s="141"/>
      <c r="M385" s="133" t="str">
        <f t="shared" si="131"/>
        <v/>
      </c>
      <c r="N385" s="133" t="str">
        <f t="shared" si="132"/>
        <v/>
      </c>
      <c r="O385" s="133" t="str">
        <f t="shared" si="133"/>
        <v/>
      </c>
      <c r="P385" s="133" t="str">
        <f t="shared" si="134"/>
        <v/>
      </c>
      <c r="Q385" s="133" t="str">
        <f t="shared" si="135"/>
        <v/>
      </c>
      <c r="R385" s="133" t="str">
        <f t="shared" si="136"/>
        <v/>
      </c>
      <c r="S385" s="133" t="str">
        <f t="shared" si="137"/>
        <v/>
      </c>
      <c r="T385" s="133" t="str">
        <f>IFERROR(IF($U385="ERROR","ERROR",IF($N385="00",IF(J385="1-Rate","HH 1RATE",IF(J385="2-Rate","HH 2RATE","")),IFERROR(VLOOKUP(CONCATENATE(N385,Q385,O385,P385),Lookups!$A$2:$E$4557,5,0),VLOOKUP(CONCATENATE(N385,Q385,O385),Lookups!$A$2:$E$4557,5,0)))),"ERROR")</f>
        <v>ERROR</v>
      </c>
      <c r="U385" s="133" t="str">
        <f>IFERROR(IF(NOT($N385="00"),"",VLOOKUP(CONCATENATE(Q385,P385,LOOKUP(2,1/(Lookups!$I$2:$I$11&lt;=E385)/(Lookups!$J$2:$J$11&gt;=Tool!$C$14),Lookups!$K$2:$K$11)),'HH LLFs'!$A$2:$K$500,3,0)),"ERROR")</f>
        <v/>
      </c>
      <c r="V385" s="132">
        <f>Calcs!$I$2</f>
        <v>44377</v>
      </c>
      <c r="W385" s="132">
        <f>Calcs!$I$4</f>
        <v>44592</v>
      </c>
      <c r="X385" s="153" t="str">
        <f>IF(NOT(N385="00"),"",(VLOOKUP(CONCATENATE(Q385,P385,LOOKUP(2,1/(Lookups!$I$2:$I$11&lt;=Multisite!E385)/(Lookups!$J$2:$J$11&gt;=E385),Lookups!$K$2:$K$11)),'HH LLFs'!$A$2:$F$282,6,0)*365)/12)</f>
        <v/>
      </c>
      <c r="Y385" s="153">
        <f t="shared" si="138"/>
        <v>0</v>
      </c>
      <c r="Z385" s="153" t="str">
        <f t="shared" si="147"/>
        <v/>
      </c>
      <c r="AA385" s="153" t="str">
        <f t="shared" si="139"/>
        <v/>
      </c>
      <c r="AB385" s="153" t="str">
        <f t="shared" si="148"/>
        <v/>
      </c>
      <c r="AC385" s="153" t="str">
        <f t="shared" si="140"/>
        <v/>
      </c>
      <c r="AD385" s="153" t="str">
        <f t="shared" si="141"/>
        <v/>
      </c>
      <c r="AE385" s="153" t="str">
        <f t="shared" si="142"/>
        <v/>
      </c>
      <c r="AF385" s="155" t="e">
        <f>LOOKUP(2,1/(Lookups!$I$2:$I$11&lt;=E385)/(Lookups!$J$2:$J$11&gt;=E385),Lookups!$L$2:$L$11)</f>
        <v>#N/A</v>
      </c>
      <c r="AG385" s="142" t="str">
        <f t="shared" si="143"/>
        <v/>
      </c>
      <c r="AH385" s="142" t="str">
        <f t="shared" si="144"/>
        <v/>
      </c>
      <c r="AI385" s="143" t="b">
        <f t="shared" si="149"/>
        <v>0</v>
      </c>
      <c r="AJ385" s="143" t="str">
        <f t="shared" si="145"/>
        <v>Level 1</v>
      </c>
      <c r="AK385" s="142">
        <f t="shared" si="146"/>
        <v>0</v>
      </c>
      <c r="AL385" s="157" t="str">
        <f t="shared" si="154"/>
        <v/>
      </c>
      <c r="AM385" s="144" t="str">
        <f t="shared" si="155"/>
        <v>--FALSE-0</v>
      </c>
      <c r="AN385" s="158" t="str">
        <f t="shared" si="150"/>
        <v/>
      </c>
      <c r="AO385" s="145"/>
      <c r="AP385" s="159" t="str">
        <f>IF($AN385=FALSE,"",IFERROR(INDEX('Flat Rates'!$A$1:$M$3880,MATCH($AM385,'Flat Rates'!$A$1:$A$3880,0),MATCH("Standing Charge",'Flat Rates'!$A$1:$M$1,0))*100,""))</f>
        <v/>
      </c>
      <c r="AQ385" s="148" t="str">
        <f>IF($AN385=FALSE,"",IFERROR((IF(NOT(T385="Unrestricted"),"",INDEX('Flat Rates'!$A$1:$M$3880,MATCH($AM385,'Flat Rates'!$A$1:$A$3880,0),MATCH("Uni/Day Rate",'Flat Rates'!$A$1:$M$1,0)))*100)+H385,""))</f>
        <v/>
      </c>
      <c r="AR385" s="148" t="str">
        <f>IF($AN385=FALSE,"",IFERROR((IF(T385="Unrestricted","",INDEX('Flat Rates'!$A$1:$M$3880,MATCH($AM385,'Flat Rates'!$A$1:$A$3880,0),MATCH("Uni/Day Rate",'Flat Rates'!$A$1:$M$1,0)))*100)+H385,""))</f>
        <v/>
      </c>
      <c r="AS385" s="148" t="str">
        <f>IF($AN385=FALSE,"",IFERROR(IF(INDEX('Flat Rates'!$A$1:$M$3880,MATCH($AM385,'Flat Rates'!$A$1:$A$3880,0),MATCH("Night Unit Rate",'Flat Rates'!$A$1:$M$1,0))=0,"",((INDEX('Flat Rates'!$A$1:$M$3880,MATCH($AM385,'Flat Rates'!$A$1:$A$3880,0),MATCH("Night Unit Rate",'Flat Rates'!$A$1:$M$1,0)))*100)+H385),""))</f>
        <v/>
      </c>
      <c r="AT385" s="148" t="str">
        <f>IF($AN385=FALSE,"",IFERROR(IF(INDEX('Flat Rates'!$A$1:$M$3880,MATCH($AM385,'Flat Rates'!$A$1:$A$3880,0),MATCH("Evening and Weekend Rate",'Flat Rates'!$A$1:$M$1,0))=0,"",((INDEX('Flat Rates'!$A$1:$M$3880,MATCH($AM385,'Flat Rates'!$A$1:$A$3880,0),MATCH("Evening and Weekend Rate",'Flat Rates'!$A$1:$M$1,0)))*100)+H385),""))</f>
        <v/>
      </c>
      <c r="AU385" s="152" t="str">
        <f t="shared" si="151"/>
        <v/>
      </c>
      <c r="AV385" s="152" t="str">
        <f t="shared" si="152"/>
        <v/>
      </c>
      <c r="AW385" s="152" t="str">
        <f t="shared" si="153"/>
        <v/>
      </c>
    </row>
    <row r="386" spans="2:49" ht="15" thickBot="1" x14ac:dyDescent="0.35">
      <c r="B386" s="138" t="str">
        <f t="shared" si="130"/>
        <v/>
      </c>
      <c r="C386" s="146"/>
      <c r="D386" s="147"/>
      <c r="E386" s="140"/>
      <c r="F386" s="140"/>
      <c r="G386" s="139"/>
      <c r="H386" s="151"/>
      <c r="I386" s="139"/>
      <c r="J386" s="137"/>
      <c r="K386" s="139"/>
      <c r="L386" s="141"/>
      <c r="M386" s="133" t="str">
        <f t="shared" si="131"/>
        <v/>
      </c>
      <c r="N386" s="133" t="str">
        <f t="shared" si="132"/>
        <v/>
      </c>
      <c r="O386" s="133" t="str">
        <f t="shared" si="133"/>
        <v/>
      </c>
      <c r="P386" s="133" t="str">
        <f t="shared" si="134"/>
        <v/>
      </c>
      <c r="Q386" s="133" t="str">
        <f t="shared" si="135"/>
        <v/>
      </c>
      <c r="R386" s="133" t="str">
        <f t="shared" si="136"/>
        <v/>
      </c>
      <c r="S386" s="133" t="str">
        <f t="shared" si="137"/>
        <v/>
      </c>
      <c r="T386" s="133" t="str">
        <f>IFERROR(IF($U386="ERROR","ERROR",IF($N386="00",IF(J386="1-Rate","HH 1RATE",IF(J386="2-Rate","HH 2RATE","")),IFERROR(VLOOKUP(CONCATENATE(N386,Q386,O386,P386),Lookups!$A$2:$E$4557,5,0),VLOOKUP(CONCATENATE(N386,Q386,O386),Lookups!$A$2:$E$4557,5,0)))),"ERROR")</f>
        <v>ERROR</v>
      </c>
      <c r="U386" s="133" t="str">
        <f>IFERROR(IF(NOT($N386="00"),"",VLOOKUP(CONCATENATE(Q386,P386,LOOKUP(2,1/(Lookups!$I$2:$I$11&lt;=E386)/(Lookups!$J$2:$J$11&gt;=Tool!$C$14),Lookups!$K$2:$K$11)),'HH LLFs'!$A$2:$K$500,3,0)),"ERROR")</f>
        <v/>
      </c>
      <c r="V386" s="132">
        <f>Calcs!$I$2</f>
        <v>44377</v>
      </c>
      <c r="W386" s="132">
        <f>Calcs!$I$4</f>
        <v>44592</v>
      </c>
      <c r="X386" s="153" t="str">
        <f>IF(NOT(N386="00"),"",(VLOOKUP(CONCATENATE(Q386,P386,LOOKUP(2,1/(Lookups!$I$2:$I$11&lt;=Multisite!E386)/(Lookups!$J$2:$J$11&gt;=E386),Lookups!$K$2:$K$11)),'HH LLFs'!$A$2:$F$282,6,0)*365)/12)</f>
        <v/>
      </c>
      <c r="Y386" s="153">
        <f t="shared" si="138"/>
        <v>0</v>
      </c>
      <c r="Z386" s="153" t="str">
        <f t="shared" si="147"/>
        <v/>
      </c>
      <c r="AA386" s="153" t="str">
        <f t="shared" si="139"/>
        <v/>
      </c>
      <c r="AB386" s="153" t="str">
        <f t="shared" si="148"/>
        <v/>
      </c>
      <c r="AC386" s="153" t="str">
        <f t="shared" si="140"/>
        <v/>
      </c>
      <c r="AD386" s="153" t="str">
        <f t="shared" si="141"/>
        <v/>
      </c>
      <c r="AE386" s="153" t="str">
        <f t="shared" si="142"/>
        <v/>
      </c>
      <c r="AF386" s="155" t="e">
        <f>LOOKUP(2,1/(Lookups!$I$2:$I$11&lt;=E386)/(Lookups!$J$2:$J$11&gt;=E386),Lookups!$L$2:$L$11)</f>
        <v>#N/A</v>
      </c>
      <c r="AG386" s="142" t="str">
        <f t="shared" si="143"/>
        <v/>
      </c>
      <c r="AH386" s="142" t="str">
        <f t="shared" si="144"/>
        <v/>
      </c>
      <c r="AI386" s="143" t="b">
        <f t="shared" si="149"/>
        <v>0</v>
      </c>
      <c r="AJ386" s="143" t="str">
        <f t="shared" si="145"/>
        <v>Level 1</v>
      </c>
      <c r="AK386" s="142">
        <f t="shared" si="146"/>
        <v>0</v>
      </c>
      <c r="AL386" s="157" t="str">
        <f t="shared" si="154"/>
        <v/>
      </c>
      <c r="AM386" s="144" t="str">
        <f t="shared" si="155"/>
        <v>--FALSE-0</v>
      </c>
      <c r="AN386" s="158" t="str">
        <f t="shared" si="150"/>
        <v/>
      </c>
      <c r="AO386" s="145"/>
      <c r="AP386" s="159" t="str">
        <f>IF($AN386=FALSE,"",IFERROR(INDEX('Flat Rates'!$A$1:$M$3880,MATCH($AM386,'Flat Rates'!$A$1:$A$3880,0),MATCH("Standing Charge",'Flat Rates'!$A$1:$M$1,0))*100,""))</f>
        <v/>
      </c>
      <c r="AQ386" s="148" t="str">
        <f>IF($AN386=FALSE,"",IFERROR((IF(NOT(T386="Unrestricted"),"",INDEX('Flat Rates'!$A$1:$M$3880,MATCH($AM386,'Flat Rates'!$A$1:$A$3880,0),MATCH("Uni/Day Rate",'Flat Rates'!$A$1:$M$1,0)))*100)+H386,""))</f>
        <v/>
      </c>
      <c r="AR386" s="148" t="str">
        <f>IF($AN386=FALSE,"",IFERROR((IF(T386="Unrestricted","",INDEX('Flat Rates'!$A$1:$M$3880,MATCH($AM386,'Flat Rates'!$A$1:$A$3880,0),MATCH("Uni/Day Rate",'Flat Rates'!$A$1:$M$1,0)))*100)+H386,""))</f>
        <v/>
      </c>
      <c r="AS386" s="148" t="str">
        <f>IF($AN386=FALSE,"",IFERROR(IF(INDEX('Flat Rates'!$A$1:$M$3880,MATCH($AM386,'Flat Rates'!$A$1:$A$3880,0),MATCH("Night Unit Rate",'Flat Rates'!$A$1:$M$1,0))=0,"",((INDEX('Flat Rates'!$A$1:$M$3880,MATCH($AM386,'Flat Rates'!$A$1:$A$3880,0),MATCH("Night Unit Rate",'Flat Rates'!$A$1:$M$1,0)))*100)+H386),""))</f>
        <v/>
      </c>
      <c r="AT386" s="148" t="str">
        <f>IF($AN386=FALSE,"",IFERROR(IF(INDEX('Flat Rates'!$A$1:$M$3880,MATCH($AM386,'Flat Rates'!$A$1:$A$3880,0),MATCH("Evening and Weekend Rate",'Flat Rates'!$A$1:$M$1,0))=0,"",((INDEX('Flat Rates'!$A$1:$M$3880,MATCH($AM386,'Flat Rates'!$A$1:$A$3880,0),MATCH("Evening and Weekend Rate",'Flat Rates'!$A$1:$M$1,0)))*100)+H386),""))</f>
        <v/>
      </c>
      <c r="AU386" s="152" t="str">
        <f t="shared" si="151"/>
        <v/>
      </c>
      <c r="AV386" s="152" t="str">
        <f t="shared" si="152"/>
        <v/>
      </c>
      <c r="AW386" s="152" t="str">
        <f t="shared" si="153"/>
        <v/>
      </c>
    </row>
    <row r="387" spans="2:49" ht="15" thickBot="1" x14ac:dyDescent="0.35">
      <c r="B387" s="138" t="str">
        <f t="shared" si="130"/>
        <v/>
      </c>
      <c r="C387" s="137"/>
      <c r="D387" s="139"/>
      <c r="E387" s="140"/>
      <c r="F387" s="140"/>
      <c r="G387" s="139"/>
      <c r="H387" s="151"/>
      <c r="I387" s="139"/>
      <c r="J387" s="138"/>
      <c r="K387" s="139"/>
      <c r="L387" s="141"/>
      <c r="M387" s="133" t="str">
        <f t="shared" si="131"/>
        <v/>
      </c>
      <c r="N387" s="133" t="str">
        <f t="shared" si="132"/>
        <v/>
      </c>
      <c r="O387" s="133" t="str">
        <f t="shared" si="133"/>
        <v/>
      </c>
      <c r="P387" s="133" t="str">
        <f t="shared" si="134"/>
        <v/>
      </c>
      <c r="Q387" s="133" t="str">
        <f t="shared" si="135"/>
        <v/>
      </c>
      <c r="R387" s="133" t="str">
        <f t="shared" si="136"/>
        <v/>
      </c>
      <c r="S387" s="133" t="str">
        <f t="shared" si="137"/>
        <v/>
      </c>
      <c r="T387" s="133" t="str">
        <f>IFERROR(IF($U387="ERROR","ERROR",IF($N387="00",IF(J387="1-Rate","HH 1RATE",IF(J387="2-Rate","HH 2RATE","")),IFERROR(VLOOKUP(CONCATENATE(N387,Q387,O387,P387),Lookups!$A$2:$E$4557,5,0),VLOOKUP(CONCATENATE(N387,Q387,O387),Lookups!$A$2:$E$4557,5,0)))),"ERROR")</f>
        <v>ERROR</v>
      </c>
      <c r="U387" s="133" t="str">
        <f>IFERROR(IF(NOT($N387="00"),"",VLOOKUP(CONCATENATE(Q387,P387,LOOKUP(2,1/(Lookups!$I$2:$I$11&lt;=E387)/(Lookups!$J$2:$J$11&gt;=Tool!$C$14),Lookups!$K$2:$K$11)),'HH LLFs'!$A$2:$K$500,3,0)),"ERROR")</f>
        <v/>
      </c>
      <c r="V387" s="132">
        <f>Calcs!$I$2</f>
        <v>44377</v>
      </c>
      <c r="W387" s="132">
        <f>Calcs!$I$4</f>
        <v>44592</v>
      </c>
      <c r="X387" s="153" t="str">
        <f>IF(NOT(N387="00"),"",(VLOOKUP(CONCATENATE(Q387,P387,LOOKUP(2,1/(Lookups!$I$2:$I$11&lt;=Multisite!E387)/(Lookups!$J$2:$J$11&gt;=E387),Lookups!$K$2:$K$11)),'HH LLFs'!$A$2:$F$282,6,0)*365)/12)</f>
        <v/>
      </c>
      <c r="Y387" s="153">
        <f t="shared" si="138"/>
        <v>0</v>
      </c>
      <c r="Z387" s="153" t="str">
        <f t="shared" si="147"/>
        <v/>
      </c>
      <c r="AA387" s="153" t="str">
        <f t="shared" si="139"/>
        <v/>
      </c>
      <c r="AB387" s="153" t="str">
        <f t="shared" si="148"/>
        <v/>
      </c>
      <c r="AC387" s="153" t="str">
        <f t="shared" si="140"/>
        <v/>
      </c>
      <c r="AD387" s="153" t="str">
        <f t="shared" si="141"/>
        <v/>
      </c>
      <c r="AE387" s="153" t="str">
        <f t="shared" si="142"/>
        <v/>
      </c>
      <c r="AF387" s="155" t="e">
        <f>LOOKUP(2,1/(Lookups!$I$2:$I$11&lt;=E387)/(Lookups!$J$2:$J$11&gt;=E387),Lookups!$L$2:$L$11)</f>
        <v>#N/A</v>
      </c>
      <c r="AG387" s="142" t="str">
        <f t="shared" si="143"/>
        <v/>
      </c>
      <c r="AH387" s="142" t="str">
        <f t="shared" si="144"/>
        <v/>
      </c>
      <c r="AI387" s="143" t="b">
        <f t="shared" si="149"/>
        <v>0</v>
      </c>
      <c r="AJ387" s="143" t="str">
        <f t="shared" si="145"/>
        <v>Level 1</v>
      </c>
      <c r="AK387" s="142">
        <f t="shared" si="146"/>
        <v>0</v>
      </c>
      <c r="AL387" s="157" t="str">
        <f t="shared" si="154"/>
        <v/>
      </c>
      <c r="AM387" s="144" t="str">
        <f t="shared" si="155"/>
        <v>--FALSE-0</v>
      </c>
      <c r="AN387" s="158" t="str">
        <f t="shared" si="150"/>
        <v/>
      </c>
      <c r="AO387" s="145"/>
      <c r="AP387" s="159" t="str">
        <f>IF($AN387=FALSE,"",IFERROR(INDEX('Flat Rates'!$A$1:$M$3880,MATCH($AM387,'Flat Rates'!$A$1:$A$3880,0),MATCH("Standing Charge",'Flat Rates'!$A$1:$M$1,0))*100,""))</f>
        <v/>
      </c>
      <c r="AQ387" s="148" t="str">
        <f>IF($AN387=FALSE,"",IFERROR((IF(NOT(T387="Unrestricted"),"",INDEX('Flat Rates'!$A$1:$M$3880,MATCH($AM387,'Flat Rates'!$A$1:$A$3880,0),MATCH("Uni/Day Rate",'Flat Rates'!$A$1:$M$1,0)))*100)+H387,""))</f>
        <v/>
      </c>
      <c r="AR387" s="148" t="str">
        <f>IF($AN387=FALSE,"",IFERROR((IF(T387="Unrestricted","",INDEX('Flat Rates'!$A$1:$M$3880,MATCH($AM387,'Flat Rates'!$A$1:$A$3880,0),MATCH("Uni/Day Rate",'Flat Rates'!$A$1:$M$1,0)))*100)+H387,""))</f>
        <v/>
      </c>
      <c r="AS387" s="148" t="str">
        <f>IF($AN387=FALSE,"",IFERROR(IF(INDEX('Flat Rates'!$A$1:$M$3880,MATCH($AM387,'Flat Rates'!$A$1:$A$3880,0),MATCH("Night Unit Rate",'Flat Rates'!$A$1:$M$1,0))=0,"",((INDEX('Flat Rates'!$A$1:$M$3880,MATCH($AM387,'Flat Rates'!$A$1:$A$3880,0),MATCH("Night Unit Rate",'Flat Rates'!$A$1:$M$1,0)))*100)+H387),""))</f>
        <v/>
      </c>
      <c r="AT387" s="148" t="str">
        <f>IF($AN387=FALSE,"",IFERROR(IF(INDEX('Flat Rates'!$A$1:$M$3880,MATCH($AM387,'Flat Rates'!$A$1:$A$3880,0),MATCH("Evening and Weekend Rate",'Flat Rates'!$A$1:$M$1,0))=0,"",((INDEX('Flat Rates'!$A$1:$M$3880,MATCH($AM387,'Flat Rates'!$A$1:$A$3880,0),MATCH("Evening and Weekend Rate",'Flat Rates'!$A$1:$M$1,0)))*100)+H387),""))</f>
        <v/>
      </c>
      <c r="AU387" s="152" t="str">
        <f t="shared" si="151"/>
        <v/>
      </c>
      <c r="AV387" s="152" t="str">
        <f t="shared" si="152"/>
        <v/>
      </c>
      <c r="AW387" s="152" t="str">
        <f t="shared" si="153"/>
        <v/>
      </c>
    </row>
    <row r="388" spans="2:49" ht="15" thickBot="1" x14ac:dyDescent="0.35">
      <c r="B388" s="138" t="str">
        <f t="shared" si="130"/>
        <v/>
      </c>
      <c r="C388" s="146"/>
      <c r="D388" s="147"/>
      <c r="E388" s="140"/>
      <c r="F388" s="140"/>
      <c r="G388" s="139"/>
      <c r="H388" s="151"/>
      <c r="I388" s="139"/>
      <c r="J388" s="137"/>
      <c r="K388" s="139"/>
      <c r="L388" s="141"/>
      <c r="M388" s="133" t="str">
        <f t="shared" si="131"/>
        <v/>
      </c>
      <c r="N388" s="133" t="str">
        <f t="shared" si="132"/>
        <v/>
      </c>
      <c r="O388" s="133" t="str">
        <f t="shared" si="133"/>
        <v/>
      </c>
      <c r="P388" s="133" t="str">
        <f t="shared" si="134"/>
        <v/>
      </c>
      <c r="Q388" s="133" t="str">
        <f t="shared" si="135"/>
        <v/>
      </c>
      <c r="R388" s="133" t="str">
        <f t="shared" si="136"/>
        <v/>
      </c>
      <c r="S388" s="133" t="str">
        <f t="shared" si="137"/>
        <v/>
      </c>
      <c r="T388" s="133" t="str">
        <f>IFERROR(IF($U388="ERROR","ERROR",IF($N388="00",IF(J388="1-Rate","HH 1RATE",IF(J388="2-Rate","HH 2RATE","")),IFERROR(VLOOKUP(CONCATENATE(N388,Q388,O388,P388),Lookups!$A$2:$E$4557,5,0),VLOOKUP(CONCATENATE(N388,Q388,O388),Lookups!$A$2:$E$4557,5,0)))),"ERROR")</f>
        <v>ERROR</v>
      </c>
      <c r="U388" s="133" t="str">
        <f>IFERROR(IF(NOT($N388="00"),"",VLOOKUP(CONCATENATE(Q388,P388,LOOKUP(2,1/(Lookups!$I$2:$I$11&lt;=E388)/(Lookups!$J$2:$J$11&gt;=Tool!$C$14),Lookups!$K$2:$K$11)),'HH LLFs'!$A$2:$K$500,3,0)),"ERROR")</f>
        <v/>
      </c>
      <c r="V388" s="132">
        <f>Calcs!$I$2</f>
        <v>44377</v>
      </c>
      <c r="W388" s="132">
        <f>Calcs!$I$4</f>
        <v>44592</v>
      </c>
      <c r="X388" s="153" t="str">
        <f>IF(NOT(N388="00"),"",(VLOOKUP(CONCATENATE(Q388,P388,LOOKUP(2,1/(Lookups!$I$2:$I$11&lt;=Multisite!E388)/(Lookups!$J$2:$J$11&gt;=E388),Lookups!$K$2:$K$11)),'HH LLFs'!$A$2:$F$282,6,0)*365)/12)</f>
        <v/>
      </c>
      <c r="Y388" s="153">
        <f t="shared" si="138"/>
        <v>0</v>
      </c>
      <c r="Z388" s="153" t="str">
        <f t="shared" si="147"/>
        <v/>
      </c>
      <c r="AA388" s="153" t="str">
        <f t="shared" si="139"/>
        <v/>
      </c>
      <c r="AB388" s="153" t="str">
        <f t="shared" si="148"/>
        <v/>
      </c>
      <c r="AC388" s="153" t="str">
        <f t="shared" si="140"/>
        <v/>
      </c>
      <c r="AD388" s="153" t="str">
        <f t="shared" si="141"/>
        <v/>
      </c>
      <c r="AE388" s="153" t="str">
        <f t="shared" si="142"/>
        <v/>
      </c>
      <c r="AF388" s="155" t="e">
        <f>LOOKUP(2,1/(Lookups!$I$2:$I$11&lt;=E388)/(Lookups!$J$2:$J$11&gt;=E388),Lookups!$L$2:$L$11)</f>
        <v>#N/A</v>
      </c>
      <c r="AG388" s="142" t="str">
        <f t="shared" si="143"/>
        <v/>
      </c>
      <c r="AH388" s="142" t="str">
        <f t="shared" si="144"/>
        <v/>
      </c>
      <c r="AI388" s="143" t="b">
        <f t="shared" si="149"/>
        <v>0</v>
      </c>
      <c r="AJ388" s="143" t="str">
        <f t="shared" si="145"/>
        <v>Level 1</v>
      </c>
      <c r="AK388" s="142">
        <f t="shared" si="146"/>
        <v>0</v>
      </c>
      <c r="AL388" s="157" t="str">
        <f t="shared" si="154"/>
        <v/>
      </c>
      <c r="AM388" s="144" t="str">
        <f t="shared" si="155"/>
        <v>--FALSE-0</v>
      </c>
      <c r="AN388" s="158" t="str">
        <f t="shared" si="150"/>
        <v/>
      </c>
      <c r="AO388" s="145"/>
      <c r="AP388" s="159" t="str">
        <f>IF($AN388=FALSE,"",IFERROR(INDEX('Flat Rates'!$A$1:$M$3880,MATCH($AM388,'Flat Rates'!$A$1:$A$3880,0),MATCH("Standing Charge",'Flat Rates'!$A$1:$M$1,0))*100,""))</f>
        <v/>
      </c>
      <c r="AQ388" s="148" t="str">
        <f>IF($AN388=FALSE,"",IFERROR((IF(NOT(T388="Unrestricted"),"",INDEX('Flat Rates'!$A$1:$M$3880,MATCH($AM388,'Flat Rates'!$A$1:$A$3880,0),MATCH("Uni/Day Rate",'Flat Rates'!$A$1:$M$1,0)))*100)+H388,""))</f>
        <v/>
      </c>
      <c r="AR388" s="148" t="str">
        <f>IF($AN388=FALSE,"",IFERROR((IF(T388="Unrestricted","",INDEX('Flat Rates'!$A$1:$M$3880,MATCH($AM388,'Flat Rates'!$A$1:$A$3880,0),MATCH("Uni/Day Rate",'Flat Rates'!$A$1:$M$1,0)))*100)+H388,""))</f>
        <v/>
      </c>
      <c r="AS388" s="148" t="str">
        <f>IF($AN388=FALSE,"",IFERROR(IF(INDEX('Flat Rates'!$A$1:$M$3880,MATCH($AM388,'Flat Rates'!$A$1:$A$3880,0),MATCH("Night Unit Rate",'Flat Rates'!$A$1:$M$1,0))=0,"",((INDEX('Flat Rates'!$A$1:$M$3880,MATCH($AM388,'Flat Rates'!$A$1:$A$3880,0),MATCH("Night Unit Rate",'Flat Rates'!$A$1:$M$1,0)))*100)+H388),""))</f>
        <v/>
      </c>
      <c r="AT388" s="148" t="str">
        <f>IF($AN388=FALSE,"",IFERROR(IF(INDEX('Flat Rates'!$A$1:$M$3880,MATCH($AM388,'Flat Rates'!$A$1:$A$3880,0),MATCH("Evening and Weekend Rate",'Flat Rates'!$A$1:$M$1,0))=0,"",((INDEX('Flat Rates'!$A$1:$M$3880,MATCH($AM388,'Flat Rates'!$A$1:$A$3880,0),MATCH("Evening and Weekend Rate",'Flat Rates'!$A$1:$M$1,0)))*100)+H388),""))</f>
        <v/>
      </c>
      <c r="AU388" s="152" t="str">
        <f t="shared" si="151"/>
        <v/>
      </c>
      <c r="AV388" s="152" t="str">
        <f t="shared" si="152"/>
        <v/>
      </c>
      <c r="AW388" s="152" t="str">
        <f t="shared" si="153"/>
        <v/>
      </c>
    </row>
    <row r="389" spans="2:49" ht="15" thickBot="1" x14ac:dyDescent="0.35">
      <c r="B389" s="138" t="str">
        <f t="shared" si="130"/>
        <v/>
      </c>
      <c r="C389" s="137"/>
      <c r="D389" s="139"/>
      <c r="E389" s="140"/>
      <c r="F389" s="140"/>
      <c r="G389" s="139"/>
      <c r="H389" s="151"/>
      <c r="I389" s="139"/>
      <c r="J389" s="138"/>
      <c r="K389" s="139"/>
      <c r="L389" s="141"/>
      <c r="M389" s="133" t="str">
        <f t="shared" si="131"/>
        <v/>
      </c>
      <c r="N389" s="133" t="str">
        <f t="shared" si="132"/>
        <v/>
      </c>
      <c r="O389" s="133" t="str">
        <f t="shared" si="133"/>
        <v/>
      </c>
      <c r="P389" s="133" t="str">
        <f t="shared" si="134"/>
        <v/>
      </c>
      <c r="Q389" s="133" t="str">
        <f t="shared" si="135"/>
        <v/>
      </c>
      <c r="R389" s="133" t="str">
        <f t="shared" si="136"/>
        <v/>
      </c>
      <c r="S389" s="133" t="str">
        <f t="shared" si="137"/>
        <v/>
      </c>
      <c r="T389" s="133" t="str">
        <f>IFERROR(IF($U389="ERROR","ERROR",IF($N389="00",IF(J389="1-Rate","HH 1RATE",IF(J389="2-Rate","HH 2RATE","")),IFERROR(VLOOKUP(CONCATENATE(N389,Q389,O389,P389),Lookups!$A$2:$E$4557,5,0),VLOOKUP(CONCATENATE(N389,Q389,O389),Lookups!$A$2:$E$4557,5,0)))),"ERROR")</f>
        <v>ERROR</v>
      </c>
      <c r="U389" s="133" t="str">
        <f>IFERROR(IF(NOT($N389="00"),"",VLOOKUP(CONCATENATE(Q389,P389,LOOKUP(2,1/(Lookups!$I$2:$I$11&lt;=E389)/(Lookups!$J$2:$J$11&gt;=Tool!$C$14),Lookups!$K$2:$K$11)),'HH LLFs'!$A$2:$K$500,3,0)),"ERROR")</f>
        <v/>
      </c>
      <c r="V389" s="132">
        <f>Calcs!$I$2</f>
        <v>44377</v>
      </c>
      <c r="W389" s="132">
        <f>Calcs!$I$4</f>
        <v>44592</v>
      </c>
      <c r="X389" s="153" t="str">
        <f>IF(NOT(N389="00"),"",(VLOOKUP(CONCATENATE(Q389,P389,LOOKUP(2,1/(Lookups!$I$2:$I$11&lt;=Multisite!E389)/(Lookups!$J$2:$J$11&gt;=E389),Lookups!$K$2:$K$11)),'HH LLFs'!$A$2:$F$282,6,0)*365)/12)</f>
        <v/>
      </c>
      <c r="Y389" s="153">
        <f t="shared" si="138"/>
        <v>0</v>
      </c>
      <c r="Z389" s="153" t="str">
        <f t="shared" si="147"/>
        <v/>
      </c>
      <c r="AA389" s="153" t="str">
        <f t="shared" si="139"/>
        <v/>
      </c>
      <c r="AB389" s="153" t="str">
        <f t="shared" si="148"/>
        <v/>
      </c>
      <c r="AC389" s="153" t="str">
        <f t="shared" si="140"/>
        <v/>
      </c>
      <c r="AD389" s="153" t="str">
        <f t="shared" si="141"/>
        <v/>
      </c>
      <c r="AE389" s="153" t="str">
        <f t="shared" si="142"/>
        <v/>
      </c>
      <c r="AF389" s="155" t="e">
        <f>LOOKUP(2,1/(Lookups!$I$2:$I$11&lt;=E389)/(Lookups!$J$2:$J$11&gt;=E389),Lookups!$L$2:$L$11)</f>
        <v>#N/A</v>
      </c>
      <c r="AG389" s="142" t="str">
        <f t="shared" si="143"/>
        <v/>
      </c>
      <c r="AH389" s="142" t="str">
        <f t="shared" si="144"/>
        <v/>
      </c>
      <c r="AI389" s="143" t="b">
        <f t="shared" si="149"/>
        <v>0</v>
      </c>
      <c r="AJ389" s="143" t="str">
        <f t="shared" si="145"/>
        <v>Level 1</v>
      </c>
      <c r="AK389" s="142">
        <f t="shared" si="146"/>
        <v>0</v>
      </c>
      <c r="AL389" s="157" t="str">
        <f t="shared" si="154"/>
        <v/>
      </c>
      <c r="AM389" s="144" t="str">
        <f t="shared" si="155"/>
        <v>--FALSE-0</v>
      </c>
      <c r="AN389" s="158" t="str">
        <f t="shared" si="150"/>
        <v/>
      </c>
      <c r="AO389" s="145"/>
      <c r="AP389" s="159" t="str">
        <f>IF($AN389=FALSE,"",IFERROR(INDEX('Flat Rates'!$A$1:$M$3880,MATCH($AM389,'Flat Rates'!$A$1:$A$3880,0),MATCH("Standing Charge",'Flat Rates'!$A$1:$M$1,0))*100,""))</f>
        <v/>
      </c>
      <c r="AQ389" s="148" t="str">
        <f>IF($AN389=FALSE,"",IFERROR((IF(NOT(T389="Unrestricted"),"",INDEX('Flat Rates'!$A$1:$M$3880,MATCH($AM389,'Flat Rates'!$A$1:$A$3880,0),MATCH("Uni/Day Rate",'Flat Rates'!$A$1:$M$1,0)))*100)+H389,""))</f>
        <v/>
      </c>
      <c r="AR389" s="148" t="str">
        <f>IF($AN389=FALSE,"",IFERROR((IF(T389="Unrestricted","",INDEX('Flat Rates'!$A$1:$M$3880,MATCH($AM389,'Flat Rates'!$A$1:$A$3880,0),MATCH("Uni/Day Rate",'Flat Rates'!$A$1:$M$1,0)))*100)+H389,""))</f>
        <v/>
      </c>
      <c r="AS389" s="148" t="str">
        <f>IF($AN389=FALSE,"",IFERROR(IF(INDEX('Flat Rates'!$A$1:$M$3880,MATCH($AM389,'Flat Rates'!$A$1:$A$3880,0),MATCH("Night Unit Rate",'Flat Rates'!$A$1:$M$1,0))=0,"",((INDEX('Flat Rates'!$A$1:$M$3880,MATCH($AM389,'Flat Rates'!$A$1:$A$3880,0),MATCH("Night Unit Rate",'Flat Rates'!$A$1:$M$1,0)))*100)+H389),""))</f>
        <v/>
      </c>
      <c r="AT389" s="148" t="str">
        <f>IF($AN389=FALSE,"",IFERROR(IF(INDEX('Flat Rates'!$A$1:$M$3880,MATCH($AM389,'Flat Rates'!$A$1:$A$3880,0),MATCH("Evening and Weekend Rate",'Flat Rates'!$A$1:$M$1,0))=0,"",((INDEX('Flat Rates'!$A$1:$M$3880,MATCH($AM389,'Flat Rates'!$A$1:$A$3880,0),MATCH("Evening and Weekend Rate",'Flat Rates'!$A$1:$M$1,0)))*100)+H389),""))</f>
        <v/>
      </c>
      <c r="AU389" s="152" t="str">
        <f t="shared" si="151"/>
        <v/>
      </c>
      <c r="AV389" s="152" t="str">
        <f t="shared" si="152"/>
        <v/>
      </c>
      <c r="AW389" s="152" t="str">
        <f t="shared" si="153"/>
        <v/>
      </c>
    </row>
    <row r="390" spans="2:49" ht="15" thickBot="1" x14ac:dyDescent="0.35">
      <c r="B390" s="138" t="str">
        <f t="shared" si="130"/>
        <v/>
      </c>
      <c r="C390" s="146"/>
      <c r="D390" s="147"/>
      <c r="E390" s="140"/>
      <c r="F390" s="140"/>
      <c r="G390" s="139"/>
      <c r="H390" s="151"/>
      <c r="I390" s="139"/>
      <c r="J390" s="137"/>
      <c r="K390" s="139"/>
      <c r="L390" s="141"/>
      <c r="M390" s="133" t="str">
        <f t="shared" si="131"/>
        <v/>
      </c>
      <c r="N390" s="133" t="str">
        <f t="shared" si="132"/>
        <v/>
      </c>
      <c r="O390" s="133" t="str">
        <f t="shared" si="133"/>
        <v/>
      </c>
      <c r="P390" s="133" t="str">
        <f t="shared" si="134"/>
        <v/>
      </c>
      <c r="Q390" s="133" t="str">
        <f t="shared" si="135"/>
        <v/>
      </c>
      <c r="R390" s="133" t="str">
        <f t="shared" si="136"/>
        <v/>
      </c>
      <c r="S390" s="133" t="str">
        <f t="shared" si="137"/>
        <v/>
      </c>
      <c r="T390" s="133" t="str">
        <f>IFERROR(IF($U390="ERROR","ERROR",IF($N390="00",IF(J390="1-Rate","HH 1RATE",IF(J390="2-Rate","HH 2RATE","")),IFERROR(VLOOKUP(CONCATENATE(N390,Q390,O390,P390),Lookups!$A$2:$E$4557,5,0),VLOOKUP(CONCATENATE(N390,Q390,O390),Lookups!$A$2:$E$4557,5,0)))),"ERROR")</f>
        <v>ERROR</v>
      </c>
      <c r="U390" s="133" t="str">
        <f>IFERROR(IF(NOT($N390="00"),"",VLOOKUP(CONCATENATE(Q390,P390,LOOKUP(2,1/(Lookups!$I$2:$I$11&lt;=E390)/(Lookups!$J$2:$J$11&gt;=Tool!$C$14),Lookups!$K$2:$K$11)),'HH LLFs'!$A$2:$K$500,3,0)),"ERROR")</f>
        <v/>
      </c>
      <c r="V390" s="132">
        <f>Calcs!$I$2</f>
        <v>44377</v>
      </c>
      <c r="W390" s="132">
        <f>Calcs!$I$4</f>
        <v>44592</v>
      </c>
      <c r="X390" s="153" t="str">
        <f>IF(NOT(N390="00"),"",(VLOOKUP(CONCATENATE(Q390,P390,LOOKUP(2,1/(Lookups!$I$2:$I$11&lt;=Multisite!E390)/(Lookups!$J$2:$J$11&gt;=E390),Lookups!$K$2:$K$11)),'HH LLFs'!$A$2:$F$282,6,0)*365)/12)</f>
        <v/>
      </c>
      <c r="Y390" s="153">
        <f t="shared" si="138"/>
        <v>0</v>
      </c>
      <c r="Z390" s="153" t="str">
        <f t="shared" si="147"/>
        <v/>
      </c>
      <c r="AA390" s="153" t="str">
        <f t="shared" si="139"/>
        <v/>
      </c>
      <c r="AB390" s="153" t="str">
        <f t="shared" si="148"/>
        <v/>
      </c>
      <c r="AC390" s="153" t="str">
        <f t="shared" si="140"/>
        <v/>
      </c>
      <c r="AD390" s="153" t="str">
        <f t="shared" si="141"/>
        <v/>
      </c>
      <c r="AE390" s="153" t="str">
        <f t="shared" si="142"/>
        <v/>
      </c>
      <c r="AF390" s="155" t="e">
        <f>LOOKUP(2,1/(Lookups!$I$2:$I$11&lt;=E390)/(Lookups!$J$2:$J$11&gt;=E390),Lookups!$L$2:$L$11)</f>
        <v>#N/A</v>
      </c>
      <c r="AG390" s="142" t="str">
        <f t="shared" si="143"/>
        <v/>
      </c>
      <c r="AH390" s="142" t="str">
        <f t="shared" si="144"/>
        <v/>
      </c>
      <c r="AI390" s="143" t="b">
        <f t="shared" si="149"/>
        <v>0</v>
      </c>
      <c r="AJ390" s="143" t="str">
        <f t="shared" si="145"/>
        <v>Level 1</v>
      </c>
      <c r="AK390" s="142">
        <f t="shared" si="146"/>
        <v>0</v>
      </c>
      <c r="AL390" s="157" t="str">
        <f t="shared" si="154"/>
        <v/>
      </c>
      <c r="AM390" s="144" t="str">
        <f t="shared" si="155"/>
        <v>--FALSE-0</v>
      </c>
      <c r="AN390" s="158" t="str">
        <f t="shared" si="150"/>
        <v/>
      </c>
      <c r="AO390" s="145"/>
      <c r="AP390" s="159" t="str">
        <f>IF($AN390=FALSE,"",IFERROR(INDEX('Flat Rates'!$A$1:$M$3880,MATCH($AM390,'Flat Rates'!$A$1:$A$3880,0),MATCH("Standing Charge",'Flat Rates'!$A$1:$M$1,0))*100,""))</f>
        <v/>
      </c>
      <c r="AQ390" s="148" t="str">
        <f>IF($AN390=FALSE,"",IFERROR((IF(NOT(T390="Unrestricted"),"",INDEX('Flat Rates'!$A$1:$M$3880,MATCH($AM390,'Flat Rates'!$A$1:$A$3880,0),MATCH("Uni/Day Rate",'Flat Rates'!$A$1:$M$1,0)))*100)+H390,""))</f>
        <v/>
      </c>
      <c r="AR390" s="148" t="str">
        <f>IF($AN390=FALSE,"",IFERROR((IF(T390="Unrestricted","",INDEX('Flat Rates'!$A$1:$M$3880,MATCH($AM390,'Flat Rates'!$A$1:$A$3880,0),MATCH("Uni/Day Rate",'Flat Rates'!$A$1:$M$1,0)))*100)+H390,""))</f>
        <v/>
      </c>
      <c r="AS390" s="148" t="str">
        <f>IF($AN390=FALSE,"",IFERROR(IF(INDEX('Flat Rates'!$A$1:$M$3880,MATCH($AM390,'Flat Rates'!$A$1:$A$3880,0),MATCH("Night Unit Rate",'Flat Rates'!$A$1:$M$1,0))=0,"",((INDEX('Flat Rates'!$A$1:$M$3880,MATCH($AM390,'Flat Rates'!$A$1:$A$3880,0),MATCH("Night Unit Rate",'Flat Rates'!$A$1:$M$1,0)))*100)+H390),""))</f>
        <v/>
      </c>
      <c r="AT390" s="148" t="str">
        <f>IF($AN390=FALSE,"",IFERROR(IF(INDEX('Flat Rates'!$A$1:$M$3880,MATCH($AM390,'Flat Rates'!$A$1:$A$3880,0),MATCH("Evening and Weekend Rate",'Flat Rates'!$A$1:$M$1,0))=0,"",((INDEX('Flat Rates'!$A$1:$M$3880,MATCH($AM390,'Flat Rates'!$A$1:$A$3880,0),MATCH("Evening and Weekend Rate",'Flat Rates'!$A$1:$M$1,0)))*100)+H390),""))</f>
        <v/>
      </c>
      <c r="AU390" s="152" t="str">
        <f t="shared" si="151"/>
        <v/>
      </c>
      <c r="AV390" s="152" t="str">
        <f t="shared" si="152"/>
        <v/>
      </c>
      <c r="AW390" s="152" t="str">
        <f t="shared" si="153"/>
        <v/>
      </c>
    </row>
    <row r="391" spans="2:49" ht="15" thickBot="1" x14ac:dyDescent="0.35">
      <c r="B391" s="138" t="str">
        <f t="shared" si="130"/>
        <v/>
      </c>
      <c r="C391" s="137"/>
      <c r="D391" s="139"/>
      <c r="E391" s="140"/>
      <c r="F391" s="140"/>
      <c r="G391" s="139"/>
      <c r="H391" s="151"/>
      <c r="I391" s="139"/>
      <c r="J391" s="138"/>
      <c r="K391" s="139"/>
      <c r="L391" s="141"/>
      <c r="M391" s="133" t="str">
        <f t="shared" si="131"/>
        <v/>
      </c>
      <c r="N391" s="133" t="str">
        <f t="shared" si="132"/>
        <v/>
      </c>
      <c r="O391" s="133" t="str">
        <f t="shared" si="133"/>
        <v/>
      </c>
      <c r="P391" s="133" t="str">
        <f t="shared" si="134"/>
        <v/>
      </c>
      <c r="Q391" s="133" t="str">
        <f t="shared" si="135"/>
        <v/>
      </c>
      <c r="R391" s="133" t="str">
        <f t="shared" si="136"/>
        <v/>
      </c>
      <c r="S391" s="133" t="str">
        <f t="shared" si="137"/>
        <v/>
      </c>
      <c r="T391" s="133" t="str">
        <f>IFERROR(IF($U391="ERROR","ERROR",IF($N391="00",IF(J391="1-Rate","HH 1RATE",IF(J391="2-Rate","HH 2RATE","")),IFERROR(VLOOKUP(CONCATENATE(N391,Q391,O391,P391),Lookups!$A$2:$E$4557,5,0),VLOOKUP(CONCATENATE(N391,Q391,O391),Lookups!$A$2:$E$4557,5,0)))),"ERROR")</f>
        <v>ERROR</v>
      </c>
      <c r="U391" s="133" t="str">
        <f>IFERROR(IF(NOT($N391="00"),"",VLOOKUP(CONCATENATE(Q391,P391,LOOKUP(2,1/(Lookups!$I$2:$I$11&lt;=E391)/(Lookups!$J$2:$J$11&gt;=Tool!$C$14),Lookups!$K$2:$K$11)),'HH LLFs'!$A$2:$K$500,3,0)),"ERROR")</f>
        <v/>
      </c>
      <c r="V391" s="132">
        <f>Calcs!$I$2</f>
        <v>44377</v>
      </c>
      <c r="W391" s="132">
        <f>Calcs!$I$4</f>
        <v>44592</v>
      </c>
      <c r="X391" s="153" t="str">
        <f>IF(NOT(N391="00"),"",(VLOOKUP(CONCATENATE(Q391,P391,LOOKUP(2,1/(Lookups!$I$2:$I$11&lt;=Multisite!E391)/(Lookups!$J$2:$J$11&gt;=E391),Lookups!$K$2:$K$11)),'HH LLFs'!$A$2:$F$282,6,0)*365)/12)</f>
        <v/>
      </c>
      <c r="Y391" s="153">
        <f t="shared" si="138"/>
        <v>0</v>
      </c>
      <c r="Z391" s="153" t="str">
        <f t="shared" si="147"/>
        <v/>
      </c>
      <c r="AA391" s="153" t="str">
        <f t="shared" si="139"/>
        <v/>
      </c>
      <c r="AB391" s="153" t="str">
        <f t="shared" si="148"/>
        <v/>
      </c>
      <c r="AC391" s="153" t="str">
        <f t="shared" si="140"/>
        <v/>
      </c>
      <c r="AD391" s="153" t="str">
        <f t="shared" si="141"/>
        <v/>
      </c>
      <c r="AE391" s="153" t="str">
        <f t="shared" si="142"/>
        <v/>
      </c>
      <c r="AF391" s="155" t="e">
        <f>LOOKUP(2,1/(Lookups!$I$2:$I$11&lt;=E391)/(Lookups!$J$2:$J$11&gt;=E391),Lookups!$L$2:$L$11)</f>
        <v>#N/A</v>
      </c>
      <c r="AG391" s="142" t="str">
        <f t="shared" si="143"/>
        <v/>
      </c>
      <c r="AH391" s="142" t="str">
        <f t="shared" si="144"/>
        <v/>
      </c>
      <c r="AI391" s="143" t="b">
        <f t="shared" si="149"/>
        <v>0</v>
      </c>
      <c r="AJ391" s="143" t="str">
        <f t="shared" si="145"/>
        <v>Level 1</v>
      </c>
      <c r="AK391" s="142">
        <f t="shared" si="146"/>
        <v>0</v>
      </c>
      <c r="AL391" s="157" t="str">
        <f t="shared" si="154"/>
        <v/>
      </c>
      <c r="AM391" s="144" t="str">
        <f t="shared" si="155"/>
        <v>--FALSE-0</v>
      </c>
      <c r="AN391" s="158" t="str">
        <f t="shared" si="150"/>
        <v/>
      </c>
      <c r="AO391" s="145"/>
      <c r="AP391" s="159" t="str">
        <f>IF($AN391=FALSE,"",IFERROR(INDEX('Flat Rates'!$A$1:$M$3880,MATCH($AM391,'Flat Rates'!$A$1:$A$3880,0),MATCH("Standing Charge",'Flat Rates'!$A$1:$M$1,0))*100,""))</f>
        <v/>
      </c>
      <c r="AQ391" s="148" t="str">
        <f>IF($AN391=FALSE,"",IFERROR((IF(NOT(T391="Unrestricted"),"",INDEX('Flat Rates'!$A$1:$M$3880,MATCH($AM391,'Flat Rates'!$A$1:$A$3880,0),MATCH("Uni/Day Rate",'Flat Rates'!$A$1:$M$1,0)))*100)+H391,""))</f>
        <v/>
      </c>
      <c r="AR391" s="148" t="str">
        <f>IF($AN391=FALSE,"",IFERROR((IF(T391="Unrestricted","",INDEX('Flat Rates'!$A$1:$M$3880,MATCH($AM391,'Flat Rates'!$A$1:$A$3880,0),MATCH("Uni/Day Rate",'Flat Rates'!$A$1:$M$1,0)))*100)+H391,""))</f>
        <v/>
      </c>
      <c r="AS391" s="148" t="str">
        <f>IF($AN391=FALSE,"",IFERROR(IF(INDEX('Flat Rates'!$A$1:$M$3880,MATCH($AM391,'Flat Rates'!$A$1:$A$3880,0),MATCH("Night Unit Rate",'Flat Rates'!$A$1:$M$1,0))=0,"",((INDEX('Flat Rates'!$A$1:$M$3880,MATCH($AM391,'Flat Rates'!$A$1:$A$3880,0),MATCH("Night Unit Rate",'Flat Rates'!$A$1:$M$1,0)))*100)+H391),""))</f>
        <v/>
      </c>
      <c r="AT391" s="148" t="str">
        <f>IF($AN391=FALSE,"",IFERROR(IF(INDEX('Flat Rates'!$A$1:$M$3880,MATCH($AM391,'Flat Rates'!$A$1:$A$3880,0),MATCH("Evening and Weekend Rate",'Flat Rates'!$A$1:$M$1,0))=0,"",((INDEX('Flat Rates'!$A$1:$M$3880,MATCH($AM391,'Flat Rates'!$A$1:$A$3880,0),MATCH("Evening and Weekend Rate",'Flat Rates'!$A$1:$M$1,0)))*100)+H391),""))</f>
        <v/>
      </c>
      <c r="AU391" s="152" t="str">
        <f t="shared" si="151"/>
        <v/>
      </c>
      <c r="AV391" s="152" t="str">
        <f t="shared" si="152"/>
        <v/>
      </c>
      <c r="AW391" s="152" t="str">
        <f t="shared" si="153"/>
        <v/>
      </c>
    </row>
    <row r="392" spans="2:49" ht="15" thickBot="1" x14ac:dyDescent="0.35">
      <c r="B392" s="138" t="str">
        <f t="shared" si="130"/>
        <v/>
      </c>
      <c r="C392" s="146"/>
      <c r="D392" s="147"/>
      <c r="E392" s="140"/>
      <c r="F392" s="140"/>
      <c r="G392" s="139"/>
      <c r="H392" s="151"/>
      <c r="I392" s="139"/>
      <c r="J392" s="137"/>
      <c r="K392" s="139"/>
      <c r="L392" s="141"/>
      <c r="M392" s="133" t="str">
        <f t="shared" si="131"/>
        <v/>
      </c>
      <c r="N392" s="133" t="str">
        <f t="shared" si="132"/>
        <v/>
      </c>
      <c r="O392" s="133" t="str">
        <f t="shared" si="133"/>
        <v/>
      </c>
      <c r="P392" s="133" t="str">
        <f t="shared" si="134"/>
        <v/>
      </c>
      <c r="Q392" s="133" t="str">
        <f t="shared" si="135"/>
        <v/>
      </c>
      <c r="R392" s="133" t="str">
        <f t="shared" si="136"/>
        <v/>
      </c>
      <c r="S392" s="133" t="str">
        <f t="shared" si="137"/>
        <v/>
      </c>
      <c r="T392" s="133" t="str">
        <f>IFERROR(IF($U392="ERROR","ERROR",IF($N392="00",IF(J392="1-Rate","HH 1RATE",IF(J392="2-Rate","HH 2RATE","")),IFERROR(VLOOKUP(CONCATENATE(N392,Q392,O392,P392),Lookups!$A$2:$E$4557,5,0),VLOOKUP(CONCATENATE(N392,Q392,O392),Lookups!$A$2:$E$4557,5,0)))),"ERROR")</f>
        <v>ERROR</v>
      </c>
      <c r="U392" s="133" t="str">
        <f>IFERROR(IF(NOT($N392="00"),"",VLOOKUP(CONCATENATE(Q392,P392,LOOKUP(2,1/(Lookups!$I$2:$I$11&lt;=E392)/(Lookups!$J$2:$J$11&gt;=Tool!$C$14),Lookups!$K$2:$K$11)),'HH LLFs'!$A$2:$K$500,3,0)),"ERROR")</f>
        <v/>
      </c>
      <c r="V392" s="132">
        <f>Calcs!$I$2</f>
        <v>44377</v>
      </c>
      <c r="W392" s="132">
        <f>Calcs!$I$4</f>
        <v>44592</v>
      </c>
      <c r="X392" s="153" t="str">
        <f>IF(NOT(N392="00"),"",(VLOOKUP(CONCATENATE(Q392,P392,LOOKUP(2,1/(Lookups!$I$2:$I$11&lt;=Multisite!E392)/(Lookups!$J$2:$J$11&gt;=E392),Lookups!$K$2:$K$11)),'HH LLFs'!$A$2:$F$282,6,0)*365)/12)</f>
        <v/>
      </c>
      <c r="Y392" s="153">
        <f t="shared" si="138"/>
        <v>0</v>
      </c>
      <c r="Z392" s="153" t="str">
        <f t="shared" si="147"/>
        <v/>
      </c>
      <c r="AA392" s="153" t="str">
        <f t="shared" si="139"/>
        <v/>
      </c>
      <c r="AB392" s="153" t="str">
        <f t="shared" si="148"/>
        <v/>
      </c>
      <c r="AC392" s="153" t="str">
        <f t="shared" si="140"/>
        <v/>
      </c>
      <c r="AD392" s="153" t="str">
        <f t="shared" si="141"/>
        <v/>
      </c>
      <c r="AE392" s="153" t="str">
        <f t="shared" si="142"/>
        <v/>
      </c>
      <c r="AF392" s="155" t="e">
        <f>LOOKUP(2,1/(Lookups!$I$2:$I$11&lt;=E392)/(Lookups!$J$2:$J$11&gt;=E392),Lookups!$L$2:$L$11)</f>
        <v>#N/A</v>
      </c>
      <c r="AG392" s="142" t="str">
        <f t="shared" si="143"/>
        <v/>
      </c>
      <c r="AH392" s="142" t="str">
        <f t="shared" si="144"/>
        <v/>
      </c>
      <c r="AI392" s="143" t="b">
        <f t="shared" si="149"/>
        <v>0</v>
      </c>
      <c r="AJ392" s="143" t="str">
        <f t="shared" si="145"/>
        <v>Level 1</v>
      </c>
      <c r="AK392" s="142">
        <f t="shared" si="146"/>
        <v>0</v>
      </c>
      <c r="AL392" s="157" t="str">
        <f t="shared" si="154"/>
        <v/>
      </c>
      <c r="AM392" s="144" t="str">
        <f t="shared" si="155"/>
        <v>--FALSE-0</v>
      </c>
      <c r="AN392" s="158" t="str">
        <f t="shared" si="150"/>
        <v/>
      </c>
      <c r="AO392" s="145"/>
      <c r="AP392" s="159" t="str">
        <f>IF($AN392=FALSE,"",IFERROR(INDEX('Flat Rates'!$A$1:$M$3880,MATCH($AM392,'Flat Rates'!$A$1:$A$3880,0),MATCH("Standing Charge",'Flat Rates'!$A$1:$M$1,0))*100,""))</f>
        <v/>
      </c>
      <c r="AQ392" s="148" t="str">
        <f>IF($AN392=FALSE,"",IFERROR((IF(NOT(T392="Unrestricted"),"",INDEX('Flat Rates'!$A$1:$M$3880,MATCH($AM392,'Flat Rates'!$A$1:$A$3880,0),MATCH("Uni/Day Rate",'Flat Rates'!$A$1:$M$1,0)))*100)+H392,""))</f>
        <v/>
      </c>
      <c r="AR392" s="148" t="str">
        <f>IF($AN392=FALSE,"",IFERROR((IF(T392="Unrestricted","",INDEX('Flat Rates'!$A$1:$M$3880,MATCH($AM392,'Flat Rates'!$A$1:$A$3880,0),MATCH("Uni/Day Rate",'Flat Rates'!$A$1:$M$1,0)))*100)+H392,""))</f>
        <v/>
      </c>
      <c r="AS392" s="148" t="str">
        <f>IF($AN392=FALSE,"",IFERROR(IF(INDEX('Flat Rates'!$A$1:$M$3880,MATCH($AM392,'Flat Rates'!$A$1:$A$3880,0),MATCH("Night Unit Rate",'Flat Rates'!$A$1:$M$1,0))=0,"",((INDEX('Flat Rates'!$A$1:$M$3880,MATCH($AM392,'Flat Rates'!$A$1:$A$3880,0),MATCH("Night Unit Rate",'Flat Rates'!$A$1:$M$1,0)))*100)+H392),""))</f>
        <v/>
      </c>
      <c r="AT392" s="148" t="str">
        <f>IF($AN392=FALSE,"",IFERROR(IF(INDEX('Flat Rates'!$A$1:$M$3880,MATCH($AM392,'Flat Rates'!$A$1:$A$3880,0),MATCH("Evening and Weekend Rate",'Flat Rates'!$A$1:$M$1,0))=0,"",((INDEX('Flat Rates'!$A$1:$M$3880,MATCH($AM392,'Flat Rates'!$A$1:$A$3880,0),MATCH("Evening and Weekend Rate",'Flat Rates'!$A$1:$M$1,0)))*100)+H392),""))</f>
        <v/>
      </c>
      <c r="AU392" s="152" t="str">
        <f t="shared" si="151"/>
        <v/>
      </c>
      <c r="AV392" s="152" t="str">
        <f t="shared" si="152"/>
        <v/>
      </c>
      <c r="AW392" s="152" t="str">
        <f t="shared" si="153"/>
        <v/>
      </c>
    </row>
    <row r="393" spans="2:49" ht="15" thickBot="1" x14ac:dyDescent="0.35">
      <c r="B393" s="138" t="str">
        <f t="shared" si="130"/>
        <v/>
      </c>
      <c r="C393" s="137"/>
      <c r="D393" s="139"/>
      <c r="E393" s="140"/>
      <c r="F393" s="140"/>
      <c r="G393" s="139"/>
      <c r="H393" s="151"/>
      <c r="I393" s="139"/>
      <c r="J393" s="138"/>
      <c r="K393" s="139"/>
      <c r="L393" s="141"/>
      <c r="M393" s="133" t="str">
        <f t="shared" si="131"/>
        <v/>
      </c>
      <c r="N393" s="133" t="str">
        <f t="shared" si="132"/>
        <v/>
      </c>
      <c r="O393" s="133" t="str">
        <f t="shared" si="133"/>
        <v/>
      </c>
      <c r="P393" s="133" t="str">
        <f t="shared" si="134"/>
        <v/>
      </c>
      <c r="Q393" s="133" t="str">
        <f t="shared" si="135"/>
        <v/>
      </c>
      <c r="R393" s="133" t="str">
        <f t="shared" si="136"/>
        <v/>
      </c>
      <c r="S393" s="133" t="str">
        <f t="shared" si="137"/>
        <v/>
      </c>
      <c r="T393" s="133" t="str">
        <f>IFERROR(IF($U393="ERROR","ERROR",IF($N393="00",IF(J393="1-Rate","HH 1RATE",IF(J393="2-Rate","HH 2RATE","")),IFERROR(VLOOKUP(CONCATENATE(N393,Q393,O393,P393),Lookups!$A$2:$E$4557,5,0),VLOOKUP(CONCATENATE(N393,Q393,O393),Lookups!$A$2:$E$4557,5,0)))),"ERROR")</f>
        <v>ERROR</v>
      </c>
      <c r="U393" s="133" t="str">
        <f>IFERROR(IF(NOT($N393="00"),"",VLOOKUP(CONCATENATE(Q393,P393,LOOKUP(2,1/(Lookups!$I$2:$I$11&lt;=E393)/(Lookups!$J$2:$J$11&gt;=Tool!$C$14),Lookups!$K$2:$K$11)),'HH LLFs'!$A$2:$K$500,3,0)),"ERROR")</f>
        <v/>
      </c>
      <c r="V393" s="132">
        <f>Calcs!$I$2</f>
        <v>44377</v>
      </c>
      <c r="W393" s="132">
        <f>Calcs!$I$4</f>
        <v>44592</v>
      </c>
      <c r="X393" s="153" t="str">
        <f>IF(NOT(N393="00"),"",(VLOOKUP(CONCATENATE(Q393,P393,LOOKUP(2,1/(Lookups!$I$2:$I$11&lt;=Multisite!E393)/(Lookups!$J$2:$J$11&gt;=E393),Lookups!$K$2:$K$11)),'HH LLFs'!$A$2:$F$282,6,0)*365)/12)</f>
        <v/>
      </c>
      <c r="Y393" s="153">
        <f t="shared" si="138"/>
        <v>0</v>
      </c>
      <c r="Z393" s="153" t="str">
        <f t="shared" si="147"/>
        <v/>
      </c>
      <c r="AA393" s="153" t="str">
        <f t="shared" si="139"/>
        <v/>
      </c>
      <c r="AB393" s="153" t="str">
        <f t="shared" si="148"/>
        <v/>
      </c>
      <c r="AC393" s="153" t="str">
        <f t="shared" si="140"/>
        <v/>
      </c>
      <c r="AD393" s="153" t="str">
        <f t="shared" si="141"/>
        <v/>
      </c>
      <c r="AE393" s="153" t="str">
        <f t="shared" si="142"/>
        <v/>
      </c>
      <c r="AF393" s="155" t="e">
        <f>LOOKUP(2,1/(Lookups!$I$2:$I$11&lt;=E393)/(Lookups!$J$2:$J$11&gt;=E393),Lookups!$L$2:$L$11)</f>
        <v>#N/A</v>
      </c>
      <c r="AG393" s="142" t="str">
        <f t="shared" si="143"/>
        <v/>
      </c>
      <c r="AH393" s="142" t="str">
        <f t="shared" si="144"/>
        <v/>
      </c>
      <c r="AI393" s="143" t="b">
        <f t="shared" si="149"/>
        <v>0</v>
      </c>
      <c r="AJ393" s="143" t="str">
        <f t="shared" si="145"/>
        <v>Level 1</v>
      </c>
      <c r="AK393" s="142">
        <f t="shared" si="146"/>
        <v>0</v>
      </c>
      <c r="AL393" s="157" t="str">
        <f t="shared" si="154"/>
        <v/>
      </c>
      <c r="AM393" s="144" t="str">
        <f t="shared" si="155"/>
        <v>--FALSE-0</v>
      </c>
      <c r="AN393" s="158" t="str">
        <f t="shared" si="150"/>
        <v/>
      </c>
      <c r="AO393" s="145"/>
      <c r="AP393" s="159" t="str">
        <f>IF($AN393=FALSE,"",IFERROR(INDEX('Flat Rates'!$A$1:$M$3880,MATCH($AM393,'Flat Rates'!$A$1:$A$3880,0),MATCH("Standing Charge",'Flat Rates'!$A$1:$M$1,0))*100,""))</f>
        <v/>
      </c>
      <c r="AQ393" s="148" t="str">
        <f>IF($AN393=FALSE,"",IFERROR((IF(NOT(T393="Unrestricted"),"",INDEX('Flat Rates'!$A$1:$M$3880,MATCH($AM393,'Flat Rates'!$A$1:$A$3880,0),MATCH("Uni/Day Rate",'Flat Rates'!$A$1:$M$1,0)))*100)+H393,""))</f>
        <v/>
      </c>
      <c r="AR393" s="148" t="str">
        <f>IF($AN393=FALSE,"",IFERROR((IF(T393="Unrestricted","",INDEX('Flat Rates'!$A$1:$M$3880,MATCH($AM393,'Flat Rates'!$A$1:$A$3880,0),MATCH("Uni/Day Rate",'Flat Rates'!$A$1:$M$1,0)))*100)+H393,""))</f>
        <v/>
      </c>
      <c r="AS393" s="148" t="str">
        <f>IF($AN393=FALSE,"",IFERROR(IF(INDEX('Flat Rates'!$A$1:$M$3880,MATCH($AM393,'Flat Rates'!$A$1:$A$3880,0),MATCH("Night Unit Rate",'Flat Rates'!$A$1:$M$1,0))=0,"",((INDEX('Flat Rates'!$A$1:$M$3880,MATCH($AM393,'Flat Rates'!$A$1:$A$3880,0),MATCH("Night Unit Rate",'Flat Rates'!$A$1:$M$1,0)))*100)+H393),""))</f>
        <v/>
      </c>
      <c r="AT393" s="148" t="str">
        <f>IF($AN393=FALSE,"",IFERROR(IF(INDEX('Flat Rates'!$A$1:$M$3880,MATCH($AM393,'Flat Rates'!$A$1:$A$3880,0),MATCH("Evening and Weekend Rate",'Flat Rates'!$A$1:$M$1,0))=0,"",((INDEX('Flat Rates'!$A$1:$M$3880,MATCH($AM393,'Flat Rates'!$A$1:$A$3880,0),MATCH("Evening and Weekend Rate",'Flat Rates'!$A$1:$M$1,0)))*100)+H393),""))</f>
        <v/>
      </c>
      <c r="AU393" s="152" t="str">
        <f t="shared" si="151"/>
        <v/>
      </c>
      <c r="AV393" s="152" t="str">
        <f t="shared" si="152"/>
        <v/>
      </c>
      <c r="AW393" s="152" t="str">
        <f t="shared" si="153"/>
        <v/>
      </c>
    </row>
    <row r="394" spans="2:49" ht="15" thickBot="1" x14ac:dyDescent="0.35">
      <c r="B394" s="138" t="str">
        <f t="shared" si="130"/>
        <v/>
      </c>
      <c r="C394" s="146"/>
      <c r="D394" s="147"/>
      <c r="E394" s="140"/>
      <c r="F394" s="140"/>
      <c r="G394" s="139"/>
      <c r="H394" s="151"/>
      <c r="I394" s="139"/>
      <c r="J394" s="137"/>
      <c r="K394" s="139"/>
      <c r="L394" s="141"/>
      <c r="M394" s="133" t="str">
        <f t="shared" si="131"/>
        <v/>
      </c>
      <c r="N394" s="133" t="str">
        <f t="shared" si="132"/>
        <v/>
      </c>
      <c r="O394" s="133" t="str">
        <f t="shared" si="133"/>
        <v/>
      </c>
      <c r="P394" s="133" t="str">
        <f t="shared" si="134"/>
        <v/>
      </c>
      <c r="Q394" s="133" t="str">
        <f t="shared" si="135"/>
        <v/>
      </c>
      <c r="R394" s="133" t="str">
        <f t="shared" si="136"/>
        <v/>
      </c>
      <c r="S394" s="133" t="str">
        <f t="shared" si="137"/>
        <v/>
      </c>
      <c r="T394" s="133" t="str">
        <f>IFERROR(IF($U394="ERROR","ERROR",IF($N394="00",IF(J394="1-Rate","HH 1RATE",IF(J394="2-Rate","HH 2RATE","")),IFERROR(VLOOKUP(CONCATENATE(N394,Q394,O394,P394),Lookups!$A$2:$E$4557,5,0),VLOOKUP(CONCATENATE(N394,Q394,O394),Lookups!$A$2:$E$4557,5,0)))),"ERROR")</f>
        <v>ERROR</v>
      </c>
      <c r="U394" s="133" t="str">
        <f>IFERROR(IF(NOT($N394="00"),"",VLOOKUP(CONCATENATE(Q394,P394,LOOKUP(2,1/(Lookups!$I$2:$I$11&lt;=E394)/(Lookups!$J$2:$J$11&gt;=Tool!$C$14),Lookups!$K$2:$K$11)),'HH LLFs'!$A$2:$K$500,3,0)),"ERROR")</f>
        <v/>
      </c>
      <c r="V394" s="132">
        <f>Calcs!$I$2</f>
        <v>44377</v>
      </c>
      <c r="W394" s="132">
        <f>Calcs!$I$4</f>
        <v>44592</v>
      </c>
      <c r="X394" s="153" t="str">
        <f>IF(NOT(N394="00"),"",(VLOOKUP(CONCATENATE(Q394,P394,LOOKUP(2,1/(Lookups!$I$2:$I$11&lt;=Multisite!E394)/(Lookups!$J$2:$J$11&gt;=E394),Lookups!$K$2:$K$11)),'HH LLFs'!$A$2:$F$282,6,0)*365)/12)</f>
        <v/>
      </c>
      <c r="Y394" s="153">
        <f t="shared" si="138"/>
        <v>0</v>
      </c>
      <c r="Z394" s="153" t="str">
        <f t="shared" si="147"/>
        <v/>
      </c>
      <c r="AA394" s="153" t="str">
        <f t="shared" si="139"/>
        <v/>
      </c>
      <c r="AB394" s="153" t="str">
        <f t="shared" si="148"/>
        <v/>
      </c>
      <c r="AC394" s="153" t="str">
        <f t="shared" si="140"/>
        <v/>
      </c>
      <c r="AD394" s="153" t="str">
        <f t="shared" si="141"/>
        <v/>
      </c>
      <c r="AE394" s="153" t="str">
        <f t="shared" si="142"/>
        <v/>
      </c>
      <c r="AF394" s="155" t="e">
        <f>LOOKUP(2,1/(Lookups!$I$2:$I$11&lt;=E394)/(Lookups!$J$2:$J$11&gt;=E394),Lookups!$L$2:$L$11)</f>
        <v>#N/A</v>
      </c>
      <c r="AG394" s="142" t="str">
        <f t="shared" si="143"/>
        <v/>
      </c>
      <c r="AH394" s="142" t="str">
        <f t="shared" si="144"/>
        <v/>
      </c>
      <c r="AI394" s="143" t="b">
        <f t="shared" si="149"/>
        <v>0</v>
      </c>
      <c r="AJ394" s="143" t="str">
        <f t="shared" si="145"/>
        <v>Level 1</v>
      </c>
      <c r="AK394" s="142">
        <f t="shared" si="146"/>
        <v>0</v>
      </c>
      <c r="AL394" s="157" t="str">
        <f t="shared" si="154"/>
        <v/>
      </c>
      <c r="AM394" s="144" t="str">
        <f t="shared" si="155"/>
        <v>--FALSE-0</v>
      </c>
      <c r="AN394" s="158" t="str">
        <f t="shared" si="150"/>
        <v/>
      </c>
      <c r="AO394" s="145"/>
      <c r="AP394" s="159" t="str">
        <f>IF($AN394=FALSE,"",IFERROR(INDEX('Flat Rates'!$A$1:$M$3880,MATCH($AM394,'Flat Rates'!$A$1:$A$3880,0),MATCH("Standing Charge",'Flat Rates'!$A$1:$M$1,0))*100,""))</f>
        <v/>
      </c>
      <c r="AQ394" s="148" t="str">
        <f>IF($AN394=FALSE,"",IFERROR((IF(NOT(T394="Unrestricted"),"",INDEX('Flat Rates'!$A$1:$M$3880,MATCH($AM394,'Flat Rates'!$A$1:$A$3880,0),MATCH("Uni/Day Rate",'Flat Rates'!$A$1:$M$1,0)))*100)+H394,""))</f>
        <v/>
      </c>
      <c r="AR394" s="148" t="str">
        <f>IF($AN394=FALSE,"",IFERROR((IF(T394="Unrestricted","",INDEX('Flat Rates'!$A$1:$M$3880,MATCH($AM394,'Flat Rates'!$A$1:$A$3880,0),MATCH("Uni/Day Rate",'Flat Rates'!$A$1:$M$1,0)))*100)+H394,""))</f>
        <v/>
      </c>
      <c r="AS394" s="148" t="str">
        <f>IF($AN394=FALSE,"",IFERROR(IF(INDEX('Flat Rates'!$A$1:$M$3880,MATCH($AM394,'Flat Rates'!$A$1:$A$3880,0),MATCH("Night Unit Rate",'Flat Rates'!$A$1:$M$1,0))=0,"",((INDEX('Flat Rates'!$A$1:$M$3880,MATCH($AM394,'Flat Rates'!$A$1:$A$3880,0),MATCH("Night Unit Rate",'Flat Rates'!$A$1:$M$1,0)))*100)+H394),""))</f>
        <v/>
      </c>
      <c r="AT394" s="148" t="str">
        <f>IF($AN394=FALSE,"",IFERROR(IF(INDEX('Flat Rates'!$A$1:$M$3880,MATCH($AM394,'Flat Rates'!$A$1:$A$3880,0),MATCH("Evening and Weekend Rate",'Flat Rates'!$A$1:$M$1,0))=0,"",((INDEX('Flat Rates'!$A$1:$M$3880,MATCH($AM394,'Flat Rates'!$A$1:$A$3880,0),MATCH("Evening and Weekend Rate",'Flat Rates'!$A$1:$M$1,0)))*100)+H394),""))</f>
        <v/>
      </c>
      <c r="AU394" s="152" t="str">
        <f t="shared" si="151"/>
        <v/>
      </c>
      <c r="AV394" s="152" t="str">
        <f t="shared" si="152"/>
        <v/>
      </c>
      <c r="AW394" s="152" t="str">
        <f t="shared" si="153"/>
        <v/>
      </c>
    </row>
    <row r="395" spans="2:49" ht="15" thickBot="1" x14ac:dyDescent="0.35">
      <c r="B395" s="138" t="str">
        <f t="shared" si="130"/>
        <v/>
      </c>
      <c r="C395" s="137"/>
      <c r="D395" s="139"/>
      <c r="E395" s="140"/>
      <c r="F395" s="140"/>
      <c r="G395" s="139"/>
      <c r="H395" s="151"/>
      <c r="I395" s="139"/>
      <c r="J395" s="138"/>
      <c r="K395" s="139"/>
      <c r="L395" s="141"/>
      <c r="M395" s="133" t="str">
        <f t="shared" si="131"/>
        <v/>
      </c>
      <c r="N395" s="133" t="str">
        <f t="shared" si="132"/>
        <v/>
      </c>
      <c r="O395" s="133" t="str">
        <f t="shared" si="133"/>
        <v/>
      </c>
      <c r="P395" s="133" t="str">
        <f t="shared" si="134"/>
        <v/>
      </c>
      <c r="Q395" s="133" t="str">
        <f t="shared" si="135"/>
        <v/>
      </c>
      <c r="R395" s="133" t="str">
        <f t="shared" si="136"/>
        <v/>
      </c>
      <c r="S395" s="133" t="str">
        <f t="shared" si="137"/>
        <v/>
      </c>
      <c r="T395" s="133" t="str">
        <f>IFERROR(IF($U395="ERROR","ERROR",IF($N395="00",IF(J395="1-Rate","HH 1RATE",IF(J395="2-Rate","HH 2RATE","")),IFERROR(VLOOKUP(CONCATENATE(N395,Q395,O395,P395),Lookups!$A$2:$E$4557,5,0),VLOOKUP(CONCATENATE(N395,Q395,O395),Lookups!$A$2:$E$4557,5,0)))),"ERROR")</f>
        <v>ERROR</v>
      </c>
      <c r="U395" s="133" t="str">
        <f>IFERROR(IF(NOT($N395="00"),"",VLOOKUP(CONCATENATE(Q395,P395,LOOKUP(2,1/(Lookups!$I$2:$I$11&lt;=E395)/(Lookups!$J$2:$J$11&gt;=Tool!$C$14),Lookups!$K$2:$K$11)),'HH LLFs'!$A$2:$K$500,3,0)),"ERROR")</f>
        <v/>
      </c>
      <c r="V395" s="132">
        <f>Calcs!$I$2</f>
        <v>44377</v>
      </c>
      <c r="W395" s="132">
        <f>Calcs!$I$4</f>
        <v>44592</v>
      </c>
      <c r="X395" s="153" t="str">
        <f>IF(NOT(N395="00"),"",(VLOOKUP(CONCATENATE(Q395,P395,LOOKUP(2,1/(Lookups!$I$2:$I$11&lt;=Multisite!E395)/(Lookups!$J$2:$J$11&gt;=E395),Lookups!$K$2:$K$11)),'HH LLFs'!$A$2:$F$282,6,0)*365)/12)</f>
        <v/>
      </c>
      <c r="Y395" s="153">
        <f t="shared" si="138"/>
        <v>0</v>
      </c>
      <c r="Z395" s="153" t="str">
        <f t="shared" si="147"/>
        <v/>
      </c>
      <c r="AA395" s="153" t="str">
        <f t="shared" si="139"/>
        <v/>
      </c>
      <c r="AB395" s="153" t="str">
        <f t="shared" si="148"/>
        <v/>
      </c>
      <c r="AC395" s="153" t="str">
        <f t="shared" si="140"/>
        <v/>
      </c>
      <c r="AD395" s="153" t="str">
        <f t="shared" si="141"/>
        <v/>
      </c>
      <c r="AE395" s="153" t="str">
        <f t="shared" si="142"/>
        <v/>
      </c>
      <c r="AF395" s="155" t="e">
        <f>LOOKUP(2,1/(Lookups!$I$2:$I$11&lt;=E395)/(Lookups!$J$2:$J$11&gt;=E395),Lookups!$L$2:$L$11)</f>
        <v>#N/A</v>
      </c>
      <c r="AG395" s="142" t="str">
        <f t="shared" si="143"/>
        <v/>
      </c>
      <c r="AH395" s="142" t="str">
        <f t="shared" si="144"/>
        <v/>
      </c>
      <c r="AI395" s="143" t="b">
        <f t="shared" si="149"/>
        <v>0</v>
      </c>
      <c r="AJ395" s="143" t="str">
        <f t="shared" si="145"/>
        <v>Level 1</v>
      </c>
      <c r="AK395" s="142">
        <f t="shared" si="146"/>
        <v>0</v>
      </c>
      <c r="AL395" s="157" t="str">
        <f t="shared" si="154"/>
        <v/>
      </c>
      <c r="AM395" s="144" t="str">
        <f t="shared" si="155"/>
        <v>--FALSE-0</v>
      </c>
      <c r="AN395" s="158" t="str">
        <f t="shared" si="150"/>
        <v/>
      </c>
      <c r="AO395" s="145"/>
      <c r="AP395" s="159" t="str">
        <f>IF($AN395=FALSE,"",IFERROR(INDEX('Flat Rates'!$A$1:$M$3880,MATCH($AM395,'Flat Rates'!$A$1:$A$3880,0),MATCH("Standing Charge",'Flat Rates'!$A$1:$M$1,0))*100,""))</f>
        <v/>
      </c>
      <c r="AQ395" s="148" t="str">
        <f>IF($AN395=FALSE,"",IFERROR((IF(NOT(T395="Unrestricted"),"",INDEX('Flat Rates'!$A$1:$M$3880,MATCH($AM395,'Flat Rates'!$A$1:$A$3880,0),MATCH("Uni/Day Rate",'Flat Rates'!$A$1:$M$1,0)))*100)+H395,""))</f>
        <v/>
      </c>
      <c r="AR395" s="148" t="str">
        <f>IF($AN395=FALSE,"",IFERROR((IF(T395="Unrestricted","",INDEX('Flat Rates'!$A$1:$M$3880,MATCH($AM395,'Flat Rates'!$A$1:$A$3880,0),MATCH("Uni/Day Rate",'Flat Rates'!$A$1:$M$1,0)))*100)+H395,""))</f>
        <v/>
      </c>
      <c r="AS395" s="148" t="str">
        <f>IF($AN395=FALSE,"",IFERROR(IF(INDEX('Flat Rates'!$A$1:$M$3880,MATCH($AM395,'Flat Rates'!$A$1:$A$3880,0),MATCH("Night Unit Rate",'Flat Rates'!$A$1:$M$1,0))=0,"",((INDEX('Flat Rates'!$A$1:$M$3880,MATCH($AM395,'Flat Rates'!$A$1:$A$3880,0),MATCH("Night Unit Rate",'Flat Rates'!$A$1:$M$1,0)))*100)+H395),""))</f>
        <v/>
      </c>
      <c r="AT395" s="148" t="str">
        <f>IF($AN395=FALSE,"",IFERROR(IF(INDEX('Flat Rates'!$A$1:$M$3880,MATCH($AM395,'Flat Rates'!$A$1:$A$3880,0),MATCH("Evening and Weekend Rate",'Flat Rates'!$A$1:$M$1,0))=0,"",((INDEX('Flat Rates'!$A$1:$M$3880,MATCH($AM395,'Flat Rates'!$A$1:$A$3880,0),MATCH("Evening and Weekend Rate",'Flat Rates'!$A$1:$M$1,0)))*100)+H395),""))</f>
        <v/>
      </c>
      <c r="AU395" s="152" t="str">
        <f t="shared" si="151"/>
        <v/>
      </c>
      <c r="AV395" s="152" t="str">
        <f t="shared" si="152"/>
        <v/>
      </c>
      <c r="AW395" s="152" t="str">
        <f t="shared" si="153"/>
        <v/>
      </c>
    </row>
    <row r="396" spans="2:49" ht="15" thickBot="1" x14ac:dyDescent="0.35">
      <c r="B396" s="138" t="str">
        <f t="shared" si="130"/>
        <v/>
      </c>
      <c r="C396" s="146"/>
      <c r="D396" s="147"/>
      <c r="E396" s="140"/>
      <c r="F396" s="140"/>
      <c r="G396" s="139"/>
      <c r="H396" s="151"/>
      <c r="I396" s="139"/>
      <c r="J396" s="137"/>
      <c r="K396" s="139"/>
      <c r="L396" s="141"/>
      <c r="M396" s="133" t="str">
        <f t="shared" si="131"/>
        <v/>
      </c>
      <c r="N396" s="133" t="str">
        <f t="shared" si="132"/>
        <v/>
      </c>
      <c r="O396" s="133" t="str">
        <f t="shared" si="133"/>
        <v/>
      </c>
      <c r="P396" s="133" t="str">
        <f t="shared" si="134"/>
        <v/>
      </c>
      <c r="Q396" s="133" t="str">
        <f t="shared" si="135"/>
        <v/>
      </c>
      <c r="R396" s="133" t="str">
        <f t="shared" si="136"/>
        <v/>
      </c>
      <c r="S396" s="133" t="str">
        <f t="shared" si="137"/>
        <v/>
      </c>
      <c r="T396" s="133" t="str">
        <f>IFERROR(IF($U396="ERROR","ERROR",IF($N396="00",IF(J396="1-Rate","HH 1RATE",IF(J396="2-Rate","HH 2RATE","")),IFERROR(VLOOKUP(CONCATENATE(N396,Q396,O396,P396),Lookups!$A$2:$E$4557,5,0),VLOOKUP(CONCATENATE(N396,Q396,O396),Lookups!$A$2:$E$4557,5,0)))),"ERROR")</f>
        <v>ERROR</v>
      </c>
      <c r="U396" s="133" t="str">
        <f>IFERROR(IF(NOT($N396="00"),"",VLOOKUP(CONCATENATE(Q396,P396,LOOKUP(2,1/(Lookups!$I$2:$I$11&lt;=E396)/(Lookups!$J$2:$J$11&gt;=Tool!$C$14),Lookups!$K$2:$K$11)),'HH LLFs'!$A$2:$K$500,3,0)),"ERROR")</f>
        <v/>
      </c>
      <c r="V396" s="132">
        <f>Calcs!$I$2</f>
        <v>44377</v>
      </c>
      <c r="W396" s="132">
        <f>Calcs!$I$4</f>
        <v>44592</v>
      </c>
      <c r="X396" s="153" t="str">
        <f>IF(NOT(N396="00"),"",(VLOOKUP(CONCATENATE(Q396,P396,LOOKUP(2,1/(Lookups!$I$2:$I$11&lt;=Multisite!E396)/(Lookups!$J$2:$J$11&gt;=E396),Lookups!$K$2:$K$11)),'HH LLFs'!$A$2:$F$282,6,0)*365)/12)</f>
        <v/>
      </c>
      <c r="Y396" s="153">
        <f t="shared" si="138"/>
        <v>0</v>
      </c>
      <c r="Z396" s="153" t="str">
        <f t="shared" si="147"/>
        <v/>
      </c>
      <c r="AA396" s="153" t="str">
        <f t="shared" si="139"/>
        <v/>
      </c>
      <c r="AB396" s="153" t="str">
        <f t="shared" si="148"/>
        <v/>
      </c>
      <c r="AC396" s="153" t="str">
        <f t="shared" si="140"/>
        <v/>
      </c>
      <c r="AD396" s="153" t="str">
        <f t="shared" si="141"/>
        <v/>
      </c>
      <c r="AE396" s="153" t="str">
        <f t="shared" si="142"/>
        <v/>
      </c>
      <c r="AF396" s="155" t="e">
        <f>LOOKUP(2,1/(Lookups!$I$2:$I$11&lt;=E396)/(Lookups!$J$2:$J$11&gt;=E396),Lookups!$L$2:$L$11)</f>
        <v>#N/A</v>
      </c>
      <c r="AG396" s="142" t="str">
        <f t="shared" si="143"/>
        <v/>
      </c>
      <c r="AH396" s="142" t="str">
        <f t="shared" si="144"/>
        <v/>
      </c>
      <c r="AI396" s="143" t="b">
        <f t="shared" si="149"/>
        <v>0</v>
      </c>
      <c r="AJ396" s="143" t="str">
        <f t="shared" si="145"/>
        <v>Level 1</v>
      </c>
      <c r="AK396" s="142">
        <f t="shared" si="146"/>
        <v>0</v>
      </c>
      <c r="AL396" s="157" t="str">
        <f t="shared" si="154"/>
        <v/>
      </c>
      <c r="AM396" s="144" t="str">
        <f t="shared" si="155"/>
        <v>--FALSE-0</v>
      </c>
      <c r="AN396" s="158" t="str">
        <f t="shared" si="150"/>
        <v/>
      </c>
      <c r="AO396" s="145"/>
      <c r="AP396" s="159" t="str">
        <f>IF($AN396=FALSE,"",IFERROR(INDEX('Flat Rates'!$A$1:$M$3880,MATCH($AM396,'Flat Rates'!$A$1:$A$3880,0),MATCH("Standing Charge",'Flat Rates'!$A$1:$M$1,0))*100,""))</f>
        <v/>
      </c>
      <c r="AQ396" s="148" t="str">
        <f>IF($AN396=FALSE,"",IFERROR((IF(NOT(T396="Unrestricted"),"",INDEX('Flat Rates'!$A$1:$M$3880,MATCH($AM396,'Flat Rates'!$A$1:$A$3880,0),MATCH("Uni/Day Rate",'Flat Rates'!$A$1:$M$1,0)))*100)+H396,""))</f>
        <v/>
      </c>
      <c r="AR396" s="148" t="str">
        <f>IF($AN396=FALSE,"",IFERROR((IF(T396="Unrestricted","",INDEX('Flat Rates'!$A$1:$M$3880,MATCH($AM396,'Flat Rates'!$A$1:$A$3880,0),MATCH("Uni/Day Rate",'Flat Rates'!$A$1:$M$1,0)))*100)+H396,""))</f>
        <v/>
      </c>
      <c r="AS396" s="148" t="str">
        <f>IF($AN396=FALSE,"",IFERROR(IF(INDEX('Flat Rates'!$A$1:$M$3880,MATCH($AM396,'Flat Rates'!$A$1:$A$3880,0),MATCH("Night Unit Rate",'Flat Rates'!$A$1:$M$1,0))=0,"",((INDEX('Flat Rates'!$A$1:$M$3880,MATCH($AM396,'Flat Rates'!$A$1:$A$3880,0),MATCH("Night Unit Rate",'Flat Rates'!$A$1:$M$1,0)))*100)+H396),""))</f>
        <v/>
      </c>
      <c r="AT396" s="148" t="str">
        <f>IF($AN396=FALSE,"",IFERROR(IF(INDEX('Flat Rates'!$A$1:$M$3880,MATCH($AM396,'Flat Rates'!$A$1:$A$3880,0),MATCH("Evening and Weekend Rate",'Flat Rates'!$A$1:$M$1,0))=0,"",((INDEX('Flat Rates'!$A$1:$M$3880,MATCH($AM396,'Flat Rates'!$A$1:$A$3880,0),MATCH("Evening and Weekend Rate",'Flat Rates'!$A$1:$M$1,0)))*100)+H396),""))</f>
        <v/>
      </c>
      <c r="AU396" s="152" t="str">
        <f t="shared" si="151"/>
        <v/>
      </c>
      <c r="AV396" s="152" t="str">
        <f t="shared" si="152"/>
        <v/>
      </c>
      <c r="AW396" s="152" t="str">
        <f t="shared" si="153"/>
        <v/>
      </c>
    </row>
    <row r="397" spans="2:49" ht="15" thickBot="1" x14ac:dyDescent="0.35">
      <c r="B397" s="138" t="str">
        <f t="shared" si="130"/>
        <v/>
      </c>
      <c r="C397" s="137"/>
      <c r="D397" s="139"/>
      <c r="E397" s="140"/>
      <c r="F397" s="140"/>
      <c r="G397" s="139"/>
      <c r="H397" s="151"/>
      <c r="I397" s="139"/>
      <c r="J397" s="138"/>
      <c r="K397" s="139"/>
      <c r="L397" s="141"/>
      <c r="M397" s="133" t="str">
        <f t="shared" si="131"/>
        <v/>
      </c>
      <c r="N397" s="133" t="str">
        <f t="shared" si="132"/>
        <v/>
      </c>
      <c r="O397" s="133" t="str">
        <f t="shared" si="133"/>
        <v/>
      </c>
      <c r="P397" s="133" t="str">
        <f t="shared" si="134"/>
        <v/>
      </c>
      <c r="Q397" s="133" t="str">
        <f t="shared" si="135"/>
        <v/>
      </c>
      <c r="R397" s="133" t="str">
        <f t="shared" si="136"/>
        <v/>
      </c>
      <c r="S397" s="133" t="str">
        <f t="shared" si="137"/>
        <v/>
      </c>
      <c r="T397" s="133" t="str">
        <f>IFERROR(IF($U397="ERROR","ERROR",IF($N397="00",IF(J397="1-Rate","HH 1RATE",IF(J397="2-Rate","HH 2RATE","")),IFERROR(VLOOKUP(CONCATENATE(N397,Q397,O397,P397),Lookups!$A$2:$E$4557,5,0),VLOOKUP(CONCATENATE(N397,Q397,O397),Lookups!$A$2:$E$4557,5,0)))),"ERROR")</f>
        <v>ERROR</v>
      </c>
      <c r="U397" s="133" t="str">
        <f>IFERROR(IF(NOT($N397="00"),"",VLOOKUP(CONCATENATE(Q397,P397,LOOKUP(2,1/(Lookups!$I$2:$I$11&lt;=E397)/(Lookups!$J$2:$J$11&gt;=Tool!$C$14),Lookups!$K$2:$K$11)),'HH LLFs'!$A$2:$K$500,3,0)),"ERROR")</f>
        <v/>
      </c>
      <c r="V397" s="132">
        <f>Calcs!$I$2</f>
        <v>44377</v>
      </c>
      <c r="W397" s="132">
        <f>Calcs!$I$4</f>
        <v>44592</v>
      </c>
      <c r="X397" s="153" t="str">
        <f>IF(NOT(N397="00"),"",(VLOOKUP(CONCATENATE(Q397,P397,LOOKUP(2,1/(Lookups!$I$2:$I$11&lt;=Multisite!E397)/(Lookups!$J$2:$J$11&gt;=E397),Lookups!$K$2:$K$11)),'HH LLFs'!$A$2:$F$282,6,0)*365)/12)</f>
        <v/>
      </c>
      <c r="Y397" s="153">
        <f t="shared" si="138"/>
        <v>0</v>
      </c>
      <c r="Z397" s="153" t="str">
        <f t="shared" si="147"/>
        <v/>
      </c>
      <c r="AA397" s="153" t="str">
        <f t="shared" si="139"/>
        <v/>
      </c>
      <c r="AB397" s="153" t="str">
        <f t="shared" si="148"/>
        <v/>
      </c>
      <c r="AC397" s="153" t="str">
        <f t="shared" si="140"/>
        <v/>
      </c>
      <c r="AD397" s="153" t="str">
        <f t="shared" si="141"/>
        <v/>
      </c>
      <c r="AE397" s="153" t="str">
        <f t="shared" si="142"/>
        <v/>
      </c>
      <c r="AF397" s="155" t="e">
        <f>LOOKUP(2,1/(Lookups!$I$2:$I$11&lt;=E397)/(Lookups!$J$2:$J$11&gt;=E397),Lookups!$L$2:$L$11)</f>
        <v>#N/A</v>
      </c>
      <c r="AG397" s="142" t="str">
        <f t="shared" si="143"/>
        <v/>
      </c>
      <c r="AH397" s="142" t="str">
        <f t="shared" si="144"/>
        <v/>
      </c>
      <c r="AI397" s="143" t="b">
        <f t="shared" si="149"/>
        <v>0</v>
      </c>
      <c r="AJ397" s="143" t="str">
        <f t="shared" si="145"/>
        <v>Level 1</v>
      </c>
      <c r="AK397" s="142">
        <f t="shared" si="146"/>
        <v>0</v>
      </c>
      <c r="AL397" s="157" t="str">
        <f t="shared" si="154"/>
        <v/>
      </c>
      <c r="AM397" s="144" t="str">
        <f t="shared" si="155"/>
        <v>--FALSE-0</v>
      </c>
      <c r="AN397" s="158" t="str">
        <f t="shared" si="150"/>
        <v/>
      </c>
      <c r="AO397" s="145"/>
      <c r="AP397" s="159" t="str">
        <f>IF($AN397=FALSE,"",IFERROR(INDEX('Flat Rates'!$A$1:$M$3880,MATCH($AM397,'Flat Rates'!$A$1:$A$3880,0),MATCH("Standing Charge",'Flat Rates'!$A$1:$M$1,0))*100,""))</f>
        <v/>
      </c>
      <c r="AQ397" s="148" t="str">
        <f>IF($AN397=FALSE,"",IFERROR((IF(NOT(T397="Unrestricted"),"",INDEX('Flat Rates'!$A$1:$M$3880,MATCH($AM397,'Flat Rates'!$A$1:$A$3880,0),MATCH("Uni/Day Rate",'Flat Rates'!$A$1:$M$1,0)))*100)+H397,""))</f>
        <v/>
      </c>
      <c r="AR397" s="148" t="str">
        <f>IF($AN397=FALSE,"",IFERROR((IF(T397="Unrestricted","",INDEX('Flat Rates'!$A$1:$M$3880,MATCH($AM397,'Flat Rates'!$A$1:$A$3880,0),MATCH("Uni/Day Rate",'Flat Rates'!$A$1:$M$1,0)))*100)+H397,""))</f>
        <v/>
      </c>
      <c r="AS397" s="148" t="str">
        <f>IF($AN397=FALSE,"",IFERROR(IF(INDEX('Flat Rates'!$A$1:$M$3880,MATCH($AM397,'Flat Rates'!$A$1:$A$3880,0),MATCH("Night Unit Rate",'Flat Rates'!$A$1:$M$1,0))=0,"",((INDEX('Flat Rates'!$A$1:$M$3880,MATCH($AM397,'Flat Rates'!$A$1:$A$3880,0),MATCH("Night Unit Rate",'Flat Rates'!$A$1:$M$1,0)))*100)+H397),""))</f>
        <v/>
      </c>
      <c r="AT397" s="148" t="str">
        <f>IF($AN397=FALSE,"",IFERROR(IF(INDEX('Flat Rates'!$A$1:$M$3880,MATCH($AM397,'Flat Rates'!$A$1:$A$3880,0),MATCH("Evening and Weekend Rate",'Flat Rates'!$A$1:$M$1,0))=0,"",((INDEX('Flat Rates'!$A$1:$M$3880,MATCH($AM397,'Flat Rates'!$A$1:$A$3880,0),MATCH("Evening and Weekend Rate",'Flat Rates'!$A$1:$M$1,0)))*100)+H397),""))</f>
        <v/>
      </c>
      <c r="AU397" s="152" t="str">
        <f t="shared" si="151"/>
        <v/>
      </c>
      <c r="AV397" s="152" t="str">
        <f t="shared" si="152"/>
        <v/>
      </c>
      <c r="AW397" s="152" t="str">
        <f t="shared" si="153"/>
        <v/>
      </c>
    </row>
    <row r="398" spans="2:49" ht="15" thickBot="1" x14ac:dyDescent="0.35">
      <c r="B398" s="138" t="str">
        <f t="shared" si="130"/>
        <v/>
      </c>
      <c r="C398" s="146"/>
      <c r="D398" s="147"/>
      <c r="E398" s="140"/>
      <c r="F398" s="140"/>
      <c r="G398" s="139"/>
      <c r="H398" s="151"/>
      <c r="I398" s="139"/>
      <c r="J398" s="137"/>
      <c r="K398" s="139"/>
      <c r="L398" s="141"/>
      <c r="M398" s="133" t="str">
        <f t="shared" si="131"/>
        <v/>
      </c>
      <c r="N398" s="133" t="str">
        <f t="shared" si="132"/>
        <v/>
      </c>
      <c r="O398" s="133" t="str">
        <f t="shared" si="133"/>
        <v/>
      </c>
      <c r="P398" s="133" t="str">
        <f t="shared" si="134"/>
        <v/>
      </c>
      <c r="Q398" s="133" t="str">
        <f t="shared" si="135"/>
        <v/>
      </c>
      <c r="R398" s="133" t="str">
        <f t="shared" si="136"/>
        <v/>
      </c>
      <c r="S398" s="133" t="str">
        <f t="shared" si="137"/>
        <v/>
      </c>
      <c r="T398" s="133" t="str">
        <f>IFERROR(IF($U398="ERROR","ERROR",IF($N398="00",IF(J398="1-Rate","HH 1RATE",IF(J398="2-Rate","HH 2RATE","")),IFERROR(VLOOKUP(CONCATENATE(N398,Q398,O398,P398),Lookups!$A$2:$E$4557,5,0),VLOOKUP(CONCATENATE(N398,Q398,O398),Lookups!$A$2:$E$4557,5,0)))),"ERROR")</f>
        <v>ERROR</v>
      </c>
      <c r="U398" s="133" t="str">
        <f>IFERROR(IF(NOT($N398="00"),"",VLOOKUP(CONCATENATE(Q398,P398,LOOKUP(2,1/(Lookups!$I$2:$I$11&lt;=E398)/(Lookups!$J$2:$J$11&gt;=Tool!$C$14),Lookups!$K$2:$K$11)),'HH LLFs'!$A$2:$K$500,3,0)),"ERROR")</f>
        <v/>
      </c>
      <c r="V398" s="132">
        <f>Calcs!$I$2</f>
        <v>44377</v>
      </c>
      <c r="W398" s="132">
        <f>Calcs!$I$4</f>
        <v>44592</v>
      </c>
      <c r="X398" s="153" t="str">
        <f>IF(NOT(N398="00"),"",(VLOOKUP(CONCATENATE(Q398,P398,LOOKUP(2,1/(Lookups!$I$2:$I$11&lt;=Multisite!E398)/(Lookups!$J$2:$J$11&gt;=E398),Lookups!$K$2:$K$11)),'HH LLFs'!$A$2:$F$282,6,0)*365)/12)</f>
        <v/>
      </c>
      <c r="Y398" s="153">
        <f t="shared" si="138"/>
        <v>0</v>
      </c>
      <c r="Z398" s="153" t="str">
        <f t="shared" si="147"/>
        <v/>
      </c>
      <c r="AA398" s="153" t="str">
        <f t="shared" si="139"/>
        <v/>
      </c>
      <c r="AB398" s="153" t="str">
        <f t="shared" si="148"/>
        <v/>
      </c>
      <c r="AC398" s="153" t="str">
        <f t="shared" si="140"/>
        <v/>
      </c>
      <c r="AD398" s="153" t="str">
        <f t="shared" si="141"/>
        <v/>
      </c>
      <c r="AE398" s="153" t="str">
        <f t="shared" si="142"/>
        <v/>
      </c>
      <c r="AF398" s="155" t="e">
        <f>LOOKUP(2,1/(Lookups!$I$2:$I$11&lt;=E398)/(Lookups!$J$2:$J$11&gt;=E398),Lookups!$L$2:$L$11)</f>
        <v>#N/A</v>
      </c>
      <c r="AG398" s="142" t="str">
        <f t="shared" si="143"/>
        <v/>
      </c>
      <c r="AH398" s="142" t="str">
        <f t="shared" si="144"/>
        <v/>
      </c>
      <c r="AI398" s="143" t="b">
        <f t="shared" si="149"/>
        <v>0</v>
      </c>
      <c r="AJ398" s="143" t="str">
        <f t="shared" si="145"/>
        <v>Level 1</v>
      </c>
      <c r="AK398" s="142">
        <f t="shared" si="146"/>
        <v>0</v>
      </c>
      <c r="AL398" s="157" t="str">
        <f t="shared" si="154"/>
        <v/>
      </c>
      <c r="AM398" s="144" t="str">
        <f t="shared" si="155"/>
        <v>--FALSE-0</v>
      </c>
      <c r="AN398" s="158" t="str">
        <f t="shared" si="150"/>
        <v/>
      </c>
      <c r="AO398" s="145"/>
      <c r="AP398" s="159" t="str">
        <f>IF($AN398=FALSE,"",IFERROR(INDEX('Flat Rates'!$A$1:$M$3880,MATCH($AM398,'Flat Rates'!$A$1:$A$3880,0),MATCH("Standing Charge",'Flat Rates'!$A$1:$M$1,0))*100,""))</f>
        <v/>
      </c>
      <c r="AQ398" s="148" t="str">
        <f>IF($AN398=FALSE,"",IFERROR((IF(NOT(T398="Unrestricted"),"",INDEX('Flat Rates'!$A$1:$M$3880,MATCH($AM398,'Flat Rates'!$A$1:$A$3880,0),MATCH("Uni/Day Rate",'Flat Rates'!$A$1:$M$1,0)))*100)+H398,""))</f>
        <v/>
      </c>
      <c r="AR398" s="148" t="str">
        <f>IF($AN398=FALSE,"",IFERROR((IF(T398="Unrestricted","",INDEX('Flat Rates'!$A$1:$M$3880,MATCH($AM398,'Flat Rates'!$A$1:$A$3880,0),MATCH("Uni/Day Rate",'Flat Rates'!$A$1:$M$1,0)))*100)+H398,""))</f>
        <v/>
      </c>
      <c r="AS398" s="148" t="str">
        <f>IF($AN398=FALSE,"",IFERROR(IF(INDEX('Flat Rates'!$A$1:$M$3880,MATCH($AM398,'Flat Rates'!$A$1:$A$3880,0),MATCH("Night Unit Rate",'Flat Rates'!$A$1:$M$1,0))=0,"",((INDEX('Flat Rates'!$A$1:$M$3880,MATCH($AM398,'Flat Rates'!$A$1:$A$3880,0),MATCH("Night Unit Rate",'Flat Rates'!$A$1:$M$1,0)))*100)+H398),""))</f>
        <v/>
      </c>
      <c r="AT398" s="148" t="str">
        <f>IF($AN398=FALSE,"",IFERROR(IF(INDEX('Flat Rates'!$A$1:$M$3880,MATCH($AM398,'Flat Rates'!$A$1:$A$3880,0),MATCH("Evening and Weekend Rate",'Flat Rates'!$A$1:$M$1,0))=0,"",((INDEX('Flat Rates'!$A$1:$M$3880,MATCH($AM398,'Flat Rates'!$A$1:$A$3880,0),MATCH("Evening and Weekend Rate",'Flat Rates'!$A$1:$M$1,0)))*100)+H398),""))</f>
        <v/>
      </c>
      <c r="AU398" s="152" t="str">
        <f t="shared" si="151"/>
        <v/>
      </c>
      <c r="AV398" s="152" t="str">
        <f t="shared" si="152"/>
        <v/>
      </c>
      <c r="AW398" s="152" t="str">
        <f t="shared" si="153"/>
        <v/>
      </c>
    </row>
    <row r="399" spans="2:49" ht="15" thickBot="1" x14ac:dyDescent="0.35">
      <c r="B399" s="138" t="str">
        <f t="shared" si="130"/>
        <v/>
      </c>
      <c r="C399" s="137"/>
      <c r="D399" s="139"/>
      <c r="E399" s="140"/>
      <c r="F399" s="140"/>
      <c r="G399" s="139"/>
      <c r="H399" s="151"/>
      <c r="I399" s="139"/>
      <c r="J399" s="138"/>
      <c r="K399" s="139"/>
      <c r="L399" s="141"/>
      <c r="M399" s="133" t="str">
        <f t="shared" si="131"/>
        <v/>
      </c>
      <c r="N399" s="133" t="str">
        <f t="shared" si="132"/>
        <v/>
      </c>
      <c r="O399" s="133" t="str">
        <f t="shared" si="133"/>
        <v/>
      </c>
      <c r="P399" s="133" t="str">
        <f t="shared" si="134"/>
        <v/>
      </c>
      <c r="Q399" s="133" t="str">
        <f t="shared" si="135"/>
        <v/>
      </c>
      <c r="R399" s="133" t="str">
        <f t="shared" si="136"/>
        <v/>
      </c>
      <c r="S399" s="133" t="str">
        <f t="shared" si="137"/>
        <v/>
      </c>
      <c r="T399" s="133" t="str">
        <f>IFERROR(IF($U399="ERROR","ERROR",IF($N399="00",IF(J399="1-Rate","HH 1RATE",IF(J399="2-Rate","HH 2RATE","")),IFERROR(VLOOKUP(CONCATENATE(N399,Q399,O399,P399),Lookups!$A$2:$E$4557,5,0),VLOOKUP(CONCATENATE(N399,Q399,O399),Lookups!$A$2:$E$4557,5,0)))),"ERROR")</f>
        <v>ERROR</v>
      </c>
      <c r="U399" s="133" t="str">
        <f>IFERROR(IF(NOT($N399="00"),"",VLOOKUP(CONCATENATE(Q399,P399,LOOKUP(2,1/(Lookups!$I$2:$I$11&lt;=E399)/(Lookups!$J$2:$J$11&gt;=Tool!$C$14),Lookups!$K$2:$K$11)),'HH LLFs'!$A$2:$K$500,3,0)),"ERROR")</f>
        <v/>
      </c>
      <c r="V399" s="132">
        <f>Calcs!$I$2</f>
        <v>44377</v>
      </c>
      <c r="W399" s="132">
        <f>Calcs!$I$4</f>
        <v>44592</v>
      </c>
      <c r="X399" s="153" t="str">
        <f>IF(NOT(N399="00"),"",(VLOOKUP(CONCATENATE(Q399,P399,LOOKUP(2,1/(Lookups!$I$2:$I$11&lt;=Multisite!E399)/(Lookups!$J$2:$J$11&gt;=E399),Lookups!$K$2:$K$11)),'HH LLFs'!$A$2:$F$282,6,0)*365)/12)</f>
        <v/>
      </c>
      <c r="Y399" s="153">
        <f t="shared" si="138"/>
        <v>0</v>
      </c>
      <c r="Z399" s="153" t="str">
        <f t="shared" si="147"/>
        <v/>
      </c>
      <c r="AA399" s="153" t="str">
        <f t="shared" si="139"/>
        <v/>
      </c>
      <c r="AB399" s="153" t="str">
        <f t="shared" si="148"/>
        <v/>
      </c>
      <c r="AC399" s="153" t="str">
        <f t="shared" si="140"/>
        <v/>
      </c>
      <c r="AD399" s="153" t="str">
        <f t="shared" si="141"/>
        <v/>
      </c>
      <c r="AE399" s="153" t="str">
        <f t="shared" si="142"/>
        <v/>
      </c>
      <c r="AF399" s="155" t="e">
        <f>LOOKUP(2,1/(Lookups!$I$2:$I$11&lt;=E399)/(Lookups!$J$2:$J$11&gt;=E399),Lookups!$L$2:$L$11)</f>
        <v>#N/A</v>
      </c>
      <c r="AG399" s="142" t="str">
        <f t="shared" si="143"/>
        <v/>
      </c>
      <c r="AH399" s="142" t="str">
        <f t="shared" si="144"/>
        <v/>
      </c>
      <c r="AI399" s="143" t="b">
        <f t="shared" si="149"/>
        <v>0</v>
      </c>
      <c r="AJ399" s="143" t="str">
        <f t="shared" si="145"/>
        <v>Level 1</v>
      </c>
      <c r="AK399" s="142">
        <f t="shared" si="146"/>
        <v>0</v>
      </c>
      <c r="AL399" s="157" t="str">
        <f t="shared" si="154"/>
        <v/>
      </c>
      <c r="AM399" s="144" t="str">
        <f t="shared" si="155"/>
        <v>--FALSE-0</v>
      </c>
      <c r="AN399" s="158" t="str">
        <f t="shared" si="150"/>
        <v/>
      </c>
      <c r="AO399" s="145"/>
      <c r="AP399" s="159" t="str">
        <f>IF($AN399=FALSE,"",IFERROR(INDEX('Flat Rates'!$A$1:$M$3880,MATCH($AM399,'Flat Rates'!$A$1:$A$3880,0),MATCH("Standing Charge",'Flat Rates'!$A$1:$M$1,0))*100,""))</f>
        <v/>
      </c>
      <c r="AQ399" s="148" t="str">
        <f>IF($AN399=FALSE,"",IFERROR((IF(NOT(T399="Unrestricted"),"",INDEX('Flat Rates'!$A$1:$M$3880,MATCH($AM399,'Flat Rates'!$A$1:$A$3880,0),MATCH("Uni/Day Rate",'Flat Rates'!$A$1:$M$1,0)))*100)+H399,""))</f>
        <v/>
      </c>
      <c r="AR399" s="148" t="str">
        <f>IF($AN399=FALSE,"",IFERROR((IF(T399="Unrestricted","",INDEX('Flat Rates'!$A$1:$M$3880,MATCH($AM399,'Flat Rates'!$A$1:$A$3880,0),MATCH("Uni/Day Rate",'Flat Rates'!$A$1:$M$1,0)))*100)+H399,""))</f>
        <v/>
      </c>
      <c r="AS399" s="148" t="str">
        <f>IF($AN399=FALSE,"",IFERROR(IF(INDEX('Flat Rates'!$A$1:$M$3880,MATCH($AM399,'Flat Rates'!$A$1:$A$3880,0),MATCH("Night Unit Rate",'Flat Rates'!$A$1:$M$1,0))=0,"",((INDEX('Flat Rates'!$A$1:$M$3880,MATCH($AM399,'Flat Rates'!$A$1:$A$3880,0),MATCH("Night Unit Rate",'Flat Rates'!$A$1:$M$1,0)))*100)+H399),""))</f>
        <v/>
      </c>
      <c r="AT399" s="148" t="str">
        <f>IF($AN399=FALSE,"",IFERROR(IF(INDEX('Flat Rates'!$A$1:$M$3880,MATCH($AM399,'Flat Rates'!$A$1:$A$3880,0),MATCH("Evening and Weekend Rate",'Flat Rates'!$A$1:$M$1,0))=0,"",((INDEX('Flat Rates'!$A$1:$M$3880,MATCH($AM399,'Flat Rates'!$A$1:$A$3880,0),MATCH("Evening and Weekend Rate",'Flat Rates'!$A$1:$M$1,0)))*100)+H399),""))</f>
        <v/>
      </c>
      <c r="AU399" s="152" t="str">
        <f t="shared" si="151"/>
        <v/>
      </c>
      <c r="AV399" s="152" t="str">
        <f t="shared" si="152"/>
        <v/>
      </c>
      <c r="AW399" s="152" t="str">
        <f t="shared" si="153"/>
        <v/>
      </c>
    </row>
    <row r="400" spans="2:49" ht="15" thickBot="1" x14ac:dyDescent="0.35">
      <c r="B400" s="138" t="str">
        <f t="shared" si="130"/>
        <v/>
      </c>
      <c r="C400" s="146"/>
      <c r="D400" s="147"/>
      <c r="E400" s="140"/>
      <c r="F400" s="140"/>
      <c r="G400" s="139"/>
      <c r="H400" s="151"/>
      <c r="I400" s="139"/>
      <c r="J400" s="137"/>
      <c r="K400" s="139"/>
      <c r="L400" s="141"/>
      <c r="M400" s="133" t="str">
        <f t="shared" si="131"/>
        <v/>
      </c>
      <c r="N400" s="133" t="str">
        <f t="shared" si="132"/>
        <v/>
      </c>
      <c r="O400" s="133" t="str">
        <f t="shared" si="133"/>
        <v/>
      </c>
      <c r="P400" s="133" t="str">
        <f t="shared" si="134"/>
        <v/>
      </c>
      <c r="Q400" s="133" t="str">
        <f t="shared" si="135"/>
        <v/>
      </c>
      <c r="R400" s="133" t="str">
        <f t="shared" si="136"/>
        <v/>
      </c>
      <c r="S400" s="133" t="str">
        <f t="shared" si="137"/>
        <v/>
      </c>
      <c r="T400" s="133" t="str">
        <f>IFERROR(IF($U400="ERROR","ERROR",IF($N400="00",IF(J400="1-Rate","HH 1RATE",IF(J400="2-Rate","HH 2RATE","")),IFERROR(VLOOKUP(CONCATENATE(N400,Q400,O400,P400),Lookups!$A$2:$E$4557,5,0),VLOOKUP(CONCATENATE(N400,Q400,O400),Lookups!$A$2:$E$4557,5,0)))),"ERROR")</f>
        <v>ERROR</v>
      </c>
      <c r="U400" s="133" t="str">
        <f>IFERROR(IF(NOT($N400="00"),"",VLOOKUP(CONCATENATE(Q400,P400,LOOKUP(2,1/(Lookups!$I$2:$I$11&lt;=E400)/(Lookups!$J$2:$J$11&gt;=Tool!$C$14),Lookups!$K$2:$K$11)),'HH LLFs'!$A$2:$K$500,3,0)),"ERROR")</f>
        <v/>
      </c>
      <c r="V400" s="132">
        <f>Calcs!$I$2</f>
        <v>44377</v>
      </c>
      <c r="W400" s="132">
        <f>Calcs!$I$4</f>
        <v>44592</v>
      </c>
      <c r="X400" s="153" t="str">
        <f>IF(NOT(N400="00"),"",(VLOOKUP(CONCATENATE(Q400,P400,LOOKUP(2,1/(Lookups!$I$2:$I$11&lt;=Multisite!E400)/(Lookups!$J$2:$J$11&gt;=E400),Lookups!$K$2:$K$11)),'HH LLFs'!$A$2:$F$282,6,0)*365)/12)</f>
        <v/>
      </c>
      <c r="Y400" s="153">
        <f t="shared" si="138"/>
        <v>0</v>
      </c>
      <c r="Z400" s="153" t="str">
        <f t="shared" si="147"/>
        <v/>
      </c>
      <c r="AA400" s="153" t="str">
        <f t="shared" si="139"/>
        <v/>
      </c>
      <c r="AB400" s="153" t="str">
        <f t="shared" si="148"/>
        <v/>
      </c>
      <c r="AC400" s="153" t="str">
        <f t="shared" si="140"/>
        <v/>
      </c>
      <c r="AD400" s="153" t="str">
        <f t="shared" si="141"/>
        <v/>
      </c>
      <c r="AE400" s="153" t="str">
        <f t="shared" si="142"/>
        <v/>
      </c>
      <c r="AF400" s="155" t="e">
        <f>LOOKUP(2,1/(Lookups!$I$2:$I$11&lt;=E400)/(Lookups!$J$2:$J$11&gt;=E400),Lookups!$L$2:$L$11)</f>
        <v>#N/A</v>
      </c>
      <c r="AG400" s="142" t="str">
        <f t="shared" si="143"/>
        <v/>
      </c>
      <c r="AH400" s="142" t="str">
        <f t="shared" si="144"/>
        <v/>
      </c>
      <c r="AI400" s="143" t="b">
        <f t="shared" si="149"/>
        <v>0</v>
      </c>
      <c r="AJ400" s="143" t="str">
        <f t="shared" si="145"/>
        <v>Level 1</v>
      </c>
      <c r="AK400" s="142">
        <f t="shared" si="146"/>
        <v>0</v>
      </c>
      <c r="AL400" s="157" t="str">
        <f t="shared" si="154"/>
        <v/>
      </c>
      <c r="AM400" s="144" t="str">
        <f t="shared" si="155"/>
        <v>--FALSE-0</v>
      </c>
      <c r="AN400" s="158" t="str">
        <f t="shared" si="150"/>
        <v/>
      </c>
      <c r="AO400" s="145"/>
      <c r="AP400" s="159" t="str">
        <f>IF($AN400=FALSE,"",IFERROR(INDEX('Flat Rates'!$A$1:$M$3880,MATCH($AM400,'Flat Rates'!$A$1:$A$3880,0),MATCH("Standing Charge",'Flat Rates'!$A$1:$M$1,0))*100,""))</f>
        <v/>
      </c>
      <c r="AQ400" s="148" t="str">
        <f>IF($AN400=FALSE,"",IFERROR((IF(NOT(T400="Unrestricted"),"",INDEX('Flat Rates'!$A$1:$M$3880,MATCH($AM400,'Flat Rates'!$A$1:$A$3880,0),MATCH("Uni/Day Rate",'Flat Rates'!$A$1:$M$1,0)))*100)+H400,""))</f>
        <v/>
      </c>
      <c r="AR400" s="148" t="str">
        <f>IF($AN400=FALSE,"",IFERROR((IF(T400="Unrestricted","",INDEX('Flat Rates'!$A$1:$M$3880,MATCH($AM400,'Flat Rates'!$A$1:$A$3880,0),MATCH("Uni/Day Rate",'Flat Rates'!$A$1:$M$1,0)))*100)+H400,""))</f>
        <v/>
      </c>
      <c r="AS400" s="148" t="str">
        <f>IF($AN400=FALSE,"",IFERROR(IF(INDEX('Flat Rates'!$A$1:$M$3880,MATCH($AM400,'Flat Rates'!$A$1:$A$3880,0),MATCH("Night Unit Rate",'Flat Rates'!$A$1:$M$1,0))=0,"",((INDEX('Flat Rates'!$A$1:$M$3880,MATCH($AM400,'Flat Rates'!$A$1:$A$3880,0),MATCH("Night Unit Rate",'Flat Rates'!$A$1:$M$1,0)))*100)+H400),""))</f>
        <v/>
      </c>
      <c r="AT400" s="148" t="str">
        <f>IF($AN400=FALSE,"",IFERROR(IF(INDEX('Flat Rates'!$A$1:$M$3880,MATCH($AM400,'Flat Rates'!$A$1:$A$3880,0),MATCH("Evening and Weekend Rate",'Flat Rates'!$A$1:$M$1,0))=0,"",((INDEX('Flat Rates'!$A$1:$M$3880,MATCH($AM400,'Flat Rates'!$A$1:$A$3880,0),MATCH("Evening and Weekend Rate",'Flat Rates'!$A$1:$M$1,0)))*100)+H400),""))</f>
        <v/>
      </c>
      <c r="AU400" s="152" t="str">
        <f t="shared" si="151"/>
        <v/>
      </c>
      <c r="AV400" s="152" t="str">
        <f t="shared" si="152"/>
        <v/>
      </c>
      <c r="AW400" s="152" t="str">
        <f t="shared" si="153"/>
        <v/>
      </c>
    </row>
    <row r="401" spans="2:49" ht="15" thickBot="1" x14ac:dyDescent="0.35">
      <c r="B401" s="138" t="str">
        <f t="shared" si="130"/>
        <v/>
      </c>
      <c r="C401" s="137"/>
      <c r="D401" s="139"/>
      <c r="E401" s="140"/>
      <c r="F401" s="140"/>
      <c r="G401" s="139"/>
      <c r="H401" s="151"/>
      <c r="I401" s="139"/>
      <c r="J401" s="138"/>
      <c r="K401" s="139"/>
      <c r="L401" s="141"/>
      <c r="M401" s="133" t="str">
        <f t="shared" si="131"/>
        <v/>
      </c>
      <c r="N401" s="133" t="str">
        <f t="shared" si="132"/>
        <v/>
      </c>
      <c r="O401" s="133" t="str">
        <f t="shared" si="133"/>
        <v/>
      </c>
      <c r="P401" s="133" t="str">
        <f t="shared" si="134"/>
        <v/>
      </c>
      <c r="Q401" s="133" t="str">
        <f t="shared" si="135"/>
        <v/>
      </c>
      <c r="R401" s="133" t="str">
        <f t="shared" si="136"/>
        <v/>
      </c>
      <c r="S401" s="133" t="str">
        <f t="shared" si="137"/>
        <v/>
      </c>
      <c r="T401" s="133" t="str">
        <f>IFERROR(IF($U401="ERROR","ERROR",IF($N401="00",IF(J401="1-Rate","HH 1RATE",IF(J401="2-Rate","HH 2RATE","")),IFERROR(VLOOKUP(CONCATENATE(N401,Q401,O401,P401),Lookups!$A$2:$E$4557,5,0),VLOOKUP(CONCATENATE(N401,Q401,O401),Lookups!$A$2:$E$4557,5,0)))),"ERROR")</f>
        <v>ERROR</v>
      </c>
      <c r="U401" s="133" t="str">
        <f>IFERROR(IF(NOT($N401="00"),"",VLOOKUP(CONCATENATE(Q401,P401,LOOKUP(2,1/(Lookups!$I$2:$I$11&lt;=E401)/(Lookups!$J$2:$J$11&gt;=Tool!$C$14),Lookups!$K$2:$K$11)),'HH LLFs'!$A$2:$K$500,3,0)),"ERROR")</f>
        <v/>
      </c>
      <c r="V401" s="132">
        <f>Calcs!$I$2</f>
        <v>44377</v>
      </c>
      <c r="W401" s="132">
        <f>Calcs!$I$4</f>
        <v>44592</v>
      </c>
      <c r="X401" s="153" t="str">
        <f>IF(NOT(N401="00"),"",(VLOOKUP(CONCATENATE(Q401,P401,LOOKUP(2,1/(Lookups!$I$2:$I$11&lt;=Multisite!E401)/(Lookups!$J$2:$J$11&gt;=E401),Lookups!$K$2:$K$11)),'HH LLFs'!$A$2:$F$282,6,0)*365)/12)</f>
        <v/>
      </c>
      <c r="Y401" s="153">
        <f t="shared" si="138"/>
        <v>0</v>
      </c>
      <c r="Z401" s="153" t="str">
        <f t="shared" si="147"/>
        <v/>
      </c>
      <c r="AA401" s="153" t="str">
        <f t="shared" si="139"/>
        <v/>
      </c>
      <c r="AB401" s="153" t="str">
        <f t="shared" si="148"/>
        <v/>
      </c>
      <c r="AC401" s="153" t="str">
        <f t="shared" si="140"/>
        <v/>
      </c>
      <c r="AD401" s="153" t="str">
        <f t="shared" si="141"/>
        <v/>
      </c>
      <c r="AE401" s="153" t="str">
        <f t="shared" si="142"/>
        <v/>
      </c>
      <c r="AF401" s="155" t="e">
        <f>LOOKUP(2,1/(Lookups!$I$2:$I$11&lt;=E401)/(Lookups!$J$2:$J$11&gt;=E401),Lookups!$L$2:$L$11)</f>
        <v>#N/A</v>
      </c>
      <c r="AG401" s="142" t="str">
        <f t="shared" si="143"/>
        <v/>
      </c>
      <c r="AH401" s="142" t="str">
        <f t="shared" si="144"/>
        <v/>
      </c>
      <c r="AI401" s="143" t="b">
        <f t="shared" si="149"/>
        <v>0</v>
      </c>
      <c r="AJ401" s="143" t="str">
        <f t="shared" si="145"/>
        <v>Level 1</v>
      </c>
      <c r="AK401" s="142">
        <f t="shared" si="146"/>
        <v>0</v>
      </c>
      <c r="AL401" s="157" t="str">
        <f t="shared" si="154"/>
        <v/>
      </c>
      <c r="AM401" s="144" t="str">
        <f t="shared" si="155"/>
        <v>--FALSE-0</v>
      </c>
      <c r="AN401" s="158" t="str">
        <f t="shared" si="150"/>
        <v/>
      </c>
      <c r="AO401" s="145"/>
      <c r="AP401" s="159" t="str">
        <f>IF($AN401=FALSE,"",IFERROR(INDEX('Flat Rates'!$A$1:$M$3880,MATCH($AM401,'Flat Rates'!$A$1:$A$3880,0),MATCH("Standing Charge",'Flat Rates'!$A$1:$M$1,0))*100,""))</f>
        <v/>
      </c>
      <c r="AQ401" s="148" t="str">
        <f>IF($AN401=FALSE,"",IFERROR((IF(NOT(T401="Unrestricted"),"",INDEX('Flat Rates'!$A$1:$M$3880,MATCH($AM401,'Flat Rates'!$A$1:$A$3880,0),MATCH("Uni/Day Rate",'Flat Rates'!$A$1:$M$1,0)))*100)+H401,""))</f>
        <v/>
      </c>
      <c r="AR401" s="148" t="str">
        <f>IF($AN401=FALSE,"",IFERROR((IF(T401="Unrestricted","",INDEX('Flat Rates'!$A$1:$M$3880,MATCH($AM401,'Flat Rates'!$A$1:$A$3880,0),MATCH("Uni/Day Rate",'Flat Rates'!$A$1:$M$1,0)))*100)+H401,""))</f>
        <v/>
      </c>
      <c r="AS401" s="148" t="str">
        <f>IF($AN401=FALSE,"",IFERROR(IF(INDEX('Flat Rates'!$A$1:$M$3880,MATCH($AM401,'Flat Rates'!$A$1:$A$3880,0),MATCH("Night Unit Rate",'Flat Rates'!$A$1:$M$1,0))=0,"",((INDEX('Flat Rates'!$A$1:$M$3880,MATCH($AM401,'Flat Rates'!$A$1:$A$3880,0),MATCH("Night Unit Rate",'Flat Rates'!$A$1:$M$1,0)))*100)+H401),""))</f>
        <v/>
      </c>
      <c r="AT401" s="148" t="str">
        <f>IF($AN401=FALSE,"",IFERROR(IF(INDEX('Flat Rates'!$A$1:$M$3880,MATCH($AM401,'Flat Rates'!$A$1:$A$3880,0),MATCH("Evening and Weekend Rate",'Flat Rates'!$A$1:$M$1,0))=0,"",((INDEX('Flat Rates'!$A$1:$M$3880,MATCH($AM401,'Flat Rates'!$A$1:$A$3880,0),MATCH("Evening and Weekend Rate",'Flat Rates'!$A$1:$M$1,0)))*100)+H401),""))</f>
        <v/>
      </c>
      <c r="AU401" s="152" t="str">
        <f t="shared" si="151"/>
        <v/>
      </c>
      <c r="AV401" s="152" t="str">
        <f t="shared" si="152"/>
        <v/>
      </c>
      <c r="AW401" s="152" t="str">
        <f t="shared" si="153"/>
        <v/>
      </c>
    </row>
    <row r="402" spans="2:49" ht="15" thickBot="1" x14ac:dyDescent="0.35">
      <c r="B402" s="138" t="str">
        <f t="shared" si="130"/>
        <v/>
      </c>
      <c r="C402" s="146"/>
      <c r="D402" s="147"/>
      <c r="E402" s="140"/>
      <c r="F402" s="140"/>
      <c r="G402" s="139"/>
      <c r="H402" s="151"/>
      <c r="I402" s="139"/>
      <c r="J402" s="137"/>
      <c r="K402" s="139"/>
      <c r="L402" s="141"/>
      <c r="M402" s="133" t="str">
        <f t="shared" si="131"/>
        <v/>
      </c>
      <c r="N402" s="133" t="str">
        <f t="shared" si="132"/>
        <v/>
      </c>
      <c r="O402" s="133" t="str">
        <f t="shared" si="133"/>
        <v/>
      </c>
      <c r="P402" s="133" t="str">
        <f t="shared" si="134"/>
        <v/>
      </c>
      <c r="Q402" s="133" t="str">
        <f t="shared" si="135"/>
        <v/>
      </c>
      <c r="R402" s="133" t="str">
        <f t="shared" si="136"/>
        <v/>
      </c>
      <c r="S402" s="133" t="str">
        <f t="shared" si="137"/>
        <v/>
      </c>
      <c r="T402" s="133" t="str">
        <f>IFERROR(IF($U402="ERROR","ERROR",IF($N402="00",IF(J402="1-Rate","HH 1RATE",IF(J402="2-Rate","HH 2RATE","")),IFERROR(VLOOKUP(CONCATENATE(N402,Q402,O402,P402),Lookups!$A$2:$E$4557,5,0),VLOOKUP(CONCATENATE(N402,Q402,O402),Lookups!$A$2:$E$4557,5,0)))),"ERROR")</f>
        <v>ERROR</v>
      </c>
      <c r="U402" s="133" t="str">
        <f>IFERROR(IF(NOT($N402="00"),"",VLOOKUP(CONCATENATE(Q402,P402,LOOKUP(2,1/(Lookups!$I$2:$I$11&lt;=E402)/(Lookups!$J$2:$J$11&gt;=Tool!$C$14),Lookups!$K$2:$K$11)),'HH LLFs'!$A$2:$K$500,3,0)),"ERROR")</f>
        <v/>
      </c>
      <c r="V402" s="132">
        <f>Calcs!$I$2</f>
        <v>44377</v>
      </c>
      <c r="W402" s="132">
        <f>Calcs!$I$4</f>
        <v>44592</v>
      </c>
      <c r="X402" s="153" t="str">
        <f>IF(NOT(N402="00"),"",(VLOOKUP(CONCATENATE(Q402,P402,LOOKUP(2,1/(Lookups!$I$2:$I$11&lt;=Multisite!E402)/(Lookups!$J$2:$J$11&gt;=E402),Lookups!$K$2:$K$11)),'HH LLFs'!$A$2:$F$282,6,0)*365)/12)</f>
        <v/>
      </c>
      <c r="Y402" s="153">
        <f t="shared" si="138"/>
        <v>0</v>
      </c>
      <c r="Z402" s="153" t="str">
        <f t="shared" si="147"/>
        <v/>
      </c>
      <c r="AA402" s="153" t="str">
        <f t="shared" si="139"/>
        <v/>
      </c>
      <c r="AB402" s="153" t="str">
        <f t="shared" si="148"/>
        <v/>
      </c>
      <c r="AC402" s="153" t="str">
        <f t="shared" si="140"/>
        <v/>
      </c>
      <c r="AD402" s="153" t="str">
        <f t="shared" si="141"/>
        <v/>
      </c>
      <c r="AE402" s="153" t="str">
        <f t="shared" si="142"/>
        <v/>
      </c>
      <c r="AF402" s="155" t="e">
        <f>LOOKUP(2,1/(Lookups!$I$2:$I$11&lt;=E402)/(Lookups!$J$2:$J$11&gt;=E402),Lookups!$L$2:$L$11)</f>
        <v>#N/A</v>
      </c>
      <c r="AG402" s="142" t="str">
        <f t="shared" si="143"/>
        <v/>
      </c>
      <c r="AH402" s="142" t="str">
        <f t="shared" si="144"/>
        <v/>
      </c>
      <c r="AI402" s="143" t="b">
        <f t="shared" si="149"/>
        <v>0</v>
      </c>
      <c r="AJ402" s="143" t="str">
        <f t="shared" si="145"/>
        <v>Level 1</v>
      </c>
      <c r="AK402" s="142">
        <f t="shared" si="146"/>
        <v>0</v>
      </c>
      <c r="AL402" s="157" t="str">
        <f t="shared" si="154"/>
        <v/>
      </c>
      <c r="AM402" s="144" t="str">
        <f t="shared" si="155"/>
        <v>--FALSE-0</v>
      </c>
      <c r="AN402" s="158" t="str">
        <f t="shared" si="150"/>
        <v/>
      </c>
      <c r="AO402" s="145"/>
      <c r="AP402" s="159" t="str">
        <f>IF($AN402=FALSE,"",IFERROR(INDEX('Flat Rates'!$A$1:$M$3880,MATCH($AM402,'Flat Rates'!$A$1:$A$3880,0),MATCH("Standing Charge",'Flat Rates'!$A$1:$M$1,0))*100,""))</f>
        <v/>
      </c>
      <c r="AQ402" s="148" t="str">
        <f>IF($AN402=FALSE,"",IFERROR((IF(NOT(T402="Unrestricted"),"",INDEX('Flat Rates'!$A$1:$M$3880,MATCH($AM402,'Flat Rates'!$A$1:$A$3880,0),MATCH("Uni/Day Rate",'Flat Rates'!$A$1:$M$1,0)))*100)+H402,""))</f>
        <v/>
      </c>
      <c r="AR402" s="148" t="str">
        <f>IF($AN402=FALSE,"",IFERROR((IF(T402="Unrestricted","",INDEX('Flat Rates'!$A$1:$M$3880,MATCH($AM402,'Flat Rates'!$A$1:$A$3880,0),MATCH("Uni/Day Rate",'Flat Rates'!$A$1:$M$1,0)))*100)+H402,""))</f>
        <v/>
      </c>
      <c r="AS402" s="148" t="str">
        <f>IF($AN402=FALSE,"",IFERROR(IF(INDEX('Flat Rates'!$A$1:$M$3880,MATCH($AM402,'Flat Rates'!$A$1:$A$3880,0),MATCH("Night Unit Rate",'Flat Rates'!$A$1:$M$1,0))=0,"",((INDEX('Flat Rates'!$A$1:$M$3880,MATCH($AM402,'Flat Rates'!$A$1:$A$3880,0),MATCH("Night Unit Rate",'Flat Rates'!$A$1:$M$1,0)))*100)+H402),""))</f>
        <v/>
      </c>
      <c r="AT402" s="148" t="str">
        <f>IF($AN402=FALSE,"",IFERROR(IF(INDEX('Flat Rates'!$A$1:$M$3880,MATCH($AM402,'Flat Rates'!$A$1:$A$3880,0),MATCH("Evening and Weekend Rate",'Flat Rates'!$A$1:$M$1,0))=0,"",((INDEX('Flat Rates'!$A$1:$M$3880,MATCH($AM402,'Flat Rates'!$A$1:$A$3880,0),MATCH("Evening and Weekend Rate",'Flat Rates'!$A$1:$M$1,0)))*100)+H402),""))</f>
        <v/>
      </c>
      <c r="AU402" s="152" t="str">
        <f t="shared" si="151"/>
        <v/>
      </c>
      <c r="AV402" s="152" t="str">
        <f t="shared" si="152"/>
        <v/>
      </c>
      <c r="AW402" s="152" t="str">
        <f t="shared" si="153"/>
        <v/>
      </c>
    </row>
    <row r="403" spans="2:49" ht="15" thickBot="1" x14ac:dyDescent="0.35">
      <c r="B403" s="138" t="str">
        <f t="shared" ref="B403:B466" si="156">SUBSTITUTE(C403," ","")</f>
        <v/>
      </c>
      <c r="C403" s="137"/>
      <c r="D403" s="139"/>
      <c r="E403" s="140"/>
      <c r="F403" s="140"/>
      <c r="G403" s="139"/>
      <c r="H403" s="151"/>
      <c r="I403" s="139"/>
      <c r="J403" s="138"/>
      <c r="K403" s="139"/>
      <c r="L403" s="141"/>
      <c r="M403" s="133" t="str">
        <f t="shared" ref="M403:M466" si="157">CONCATENATE(LEFT(B403,2),LEFT(D403,2),MID(B403,3,3))</f>
        <v/>
      </c>
      <c r="N403" s="133" t="str">
        <f t="shared" ref="N403:N466" si="158">IF(LEFT(B403,2)="01","03",IF(LEFT(B403,2)="02","04",LEFT(B403,2)))</f>
        <v/>
      </c>
      <c r="O403" s="133" t="str">
        <f t="shared" ref="O403:O466" si="159">MID(B403,3,3)</f>
        <v/>
      </c>
      <c r="P403" s="133" t="str">
        <f t="shared" ref="P403:P466" si="160">RIGHT(B403,3)</f>
        <v/>
      </c>
      <c r="Q403" s="133" t="str">
        <f t="shared" ref="Q403:Q466" si="161">LEFT(D403,2)</f>
        <v/>
      </c>
      <c r="R403" s="133" t="str">
        <f t="shared" ref="R403:R466" si="162">MID(D403,3,8)</f>
        <v/>
      </c>
      <c r="S403" s="133" t="str">
        <f t="shared" ref="S403:S466" si="163">RIGHT(D403,3)</f>
        <v/>
      </c>
      <c r="T403" s="133" t="str">
        <f>IFERROR(IF($U403="ERROR","ERROR",IF($N403="00",IF(J403="1-Rate","HH 1RATE",IF(J403="2-Rate","HH 2RATE","")),IFERROR(VLOOKUP(CONCATENATE(N403,Q403,O403,P403),Lookups!$A$2:$E$4557,5,0),VLOOKUP(CONCATENATE(N403,Q403,O403),Lookups!$A$2:$E$4557,5,0)))),"ERROR")</f>
        <v>ERROR</v>
      </c>
      <c r="U403" s="133" t="str">
        <f>IFERROR(IF(NOT($N403="00"),"",VLOOKUP(CONCATENATE(Q403,P403,LOOKUP(2,1/(Lookups!$I$2:$I$11&lt;=E403)/(Lookups!$J$2:$J$11&gt;=Tool!$C$14),Lookups!$K$2:$K$11)),'HH LLFs'!$A$2:$K$500,3,0)),"ERROR")</f>
        <v/>
      </c>
      <c r="V403" s="132">
        <f>Calcs!$I$2</f>
        <v>44377</v>
      </c>
      <c r="W403" s="132">
        <f>Calcs!$I$4</f>
        <v>44592</v>
      </c>
      <c r="X403" s="153" t="str">
        <f>IF(NOT(N403="00"),"",(VLOOKUP(CONCATENATE(Q403,P403,LOOKUP(2,1/(Lookups!$I$2:$I$11&lt;=Multisite!E403)/(Lookups!$J$2:$J$11&gt;=E403),Lookups!$K$2:$K$11)),'HH LLFs'!$A$2:$F$282,6,0)*365)/12)</f>
        <v/>
      </c>
      <c r="Y403" s="153">
        <f t="shared" ref="Y403:Y466" si="164">K403</f>
        <v>0</v>
      </c>
      <c r="Z403" s="153" t="str">
        <f t="shared" si="147"/>
        <v/>
      </c>
      <c r="AA403" s="153" t="str">
        <f t="shared" ref="AA403:AA466" si="165">IFERROR(((AQ403*I403)/100),"")</f>
        <v/>
      </c>
      <c r="AB403" s="153" t="str">
        <f t="shared" si="148"/>
        <v/>
      </c>
      <c r="AC403" s="153" t="str">
        <f t="shared" ref="AC403:AC466" si="166">IFERROR((IF(T403="E7",((AS403*I403)*0.3),IF(T403="3-Rate",((AS403*I403)*0.2),IF(T403="HH 2RATE",((AS403*I403)*0.3),"")))/100),"")</f>
        <v/>
      </c>
      <c r="AD403" s="153" t="str">
        <f t="shared" ref="AD403:AD466" si="167">IFERROR((IF(T403="EW",((AT403*I403)*0.4),IF(T403="3-Rate",((AT403*I403)*0.2),""))/100),"")</f>
        <v/>
      </c>
      <c r="AE403" s="153" t="str">
        <f t="shared" ref="AE403:AE466" si="168">IF(Z403="","",IF(T403="3 Rate Half Hourly","",SUM(Z403:AD403,AW403)))</f>
        <v/>
      </c>
      <c r="AF403" s="155" t="e">
        <f>LOOKUP(2,1/(Lookups!$I$2:$I$11&lt;=E403)/(Lookups!$J$2:$J$11&gt;=E403),Lookups!$L$2:$L$11)</f>
        <v>#N/A</v>
      </c>
      <c r="AG403" s="142" t="str">
        <f t="shared" ref="AG403:AG466" si="169">Q403</f>
        <v/>
      </c>
      <c r="AH403" s="142" t="str">
        <f t="shared" ref="AH403:AH466" si="170">IF(E403&gt;W403,"",RIGHT(N403,1))</f>
        <v/>
      </c>
      <c r="AI403" s="143" t="b">
        <f t="shared" si="149"/>
        <v>0</v>
      </c>
      <c r="AJ403" s="143" t="str">
        <f t="shared" ref="AJ403:AJ466" si="171">IF($E403&lt;=$V403,"Level 1",IF($E403&lt;=$W403,"Level 2",""))</f>
        <v>Level 1</v>
      </c>
      <c r="AK403" s="142">
        <f t="shared" ref="AK403:AK466" si="172">IF($G403="SmartFIX – 1 Year","SmartFIX – 1 Year",IF($G403="SmartFIX – 2 Year","SmartFIX – 2 Year",IF($G403="SmartFIX – 3 Year","SmartFIX – 3 Year",IF($G403="SmartPAY12","SmartPAY12",IF($G403="SmartPAY24","SmartPAY24",IF($G403="SmartPAY36","SmartPAY36",IF($G403="SmartFIX – 5 Year","SmartFIX – 5 Year",IF($G403="SmartTRACKER","SmartTRACKER",IF($G403="SmartTRACKER","SmartTRACKER",)))))))))</f>
        <v>0</v>
      </c>
      <c r="AL403" s="157" t="str">
        <f t="shared" si="154"/>
        <v/>
      </c>
      <c r="AM403" s="144" t="str">
        <f t="shared" si="155"/>
        <v>--FALSE-0</v>
      </c>
      <c r="AN403" s="158" t="str">
        <f t="shared" si="150"/>
        <v/>
      </c>
      <c r="AO403" s="145"/>
      <c r="AP403" s="159" t="str">
        <f>IF($AN403=FALSE,"",IFERROR(INDEX('Flat Rates'!$A$1:$M$3880,MATCH($AM403,'Flat Rates'!$A$1:$A$3880,0),MATCH("Standing Charge",'Flat Rates'!$A$1:$M$1,0))*100,""))</f>
        <v/>
      </c>
      <c r="AQ403" s="148" t="str">
        <f>IF($AN403=FALSE,"",IFERROR((IF(NOT(T403="Unrestricted"),"",INDEX('Flat Rates'!$A$1:$M$3880,MATCH($AM403,'Flat Rates'!$A$1:$A$3880,0),MATCH("Uni/Day Rate",'Flat Rates'!$A$1:$M$1,0)))*100)+H403,""))</f>
        <v/>
      </c>
      <c r="AR403" s="148" t="str">
        <f>IF($AN403=FALSE,"",IFERROR((IF(T403="Unrestricted","",INDEX('Flat Rates'!$A$1:$M$3880,MATCH($AM403,'Flat Rates'!$A$1:$A$3880,0),MATCH("Uni/Day Rate",'Flat Rates'!$A$1:$M$1,0)))*100)+H403,""))</f>
        <v/>
      </c>
      <c r="AS403" s="148" t="str">
        <f>IF($AN403=FALSE,"",IFERROR(IF(INDEX('Flat Rates'!$A$1:$M$3880,MATCH($AM403,'Flat Rates'!$A$1:$A$3880,0),MATCH("Night Unit Rate",'Flat Rates'!$A$1:$M$1,0))=0,"",((INDEX('Flat Rates'!$A$1:$M$3880,MATCH($AM403,'Flat Rates'!$A$1:$A$3880,0),MATCH("Night Unit Rate",'Flat Rates'!$A$1:$M$1,0)))*100)+H403),""))</f>
        <v/>
      </c>
      <c r="AT403" s="148" t="str">
        <f>IF($AN403=FALSE,"",IFERROR(IF(INDEX('Flat Rates'!$A$1:$M$3880,MATCH($AM403,'Flat Rates'!$A$1:$A$3880,0),MATCH("Evening and Weekend Rate",'Flat Rates'!$A$1:$M$1,0))=0,"",((INDEX('Flat Rates'!$A$1:$M$3880,MATCH($AM403,'Flat Rates'!$A$1:$A$3880,0),MATCH("Evening and Weekend Rate",'Flat Rates'!$A$1:$M$1,0)))*100)+H403),""))</f>
        <v/>
      </c>
      <c r="AU403" s="152" t="str">
        <f t="shared" si="151"/>
        <v/>
      </c>
      <c r="AV403" s="152" t="str">
        <f t="shared" si="152"/>
        <v/>
      </c>
      <c r="AW403" s="152" t="str">
        <f t="shared" si="153"/>
        <v/>
      </c>
    </row>
    <row r="404" spans="2:49" ht="15" thickBot="1" x14ac:dyDescent="0.35">
      <c r="B404" s="138" t="str">
        <f t="shared" si="156"/>
        <v/>
      </c>
      <c r="C404" s="146"/>
      <c r="D404" s="147"/>
      <c r="E404" s="140"/>
      <c r="F404" s="140"/>
      <c r="G404" s="139"/>
      <c r="H404" s="151"/>
      <c r="I404" s="139"/>
      <c r="J404" s="137"/>
      <c r="K404" s="139"/>
      <c r="L404" s="141"/>
      <c r="M404" s="133" t="str">
        <f t="shared" si="157"/>
        <v/>
      </c>
      <c r="N404" s="133" t="str">
        <f t="shared" si="158"/>
        <v/>
      </c>
      <c r="O404" s="133" t="str">
        <f t="shared" si="159"/>
        <v/>
      </c>
      <c r="P404" s="133" t="str">
        <f t="shared" si="160"/>
        <v/>
      </c>
      <c r="Q404" s="133" t="str">
        <f t="shared" si="161"/>
        <v/>
      </c>
      <c r="R404" s="133" t="str">
        <f t="shared" si="162"/>
        <v/>
      </c>
      <c r="S404" s="133" t="str">
        <f t="shared" si="163"/>
        <v/>
      </c>
      <c r="T404" s="133" t="str">
        <f>IFERROR(IF($U404="ERROR","ERROR",IF($N404="00",IF(J404="1-Rate","HH 1RATE",IF(J404="2-Rate","HH 2RATE","")),IFERROR(VLOOKUP(CONCATENATE(N404,Q404,O404,P404),Lookups!$A$2:$E$4557,5,0),VLOOKUP(CONCATENATE(N404,Q404,O404),Lookups!$A$2:$E$4557,5,0)))),"ERROR")</f>
        <v>ERROR</v>
      </c>
      <c r="U404" s="133" t="str">
        <f>IFERROR(IF(NOT($N404="00"),"",VLOOKUP(CONCATENATE(Q404,P404,LOOKUP(2,1/(Lookups!$I$2:$I$11&lt;=E404)/(Lookups!$J$2:$J$11&gt;=Tool!$C$14),Lookups!$K$2:$K$11)),'HH LLFs'!$A$2:$K$500,3,0)),"ERROR")</f>
        <v/>
      </c>
      <c r="V404" s="132">
        <f>Calcs!$I$2</f>
        <v>44377</v>
      </c>
      <c r="W404" s="132">
        <f>Calcs!$I$4</f>
        <v>44592</v>
      </c>
      <c r="X404" s="153" t="str">
        <f>IF(NOT(N404="00"),"",(VLOOKUP(CONCATENATE(Q404,P404,LOOKUP(2,1/(Lookups!$I$2:$I$11&lt;=Multisite!E404)/(Lookups!$J$2:$J$11&gt;=E404),Lookups!$K$2:$K$11)),'HH LLFs'!$A$2:$F$282,6,0)*365)/12)</f>
        <v/>
      </c>
      <c r="Y404" s="153">
        <f t="shared" si="164"/>
        <v>0</v>
      </c>
      <c r="Z404" s="153" t="str">
        <f t="shared" ref="Z404:Z467" si="173">IFERROR(((IF(I404="3 `Rate Half Hourly","",AP404*365)/100)),"")</f>
        <v/>
      </c>
      <c r="AA404" s="153" t="str">
        <f t="shared" si="165"/>
        <v/>
      </c>
      <c r="AB404" s="153" t="str">
        <f t="shared" ref="AB404:AB467" si="174">IFERROR((IF(T404="E7",((AR404*I404)*0.7),IF(T404="EW",((AR404*I404)*0.6),IF(T404="3-Rate",((AR404*I404)*0.6),IF(T404="HH 2RATE",((AR404*I404)*0.7),IF(T404="HH 1RATE",(AR404*I404),"")))))/100),"")</f>
        <v/>
      </c>
      <c r="AC404" s="153" t="str">
        <f t="shared" si="166"/>
        <v/>
      </c>
      <c r="AD404" s="153" t="str">
        <f t="shared" si="167"/>
        <v/>
      </c>
      <c r="AE404" s="153" t="str">
        <f t="shared" si="168"/>
        <v/>
      </c>
      <c r="AF404" s="155" t="e">
        <f>LOOKUP(2,1/(Lookups!$I$2:$I$11&lt;=E404)/(Lookups!$J$2:$J$11&gt;=E404),Lookups!$L$2:$L$11)</f>
        <v>#N/A</v>
      </c>
      <c r="AG404" s="142" t="str">
        <f t="shared" si="169"/>
        <v/>
      </c>
      <c r="AH404" s="142" t="str">
        <f t="shared" si="170"/>
        <v/>
      </c>
      <c r="AI404" s="143" t="b">
        <f t="shared" ref="AI404:AI467" si="175">IF(T404="Unrestricted","U",IF(T404="E7","E7",IF(T404="EW","EW",IF(T404="3-Rate","3RATE",IF(T404="3 Rate Half Hourly","TOU",IF(T404="HH 2RATE",CONCATENATE("HH 2RATE ",U404),IF(T404="HH 1RATE",CONCATENATE("HH 1RATE ",U404))))))))</f>
        <v>0</v>
      </c>
      <c r="AJ404" s="143" t="str">
        <f t="shared" si="171"/>
        <v>Level 1</v>
      </c>
      <c r="AK404" s="142">
        <f t="shared" si="172"/>
        <v>0</v>
      </c>
      <c r="AL404" s="157" t="str">
        <f t="shared" si="154"/>
        <v/>
      </c>
      <c r="AM404" s="144" t="str">
        <f t="shared" si="155"/>
        <v>--FALSE-0</v>
      </c>
      <c r="AN404" s="158" t="str">
        <f t="shared" ref="AN404:AN467" si="176">IFERROR(CHOOSE(IF(OR(F404="Acquisition",F404="Renewal"),1,0)+IF(OR(F404="Smartpay",F404="Smartpay_Renewal"),2,0),IF(OR(ISNUMBER(SEARCH("fix",G404)),ISNUMBER(SEARCH("Tracker",G404))),TRUE,FALSE),IF(ISNUMBER(SEARCH("pay",G404)),TRUE,FALSE)),"")</f>
        <v/>
      </c>
      <c r="AO404" s="145"/>
      <c r="AP404" s="159" t="str">
        <f>IF($AN404=FALSE,"",IFERROR(INDEX('Flat Rates'!$A$1:$M$3880,MATCH($AM404,'Flat Rates'!$A$1:$A$3880,0),MATCH("Standing Charge",'Flat Rates'!$A$1:$M$1,0))*100,""))</f>
        <v/>
      </c>
      <c r="AQ404" s="148" t="str">
        <f>IF($AN404=FALSE,"",IFERROR((IF(NOT(T404="Unrestricted"),"",INDEX('Flat Rates'!$A$1:$M$3880,MATCH($AM404,'Flat Rates'!$A$1:$A$3880,0),MATCH("Uni/Day Rate",'Flat Rates'!$A$1:$M$1,0)))*100)+H404,""))</f>
        <v/>
      </c>
      <c r="AR404" s="148" t="str">
        <f>IF($AN404=FALSE,"",IFERROR((IF(T404="Unrestricted","",INDEX('Flat Rates'!$A$1:$M$3880,MATCH($AM404,'Flat Rates'!$A$1:$A$3880,0),MATCH("Uni/Day Rate",'Flat Rates'!$A$1:$M$1,0)))*100)+H404,""))</f>
        <v/>
      </c>
      <c r="AS404" s="148" t="str">
        <f>IF($AN404=FALSE,"",IFERROR(IF(INDEX('Flat Rates'!$A$1:$M$3880,MATCH($AM404,'Flat Rates'!$A$1:$A$3880,0),MATCH("Night Unit Rate",'Flat Rates'!$A$1:$M$1,0))=0,"",((INDEX('Flat Rates'!$A$1:$M$3880,MATCH($AM404,'Flat Rates'!$A$1:$A$3880,0),MATCH("Night Unit Rate",'Flat Rates'!$A$1:$M$1,0)))*100)+H404),""))</f>
        <v/>
      </c>
      <c r="AT404" s="148" t="str">
        <f>IF($AN404=FALSE,"",IFERROR(IF(INDEX('Flat Rates'!$A$1:$M$3880,MATCH($AM404,'Flat Rates'!$A$1:$A$3880,0),MATCH("Evening and Weekend Rate",'Flat Rates'!$A$1:$M$1,0))=0,"",((INDEX('Flat Rates'!$A$1:$M$3880,MATCH($AM404,'Flat Rates'!$A$1:$A$3880,0),MATCH("Evening and Weekend Rate",'Flat Rates'!$A$1:$M$1,0)))*100)+H404),""))</f>
        <v/>
      </c>
      <c r="AU404" s="152" t="str">
        <f t="shared" ref="AU404:AU467" si="177">IF($AN404=FALSE,"",IF(I404="","",AE404))</f>
        <v/>
      </c>
      <c r="AV404" s="152" t="str">
        <f t="shared" ref="AV404:AV467" si="178">IF($AN404=FALSE,"",IF(AU404="","",IF(I404&lt;12000,((AE404*1.05)/12),(((I404*AF404)+AE404)*1.2)/12)))</f>
        <v/>
      </c>
      <c r="AW404" s="152" t="str">
        <f t="shared" ref="AW404:AW467" si="179">IF($AN404=FALSE,"",IF(NOT(N404="00"),"",IFERROR(((X404/100)*Y404)*12,"")))</f>
        <v/>
      </c>
    </row>
    <row r="405" spans="2:49" ht="15" thickBot="1" x14ac:dyDescent="0.35">
      <c r="B405" s="138" t="str">
        <f t="shared" si="156"/>
        <v/>
      </c>
      <c r="C405" s="137"/>
      <c r="D405" s="139"/>
      <c r="E405" s="140"/>
      <c r="F405" s="140"/>
      <c r="G405" s="139"/>
      <c r="H405" s="151"/>
      <c r="I405" s="139"/>
      <c r="J405" s="138"/>
      <c r="K405" s="139"/>
      <c r="L405" s="141"/>
      <c r="M405" s="133" t="str">
        <f t="shared" si="157"/>
        <v/>
      </c>
      <c r="N405" s="133" t="str">
        <f t="shared" si="158"/>
        <v/>
      </c>
      <c r="O405" s="133" t="str">
        <f t="shared" si="159"/>
        <v/>
      </c>
      <c r="P405" s="133" t="str">
        <f t="shared" si="160"/>
        <v/>
      </c>
      <c r="Q405" s="133" t="str">
        <f t="shared" si="161"/>
        <v/>
      </c>
      <c r="R405" s="133" t="str">
        <f t="shared" si="162"/>
        <v/>
      </c>
      <c r="S405" s="133" t="str">
        <f t="shared" si="163"/>
        <v/>
      </c>
      <c r="T405" s="133" t="str">
        <f>IFERROR(IF($U405="ERROR","ERROR",IF($N405="00",IF(J405="1-Rate","HH 1RATE",IF(J405="2-Rate","HH 2RATE","")),IFERROR(VLOOKUP(CONCATENATE(N405,Q405,O405,P405),Lookups!$A$2:$E$4557,5,0),VLOOKUP(CONCATENATE(N405,Q405,O405),Lookups!$A$2:$E$4557,5,0)))),"ERROR")</f>
        <v>ERROR</v>
      </c>
      <c r="U405" s="133" t="str">
        <f>IFERROR(IF(NOT($N405="00"),"",VLOOKUP(CONCATENATE(Q405,P405,LOOKUP(2,1/(Lookups!$I$2:$I$11&lt;=E405)/(Lookups!$J$2:$J$11&gt;=Tool!$C$14),Lookups!$K$2:$K$11)),'HH LLFs'!$A$2:$K$500,3,0)),"ERROR")</f>
        <v/>
      </c>
      <c r="V405" s="132">
        <f>Calcs!$I$2</f>
        <v>44377</v>
      </c>
      <c r="W405" s="132">
        <f>Calcs!$I$4</f>
        <v>44592</v>
      </c>
      <c r="X405" s="153" t="str">
        <f>IF(NOT(N405="00"),"",(VLOOKUP(CONCATENATE(Q405,P405,LOOKUP(2,1/(Lookups!$I$2:$I$11&lt;=Multisite!E405)/(Lookups!$J$2:$J$11&gt;=E405),Lookups!$K$2:$K$11)),'HH LLFs'!$A$2:$F$282,6,0)*365)/12)</f>
        <v/>
      </c>
      <c r="Y405" s="153">
        <f t="shared" si="164"/>
        <v>0</v>
      </c>
      <c r="Z405" s="153" t="str">
        <f t="shared" si="173"/>
        <v/>
      </c>
      <c r="AA405" s="153" t="str">
        <f t="shared" si="165"/>
        <v/>
      </c>
      <c r="AB405" s="153" t="str">
        <f t="shared" si="174"/>
        <v/>
      </c>
      <c r="AC405" s="153" t="str">
        <f t="shared" si="166"/>
        <v/>
      </c>
      <c r="AD405" s="153" t="str">
        <f t="shared" si="167"/>
        <v/>
      </c>
      <c r="AE405" s="153" t="str">
        <f t="shared" si="168"/>
        <v/>
      </c>
      <c r="AF405" s="155" t="e">
        <f>LOOKUP(2,1/(Lookups!$I$2:$I$11&lt;=E405)/(Lookups!$J$2:$J$11&gt;=E405),Lookups!$L$2:$L$11)</f>
        <v>#N/A</v>
      </c>
      <c r="AG405" s="142" t="str">
        <f t="shared" si="169"/>
        <v/>
      </c>
      <c r="AH405" s="142" t="str">
        <f t="shared" si="170"/>
        <v/>
      </c>
      <c r="AI405" s="143" t="b">
        <f t="shared" si="175"/>
        <v>0</v>
      </c>
      <c r="AJ405" s="143" t="str">
        <f t="shared" si="171"/>
        <v>Level 1</v>
      </c>
      <c r="AK405" s="142">
        <f t="shared" si="172"/>
        <v>0</v>
      </c>
      <c r="AL405" s="157" t="str">
        <f t="shared" ref="AL405:AL468" si="180">IF(F405="Renewal"," Renewal",IF(F405="Smartpay_Renewal","_Renewal",""))</f>
        <v/>
      </c>
      <c r="AM405" s="144" t="str">
        <f t="shared" ref="AM405:AM468" si="181">IF(NOT($AI405="TOU"),CONCATENATE($AG405,"-",$AH405,"-",$AI405,"-",$AK405,$AL405,IF(AJ405="Level 2",CONCATENATE(" (",AJ405,")"),"")),CONCATENATE($AG405,"-",$AH405,"-",$AI405,"-",$AK405,$AL405,IF(AJ405="Level 2",CONCATENATE(" (",AJ405,")"),"")))</f>
        <v>--FALSE-0</v>
      </c>
      <c r="AN405" s="158" t="str">
        <f t="shared" si="176"/>
        <v/>
      </c>
      <c r="AO405" s="145"/>
      <c r="AP405" s="159" t="str">
        <f>IF($AN405=FALSE,"",IFERROR(INDEX('Flat Rates'!$A$1:$M$3880,MATCH($AM405,'Flat Rates'!$A$1:$A$3880,0),MATCH("Standing Charge",'Flat Rates'!$A$1:$M$1,0))*100,""))</f>
        <v/>
      </c>
      <c r="AQ405" s="148" t="str">
        <f>IF($AN405=FALSE,"",IFERROR((IF(NOT(T405="Unrestricted"),"",INDEX('Flat Rates'!$A$1:$M$3880,MATCH($AM405,'Flat Rates'!$A$1:$A$3880,0),MATCH("Uni/Day Rate",'Flat Rates'!$A$1:$M$1,0)))*100)+H405,""))</f>
        <v/>
      </c>
      <c r="AR405" s="148" t="str">
        <f>IF($AN405=FALSE,"",IFERROR((IF(T405="Unrestricted","",INDEX('Flat Rates'!$A$1:$M$3880,MATCH($AM405,'Flat Rates'!$A$1:$A$3880,0),MATCH("Uni/Day Rate",'Flat Rates'!$A$1:$M$1,0)))*100)+H405,""))</f>
        <v/>
      </c>
      <c r="AS405" s="148" t="str">
        <f>IF($AN405=FALSE,"",IFERROR(IF(INDEX('Flat Rates'!$A$1:$M$3880,MATCH($AM405,'Flat Rates'!$A$1:$A$3880,0),MATCH("Night Unit Rate",'Flat Rates'!$A$1:$M$1,0))=0,"",((INDEX('Flat Rates'!$A$1:$M$3880,MATCH($AM405,'Flat Rates'!$A$1:$A$3880,0),MATCH("Night Unit Rate",'Flat Rates'!$A$1:$M$1,0)))*100)+H405),""))</f>
        <v/>
      </c>
      <c r="AT405" s="148" t="str">
        <f>IF($AN405=FALSE,"",IFERROR(IF(INDEX('Flat Rates'!$A$1:$M$3880,MATCH($AM405,'Flat Rates'!$A$1:$A$3880,0),MATCH("Evening and Weekend Rate",'Flat Rates'!$A$1:$M$1,0))=0,"",((INDEX('Flat Rates'!$A$1:$M$3880,MATCH($AM405,'Flat Rates'!$A$1:$A$3880,0),MATCH("Evening and Weekend Rate",'Flat Rates'!$A$1:$M$1,0)))*100)+H405),""))</f>
        <v/>
      </c>
      <c r="AU405" s="152" t="str">
        <f t="shared" si="177"/>
        <v/>
      </c>
      <c r="AV405" s="152" t="str">
        <f t="shared" si="178"/>
        <v/>
      </c>
      <c r="AW405" s="152" t="str">
        <f t="shared" si="179"/>
        <v/>
      </c>
    </row>
    <row r="406" spans="2:49" ht="15" thickBot="1" x14ac:dyDescent="0.35">
      <c r="B406" s="138" t="str">
        <f t="shared" si="156"/>
        <v/>
      </c>
      <c r="C406" s="146"/>
      <c r="D406" s="147"/>
      <c r="E406" s="140"/>
      <c r="F406" s="140"/>
      <c r="G406" s="139"/>
      <c r="H406" s="151"/>
      <c r="I406" s="139"/>
      <c r="J406" s="137"/>
      <c r="K406" s="139"/>
      <c r="L406" s="141"/>
      <c r="M406" s="133" t="str">
        <f t="shared" si="157"/>
        <v/>
      </c>
      <c r="N406" s="133" t="str">
        <f t="shared" si="158"/>
        <v/>
      </c>
      <c r="O406" s="133" t="str">
        <f t="shared" si="159"/>
        <v/>
      </c>
      <c r="P406" s="133" t="str">
        <f t="shared" si="160"/>
        <v/>
      </c>
      <c r="Q406" s="133" t="str">
        <f t="shared" si="161"/>
        <v/>
      </c>
      <c r="R406" s="133" t="str">
        <f t="shared" si="162"/>
        <v/>
      </c>
      <c r="S406" s="133" t="str">
        <f t="shared" si="163"/>
        <v/>
      </c>
      <c r="T406" s="133" t="str">
        <f>IFERROR(IF($U406="ERROR","ERROR",IF($N406="00",IF(J406="1-Rate","HH 1RATE",IF(J406="2-Rate","HH 2RATE","")),IFERROR(VLOOKUP(CONCATENATE(N406,Q406,O406,P406),Lookups!$A$2:$E$4557,5,0),VLOOKUP(CONCATENATE(N406,Q406,O406),Lookups!$A$2:$E$4557,5,0)))),"ERROR")</f>
        <v>ERROR</v>
      </c>
      <c r="U406" s="133" t="str">
        <f>IFERROR(IF(NOT($N406="00"),"",VLOOKUP(CONCATENATE(Q406,P406,LOOKUP(2,1/(Lookups!$I$2:$I$11&lt;=E406)/(Lookups!$J$2:$J$11&gt;=Tool!$C$14),Lookups!$K$2:$K$11)),'HH LLFs'!$A$2:$K$500,3,0)),"ERROR")</f>
        <v/>
      </c>
      <c r="V406" s="132">
        <f>Calcs!$I$2</f>
        <v>44377</v>
      </c>
      <c r="W406" s="132">
        <f>Calcs!$I$4</f>
        <v>44592</v>
      </c>
      <c r="X406" s="153" t="str">
        <f>IF(NOT(N406="00"),"",(VLOOKUP(CONCATENATE(Q406,P406,LOOKUP(2,1/(Lookups!$I$2:$I$11&lt;=Multisite!E406)/(Lookups!$J$2:$J$11&gt;=E406),Lookups!$K$2:$K$11)),'HH LLFs'!$A$2:$F$282,6,0)*365)/12)</f>
        <v/>
      </c>
      <c r="Y406" s="153">
        <f t="shared" si="164"/>
        <v>0</v>
      </c>
      <c r="Z406" s="153" t="str">
        <f t="shared" si="173"/>
        <v/>
      </c>
      <c r="AA406" s="153" t="str">
        <f t="shared" si="165"/>
        <v/>
      </c>
      <c r="AB406" s="153" t="str">
        <f t="shared" si="174"/>
        <v/>
      </c>
      <c r="AC406" s="153" t="str">
        <f t="shared" si="166"/>
        <v/>
      </c>
      <c r="AD406" s="153" t="str">
        <f t="shared" si="167"/>
        <v/>
      </c>
      <c r="AE406" s="153" t="str">
        <f t="shared" si="168"/>
        <v/>
      </c>
      <c r="AF406" s="155" t="e">
        <f>LOOKUP(2,1/(Lookups!$I$2:$I$11&lt;=E406)/(Lookups!$J$2:$J$11&gt;=E406),Lookups!$L$2:$L$11)</f>
        <v>#N/A</v>
      </c>
      <c r="AG406" s="142" t="str">
        <f t="shared" si="169"/>
        <v/>
      </c>
      <c r="AH406" s="142" t="str">
        <f t="shared" si="170"/>
        <v/>
      </c>
      <c r="AI406" s="143" t="b">
        <f t="shared" si="175"/>
        <v>0</v>
      </c>
      <c r="AJ406" s="143" t="str">
        <f t="shared" si="171"/>
        <v>Level 1</v>
      </c>
      <c r="AK406" s="142">
        <f t="shared" si="172"/>
        <v>0</v>
      </c>
      <c r="AL406" s="157" t="str">
        <f t="shared" si="180"/>
        <v/>
      </c>
      <c r="AM406" s="144" t="str">
        <f t="shared" si="181"/>
        <v>--FALSE-0</v>
      </c>
      <c r="AN406" s="158" t="str">
        <f t="shared" si="176"/>
        <v/>
      </c>
      <c r="AO406" s="145"/>
      <c r="AP406" s="159" t="str">
        <f>IF($AN406=FALSE,"",IFERROR(INDEX('Flat Rates'!$A$1:$M$3880,MATCH($AM406,'Flat Rates'!$A$1:$A$3880,0),MATCH("Standing Charge",'Flat Rates'!$A$1:$M$1,0))*100,""))</f>
        <v/>
      </c>
      <c r="AQ406" s="148" t="str">
        <f>IF($AN406=FALSE,"",IFERROR((IF(NOT(T406="Unrestricted"),"",INDEX('Flat Rates'!$A$1:$M$3880,MATCH($AM406,'Flat Rates'!$A$1:$A$3880,0),MATCH("Uni/Day Rate",'Flat Rates'!$A$1:$M$1,0)))*100)+H406,""))</f>
        <v/>
      </c>
      <c r="AR406" s="148" t="str">
        <f>IF($AN406=FALSE,"",IFERROR((IF(T406="Unrestricted","",INDEX('Flat Rates'!$A$1:$M$3880,MATCH($AM406,'Flat Rates'!$A$1:$A$3880,0),MATCH("Uni/Day Rate",'Flat Rates'!$A$1:$M$1,0)))*100)+H406,""))</f>
        <v/>
      </c>
      <c r="AS406" s="148" t="str">
        <f>IF($AN406=FALSE,"",IFERROR(IF(INDEX('Flat Rates'!$A$1:$M$3880,MATCH($AM406,'Flat Rates'!$A$1:$A$3880,0),MATCH("Night Unit Rate",'Flat Rates'!$A$1:$M$1,0))=0,"",((INDEX('Flat Rates'!$A$1:$M$3880,MATCH($AM406,'Flat Rates'!$A$1:$A$3880,0),MATCH("Night Unit Rate",'Flat Rates'!$A$1:$M$1,0)))*100)+H406),""))</f>
        <v/>
      </c>
      <c r="AT406" s="148" t="str">
        <f>IF($AN406=FALSE,"",IFERROR(IF(INDEX('Flat Rates'!$A$1:$M$3880,MATCH($AM406,'Flat Rates'!$A$1:$A$3880,0),MATCH("Evening and Weekend Rate",'Flat Rates'!$A$1:$M$1,0))=0,"",((INDEX('Flat Rates'!$A$1:$M$3880,MATCH($AM406,'Flat Rates'!$A$1:$A$3880,0),MATCH("Evening and Weekend Rate",'Flat Rates'!$A$1:$M$1,0)))*100)+H406),""))</f>
        <v/>
      </c>
      <c r="AU406" s="152" t="str">
        <f t="shared" si="177"/>
        <v/>
      </c>
      <c r="AV406" s="152" t="str">
        <f t="shared" si="178"/>
        <v/>
      </c>
      <c r="AW406" s="152" t="str">
        <f t="shared" si="179"/>
        <v/>
      </c>
    </row>
    <row r="407" spans="2:49" ht="15" thickBot="1" x14ac:dyDescent="0.35">
      <c r="B407" s="138" t="str">
        <f t="shared" si="156"/>
        <v/>
      </c>
      <c r="C407" s="137"/>
      <c r="D407" s="139"/>
      <c r="E407" s="140"/>
      <c r="F407" s="140"/>
      <c r="G407" s="139"/>
      <c r="H407" s="151"/>
      <c r="I407" s="139"/>
      <c r="J407" s="138"/>
      <c r="K407" s="139"/>
      <c r="L407" s="141"/>
      <c r="M407" s="133" t="str">
        <f t="shared" si="157"/>
        <v/>
      </c>
      <c r="N407" s="133" t="str">
        <f t="shared" si="158"/>
        <v/>
      </c>
      <c r="O407" s="133" t="str">
        <f t="shared" si="159"/>
        <v/>
      </c>
      <c r="P407" s="133" t="str">
        <f t="shared" si="160"/>
        <v/>
      </c>
      <c r="Q407" s="133" t="str">
        <f t="shared" si="161"/>
        <v/>
      </c>
      <c r="R407" s="133" t="str">
        <f t="shared" si="162"/>
        <v/>
      </c>
      <c r="S407" s="133" t="str">
        <f t="shared" si="163"/>
        <v/>
      </c>
      <c r="T407" s="133" t="str">
        <f>IFERROR(IF($U407="ERROR","ERROR",IF($N407="00",IF(J407="1-Rate","HH 1RATE",IF(J407="2-Rate","HH 2RATE","")),IFERROR(VLOOKUP(CONCATENATE(N407,Q407,O407,P407),Lookups!$A$2:$E$4557,5,0),VLOOKUP(CONCATENATE(N407,Q407,O407),Lookups!$A$2:$E$4557,5,0)))),"ERROR")</f>
        <v>ERROR</v>
      </c>
      <c r="U407" s="133" t="str">
        <f>IFERROR(IF(NOT($N407="00"),"",VLOOKUP(CONCATENATE(Q407,P407,LOOKUP(2,1/(Lookups!$I$2:$I$11&lt;=E407)/(Lookups!$J$2:$J$11&gt;=Tool!$C$14),Lookups!$K$2:$K$11)),'HH LLFs'!$A$2:$K$500,3,0)),"ERROR")</f>
        <v/>
      </c>
      <c r="V407" s="132">
        <f>Calcs!$I$2</f>
        <v>44377</v>
      </c>
      <c r="W407" s="132">
        <f>Calcs!$I$4</f>
        <v>44592</v>
      </c>
      <c r="X407" s="153" t="str">
        <f>IF(NOT(N407="00"),"",(VLOOKUP(CONCATENATE(Q407,P407,LOOKUP(2,1/(Lookups!$I$2:$I$11&lt;=Multisite!E407)/(Lookups!$J$2:$J$11&gt;=E407),Lookups!$K$2:$K$11)),'HH LLFs'!$A$2:$F$282,6,0)*365)/12)</f>
        <v/>
      </c>
      <c r="Y407" s="153">
        <f t="shared" si="164"/>
        <v>0</v>
      </c>
      <c r="Z407" s="153" t="str">
        <f t="shared" si="173"/>
        <v/>
      </c>
      <c r="AA407" s="153" t="str">
        <f t="shared" si="165"/>
        <v/>
      </c>
      <c r="AB407" s="153" t="str">
        <f t="shared" si="174"/>
        <v/>
      </c>
      <c r="AC407" s="153" t="str">
        <f t="shared" si="166"/>
        <v/>
      </c>
      <c r="AD407" s="153" t="str">
        <f t="shared" si="167"/>
        <v/>
      </c>
      <c r="AE407" s="153" t="str">
        <f t="shared" si="168"/>
        <v/>
      </c>
      <c r="AF407" s="155" t="e">
        <f>LOOKUP(2,1/(Lookups!$I$2:$I$11&lt;=E407)/(Lookups!$J$2:$J$11&gt;=E407),Lookups!$L$2:$L$11)</f>
        <v>#N/A</v>
      </c>
      <c r="AG407" s="142" t="str">
        <f t="shared" si="169"/>
        <v/>
      </c>
      <c r="AH407" s="142" t="str">
        <f t="shared" si="170"/>
        <v/>
      </c>
      <c r="AI407" s="143" t="b">
        <f t="shared" si="175"/>
        <v>0</v>
      </c>
      <c r="AJ407" s="143" t="str">
        <f t="shared" si="171"/>
        <v>Level 1</v>
      </c>
      <c r="AK407" s="142">
        <f t="shared" si="172"/>
        <v>0</v>
      </c>
      <c r="AL407" s="157" t="str">
        <f t="shared" si="180"/>
        <v/>
      </c>
      <c r="AM407" s="144" t="str">
        <f t="shared" si="181"/>
        <v>--FALSE-0</v>
      </c>
      <c r="AN407" s="158" t="str">
        <f t="shared" si="176"/>
        <v/>
      </c>
      <c r="AO407" s="145"/>
      <c r="AP407" s="159" t="str">
        <f>IF($AN407=FALSE,"",IFERROR(INDEX('Flat Rates'!$A$1:$M$3880,MATCH($AM407,'Flat Rates'!$A$1:$A$3880,0),MATCH("Standing Charge",'Flat Rates'!$A$1:$M$1,0))*100,""))</f>
        <v/>
      </c>
      <c r="AQ407" s="148" t="str">
        <f>IF($AN407=FALSE,"",IFERROR((IF(NOT(T407="Unrestricted"),"",INDEX('Flat Rates'!$A$1:$M$3880,MATCH($AM407,'Flat Rates'!$A$1:$A$3880,0),MATCH("Uni/Day Rate",'Flat Rates'!$A$1:$M$1,0)))*100)+H407,""))</f>
        <v/>
      </c>
      <c r="AR407" s="148" t="str">
        <f>IF($AN407=FALSE,"",IFERROR((IF(T407="Unrestricted","",INDEX('Flat Rates'!$A$1:$M$3880,MATCH($AM407,'Flat Rates'!$A$1:$A$3880,0),MATCH("Uni/Day Rate",'Flat Rates'!$A$1:$M$1,0)))*100)+H407,""))</f>
        <v/>
      </c>
      <c r="AS407" s="148" t="str">
        <f>IF($AN407=FALSE,"",IFERROR(IF(INDEX('Flat Rates'!$A$1:$M$3880,MATCH($AM407,'Flat Rates'!$A$1:$A$3880,0),MATCH("Night Unit Rate",'Flat Rates'!$A$1:$M$1,0))=0,"",((INDEX('Flat Rates'!$A$1:$M$3880,MATCH($AM407,'Flat Rates'!$A$1:$A$3880,0),MATCH("Night Unit Rate",'Flat Rates'!$A$1:$M$1,0)))*100)+H407),""))</f>
        <v/>
      </c>
      <c r="AT407" s="148" t="str">
        <f>IF($AN407=FALSE,"",IFERROR(IF(INDEX('Flat Rates'!$A$1:$M$3880,MATCH($AM407,'Flat Rates'!$A$1:$A$3880,0),MATCH("Evening and Weekend Rate",'Flat Rates'!$A$1:$M$1,0))=0,"",((INDEX('Flat Rates'!$A$1:$M$3880,MATCH($AM407,'Flat Rates'!$A$1:$A$3880,0),MATCH("Evening and Weekend Rate",'Flat Rates'!$A$1:$M$1,0)))*100)+H407),""))</f>
        <v/>
      </c>
      <c r="AU407" s="152" t="str">
        <f t="shared" si="177"/>
        <v/>
      </c>
      <c r="AV407" s="152" t="str">
        <f t="shared" si="178"/>
        <v/>
      </c>
      <c r="AW407" s="152" t="str">
        <f t="shared" si="179"/>
        <v/>
      </c>
    </row>
    <row r="408" spans="2:49" ht="15" thickBot="1" x14ac:dyDescent="0.35">
      <c r="B408" s="138" t="str">
        <f t="shared" si="156"/>
        <v/>
      </c>
      <c r="C408" s="146"/>
      <c r="D408" s="147"/>
      <c r="E408" s="140"/>
      <c r="F408" s="140"/>
      <c r="G408" s="139"/>
      <c r="H408" s="151"/>
      <c r="I408" s="139"/>
      <c r="J408" s="137"/>
      <c r="K408" s="139"/>
      <c r="L408" s="141"/>
      <c r="M408" s="133" t="str">
        <f t="shared" si="157"/>
        <v/>
      </c>
      <c r="N408" s="133" t="str">
        <f t="shared" si="158"/>
        <v/>
      </c>
      <c r="O408" s="133" t="str">
        <f t="shared" si="159"/>
        <v/>
      </c>
      <c r="P408" s="133" t="str">
        <f t="shared" si="160"/>
        <v/>
      </c>
      <c r="Q408" s="133" t="str">
        <f t="shared" si="161"/>
        <v/>
      </c>
      <c r="R408" s="133" t="str">
        <f t="shared" si="162"/>
        <v/>
      </c>
      <c r="S408" s="133" t="str">
        <f t="shared" si="163"/>
        <v/>
      </c>
      <c r="T408" s="133" t="str">
        <f>IFERROR(IF($U408="ERROR","ERROR",IF($N408="00",IF(J408="1-Rate","HH 1RATE",IF(J408="2-Rate","HH 2RATE","")),IFERROR(VLOOKUP(CONCATENATE(N408,Q408,O408,P408),Lookups!$A$2:$E$4557,5,0),VLOOKUP(CONCATENATE(N408,Q408,O408),Lookups!$A$2:$E$4557,5,0)))),"ERROR")</f>
        <v>ERROR</v>
      </c>
      <c r="U408" s="133" t="str">
        <f>IFERROR(IF(NOT($N408="00"),"",VLOOKUP(CONCATENATE(Q408,P408,LOOKUP(2,1/(Lookups!$I$2:$I$11&lt;=E408)/(Lookups!$J$2:$J$11&gt;=Tool!$C$14),Lookups!$K$2:$K$11)),'HH LLFs'!$A$2:$K$500,3,0)),"ERROR")</f>
        <v/>
      </c>
      <c r="V408" s="132">
        <f>Calcs!$I$2</f>
        <v>44377</v>
      </c>
      <c r="W408" s="132">
        <f>Calcs!$I$4</f>
        <v>44592</v>
      </c>
      <c r="X408" s="153" t="str">
        <f>IF(NOT(N408="00"),"",(VLOOKUP(CONCATENATE(Q408,P408,LOOKUP(2,1/(Lookups!$I$2:$I$11&lt;=Multisite!E408)/(Lookups!$J$2:$J$11&gt;=E408),Lookups!$K$2:$K$11)),'HH LLFs'!$A$2:$F$282,6,0)*365)/12)</f>
        <v/>
      </c>
      <c r="Y408" s="153">
        <f t="shared" si="164"/>
        <v>0</v>
      </c>
      <c r="Z408" s="153" t="str">
        <f t="shared" si="173"/>
        <v/>
      </c>
      <c r="AA408" s="153" t="str">
        <f t="shared" si="165"/>
        <v/>
      </c>
      <c r="AB408" s="153" t="str">
        <f t="shared" si="174"/>
        <v/>
      </c>
      <c r="AC408" s="153" t="str">
        <f t="shared" si="166"/>
        <v/>
      </c>
      <c r="AD408" s="153" t="str">
        <f t="shared" si="167"/>
        <v/>
      </c>
      <c r="AE408" s="153" t="str">
        <f t="shared" si="168"/>
        <v/>
      </c>
      <c r="AF408" s="155" t="e">
        <f>LOOKUP(2,1/(Lookups!$I$2:$I$11&lt;=E408)/(Lookups!$J$2:$J$11&gt;=E408),Lookups!$L$2:$L$11)</f>
        <v>#N/A</v>
      </c>
      <c r="AG408" s="142" t="str">
        <f t="shared" si="169"/>
        <v/>
      </c>
      <c r="AH408" s="142" t="str">
        <f t="shared" si="170"/>
        <v/>
      </c>
      <c r="AI408" s="143" t="b">
        <f t="shared" si="175"/>
        <v>0</v>
      </c>
      <c r="AJ408" s="143" t="str">
        <f t="shared" si="171"/>
        <v>Level 1</v>
      </c>
      <c r="AK408" s="142">
        <f t="shared" si="172"/>
        <v>0</v>
      </c>
      <c r="AL408" s="157" t="str">
        <f t="shared" si="180"/>
        <v/>
      </c>
      <c r="AM408" s="144" t="str">
        <f t="shared" si="181"/>
        <v>--FALSE-0</v>
      </c>
      <c r="AN408" s="158" t="str">
        <f t="shared" si="176"/>
        <v/>
      </c>
      <c r="AO408" s="145"/>
      <c r="AP408" s="159" t="str">
        <f>IF($AN408=FALSE,"",IFERROR(INDEX('Flat Rates'!$A$1:$M$3880,MATCH($AM408,'Flat Rates'!$A$1:$A$3880,0),MATCH("Standing Charge",'Flat Rates'!$A$1:$M$1,0))*100,""))</f>
        <v/>
      </c>
      <c r="AQ408" s="148" t="str">
        <f>IF($AN408=FALSE,"",IFERROR((IF(NOT(T408="Unrestricted"),"",INDEX('Flat Rates'!$A$1:$M$3880,MATCH($AM408,'Flat Rates'!$A$1:$A$3880,0),MATCH("Uni/Day Rate",'Flat Rates'!$A$1:$M$1,0)))*100)+H408,""))</f>
        <v/>
      </c>
      <c r="AR408" s="148" t="str">
        <f>IF($AN408=FALSE,"",IFERROR((IF(T408="Unrestricted","",INDEX('Flat Rates'!$A$1:$M$3880,MATCH($AM408,'Flat Rates'!$A$1:$A$3880,0),MATCH("Uni/Day Rate",'Flat Rates'!$A$1:$M$1,0)))*100)+H408,""))</f>
        <v/>
      </c>
      <c r="AS408" s="148" t="str">
        <f>IF($AN408=FALSE,"",IFERROR(IF(INDEX('Flat Rates'!$A$1:$M$3880,MATCH($AM408,'Flat Rates'!$A$1:$A$3880,0),MATCH("Night Unit Rate",'Flat Rates'!$A$1:$M$1,0))=0,"",((INDEX('Flat Rates'!$A$1:$M$3880,MATCH($AM408,'Flat Rates'!$A$1:$A$3880,0),MATCH("Night Unit Rate",'Flat Rates'!$A$1:$M$1,0)))*100)+H408),""))</f>
        <v/>
      </c>
      <c r="AT408" s="148" t="str">
        <f>IF($AN408=FALSE,"",IFERROR(IF(INDEX('Flat Rates'!$A$1:$M$3880,MATCH($AM408,'Flat Rates'!$A$1:$A$3880,0),MATCH("Evening and Weekend Rate",'Flat Rates'!$A$1:$M$1,0))=0,"",((INDEX('Flat Rates'!$A$1:$M$3880,MATCH($AM408,'Flat Rates'!$A$1:$A$3880,0),MATCH("Evening and Weekend Rate",'Flat Rates'!$A$1:$M$1,0)))*100)+H408),""))</f>
        <v/>
      </c>
      <c r="AU408" s="152" t="str">
        <f t="shared" si="177"/>
        <v/>
      </c>
      <c r="AV408" s="152" t="str">
        <f t="shared" si="178"/>
        <v/>
      </c>
      <c r="AW408" s="152" t="str">
        <f t="shared" si="179"/>
        <v/>
      </c>
    </row>
    <row r="409" spans="2:49" ht="15" thickBot="1" x14ac:dyDescent="0.35">
      <c r="B409" s="138" t="str">
        <f t="shared" si="156"/>
        <v/>
      </c>
      <c r="C409" s="137"/>
      <c r="D409" s="139"/>
      <c r="E409" s="140"/>
      <c r="F409" s="140"/>
      <c r="G409" s="139"/>
      <c r="H409" s="151"/>
      <c r="I409" s="139"/>
      <c r="J409" s="138"/>
      <c r="K409" s="139"/>
      <c r="L409" s="141"/>
      <c r="M409" s="133" t="str">
        <f t="shared" si="157"/>
        <v/>
      </c>
      <c r="N409" s="133" t="str">
        <f t="shared" si="158"/>
        <v/>
      </c>
      <c r="O409" s="133" t="str">
        <f t="shared" si="159"/>
        <v/>
      </c>
      <c r="P409" s="133" t="str">
        <f t="shared" si="160"/>
        <v/>
      </c>
      <c r="Q409" s="133" t="str">
        <f t="shared" si="161"/>
        <v/>
      </c>
      <c r="R409" s="133" t="str">
        <f t="shared" si="162"/>
        <v/>
      </c>
      <c r="S409" s="133" t="str">
        <f t="shared" si="163"/>
        <v/>
      </c>
      <c r="T409" s="133" t="str">
        <f>IFERROR(IF($U409="ERROR","ERROR",IF($N409="00",IF(J409="1-Rate","HH 1RATE",IF(J409="2-Rate","HH 2RATE","")),IFERROR(VLOOKUP(CONCATENATE(N409,Q409,O409,P409),Lookups!$A$2:$E$4557,5,0),VLOOKUP(CONCATENATE(N409,Q409,O409),Lookups!$A$2:$E$4557,5,0)))),"ERROR")</f>
        <v>ERROR</v>
      </c>
      <c r="U409" s="133" t="str">
        <f>IFERROR(IF(NOT($N409="00"),"",VLOOKUP(CONCATENATE(Q409,P409,LOOKUP(2,1/(Lookups!$I$2:$I$11&lt;=E409)/(Lookups!$J$2:$J$11&gt;=Tool!$C$14),Lookups!$K$2:$K$11)),'HH LLFs'!$A$2:$K$500,3,0)),"ERROR")</f>
        <v/>
      </c>
      <c r="V409" s="132">
        <f>Calcs!$I$2</f>
        <v>44377</v>
      </c>
      <c r="W409" s="132">
        <f>Calcs!$I$4</f>
        <v>44592</v>
      </c>
      <c r="X409" s="153" t="str">
        <f>IF(NOT(N409="00"),"",(VLOOKUP(CONCATENATE(Q409,P409,LOOKUP(2,1/(Lookups!$I$2:$I$11&lt;=Multisite!E409)/(Lookups!$J$2:$J$11&gt;=E409),Lookups!$K$2:$K$11)),'HH LLFs'!$A$2:$F$282,6,0)*365)/12)</f>
        <v/>
      </c>
      <c r="Y409" s="153">
        <f t="shared" si="164"/>
        <v>0</v>
      </c>
      <c r="Z409" s="153" t="str">
        <f t="shared" si="173"/>
        <v/>
      </c>
      <c r="AA409" s="153" t="str">
        <f t="shared" si="165"/>
        <v/>
      </c>
      <c r="AB409" s="153" t="str">
        <f t="shared" si="174"/>
        <v/>
      </c>
      <c r="AC409" s="153" t="str">
        <f t="shared" si="166"/>
        <v/>
      </c>
      <c r="AD409" s="153" t="str">
        <f t="shared" si="167"/>
        <v/>
      </c>
      <c r="AE409" s="153" t="str">
        <f t="shared" si="168"/>
        <v/>
      </c>
      <c r="AF409" s="155" t="e">
        <f>LOOKUP(2,1/(Lookups!$I$2:$I$11&lt;=E409)/(Lookups!$J$2:$J$11&gt;=E409),Lookups!$L$2:$L$11)</f>
        <v>#N/A</v>
      </c>
      <c r="AG409" s="142" t="str">
        <f t="shared" si="169"/>
        <v/>
      </c>
      <c r="AH409" s="142" t="str">
        <f t="shared" si="170"/>
        <v/>
      </c>
      <c r="AI409" s="143" t="b">
        <f t="shared" si="175"/>
        <v>0</v>
      </c>
      <c r="AJ409" s="143" t="str">
        <f t="shared" si="171"/>
        <v>Level 1</v>
      </c>
      <c r="AK409" s="142">
        <f t="shared" si="172"/>
        <v>0</v>
      </c>
      <c r="AL409" s="157" t="str">
        <f t="shared" si="180"/>
        <v/>
      </c>
      <c r="AM409" s="144" t="str">
        <f t="shared" si="181"/>
        <v>--FALSE-0</v>
      </c>
      <c r="AN409" s="158" t="str">
        <f t="shared" si="176"/>
        <v/>
      </c>
      <c r="AO409" s="145"/>
      <c r="AP409" s="159" t="str">
        <f>IF($AN409=FALSE,"",IFERROR(INDEX('Flat Rates'!$A$1:$M$3880,MATCH($AM409,'Flat Rates'!$A$1:$A$3880,0),MATCH("Standing Charge",'Flat Rates'!$A$1:$M$1,0))*100,""))</f>
        <v/>
      </c>
      <c r="AQ409" s="148" t="str">
        <f>IF($AN409=FALSE,"",IFERROR((IF(NOT(T409="Unrestricted"),"",INDEX('Flat Rates'!$A$1:$M$3880,MATCH($AM409,'Flat Rates'!$A$1:$A$3880,0),MATCH("Uni/Day Rate",'Flat Rates'!$A$1:$M$1,0)))*100)+H409,""))</f>
        <v/>
      </c>
      <c r="AR409" s="148" t="str">
        <f>IF($AN409=FALSE,"",IFERROR((IF(T409="Unrestricted","",INDEX('Flat Rates'!$A$1:$M$3880,MATCH($AM409,'Flat Rates'!$A$1:$A$3880,0),MATCH("Uni/Day Rate",'Flat Rates'!$A$1:$M$1,0)))*100)+H409,""))</f>
        <v/>
      </c>
      <c r="AS409" s="148" t="str">
        <f>IF($AN409=FALSE,"",IFERROR(IF(INDEX('Flat Rates'!$A$1:$M$3880,MATCH($AM409,'Flat Rates'!$A$1:$A$3880,0),MATCH("Night Unit Rate",'Flat Rates'!$A$1:$M$1,0))=0,"",((INDEX('Flat Rates'!$A$1:$M$3880,MATCH($AM409,'Flat Rates'!$A$1:$A$3880,0),MATCH("Night Unit Rate",'Flat Rates'!$A$1:$M$1,0)))*100)+H409),""))</f>
        <v/>
      </c>
      <c r="AT409" s="148" t="str">
        <f>IF($AN409=FALSE,"",IFERROR(IF(INDEX('Flat Rates'!$A$1:$M$3880,MATCH($AM409,'Flat Rates'!$A$1:$A$3880,0),MATCH("Evening and Weekend Rate",'Flat Rates'!$A$1:$M$1,0))=0,"",((INDEX('Flat Rates'!$A$1:$M$3880,MATCH($AM409,'Flat Rates'!$A$1:$A$3880,0),MATCH("Evening and Weekend Rate",'Flat Rates'!$A$1:$M$1,0)))*100)+H409),""))</f>
        <v/>
      </c>
      <c r="AU409" s="152" t="str">
        <f t="shared" si="177"/>
        <v/>
      </c>
      <c r="AV409" s="152" t="str">
        <f t="shared" si="178"/>
        <v/>
      </c>
      <c r="AW409" s="152" t="str">
        <f t="shared" si="179"/>
        <v/>
      </c>
    </row>
    <row r="410" spans="2:49" ht="15" thickBot="1" x14ac:dyDescent="0.35">
      <c r="B410" s="138" t="str">
        <f t="shared" si="156"/>
        <v/>
      </c>
      <c r="C410" s="146"/>
      <c r="D410" s="147"/>
      <c r="E410" s="140"/>
      <c r="F410" s="140"/>
      <c r="G410" s="139"/>
      <c r="H410" s="151"/>
      <c r="I410" s="139"/>
      <c r="J410" s="137"/>
      <c r="K410" s="139"/>
      <c r="L410" s="141"/>
      <c r="M410" s="133" t="str">
        <f t="shared" si="157"/>
        <v/>
      </c>
      <c r="N410" s="133" t="str">
        <f t="shared" si="158"/>
        <v/>
      </c>
      <c r="O410" s="133" t="str">
        <f t="shared" si="159"/>
        <v/>
      </c>
      <c r="P410" s="133" t="str">
        <f t="shared" si="160"/>
        <v/>
      </c>
      <c r="Q410" s="133" t="str">
        <f t="shared" si="161"/>
        <v/>
      </c>
      <c r="R410" s="133" t="str">
        <f t="shared" si="162"/>
        <v/>
      </c>
      <c r="S410" s="133" t="str">
        <f t="shared" si="163"/>
        <v/>
      </c>
      <c r="T410" s="133" t="str">
        <f>IFERROR(IF($U410="ERROR","ERROR",IF($N410="00",IF(J410="1-Rate","HH 1RATE",IF(J410="2-Rate","HH 2RATE","")),IFERROR(VLOOKUP(CONCATENATE(N410,Q410,O410,P410),Lookups!$A$2:$E$4557,5,0),VLOOKUP(CONCATENATE(N410,Q410,O410),Lookups!$A$2:$E$4557,5,0)))),"ERROR")</f>
        <v>ERROR</v>
      </c>
      <c r="U410" s="133" t="str">
        <f>IFERROR(IF(NOT($N410="00"),"",VLOOKUP(CONCATENATE(Q410,P410,LOOKUP(2,1/(Lookups!$I$2:$I$11&lt;=E410)/(Lookups!$J$2:$J$11&gt;=Tool!$C$14),Lookups!$K$2:$K$11)),'HH LLFs'!$A$2:$K$500,3,0)),"ERROR")</f>
        <v/>
      </c>
      <c r="V410" s="132">
        <f>Calcs!$I$2</f>
        <v>44377</v>
      </c>
      <c r="W410" s="132">
        <f>Calcs!$I$4</f>
        <v>44592</v>
      </c>
      <c r="X410" s="153" t="str">
        <f>IF(NOT(N410="00"),"",(VLOOKUP(CONCATENATE(Q410,P410,LOOKUP(2,1/(Lookups!$I$2:$I$11&lt;=Multisite!E410)/(Lookups!$J$2:$J$11&gt;=E410),Lookups!$K$2:$K$11)),'HH LLFs'!$A$2:$F$282,6,0)*365)/12)</f>
        <v/>
      </c>
      <c r="Y410" s="153">
        <f t="shared" si="164"/>
        <v>0</v>
      </c>
      <c r="Z410" s="153" t="str">
        <f t="shared" si="173"/>
        <v/>
      </c>
      <c r="AA410" s="153" t="str">
        <f t="shared" si="165"/>
        <v/>
      </c>
      <c r="AB410" s="153" t="str">
        <f t="shared" si="174"/>
        <v/>
      </c>
      <c r="AC410" s="153" t="str">
        <f t="shared" si="166"/>
        <v/>
      </c>
      <c r="AD410" s="153" t="str">
        <f t="shared" si="167"/>
        <v/>
      </c>
      <c r="AE410" s="153" t="str">
        <f t="shared" si="168"/>
        <v/>
      </c>
      <c r="AF410" s="155" t="e">
        <f>LOOKUP(2,1/(Lookups!$I$2:$I$11&lt;=E410)/(Lookups!$J$2:$J$11&gt;=E410),Lookups!$L$2:$L$11)</f>
        <v>#N/A</v>
      </c>
      <c r="AG410" s="142" t="str">
        <f t="shared" si="169"/>
        <v/>
      </c>
      <c r="AH410" s="142" t="str">
        <f t="shared" si="170"/>
        <v/>
      </c>
      <c r="AI410" s="143" t="b">
        <f t="shared" si="175"/>
        <v>0</v>
      </c>
      <c r="AJ410" s="143" t="str">
        <f t="shared" si="171"/>
        <v>Level 1</v>
      </c>
      <c r="AK410" s="142">
        <f t="shared" si="172"/>
        <v>0</v>
      </c>
      <c r="AL410" s="157" t="str">
        <f t="shared" si="180"/>
        <v/>
      </c>
      <c r="AM410" s="144" t="str">
        <f t="shared" si="181"/>
        <v>--FALSE-0</v>
      </c>
      <c r="AN410" s="158" t="str">
        <f t="shared" si="176"/>
        <v/>
      </c>
      <c r="AO410" s="145"/>
      <c r="AP410" s="159" t="str">
        <f>IF($AN410=FALSE,"",IFERROR(INDEX('Flat Rates'!$A$1:$M$3880,MATCH($AM410,'Flat Rates'!$A$1:$A$3880,0),MATCH("Standing Charge",'Flat Rates'!$A$1:$M$1,0))*100,""))</f>
        <v/>
      </c>
      <c r="AQ410" s="148" t="str">
        <f>IF($AN410=FALSE,"",IFERROR((IF(NOT(T410="Unrestricted"),"",INDEX('Flat Rates'!$A$1:$M$3880,MATCH($AM410,'Flat Rates'!$A$1:$A$3880,0),MATCH("Uni/Day Rate",'Flat Rates'!$A$1:$M$1,0)))*100)+H410,""))</f>
        <v/>
      </c>
      <c r="AR410" s="148" t="str">
        <f>IF($AN410=FALSE,"",IFERROR((IF(T410="Unrestricted","",INDEX('Flat Rates'!$A$1:$M$3880,MATCH($AM410,'Flat Rates'!$A$1:$A$3880,0),MATCH("Uni/Day Rate",'Flat Rates'!$A$1:$M$1,0)))*100)+H410,""))</f>
        <v/>
      </c>
      <c r="AS410" s="148" t="str">
        <f>IF($AN410=FALSE,"",IFERROR(IF(INDEX('Flat Rates'!$A$1:$M$3880,MATCH($AM410,'Flat Rates'!$A$1:$A$3880,0),MATCH("Night Unit Rate",'Flat Rates'!$A$1:$M$1,0))=0,"",((INDEX('Flat Rates'!$A$1:$M$3880,MATCH($AM410,'Flat Rates'!$A$1:$A$3880,0),MATCH("Night Unit Rate",'Flat Rates'!$A$1:$M$1,0)))*100)+H410),""))</f>
        <v/>
      </c>
      <c r="AT410" s="148" t="str">
        <f>IF($AN410=FALSE,"",IFERROR(IF(INDEX('Flat Rates'!$A$1:$M$3880,MATCH($AM410,'Flat Rates'!$A$1:$A$3880,0),MATCH("Evening and Weekend Rate",'Flat Rates'!$A$1:$M$1,0))=0,"",((INDEX('Flat Rates'!$A$1:$M$3880,MATCH($AM410,'Flat Rates'!$A$1:$A$3880,0),MATCH("Evening and Weekend Rate",'Flat Rates'!$A$1:$M$1,0)))*100)+H410),""))</f>
        <v/>
      </c>
      <c r="AU410" s="152" t="str">
        <f t="shared" si="177"/>
        <v/>
      </c>
      <c r="AV410" s="152" t="str">
        <f t="shared" si="178"/>
        <v/>
      </c>
      <c r="AW410" s="152" t="str">
        <f t="shared" si="179"/>
        <v/>
      </c>
    </row>
    <row r="411" spans="2:49" ht="15" thickBot="1" x14ac:dyDescent="0.35">
      <c r="B411" s="138" t="str">
        <f t="shared" si="156"/>
        <v/>
      </c>
      <c r="C411" s="137"/>
      <c r="D411" s="139"/>
      <c r="E411" s="140"/>
      <c r="F411" s="140"/>
      <c r="G411" s="139"/>
      <c r="H411" s="151"/>
      <c r="I411" s="139"/>
      <c r="J411" s="138"/>
      <c r="K411" s="139"/>
      <c r="L411" s="141"/>
      <c r="M411" s="133" t="str">
        <f t="shared" si="157"/>
        <v/>
      </c>
      <c r="N411" s="133" t="str">
        <f t="shared" si="158"/>
        <v/>
      </c>
      <c r="O411" s="133" t="str">
        <f t="shared" si="159"/>
        <v/>
      </c>
      <c r="P411" s="133" t="str">
        <f t="shared" si="160"/>
        <v/>
      </c>
      <c r="Q411" s="133" t="str">
        <f t="shared" si="161"/>
        <v/>
      </c>
      <c r="R411" s="133" t="str">
        <f t="shared" si="162"/>
        <v/>
      </c>
      <c r="S411" s="133" t="str">
        <f t="shared" si="163"/>
        <v/>
      </c>
      <c r="T411" s="133" t="str">
        <f>IFERROR(IF($U411="ERROR","ERROR",IF($N411="00",IF(J411="1-Rate","HH 1RATE",IF(J411="2-Rate","HH 2RATE","")),IFERROR(VLOOKUP(CONCATENATE(N411,Q411,O411,P411),Lookups!$A$2:$E$4557,5,0),VLOOKUP(CONCATENATE(N411,Q411,O411),Lookups!$A$2:$E$4557,5,0)))),"ERROR")</f>
        <v>ERROR</v>
      </c>
      <c r="U411" s="133" t="str">
        <f>IFERROR(IF(NOT($N411="00"),"",VLOOKUP(CONCATENATE(Q411,P411,LOOKUP(2,1/(Lookups!$I$2:$I$11&lt;=E411)/(Lookups!$J$2:$J$11&gt;=Tool!$C$14),Lookups!$K$2:$K$11)),'HH LLFs'!$A$2:$K$500,3,0)),"ERROR")</f>
        <v/>
      </c>
      <c r="V411" s="132">
        <f>Calcs!$I$2</f>
        <v>44377</v>
      </c>
      <c r="W411" s="132">
        <f>Calcs!$I$4</f>
        <v>44592</v>
      </c>
      <c r="X411" s="153" t="str">
        <f>IF(NOT(N411="00"),"",(VLOOKUP(CONCATENATE(Q411,P411,LOOKUP(2,1/(Lookups!$I$2:$I$11&lt;=Multisite!E411)/(Lookups!$J$2:$J$11&gt;=E411),Lookups!$K$2:$K$11)),'HH LLFs'!$A$2:$F$282,6,0)*365)/12)</f>
        <v/>
      </c>
      <c r="Y411" s="153">
        <f t="shared" si="164"/>
        <v>0</v>
      </c>
      <c r="Z411" s="153" t="str">
        <f t="shared" si="173"/>
        <v/>
      </c>
      <c r="AA411" s="153" t="str">
        <f t="shared" si="165"/>
        <v/>
      </c>
      <c r="AB411" s="153" t="str">
        <f t="shared" si="174"/>
        <v/>
      </c>
      <c r="AC411" s="153" t="str">
        <f t="shared" si="166"/>
        <v/>
      </c>
      <c r="AD411" s="153" t="str">
        <f t="shared" si="167"/>
        <v/>
      </c>
      <c r="AE411" s="153" t="str">
        <f t="shared" si="168"/>
        <v/>
      </c>
      <c r="AF411" s="155" t="e">
        <f>LOOKUP(2,1/(Lookups!$I$2:$I$11&lt;=E411)/(Lookups!$J$2:$J$11&gt;=E411),Lookups!$L$2:$L$11)</f>
        <v>#N/A</v>
      </c>
      <c r="AG411" s="142" t="str">
        <f t="shared" si="169"/>
        <v/>
      </c>
      <c r="AH411" s="142" t="str">
        <f t="shared" si="170"/>
        <v/>
      </c>
      <c r="AI411" s="143" t="b">
        <f t="shared" si="175"/>
        <v>0</v>
      </c>
      <c r="AJ411" s="143" t="str">
        <f t="shared" si="171"/>
        <v>Level 1</v>
      </c>
      <c r="AK411" s="142">
        <f t="shared" si="172"/>
        <v>0</v>
      </c>
      <c r="AL411" s="157" t="str">
        <f t="shared" si="180"/>
        <v/>
      </c>
      <c r="AM411" s="144" t="str">
        <f t="shared" si="181"/>
        <v>--FALSE-0</v>
      </c>
      <c r="AN411" s="158" t="str">
        <f t="shared" si="176"/>
        <v/>
      </c>
      <c r="AO411" s="145"/>
      <c r="AP411" s="159" t="str">
        <f>IF($AN411=FALSE,"",IFERROR(INDEX('Flat Rates'!$A$1:$M$3880,MATCH($AM411,'Flat Rates'!$A$1:$A$3880,0),MATCH("Standing Charge",'Flat Rates'!$A$1:$M$1,0))*100,""))</f>
        <v/>
      </c>
      <c r="AQ411" s="148" t="str">
        <f>IF($AN411=FALSE,"",IFERROR((IF(NOT(T411="Unrestricted"),"",INDEX('Flat Rates'!$A$1:$M$3880,MATCH($AM411,'Flat Rates'!$A$1:$A$3880,0),MATCH("Uni/Day Rate",'Flat Rates'!$A$1:$M$1,0)))*100)+H411,""))</f>
        <v/>
      </c>
      <c r="AR411" s="148" t="str">
        <f>IF($AN411=FALSE,"",IFERROR((IF(T411="Unrestricted","",INDEX('Flat Rates'!$A$1:$M$3880,MATCH($AM411,'Flat Rates'!$A$1:$A$3880,0),MATCH("Uni/Day Rate",'Flat Rates'!$A$1:$M$1,0)))*100)+H411,""))</f>
        <v/>
      </c>
      <c r="AS411" s="148" t="str">
        <f>IF($AN411=FALSE,"",IFERROR(IF(INDEX('Flat Rates'!$A$1:$M$3880,MATCH($AM411,'Flat Rates'!$A$1:$A$3880,0),MATCH("Night Unit Rate",'Flat Rates'!$A$1:$M$1,0))=0,"",((INDEX('Flat Rates'!$A$1:$M$3880,MATCH($AM411,'Flat Rates'!$A$1:$A$3880,0),MATCH("Night Unit Rate",'Flat Rates'!$A$1:$M$1,0)))*100)+H411),""))</f>
        <v/>
      </c>
      <c r="AT411" s="148" t="str">
        <f>IF($AN411=FALSE,"",IFERROR(IF(INDEX('Flat Rates'!$A$1:$M$3880,MATCH($AM411,'Flat Rates'!$A$1:$A$3880,0),MATCH("Evening and Weekend Rate",'Flat Rates'!$A$1:$M$1,0))=0,"",((INDEX('Flat Rates'!$A$1:$M$3880,MATCH($AM411,'Flat Rates'!$A$1:$A$3880,0),MATCH("Evening and Weekend Rate",'Flat Rates'!$A$1:$M$1,0)))*100)+H411),""))</f>
        <v/>
      </c>
      <c r="AU411" s="152" t="str">
        <f t="shared" si="177"/>
        <v/>
      </c>
      <c r="AV411" s="152" t="str">
        <f t="shared" si="178"/>
        <v/>
      </c>
      <c r="AW411" s="152" t="str">
        <f t="shared" si="179"/>
        <v/>
      </c>
    </row>
    <row r="412" spans="2:49" ht="15" thickBot="1" x14ac:dyDescent="0.35">
      <c r="B412" s="138" t="str">
        <f t="shared" si="156"/>
        <v/>
      </c>
      <c r="C412" s="146"/>
      <c r="D412" s="147"/>
      <c r="E412" s="140"/>
      <c r="F412" s="140"/>
      <c r="G412" s="139"/>
      <c r="H412" s="151"/>
      <c r="I412" s="139"/>
      <c r="J412" s="137"/>
      <c r="K412" s="139"/>
      <c r="L412" s="141"/>
      <c r="M412" s="133" t="str">
        <f t="shared" si="157"/>
        <v/>
      </c>
      <c r="N412" s="133" t="str">
        <f t="shared" si="158"/>
        <v/>
      </c>
      <c r="O412" s="133" t="str">
        <f t="shared" si="159"/>
        <v/>
      </c>
      <c r="P412" s="133" t="str">
        <f t="shared" si="160"/>
        <v/>
      </c>
      <c r="Q412" s="133" t="str">
        <f t="shared" si="161"/>
        <v/>
      </c>
      <c r="R412" s="133" t="str">
        <f t="shared" si="162"/>
        <v/>
      </c>
      <c r="S412" s="133" t="str">
        <f t="shared" si="163"/>
        <v/>
      </c>
      <c r="T412" s="133" t="str">
        <f>IFERROR(IF($U412="ERROR","ERROR",IF($N412="00",IF(J412="1-Rate","HH 1RATE",IF(J412="2-Rate","HH 2RATE","")),IFERROR(VLOOKUP(CONCATENATE(N412,Q412,O412,P412),Lookups!$A$2:$E$4557,5,0),VLOOKUP(CONCATENATE(N412,Q412,O412),Lookups!$A$2:$E$4557,5,0)))),"ERROR")</f>
        <v>ERROR</v>
      </c>
      <c r="U412" s="133" t="str">
        <f>IFERROR(IF(NOT($N412="00"),"",VLOOKUP(CONCATENATE(Q412,P412,LOOKUP(2,1/(Lookups!$I$2:$I$11&lt;=E412)/(Lookups!$J$2:$J$11&gt;=Tool!$C$14),Lookups!$K$2:$K$11)),'HH LLFs'!$A$2:$K$500,3,0)),"ERROR")</f>
        <v/>
      </c>
      <c r="V412" s="132">
        <f>Calcs!$I$2</f>
        <v>44377</v>
      </c>
      <c r="W412" s="132">
        <f>Calcs!$I$4</f>
        <v>44592</v>
      </c>
      <c r="X412" s="153" t="str">
        <f>IF(NOT(N412="00"),"",(VLOOKUP(CONCATENATE(Q412,P412,LOOKUP(2,1/(Lookups!$I$2:$I$11&lt;=Multisite!E412)/(Lookups!$J$2:$J$11&gt;=E412),Lookups!$K$2:$K$11)),'HH LLFs'!$A$2:$F$282,6,0)*365)/12)</f>
        <v/>
      </c>
      <c r="Y412" s="153">
        <f t="shared" si="164"/>
        <v>0</v>
      </c>
      <c r="Z412" s="153" t="str">
        <f t="shared" si="173"/>
        <v/>
      </c>
      <c r="AA412" s="153" t="str">
        <f t="shared" si="165"/>
        <v/>
      </c>
      <c r="AB412" s="153" t="str">
        <f t="shared" si="174"/>
        <v/>
      </c>
      <c r="AC412" s="153" t="str">
        <f t="shared" si="166"/>
        <v/>
      </c>
      <c r="AD412" s="153" t="str">
        <f t="shared" si="167"/>
        <v/>
      </c>
      <c r="AE412" s="153" t="str">
        <f t="shared" si="168"/>
        <v/>
      </c>
      <c r="AF412" s="155" t="e">
        <f>LOOKUP(2,1/(Lookups!$I$2:$I$11&lt;=E412)/(Lookups!$J$2:$J$11&gt;=E412),Lookups!$L$2:$L$11)</f>
        <v>#N/A</v>
      </c>
      <c r="AG412" s="142" t="str">
        <f t="shared" si="169"/>
        <v/>
      </c>
      <c r="AH412" s="142" t="str">
        <f t="shared" si="170"/>
        <v/>
      </c>
      <c r="AI412" s="143" t="b">
        <f t="shared" si="175"/>
        <v>0</v>
      </c>
      <c r="AJ412" s="143" t="str">
        <f t="shared" si="171"/>
        <v>Level 1</v>
      </c>
      <c r="AK412" s="142">
        <f t="shared" si="172"/>
        <v>0</v>
      </c>
      <c r="AL412" s="157" t="str">
        <f t="shared" si="180"/>
        <v/>
      </c>
      <c r="AM412" s="144" t="str">
        <f t="shared" si="181"/>
        <v>--FALSE-0</v>
      </c>
      <c r="AN412" s="158" t="str">
        <f t="shared" si="176"/>
        <v/>
      </c>
      <c r="AO412" s="145"/>
      <c r="AP412" s="159" t="str">
        <f>IF($AN412=FALSE,"",IFERROR(INDEX('Flat Rates'!$A$1:$M$3880,MATCH($AM412,'Flat Rates'!$A$1:$A$3880,0),MATCH("Standing Charge",'Flat Rates'!$A$1:$M$1,0))*100,""))</f>
        <v/>
      </c>
      <c r="AQ412" s="148" t="str">
        <f>IF($AN412=FALSE,"",IFERROR((IF(NOT(T412="Unrestricted"),"",INDEX('Flat Rates'!$A$1:$M$3880,MATCH($AM412,'Flat Rates'!$A$1:$A$3880,0),MATCH("Uni/Day Rate",'Flat Rates'!$A$1:$M$1,0)))*100)+H412,""))</f>
        <v/>
      </c>
      <c r="AR412" s="148" t="str">
        <f>IF($AN412=FALSE,"",IFERROR((IF(T412="Unrestricted","",INDEX('Flat Rates'!$A$1:$M$3880,MATCH($AM412,'Flat Rates'!$A$1:$A$3880,0),MATCH("Uni/Day Rate",'Flat Rates'!$A$1:$M$1,0)))*100)+H412,""))</f>
        <v/>
      </c>
      <c r="AS412" s="148" t="str">
        <f>IF($AN412=FALSE,"",IFERROR(IF(INDEX('Flat Rates'!$A$1:$M$3880,MATCH($AM412,'Flat Rates'!$A$1:$A$3880,0),MATCH("Night Unit Rate",'Flat Rates'!$A$1:$M$1,0))=0,"",((INDEX('Flat Rates'!$A$1:$M$3880,MATCH($AM412,'Flat Rates'!$A$1:$A$3880,0),MATCH("Night Unit Rate",'Flat Rates'!$A$1:$M$1,0)))*100)+H412),""))</f>
        <v/>
      </c>
      <c r="AT412" s="148" t="str">
        <f>IF($AN412=FALSE,"",IFERROR(IF(INDEX('Flat Rates'!$A$1:$M$3880,MATCH($AM412,'Flat Rates'!$A$1:$A$3880,0),MATCH("Evening and Weekend Rate",'Flat Rates'!$A$1:$M$1,0))=0,"",((INDEX('Flat Rates'!$A$1:$M$3880,MATCH($AM412,'Flat Rates'!$A$1:$A$3880,0),MATCH("Evening and Weekend Rate",'Flat Rates'!$A$1:$M$1,0)))*100)+H412),""))</f>
        <v/>
      </c>
      <c r="AU412" s="152" t="str">
        <f t="shared" si="177"/>
        <v/>
      </c>
      <c r="AV412" s="152" t="str">
        <f t="shared" si="178"/>
        <v/>
      </c>
      <c r="AW412" s="152" t="str">
        <f t="shared" si="179"/>
        <v/>
      </c>
    </row>
    <row r="413" spans="2:49" ht="15" thickBot="1" x14ac:dyDescent="0.35">
      <c r="B413" s="138" t="str">
        <f t="shared" si="156"/>
        <v/>
      </c>
      <c r="C413" s="137"/>
      <c r="D413" s="139"/>
      <c r="E413" s="140"/>
      <c r="F413" s="140"/>
      <c r="G413" s="139"/>
      <c r="H413" s="151"/>
      <c r="I413" s="139"/>
      <c r="J413" s="138"/>
      <c r="K413" s="139"/>
      <c r="L413" s="141"/>
      <c r="M413" s="133" t="str">
        <f t="shared" si="157"/>
        <v/>
      </c>
      <c r="N413" s="133" t="str">
        <f t="shared" si="158"/>
        <v/>
      </c>
      <c r="O413" s="133" t="str">
        <f t="shared" si="159"/>
        <v/>
      </c>
      <c r="P413" s="133" t="str">
        <f t="shared" si="160"/>
        <v/>
      </c>
      <c r="Q413" s="133" t="str">
        <f t="shared" si="161"/>
        <v/>
      </c>
      <c r="R413" s="133" t="str">
        <f t="shared" si="162"/>
        <v/>
      </c>
      <c r="S413" s="133" t="str">
        <f t="shared" si="163"/>
        <v/>
      </c>
      <c r="T413" s="133" t="str">
        <f>IFERROR(IF($U413="ERROR","ERROR",IF($N413="00",IF(J413="1-Rate","HH 1RATE",IF(J413="2-Rate","HH 2RATE","")),IFERROR(VLOOKUP(CONCATENATE(N413,Q413,O413,P413),Lookups!$A$2:$E$4557,5,0),VLOOKUP(CONCATENATE(N413,Q413,O413),Lookups!$A$2:$E$4557,5,0)))),"ERROR")</f>
        <v>ERROR</v>
      </c>
      <c r="U413" s="133" t="str">
        <f>IFERROR(IF(NOT($N413="00"),"",VLOOKUP(CONCATENATE(Q413,P413,LOOKUP(2,1/(Lookups!$I$2:$I$11&lt;=E413)/(Lookups!$J$2:$J$11&gt;=Tool!$C$14),Lookups!$K$2:$K$11)),'HH LLFs'!$A$2:$K$500,3,0)),"ERROR")</f>
        <v/>
      </c>
      <c r="V413" s="132">
        <f>Calcs!$I$2</f>
        <v>44377</v>
      </c>
      <c r="W413" s="132">
        <f>Calcs!$I$4</f>
        <v>44592</v>
      </c>
      <c r="X413" s="153" t="str">
        <f>IF(NOT(N413="00"),"",(VLOOKUP(CONCATENATE(Q413,P413,LOOKUP(2,1/(Lookups!$I$2:$I$11&lt;=Multisite!E413)/(Lookups!$J$2:$J$11&gt;=E413),Lookups!$K$2:$K$11)),'HH LLFs'!$A$2:$F$282,6,0)*365)/12)</f>
        <v/>
      </c>
      <c r="Y413" s="153">
        <f t="shared" si="164"/>
        <v>0</v>
      </c>
      <c r="Z413" s="153" t="str">
        <f t="shared" si="173"/>
        <v/>
      </c>
      <c r="AA413" s="153" t="str">
        <f t="shared" si="165"/>
        <v/>
      </c>
      <c r="AB413" s="153" t="str">
        <f t="shared" si="174"/>
        <v/>
      </c>
      <c r="AC413" s="153" t="str">
        <f t="shared" si="166"/>
        <v/>
      </c>
      <c r="AD413" s="153" t="str">
        <f t="shared" si="167"/>
        <v/>
      </c>
      <c r="AE413" s="153" t="str">
        <f t="shared" si="168"/>
        <v/>
      </c>
      <c r="AF413" s="155" t="e">
        <f>LOOKUP(2,1/(Lookups!$I$2:$I$11&lt;=E413)/(Lookups!$J$2:$J$11&gt;=E413),Lookups!$L$2:$L$11)</f>
        <v>#N/A</v>
      </c>
      <c r="AG413" s="142" t="str">
        <f t="shared" si="169"/>
        <v/>
      </c>
      <c r="AH413" s="142" t="str">
        <f t="shared" si="170"/>
        <v/>
      </c>
      <c r="AI413" s="143" t="b">
        <f t="shared" si="175"/>
        <v>0</v>
      </c>
      <c r="AJ413" s="143" t="str">
        <f t="shared" si="171"/>
        <v>Level 1</v>
      </c>
      <c r="AK413" s="142">
        <f t="shared" si="172"/>
        <v>0</v>
      </c>
      <c r="AL413" s="157" t="str">
        <f t="shared" si="180"/>
        <v/>
      </c>
      <c r="AM413" s="144" t="str">
        <f t="shared" si="181"/>
        <v>--FALSE-0</v>
      </c>
      <c r="AN413" s="158" t="str">
        <f t="shared" si="176"/>
        <v/>
      </c>
      <c r="AO413" s="145"/>
      <c r="AP413" s="159" t="str">
        <f>IF($AN413=FALSE,"",IFERROR(INDEX('Flat Rates'!$A$1:$M$3880,MATCH($AM413,'Flat Rates'!$A$1:$A$3880,0),MATCH("Standing Charge",'Flat Rates'!$A$1:$M$1,0))*100,""))</f>
        <v/>
      </c>
      <c r="AQ413" s="148" t="str">
        <f>IF($AN413=FALSE,"",IFERROR((IF(NOT(T413="Unrestricted"),"",INDEX('Flat Rates'!$A$1:$M$3880,MATCH($AM413,'Flat Rates'!$A$1:$A$3880,0),MATCH("Uni/Day Rate",'Flat Rates'!$A$1:$M$1,0)))*100)+H413,""))</f>
        <v/>
      </c>
      <c r="AR413" s="148" t="str">
        <f>IF($AN413=FALSE,"",IFERROR((IF(T413="Unrestricted","",INDEX('Flat Rates'!$A$1:$M$3880,MATCH($AM413,'Flat Rates'!$A$1:$A$3880,0),MATCH("Uni/Day Rate",'Flat Rates'!$A$1:$M$1,0)))*100)+H413,""))</f>
        <v/>
      </c>
      <c r="AS413" s="148" t="str">
        <f>IF($AN413=FALSE,"",IFERROR(IF(INDEX('Flat Rates'!$A$1:$M$3880,MATCH($AM413,'Flat Rates'!$A$1:$A$3880,0),MATCH("Night Unit Rate",'Flat Rates'!$A$1:$M$1,0))=0,"",((INDEX('Flat Rates'!$A$1:$M$3880,MATCH($AM413,'Flat Rates'!$A$1:$A$3880,0),MATCH("Night Unit Rate",'Flat Rates'!$A$1:$M$1,0)))*100)+H413),""))</f>
        <v/>
      </c>
      <c r="AT413" s="148" t="str">
        <f>IF($AN413=FALSE,"",IFERROR(IF(INDEX('Flat Rates'!$A$1:$M$3880,MATCH($AM413,'Flat Rates'!$A$1:$A$3880,0),MATCH("Evening and Weekend Rate",'Flat Rates'!$A$1:$M$1,0))=0,"",((INDEX('Flat Rates'!$A$1:$M$3880,MATCH($AM413,'Flat Rates'!$A$1:$A$3880,0),MATCH("Evening and Weekend Rate",'Flat Rates'!$A$1:$M$1,0)))*100)+H413),""))</f>
        <v/>
      </c>
      <c r="AU413" s="152" t="str">
        <f t="shared" si="177"/>
        <v/>
      </c>
      <c r="AV413" s="152" t="str">
        <f t="shared" si="178"/>
        <v/>
      </c>
      <c r="AW413" s="152" t="str">
        <f t="shared" si="179"/>
        <v/>
      </c>
    </row>
    <row r="414" spans="2:49" ht="15" thickBot="1" x14ac:dyDescent="0.35">
      <c r="B414" s="138" t="str">
        <f t="shared" si="156"/>
        <v/>
      </c>
      <c r="C414" s="146"/>
      <c r="D414" s="147"/>
      <c r="E414" s="140"/>
      <c r="F414" s="140"/>
      <c r="G414" s="139"/>
      <c r="H414" s="151"/>
      <c r="I414" s="139"/>
      <c r="J414" s="137"/>
      <c r="K414" s="139"/>
      <c r="L414" s="141"/>
      <c r="M414" s="133" t="str">
        <f t="shared" si="157"/>
        <v/>
      </c>
      <c r="N414" s="133" t="str">
        <f t="shared" si="158"/>
        <v/>
      </c>
      <c r="O414" s="133" t="str">
        <f t="shared" si="159"/>
        <v/>
      </c>
      <c r="P414" s="133" t="str">
        <f t="shared" si="160"/>
        <v/>
      </c>
      <c r="Q414" s="133" t="str">
        <f t="shared" si="161"/>
        <v/>
      </c>
      <c r="R414" s="133" t="str">
        <f t="shared" si="162"/>
        <v/>
      </c>
      <c r="S414" s="133" t="str">
        <f t="shared" si="163"/>
        <v/>
      </c>
      <c r="T414" s="133" t="str">
        <f>IFERROR(IF($U414="ERROR","ERROR",IF($N414="00",IF(J414="1-Rate","HH 1RATE",IF(J414="2-Rate","HH 2RATE","")),IFERROR(VLOOKUP(CONCATENATE(N414,Q414,O414,P414),Lookups!$A$2:$E$4557,5,0),VLOOKUP(CONCATENATE(N414,Q414,O414),Lookups!$A$2:$E$4557,5,0)))),"ERROR")</f>
        <v>ERROR</v>
      </c>
      <c r="U414" s="133" t="str">
        <f>IFERROR(IF(NOT($N414="00"),"",VLOOKUP(CONCATENATE(Q414,P414,LOOKUP(2,1/(Lookups!$I$2:$I$11&lt;=E414)/(Lookups!$J$2:$J$11&gt;=Tool!$C$14),Lookups!$K$2:$K$11)),'HH LLFs'!$A$2:$K$500,3,0)),"ERROR")</f>
        <v/>
      </c>
      <c r="V414" s="132">
        <f>Calcs!$I$2</f>
        <v>44377</v>
      </c>
      <c r="W414" s="132">
        <f>Calcs!$I$4</f>
        <v>44592</v>
      </c>
      <c r="X414" s="153" t="str">
        <f>IF(NOT(N414="00"),"",(VLOOKUP(CONCATENATE(Q414,P414,LOOKUP(2,1/(Lookups!$I$2:$I$11&lt;=Multisite!E414)/(Lookups!$J$2:$J$11&gt;=E414),Lookups!$K$2:$K$11)),'HH LLFs'!$A$2:$F$282,6,0)*365)/12)</f>
        <v/>
      </c>
      <c r="Y414" s="153">
        <f t="shared" si="164"/>
        <v>0</v>
      </c>
      <c r="Z414" s="153" t="str">
        <f t="shared" si="173"/>
        <v/>
      </c>
      <c r="AA414" s="153" t="str">
        <f t="shared" si="165"/>
        <v/>
      </c>
      <c r="AB414" s="153" t="str">
        <f t="shared" si="174"/>
        <v/>
      </c>
      <c r="AC414" s="153" t="str">
        <f t="shared" si="166"/>
        <v/>
      </c>
      <c r="AD414" s="153" t="str">
        <f t="shared" si="167"/>
        <v/>
      </c>
      <c r="AE414" s="153" t="str">
        <f t="shared" si="168"/>
        <v/>
      </c>
      <c r="AF414" s="155" t="e">
        <f>LOOKUP(2,1/(Lookups!$I$2:$I$11&lt;=E414)/(Lookups!$J$2:$J$11&gt;=E414),Lookups!$L$2:$L$11)</f>
        <v>#N/A</v>
      </c>
      <c r="AG414" s="142" t="str">
        <f t="shared" si="169"/>
        <v/>
      </c>
      <c r="AH414" s="142" t="str">
        <f t="shared" si="170"/>
        <v/>
      </c>
      <c r="AI414" s="143" t="b">
        <f t="shared" si="175"/>
        <v>0</v>
      </c>
      <c r="AJ414" s="143" t="str">
        <f t="shared" si="171"/>
        <v>Level 1</v>
      </c>
      <c r="AK414" s="142">
        <f t="shared" si="172"/>
        <v>0</v>
      </c>
      <c r="AL414" s="157" t="str">
        <f t="shared" si="180"/>
        <v/>
      </c>
      <c r="AM414" s="144" t="str">
        <f t="shared" si="181"/>
        <v>--FALSE-0</v>
      </c>
      <c r="AN414" s="158" t="str">
        <f t="shared" si="176"/>
        <v/>
      </c>
      <c r="AO414" s="145"/>
      <c r="AP414" s="159" t="str">
        <f>IF($AN414=FALSE,"",IFERROR(INDEX('Flat Rates'!$A$1:$M$3880,MATCH($AM414,'Flat Rates'!$A$1:$A$3880,0),MATCH("Standing Charge",'Flat Rates'!$A$1:$M$1,0))*100,""))</f>
        <v/>
      </c>
      <c r="AQ414" s="148" t="str">
        <f>IF($AN414=FALSE,"",IFERROR((IF(NOT(T414="Unrestricted"),"",INDEX('Flat Rates'!$A$1:$M$3880,MATCH($AM414,'Flat Rates'!$A$1:$A$3880,0),MATCH("Uni/Day Rate",'Flat Rates'!$A$1:$M$1,0)))*100)+H414,""))</f>
        <v/>
      </c>
      <c r="AR414" s="148" t="str">
        <f>IF($AN414=FALSE,"",IFERROR((IF(T414="Unrestricted","",INDEX('Flat Rates'!$A$1:$M$3880,MATCH($AM414,'Flat Rates'!$A$1:$A$3880,0),MATCH("Uni/Day Rate",'Flat Rates'!$A$1:$M$1,0)))*100)+H414,""))</f>
        <v/>
      </c>
      <c r="AS414" s="148" t="str">
        <f>IF($AN414=FALSE,"",IFERROR(IF(INDEX('Flat Rates'!$A$1:$M$3880,MATCH($AM414,'Flat Rates'!$A$1:$A$3880,0),MATCH("Night Unit Rate",'Flat Rates'!$A$1:$M$1,0))=0,"",((INDEX('Flat Rates'!$A$1:$M$3880,MATCH($AM414,'Flat Rates'!$A$1:$A$3880,0),MATCH("Night Unit Rate",'Flat Rates'!$A$1:$M$1,0)))*100)+H414),""))</f>
        <v/>
      </c>
      <c r="AT414" s="148" t="str">
        <f>IF($AN414=FALSE,"",IFERROR(IF(INDEX('Flat Rates'!$A$1:$M$3880,MATCH($AM414,'Flat Rates'!$A$1:$A$3880,0),MATCH("Evening and Weekend Rate",'Flat Rates'!$A$1:$M$1,0))=0,"",((INDEX('Flat Rates'!$A$1:$M$3880,MATCH($AM414,'Flat Rates'!$A$1:$A$3880,0),MATCH("Evening and Weekend Rate",'Flat Rates'!$A$1:$M$1,0)))*100)+H414),""))</f>
        <v/>
      </c>
      <c r="AU414" s="152" t="str">
        <f t="shared" si="177"/>
        <v/>
      </c>
      <c r="AV414" s="152" t="str">
        <f t="shared" si="178"/>
        <v/>
      </c>
      <c r="AW414" s="152" t="str">
        <f t="shared" si="179"/>
        <v/>
      </c>
    </row>
    <row r="415" spans="2:49" ht="15" thickBot="1" x14ac:dyDescent="0.35">
      <c r="B415" s="138" t="str">
        <f t="shared" si="156"/>
        <v/>
      </c>
      <c r="C415" s="137"/>
      <c r="D415" s="139"/>
      <c r="E415" s="140"/>
      <c r="F415" s="140"/>
      <c r="G415" s="139"/>
      <c r="H415" s="151"/>
      <c r="I415" s="139"/>
      <c r="J415" s="138"/>
      <c r="K415" s="139"/>
      <c r="L415" s="141"/>
      <c r="M415" s="133" t="str">
        <f t="shared" si="157"/>
        <v/>
      </c>
      <c r="N415" s="133" t="str">
        <f t="shared" si="158"/>
        <v/>
      </c>
      <c r="O415" s="133" t="str">
        <f t="shared" si="159"/>
        <v/>
      </c>
      <c r="P415" s="133" t="str">
        <f t="shared" si="160"/>
        <v/>
      </c>
      <c r="Q415" s="133" t="str">
        <f t="shared" si="161"/>
        <v/>
      </c>
      <c r="R415" s="133" t="str">
        <f t="shared" si="162"/>
        <v/>
      </c>
      <c r="S415" s="133" t="str">
        <f t="shared" si="163"/>
        <v/>
      </c>
      <c r="T415" s="133" t="str">
        <f>IFERROR(IF($U415="ERROR","ERROR",IF($N415="00",IF(J415="1-Rate","HH 1RATE",IF(J415="2-Rate","HH 2RATE","")),IFERROR(VLOOKUP(CONCATENATE(N415,Q415,O415,P415),Lookups!$A$2:$E$4557,5,0),VLOOKUP(CONCATENATE(N415,Q415,O415),Lookups!$A$2:$E$4557,5,0)))),"ERROR")</f>
        <v>ERROR</v>
      </c>
      <c r="U415" s="133" t="str">
        <f>IFERROR(IF(NOT($N415="00"),"",VLOOKUP(CONCATENATE(Q415,P415,LOOKUP(2,1/(Lookups!$I$2:$I$11&lt;=E415)/(Lookups!$J$2:$J$11&gt;=Tool!$C$14),Lookups!$K$2:$K$11)),'HH LLFs'!$A$2:$K$500,3,0)),"ERROR")</f>
        <v/>
      </c>
      <c r="V415" s="132">
        <f>Calcs!$I$2</f>
        <v>44377</v>
      </c>
      <c r="W415" s="132">
        <f>Calcs!$I$4</f>
        <v>44592</v>
      </c>
      <c r="X415" s="153" t="str">
        <f>IF(NOT(N415="00"),"",(VLOOKUP(CONCATENATE(Q415,P415,LOOKUP(2,1/(Lookups!$I$2:$I$11&lt;=Multisite!E415)/(Lookups!$J$2:$J$11&gt;=E415),Lookups!$K$2:$K$11)),'HH LLFs'!$A$2:$F$282,6,0)*365)/12)</f>
        <v/>
      </c>
      <c r="Y415" s="153">
        <f t="shared" si="164"/>
        <v>0</v>
      </c>
      <c r="Z415" s="153" t="str">
        <f t="shared" si="173"/>
        <v/>
      </c>
      <c r="AA415" s="153" t="str">
        <f t="shared" si="165"/>
        <v/>
      </c>
      <c r="AB415" s="153" t="str">
        <f t="shared" si="174"/>
        <v/>
      </c>
      <c r="AC415" s="153" t="str">
        <f t="shared" si="166"/>
        <v/>
      </c>
      <c r="AD415" s="153" t="str">
        <f t="shared" si="167"/>
        <v/>
      </c>
      <c r="AE415" s="153" t="str">
        <f t="shared" si="168"/>
        <v/>
      </c>
      <c r="AF415" s="155" t="e">
        <f>LOOKUP(2,1/(Lookups!$I$2:$I$11&lt;=E415)/(Lookups!$J$2:$J$11&gt;=E415),Lookups!$L$2:$L$11)</f>
        <v>#N/A</v>
      </c>
      <c r="AG415" s="142" t="str">
        <f t="shared" si="169"/>
        <v/>
      </c>
      <c r="AH415" s="142" t="str">
        <f t="shared" si="170"/>
        <v/>
      </c>
      <c r="AI415" s="143" t="b">
        <f t="shared" si="175"/>
        <v>0</v>
      </c>
      <c r="AJ415" s="143" t="str">
        <f t="shared" si="171"/>
        <v>Level 1</v>
      </c>
      <c r="AK415" s="142">
        <f t="shared" si="172"/>
        <v>0</v>
      </c>
      <c r="AL415" s="157" t="str">
        <f t="shared" si="180"/>
        <v/>
      </c>
      <c r="AM415" s="144" t="str">
        <f t="shared" si="181"/>
        <v>--FALSE-0</v>
      </c>
      <c r="AN415" s="158" t="str">
        <f t="shared" si="176"/>
        <v/>
      </c>
      <c r="AO415" s="145"/>
      <c r="AP415" s="159" t="str">
        <f>IF($AN415=FALSE,"",IFERROR(INDEX('Flat Rates'!$A$1:$M$3880,MATCH($AM415,'Flat Rates'!$A$1:$A$3880,0),MATCH("Standing Charge",'Flat Rates'!$A$1:$M$1,0))*100,""))</f>
        <v/>
      </c>
      <c r="AQ415" s="148" t="str">
        <f>IF($AN415=FALSE,"",IFERROR((IF(NOT(T415="Unrestricted"),"",INDEX('Flat Rates'!$A$1:$M$3880,MATCH($AM415,'Flat Rates'!$A$1:$A$3880,0),MATCH("Uni/Day Rate",'Flat Rates'!$A$1:$M$1,0)))*100)+H415,""))</f>
        <v/>
      </c>
      <c r="AR415" s="148" t="str">
        <f>IF($AN415=FALSE,"",IFERROR((IF(T415="Unrestricted","",INDEX('Flat Rates'!$A$1:$M$3880,MATCH($AM415,'Flat Rates'!$A$1:$A$3880,0),MATCH("Uni/Day Rate",'Flat Rates'!$A$1:$M$1,0)))*100)+H415,""))</f>
        <v/>
      </c>
      <c r="AS415" s="148" t="str">
        <f>IF($AN415=FALSE,"",IFERROR(IF(INDEX('Flat Rates'!$A$1:$M$3880,MATCH($AM415,'Flat Rates'!$A$1:$A$3880,0),MATCH("Night Unit Rate",'Flat Rates'!$A$1:$M$1,0))=0,"",((INDEX('Flat Rates'!$A$1:$M$3880,MATCH($AM415,'Flat Rates'!$A$1:$A$3880,0),MATCH("Night Unit Rate",'Flat Rates'!$A$1:$M$1,0)))*100)+H415),""))</f>
        <v/>
      </c>
      <c r="AT415" s="148" t="str">
        <f>IF($AN415=FALSE,"",IFERROR(IF(INDEX('Flat Rates'!$A$1:$M$3880,MATCH($AM415,'Flat Rates'!$A$1:$A$3880,0),MATCH("Evening and Weekend Rate",'Flat Rates'!$A$1:$M$1,0))=0,"",((INDEX('Flat Rates'!$A$1:$M$3880,MATCH($AM415,'Flat Rates'!$A$1:$A$3880,0),MATCH("Evening and Weekend Rate",'Flat Rates'!$A$1:$M$1,0)))*100)+H415),""))</f>
        <v/>
      </c>
      <c r="AU415" s="152" t="str">
        <f t="shared" si="177"/>
        <v/>
      </c>
      <c r="AV415" s="152" t="str">
        <f t="shared" si="178"/>
        <v/>
      </c>
      <c r="AW415" s="152" t="str">
        <f t="shared" si="179"/>
        <v/>
      </c>
    </row>
    <row r="416" spans="2:49" ht="15" thickBot="1" x14ac:dyDescent="0.35">
      <c r="B416" s="138" t="str">
        <f t="shared" si="156"/>
        <v/>
      </c>
      <c r="C416" s="146"/>
      <c r="D416" s="147"/>
      <c r="E416" s="140"/>
      <c r="F416" s="140"/>
      <c r="G416" s="139"/>
      <c r="H416" s="151"/>
      <c r="I416" s="139"/>
      <c r="J416" s="137"/>
      <c r="K416" s="139"/>
      <c r="L416" s="141"/>
      <c r="M416" s="133" t="str">
        <f t="shared" si="157"/>
        <v/>
      </c>
      <c r="N416" s="133" t="str">
        <f t="shared" si="158"/>
        <v/>
      </c>
      <c r="O416" s="133" t="str">
        <f t="shared" si="159"/>
        <v/>
      </c>
      <c r="P416" s="133" t="str">
        <f t="shared" si="160"/>
        <v/>
      </c>
      <c r="Q416" s="133" t="str">
        <f t="shared" si="161"/>
        <v/>
      </c>
      <c r="R416" s="133" t="str">
        <f t="shared" si="162"/>
        <v/>
      </c>
      <c r="S416" s="133" t="str">
        <f t="shared" si="163"/>
        <v/>
      </c>
      <c r="T416" s="133" t="str">
        <f>IFERROR(IF($U416="ERROR","ERROR",IF($N416="00",IF(J416="1-Rate","HH 1RATE",IF(J416="2-Rate","HH 2RATE","")),IFERROR(VLOOKUP(CONCATENATE(N416,Q416,O416,P416),Lookups!$A$2:$E$4557,5,0),VLOOKUP(CONCATENATE(N416,Q416,O416),Lookups!$A$2:$E$4557,5,0)))),"ERROR")</f>
        <v>ERROR</v>
      </c>
      <c r="U416" s="133" t="str">
        <f>IFERROR(IF(NOT($N416="00"),"",VLOOKUP(CONCATENATE(Q416,P416,LOOKUP(2,1/(Lookups!$I$2:$I$11&lt;=E416)/(Lookups!$J$2:$J$11&gt;=Tool!$C$14),Lookups!$K$2:$K$11)),'HH LLFs'!$A$2:$K$500,3,0)),"ERROR")</f>
        <v/>
      </c>
      <c r="V416" s="132">
        <f>Calcs!$I$2</f>
        <v>44377</v>
      </c>
      <c r="W416" s="132">
        <f>Calcs!$I$4</f>
        <v>44592</v>
      </c>
      <c r="X416" s="153" t="str">
        <f>IF(NOT(N416="00"),"",(VLOOKUP(CONCATENATE(Q416,P416,LOOKUP(2,1/(Lookups!$I$2:$I$11&lt;=Multisite!E416)/(Lookups!$J$2:$J$11&gt;=E416),Lookups!$K$2:$K$11)),'HH LLFs'!$A$2:$F$282,6,0)*365)/12)</f>
        <v/>
      </c>
      <c r="Y416" s="153">
        <f t="shared" si="164"/>
        <v>0</v>
      </c>
      <c r="Z416" s="153" t="str">
        <f t="shared" si="173"/>
        <v/>
      </c>
      <c r="AA416" s="153" t="str">
        <f t="shared" si="165"/>
        <v/>
      </c>
      <c r="AB416" s="153" t="str">
        <f t="shared" si="174"/>
        <v/>
      </c>
      <c r="AC416" s="153" t="str">
        <f t="shared" si="166"/>
        <v/>
      </c>
      <c r="AD416" s="153" t="str">
        <f t="shared" si="167"/>
        <v/>
      </c>
      <c r="AE416" s="153" t="str">
        <f t="shared" si="168"/>
        <v/>
      </c>
      <c r="AF416" s="155" t="e">
        <f>LOOKUP(2,1/(Lookups!$I$2:$I$11&lt;=E416)/(Lookups!$J$2:$J$11&gt;=E416),Lookups!$L$2:$L$11)</f>
        <v>#N/A</v>
      </c>
      <c r="AG416" s="142" t="str">
        <f t="shared" si="169"/>
        <v/>
      </c>
      <c r="AH416" s="142" t="str">
        <f t="shared" si="170"/>
        <v/>
      </c>
      <c r="AI416" s="143" t="b">
        <f t="shared" si="175"/>
        <v>0</v>
      </c>
      <c r="AJ416" s="143" t="str">
        <f t="shared" si="171"/>
        <v>Level 1</v>
      </c>
      <c r="AK416" s="142">
        <f t="shared" si="172"/>
        <v>0</v>
      </c>
      <c r="AL416" s="157" t="str">
        <f t="shared" si="180"/>
        <v/>
      </c>
      <c r="AM416" s="144" t="str">
        <f t="shared" si="181"/>
        <v>--FALSE-0</v>
      </c>
      <c r="AN416" s="158" t="str">
        <f t="shared" si="176"/>
        <v/>
      </c>
      <c r="AO416" s="145"/>
      <c r="AP416" s="159" t="str">
        <f>IF($AN416=FALSE,"",IFERROR(INDEX('Flat Rates'!$A$1:$M$3880,MATCH($AM416,'Flat Rates'!$A$1:$A$3880,0),MATCH("Standing Charge",'Flat Rates'!$A$1:$M$1,0))*100,""))</f>
        <v/>
      </c>
      <c r="AQ416" s="148" t="str">
        <f>IF($AN416=FALSE,"",IFERROR((IF(NOT(T416="Unrestricted"),"",INDEX('Flat Rates'!$A$1:$M$3880,MATCH($AM416,'Flat Rates'!$A$1:$A$3880,0),MATCH("Uni/Day Rate",'Flat Rates'!$A$1:$M$1,0)))*100)+H416,""))</f>
        <v/>
      </c>
      <c r="AR416" s="148" t="str">
        <f>IF($AN416=FALSE,"",IFERROR((IF(T416="Unrestricted","",INDEX('Flat Rates'!$A$1:$M$3880,MATCH($AM416,'Flat Rates'!$A$1:$A$3880,0),MATCH("Uni/Day Rate",'Flat Rates'!$A$1:$M$1,0)))*100)+H416,""))</f>
        <v/>
      </c>
      <c r="AS416" s="148" t="str">
        <f>IF($AN416=FALSE,"",IFERROR(IF(INDEX('Flat Rates'!$A$1:$M$3880,MATCH($AM416,'Flat Rates'!$A$1:$A$3880,0),MATCH("Night Unit Rate",'Flat Rates'!$A$1:$M$1,0))=0,"",((INDEX('Flat Rates'!$A$1:$M$3880,MATCH($AM416,'Flat Rates'!$A$1:$A$3880,0),MATCH("Night Unit Rate",'Flat Rates'!$A$1:$M$1,0)))*100)+H416),""))</f>
        <v/>
      </c>
      <c r="AT416" s="148" t="str">
        <f>IF($AN416=FALSE,"",IFERROR(IF(INDEX('Flat Rates'!$A$1:$M$3880,MATCH($AM416,'Flat Rates'!$A$1:$A$3880,0),MATCH("Evening and Weekend Rate",'Flat Rates'!$A$1:$M$1,0))=0,"",((INDEX('Flat Rates'!$A$1:$M$3880,MATCH($AM416,'Flat Rates'!$A$1:$A$3880,0),MATCH("Evening and Weekend Rate",'Flat Rates'!$A$1:$M$1,0)))*100)+H416),""))</f>
        <v/>
      </c>
      <c r="AU416" s="152" t="str">
        <f t="shared" si="177"/>
        <v/>
      </c>
      <c r="AV416" s="152" t="str">
        <f t="shared" si="178"/>
        <v/>
      </c>
      <c r="AW416" s="152" t="str">
        <f t="shared" si="179"/>
        <v/>
      </c>
    </row>
    <row r="417" spans="2:49" ht="15" thickBot="1" x14ac:dyDescent="0.35">
      <c r="B417" s="138" t="str">
        <f t="shared" si="156"/>
        <v/>
      </c>
      <c r="C417" s="137"/>
      <c r="D417" s="139"/>
      <c r="E417" s="140"/>
      <c r="F417" s="140"/>
      <c r="G417" s="139"/>
      <c r="H417" s="151"/>
      <c r="I417" s="139"/>
      <c r="J417" s="138"/>
      <c r="K417" s="139"/>
      <c r="L417" s="141"/>
      <c r="M417" s="133" t="str">
        <f t="shared" si="157"/>
        <v/>
      </c>
      <c r="N417" s="133" t="str">
        <f t="shared" si="158"/>
        <v/>
      </c>
      <c r="O417" s="133" t="str">
        <f t="shared" si="159"/>
        <v/>
      </c>
      <c r="P417" s="133" t="str">
        <f t="shared" si="160"/>
        <v/>
      </c>
      <c r="Q417" s="133" t="str">
        <f t="shared" si="161"/>
        <v/>
      </c>
      <c r="R417" s="133" t="str">
        <f t="shared" si="162"/>
        <v/>
      </c>
      <c r="S417" s="133" t="str">
        <f t="shared" si="163"/>
        <v/>
      </c>
      <c r="T417" s="133" t="str">
        <f>IFERROR(IF($U417="ERROR","ERROR",IF($N417="00",IF(J417="1-Rate","HH 1RATE",IF(J417="2-Rate","HH 2RATE","")),IFERROR(VLOOKUP(CONCATENATE(N417,Q417,O417,P417),Lookups!$A$2:$E$4557,5,0),VLOOKUP(CONCATENATE(N417,Q417,O417),Lookups!$A$2:$E$4557,5,0)))),"ERROR")</f>
        <v>ERROR</v>
      </c>
      <c r="U417" s="133" t="str">
        <f>IFERROR(IF(NOT($N417="00"),"",VLOOKUP(CONCATENATE(Q417,P417,LOOKUP(2,1/(Lookups!$I$2:$I$11&lt;=E417)/(Lookups!$J$2:$J$11&gt;=Tool!$C$14),Lookups!$K$2:$K$11)),'HH LLFs'!$A$2:$K$500,3,0)),"ERROR")</f>
        <v/>
      </c>
      <c r="V417" s="132">
        <f>Calcs!$I$2</f>
        <v>44377</v>
      </c>
      <c r="W417" s="132">
        <f>Calcs!$I$4</f>
        <v>44592</v>
      </c>
      <c r="X417" s="153" t="str">
        <f>IF(NOT(N417="00"),"",(VLOOKUP(CONCATENATE(Q417,P417,LOOKUP(2,1/(Lookups!$I$2:$I$11&lt;=Multisite!E417)/(Lookups!$J$2:$J$11&gt;=E417),Lookups!$K$2:$K$11)),'HH LLFs'!$A$2:$F$282,6,0)*365)/12)</f>
        <v/>
      </c>
      <c r="Y417" s="153">
        <f t="shared" si="164"/>
        <v>0</v>
      </c>
      <c r="Z417" s="153" t="str">
        <f t="shared" si="173"/>
        <v/>
      </c>
      <c r="AA417" s="153" t="str">
        <f t="shared" si="165"/>
        <v/>
      </c>
      <c r="AB417" s="153" t="str">
        <f t="shared" si="174"/>
        <v/>
      </c>
      <c r="AC417" s="153" t="str">
        <f t="shared" si="166"/>
        <v/>
      </c>
      <c r="AD417" s="153" t="str">
        <f t="shared" si="167"/>
        <v/>
      </c>
      <c r="AE417" s="153" t="str">
        <f t="shared" si="168"/>
        <v/>
      </c>
      <c r="AF417" s="155" t="e">
        <f>LOOKUP(2,1/(Lookups!$I$2:$I$11&lt;=E417)/(Lookups!$J$2:$J$11&gt;=E417),Lookups!$L$2:$L$11)</f>
        <v>#N/A</v>
      </c>
      <c r="AG417" s="142" t="str">
        <f t="shared" si="169"/>
        <v/>
      </c>
      <c r="AH417" s="142" t="str">
        <f t="shared" si="170"/>
        <v/>
      </c>
      <c r="AI417" s="143" t="b">
        <f t="shared" si="175"/>
        <v>0</v>
      </c>
      <c r="AJ417" s="143" t="str">
        <f t="shared" si="171"/>
        <v>Level 1</v>
      </c>
      <c r="AK417" s="142">
        <f t="shared" si="172"/>
        <v>0</v>
      </c>
      <c r="AL417" s="157" t="str">
        <f t="shared" si="180"/>
        <v/>
      </c>
      <c r="AM417" s="144" t="str">
        <f t="shared" si="181"/>
        <v>--FALSE-0</v>
      </c>
      <c r="AN417" s="158" t="str">
        <f t="shared" si="176"/>
        <v/>
      </c>
      <c r="AO417" s="145"/>
      <c r="AP417" s="159" t="str">
        <f>IF($AN417=FALSE,"",IFERROR(INDEX('Flat Rates'!$A$1:$M$3880,MATCH($AM417,'Flat Rates'!$A$1:$A$3880,0),MATCH("Standing Charge",'Flat Rates'!$A$1:$M$1,0))*100,""))</f>
        <v/>
      </c>
      <c r="AQ417" s="148" t="str">
        <f>IF($AN417=FALSE,"",IFERROR((IF(NOT(T417="Unrestricted"),"",INDEX('Flat Rates'!$A$1:$M$3880,MATCH($AM417,'Flat Rates'!$A$1:$A$3880,0),MATCH("Uni/Day Rate",'Flat Rates'!$A$1:$M$1,0)))*100)+H417,""))</f>
        <v/>
      </c>
      <c r="AR417" s="148" t="str">
        <f>IF($AN417=FALSE,"",IFERROR((IF(T417="Unrestricted","",INDEX('Flat Rates'!$A$1:$M$3880,MATCH($AM417,'Flat Rates'!$A$1:$A$3880,0),MATCH("Uni/Day Rate",'Flat Rates'!$A$1:$M$1,0)))*100)+H417,""))</f>
        <v/>
      </c>
      <c r="AS417" s="148" t="str">
        <f>IF($AN417=FALSE,"",IFERROR(IF(INDEX('Flat Rates'!$A$1:$M$3880,MATCH($AM417,'Flat Rates'!$A$1:$A$3880,0),MATCH("Night Unit Rate",'Flat Rates'!$A$1:$M$1,0))=0,"",((INDEX('Flat Rates'!$A$1:$M$3880,MATCH($AM417,'Flat Rates'!$A$1:$A$3880,0),MATCH("Night Unit Rate",'Flat Rates'!$A$1:$M$1,0)))*100)+H417),""))</f>
        <v/>
      </c>
      <c r="AT417" s="148" t="str">
        <f>IF($AN417=FALSE,"",IFERROR(IF(INDEX('Flat Rates'!$A$1:$M$3880,MATCH($AM417,'Flat Rates'!$A$1:$A$3880,0),MATCH("Evening and Weekend Rate",'Flat Rates'!$A$1:$M$1,0))=0,"",((INDEX('Flat Rates'!$A$1:$M$3880,MATCH($AM417,'Flat Rates'!$A$1:$A$3880,0),MATCH("Evening and Weekend Rate",'Flat Rates'!$A$1:$M$1,0)))*100)+H417),""))</f>
        <v/>
      </c>
      <c r="AU417" s="152" t="str">
        <f t="shared" si="177"/>
        <v/>
      </c>
      <c r="AV417" s="152" t="str">
        <f t="shared" si="178"/>
        <v/>
      </c>
      <c r="AW417" s="152" t="str">
        <f t="shared" si="179"/>
        <v/>
      </c>
    </row>
    <row r="418" spans="2:49" ht="15" thickBot="1" x14ac:dyDescent="0.35">
      <c r="B418" s="138" t="str">
        <f t="shared" si="156"/>
        <v/>
      </c>
      <c r="C418" s="146"/>
      <c r="D418" s="147"/>
      <c r="E418" s="140"/>
      <c r="F418" s="140"/>
      <c r="G418" s="139"/>
      <c r="H418" s="151"/>
      <c r="I418" s="139"/>
      <c r="J418" s="137"/>
      <c r="K418" s="139"/>
      <c r="L418" s="141"/>
      <c r="M418" s="133" t="str">
        <f t="shared" si="157"/>
        <v/>
      </c>
      <c r="N418" s="133" t="str">
        <f t="shared" si="158"/>
        <v/>
      </c>
      <c r="O418" s="133" t="str">
        <f t="shared" si="159"/>
        <v/>
      </c>
      <c r="P418" s="133" t="str">
        <f t="shared" si="160"/>
        <v/>
      </c>
      <c r="Q418" s="133" t="str">
        <f t="shared" si="161"/>
        <v/>
      </c>
      <c r="R418" s="133" t="str">
        <f t="shared" si="162"/>
        <v/>
      </c>
      <c r="S418" s="133" t="str">
        <f t="shared" si="163"/>
        <v/>
      </c>
      <c r="T418" s="133" t="str">
        <f>IFERROR(IF($U418="ERROR","ERROR",IF($N418="00",IF(J418="1-Rate","HH 1RATE",IF(J418="2-Rate","HH 2RATE","")),IFERROR(VLOOKUP(CONCATENATE(N418,Q418,O418,P418),Lookups!$A$2:$E$4557,5,0),VLOOKUP(CONCATENATE(N418,Q418,O418),Lookups!$A$2:$E$4557,5,0)))),"ERROR")</f>
        <v>ERROR</v>
      </c>
      <c r="U418" s="133" t="str">
        <f>IFERROR(IF(NOT($N418="00"),"",VLOOKUP(CONCATENATE(Q418,P418,LOOKUP(2,1/(Lookups!$I$2:$I$11&lt;=E418)/(Lookups!$J$2:$J$11&gt;=Tool!$C$14),Lookups!$K$2:$K$11)),'HH LLFs'!$A$2:$K$500,3,0)),"ERROR")</f>
        <v/>
      </c>
      <c r="V418" s="132">
        <f>Calcs!$I$2</f>
        <v>44377</v>
      </c>
      <c r="W418" s="132">
        <f>Calcs!$I$4</f>
        <v>44592</v>
      </c>
      <c r="X418" s="153" t="str">
        <f>IF(NOT(N418="00"),"",(VLOOKUP(CONCATENATE(Q418,P418,LOOKUP(2,1/(Lookups!$I$2:$I$11&lt;=Multisite!E418)/(Lookups!$J$2:$J$11&gt;=E418),Lookups!$K$2:$K$11)),'HH LLFs'!$A$2:$F$282,6,0)*365)/12)</f>
        <v/>
      </c>
      <c r="Y418" s="153">
        <f t="shared" si="164"/>
        <v>0</v>
      </c>
      <c r="Z418" s="153" t="str">
        <f t="shared" si="173"/>
        <v/>
      </c>
      <c r="AA418" s="153" t="str">
        <f t="shared" si="165"/>
        <v/>
      </c>
      <c r="AB418" s="153" t="str">
        <f t="shared" si="174"/>
        <v/>
      </c>
      <c r="AC418" s="153" t="str">
        <f t="shared" si="166"/>
        <v/>
      </c>
      <c r="AD418" s="153" t="str">
        <f t="shared" si="167"/>
        <v/>
      </c>
      <c r="AE418" s="153" t="str">
        <f t="shared" si="168"/>
        <v/>
      </c>
      <c r="AF418" s="155" t="e">
        <f>LOOKUP(2,1/(Lookups!$I$2:$I$11&lt;=E418)/(Lookups!$J$2:$J$11&gt;=E418),Lookups!$L$2:$L$11)</f>
        <v>#N/A</v>
      </c>
      <c r="AG418" s="142" t="str">
        <f t="shared" si="169"/>
        <v/>
      </c>
      <c r="AH418" s="142" t="str">
        <f t="shared" si="170"/>
        <v/>
      </c>
      <c r="AI418" s="143" t="b">
        <f t="shared" si="175"/>
        <v>0</v>
      </c>
      <c r="AJ418" s="143" t="str">
        <f t="shared" si="171"/>
        <v>Level 1</v>
      </c>
      <c r="AK418" s="142">
        <f t="shared" si="172"/>
        <v>0</v>
      </c>
      <c r="AL418" s="157" t="str">
        <f t="shared" si="180"/>
        <v/>
      </c>
      <c r="AM418" s="144" t="str">
        <f t="shared" si="181"/>
        <v>--FALSE-0</v>
      </c>
      <c r="AN418" s="158" t="str">
        <f t="shared" si="176"/>
        <v/>
      </c>
      <c r="AO418" s="145"/>
      <c r="AP418" s="159" t="str">
        <f>IF($AN418=FALSE,"",IFERROR(INDEX('Flat Rates'!$A$1:$M$3880,MATCH($AM418,'Flat Rates'!$A$1:$A$3880,0),MATCH("Standing Charge",'Flat Rates'!$A$1:$M$1,0))*100,""))</f>
        <v/>
      </c>
      <c r="AQ418" s="148" t="str">
        <f>IF($AN418=FALSE,"",IFERROR((IF(NOT(T418="Unrestricted"),"",INDEX('Flat Rates'!$A$1:$M$3880,MATCH($AM418,'Flat Rates'!$A$1:$A$3880,0),MATCH("Uni/Day Rate",'Flat Rates'!$A$1:$M$1,0)))*100)+H418,""))</f>
        <v/>
      </c>
      <c r="AR418" s="148" t="str">
        <f>IF($AN418=FALSE,"",IFERROR((IF(T418="Unrestricted","",INDEX('Flat Rates'!$A$1:$M$3880,MATCH($AM418,'Flat Rates'!$A$1:$A$3880,0),MATCH("Uni/Day Rate",'Flat Rates'!$A$1:$M$1,0)))*100)+H418,""))</f>
        <v/>
      </c>
      <c r="AS418" s="148" t="str">
        <f>IF($AN418=FALSE,"",IFERROR(IF(INDEX('Flat Rates'!$A$1:$M$3880,MATCH($AM418,'Flat Rates'!$A$1:$A$3880,0),MATCH("Night Unit Rate",'Flat Rates'!$A$1:$M$1,0))=0,"",((INDEX('Flat Rates'!$A$1:$M$3880,MATCH($AM418,'Flat Rates'!$A$1:$A$3880,0),MATCH("Night Unit Rate",'Flat Rates'!$A$1:$M$1,0)))*100)+H418),""))</f>
        <v/>
      </c>
      <c r="AT418" s="148" t="str">
        <f>IF($AN418=FALSE,"",IFERROR(IF(INDEX('Flat Rates'!$A$1:$M$3880,MATCH($AM418,'Flat Rates'!$A$1:$A$3880,0),MATCH("Evening and Weekend Rate",'Flat Rates'!$A$1:$M$1,0))=0,"",((INDEX('Flat Rates'!$A$1:$M$3880,MATCH($AM418,'Flat Rates'!$A$1:$A$3880,0),MATCH("Evening and Weekend Rate",'Flat Rates'!$A$1:$M$1,0)))*100)+H418),""))</f>
        <v/>
      </c>
      <c r="AU418" s="152" t="str">
        <f t="shared" si="177"/>
        <v/>
      </c>
      <c r="AV418" s="152" t="str">
        <f t="shared" si="178"/>
        <v/>
      </c>
      <c r="AW418" s="152" t="str">
        <f t="shared" si="179"/>
        <v/>
      </c>
    </row>
    <row r="419" spans="2:49" ht="15" thickBot="1" x14ac:dyDescent="0.35">
      <c r="B419" s="138" t="str">
        <f t="shared" si="156"/>
        <v/>
      </c>
      <c r="C419" s="137"/>
      <c r="D419" s="139"/>
      <c r="E419" s="140"/>
      <c r="F419" s="140"/>
      <c r="G419" s="139"/>
      <c r="H419" s="151"/>
      <c r="I419" s="139"/>
      <c r="J419" s="138"/>
      <c r="K419" s="139"/>
      <c r="L419" s="141"/>
      <c r="M419" s="133" t="str">
        <f t="shared" si="157"/>
        <v/>
      </c>
      <c r="N419" s="133" t="str">
        <f t="shared" si="158"/>
        <v/>
      </c>
      <c r="O419" s="133" t="str">
        <f t="shared" si="159"/>
        <v/>
      </c>
      <c r="P419" s="133" t="str">
        <f t="shared" si="160"/>
        <v/>
      </c>
      <c r="Q419" s="133" t="str">
        <f t="shared" si="161"/>
        <v/>
      </c>
      <c r="R419" s="133" t="str">
        <f t="shared" si="162"/>
        <v/>
      </c>
      <c r="S419" s="133" t="str">
        <f t="shared" si="163"/>
        <v/>
      </c>
      <c r="T419" s="133" t="str">
        <f>IFERROR(IF($U419="ERROR","ERROR",IF($N419="00",IF(J419="1-Rate","HH 1RATE",IF(J419="2-Rate","HH 2RATE","")),IFERROR(VLOOKUP(CONCATENATE(N419,Q419,O419,P419),Lookups!$A$2:$E$4557,5,0),VLOOKUP(CONCATENATE(N419,Q419,O419),Lookups!$A$2:$E$4557,5,0)))),"ERROR")</f>
        <v>ERROR</v>
      </c>
      <c r="U419" s="133" t="str">
        <f>IFERROR(IF(NOT($N419="00"),"",VLOOKUP(CONCATENATE(Q419,P419,LOOKUP(2,1/(Lookups!$I$2:$I$11&lt;=E419)/(Lookups!$J$2:$J$11&gt;=Tool!$C$14),Lookups!$K$2:$K$11)),'HH LLFs'!$A$2:$K$500,3,0)),"ERROR")</f>
        <v/>
      </c>
      <c r="V419" s="132">
        <f>Calcs!$I$2</f>
        <v>44377</v>
      </c>
      <c r="W419" s="132">
        <f>Calcs!$I$4</f>
        <v>44592</v>
      </c>
      <c r="X419" s="153" t="str">
        <f>IF(NOT(N419="00"),"",(VLOOKUP(CONCATENATE(Q419,P419,LOOKUP(2,1/(Lookups!$I$2:$I$11&lt;=Multisite!E419)/(Lookups!$J$2:$J$11&gt;=E419),Lookups!$K$2:$K$11)),'HH LLFs'!$A$2:$F$282,6,0)*365)/12)</f>
        <v/>
      </c>
      <c r="Y419" s="153">
        <f t="shared" si="164"/>
        <v>0</v>
      </c>
      <c r="Z419" s="153" t="str">
        <f t="shared" si="173"/>
        <v/>
      </c>
      <c r="AA419" s="153" t="str">
        <f t="shared" si="165"/>
        <v/>
      </c>
      <c r="AB419" s="153" t="str">
        <f t="shared" si="174"/>
        <v/>
      </c>
      <c r="AC419" s="153" t="str">
        <f t="shared" si="166"/>
        <v/>
      </c>
      <c r="AD419" s="153" t="str">
        <f t="shared" si="167"/>
        <v/>
      </c>
      <c r="AE419" s="153" t="str">
        <f t="shared" si="168"/>
        <v/>
      </c>
      <c r="AF419" s="155" t="e">
        <f>LOOKUP(2,1/(Lookups!$I$2:$I$11&lt;=E419)/(Lookups!$J$2:$J$11&gt;=E419),Lookups!$L$2:$L$11)</f>
        <v>#N/A</v>
      </c>
      <c r="AG419" s="142" t="str">
        <f t="shared" si="169"/>
        <v/>
      </c>
      <c r="AH419" s="142" t="str">
        <f t="shared" si="170"/>
        <v/>
      </c>
      <c r="AI419" s="143" t="b">
        <f t="shared" si="175"/>
        <v>0</v>
      </c>
      <c r="AJ419" s="143" t="str">
        <f t="shared" si="171"/>
        <v>Level 1</v>
      </c>
      <c r="AK419" s="142">
        <f t="shared" si="172"/>
        <v>0</v>
      </c>
      <c r="AL419" s="157" t="str">
        <f t="shared" si="180"/>
        <v/>
      </c>
      <c r="AM419" s="144" t="str">
        <f t="shared" si="181"/>
        <v>--FALSE-0</v>
      </c>
      <c r="AN419" s="158" t="str">
        <f t="shared" si="176"/>
        <v/>
      </c>
      <c r="AO419" s="145"/>
      <c r="AP419" s="159" t="str">
        <f>IF($AN419=FALSE,"",IFERROR(INDEX('Flat Rates'!$A$1:$M$3880,MATCH($AM419,'Flat Rates'!$A$1:$A$3880,0),MATCH("Standing Charge",'Flat Rates'!$A$1:$M$1,0))*100,""))</f>
        <v/>
      </c>
      <c r="AQ419" s="148" t="str">
        <f>IF($AN419=FALSE,"",IFERROR((IF(NOT(T419="Unrestricted"),"",INDEX('Flat Rates'!$A$1:$M$3880,MATCH($AM419,'Flat Rates'!$A$1:$A$3880,0),MATCH("Uni/Day Rate",'Flat Rates'!$A$1:$M$1,0)))*100)+H419,""))</f>
        <v/>
      </c>
      <c r="AR419" s="148" t="str">
        <f>IF($AN419=FALSE,"",IFERROR((IF(T419="Unrestricted","",INDEX('Flat Rates'!$A$1:$M$3880,MATCH($AM419,'Flat Rates'!$A$1:$A$3880,0),MATCH("Uni/Day Rate",'Flat Rates'!$A$1:$M$1,0)))*100)+H419,""))</f>
        <v/>
      </c>
      <c r="AS419" s="148" t="str">
        <f>IF($AN419=FALSE,"",IFERROR(IF(INDEX('Flat Rates'!$A$1:$M$3880,MATCH($AM419,'Flat Rates'!$A$1:$A$3880,0),MATCH("Night Unit Rate",'Flat Rates'!$A$1:$M$1,0))=0,"",((INDEX('Flat Rates'!$A$1:$M$3880,MATCH($AM419,'Flat Rates'!$A$1:$A$3880,0),MATCH("Night Unit Rate",'Flat Rates'!$A$1:$M$1,0)))*100)+H419),""))</f>
        <v/>
      </c>
      <c r="AT419" s="148" t="str">
        <f>IF($AN419=FALSE,"",IFERROR(IF(INDEX('Flat Rates'!$A$1:$M$3880,MATCH($AM419,'Flat Rates'!$A$1:$A$3880,0),MATCH("Evening and Weekend Rate",'Flat Rates'!$A$1:$M$1,0))=0,"",((INDEX('Flat Rates'!$A$1:$M$3880,MATCH($AM419,'Flat Rates'!$A$1:$A$3880,0),MATCH("Evening and Weekend Rate",'Flat Rates'!$A$1:$M$1,0)))*100)+H419),""))</f>
        <v/>
      </c>
      <c r="AU419" s="152" t="str">
        <f t="shared" si="177"/>
        <v/>
      </c>
      <c r="AV419" s="152" t="str">
        <f t="shared" si="178"/>
        <v/>
      </c>
      <c r="AW419" s="152" t="str">
        <f t="shared" si="179"/>
        <v/>
      </c>
    </row>
    <row r="420" spans="2:49" ht="15" thickBot="1" x14ac:dyDescent="0.35">
      <c r="B420" s="138" t="str">
        <f t="shared" si="156"/>
        <v/>
      </c>
      <c r="C420" s="146"/>
      <c r="D420" s="147"/>
      <c r="E420" s="140"/>
      <c r="F420" s="140"/>
      <c r="G420" s="139"/>
      <c r="H420" s="151"/>
      <c r="I420" s="139"/>
      <c r="J420" s="137"/>
      <c r="K420" s="139"/>
      <c r="L420" s="141"/>
      <c r="M420" s="133" t="str">
        <f t="shared" si="157"/>
        <v/>
      </c>
      <c r="N420" s="133" t="str">
        <f t="shared" si="158"/>
        <v/>
      </c>
      <c r="O420" s="133" t="str">
        <f t="shared" si="159"/>
        <v/>
      </c>
      <c r="P420" s="133" t="str">
        <f t="shared" si="160"/>
        <v/>
      </c>
      <c r="Q420" s="133" t="str">
        <f t="shared" si="161"/>
        <v/>
      </c>
      <c r="R420" s="133" t="str">
        <f t="shared" si="162"/>
        <v/>
      </c>
      <c r="S420" s="133" t="str">
        <f t="shared" si="163"/>
        <v/>
      </c>
      <c r="T420" s="133" t="str">
        <f>IFERROR(IF($U420="ERROR","ERROR",IF($N420="00",IF(J420="1-Rate","HH 1RATE",IF(J420="2-Rate","HH 2RATE","")),IFERROR(VLOOKUP(CONCATENATE(N420,Q420,O420,P420),Lookups!$A$2:$E$4557,5,0),VLOOKUP(CONCATENATE(N420,Q420,O420),Lookups!$A$2:$E$4557,5,0)))),"ERROR")</f>
        <v>ERROR</v>
      </c>
      <c r="U420" s="133" t="str">
        <f>IFERROR(IF(NOT($N420="00"),"",VLOOKUP(CONCATENATE(Q420,P420,LOOKUP(2,1/(Lookups!$I$2:$I$11&lt;=E420)/(Lookups!$J$2:$J$11&gt;=Tool!$C$14),Lookups!$K$2:$K$11)),'HH LLFs'!$A$2:$K$500,3,0)),"ERROR")</f>
        <v/>
      </c>
      <c r="V420" s="132">
        <f>Calcs!$I$2</f>
        <v>44377</v>
      </c>
      <c r="W420" s="132">
        <f>Calcs!$I$4</f>
        <v>44592</v>
      </c>
      <c r="X420" s="153" t="str">
        <f>IF(NOT(N420="00"),"",(VLOOKUP(CONCATENATE(Q420,P420,LOOKUP(2,1/(Lookups!$I$2:$I$11&lt;=Multisite!E420)/(Lookups!$J$2:$J$11&gt;=E420),Lookups!$K$2:$K$11)),'HH LLFs'!$A$2:$F$282,6,0)*365)/12)</f>
        <v/>
      </c>
      <c r="Y420" s="153">
        <f t="shared" si="164"/>
        <v>0</v>
      </c>
      <c r="Z420" s="153" t="str">
        <f t="shared" si="173"/>
        <v/>
      </c>
      <c r="AA420" s="153" t="str">
        <f t="shared" si="165"/>
        <v/>
      </c>
      <c r="AB420" s="153" t="str">
        <f t="shared" si="174"/>
        <v/>
      </c>
      <c r="AC420" s="153" t="str">
        <f t="shared" si="166"/>
        <v/>
      </c>
      <c r="AD420" s="153" t="str">
        <f t="shared" si="167"/>
        <v/>
      </c>
      <c r="AE420" s="153" t="str">
        <f t="shared" si="168"/>
        <v/>
      </c>
      <c r="AF420" s="155" t="e">
        <f>LOOKUP(2,1/(Lookups!$I$2:$I$11&lt;=E420)/(Lookups!$J$2:$J$11&gt;=E420),Lookups!$L$2:$L$11)</f>
        <v>#N/A</v>
      </c>
      <c r="AG420" s="142" t="str">
        <f t="shared" si="169"/>
        <v/>
      </c>
      <c r="AH420" s="142" t="str">
        <f t="shared" si="170"/>
        <v/>
      </c>
      <c r="AI420" s="143" t="b">
        <f t="shared" si="175"/>
        <v>0</v>
      </c>
      <c r="AJ420" s="143" t="str">
        <f t="shared" si="171"/>
        <v>Level 1</v>
      </c>
      <c r="AK420" s="142">
        <f t="shared" si="172"/>
        <v>0</v>
      </c>
      <c r="AL420" s="157" t="str">
        <f t="shared" si="180"/>
        <v/>
      </c>
      <c r="AM420" s="144" t="str">
        <f t="shared" si="181"/>
        <v>--FALSE-0</v>
      </c>
      <c r="AN420" s="158" t="str">
        <f t="shared" si="176"/>
        <v/>
      </c>
      <c r="AO420" s="145"/>
      <c r="AP420" s="159" t="str">
        <f>IF($AN420=FALSE,"",IFERROR(INDEX('Flat Rates'!$A$1:$M$3880,MATCH($AM420,'Flat Rates'!$A$1:$A$3880,0),MATCH("Standing Charge",'Flat Rates'!$A$1:$M$1,0))*100,""))</f>
        <v/>
      </c>
      <c r="AQ420" s="148" t="str">
        <f>IF($AN420=FALSE,"",IFERROR((IF(NOT(T420="Unrestricted"),"",INDEX('Flat Rates'!$A$1:$M$3880,MATCH($AM420,'Flat Rates'!$A$1:$A$3880,0),MATCH("Uni/Day Rate",'Flat Rates'!$A$1:$M$1,0)))*100)+H420,""))</f>
        <v/>
      </c>
      <c r="AR420" s="148" t="str">
        <f>IF($AN420=FALSE,"",IFERROR((IF(T420="Unrestricted","",INDEX('Flat Rates'!$A$1:$M$3880,MATCH($AM420,'Flat Rates'!$A$1:$A$3880,0),MATCH("Uni/Day Rate",'Flat Rates'!$A$1:$M$1,0)))*100)+H420,""))</f>
        <v/>
      </c>
      <c r="AS420" s="148" t="str">
        <f>IF($AN420=FALSE,"",IFERROR(IF(INDEX('Flat Rates'!$A$1:$M$3880,MATCH($AM420,'Flat Rates'!$A$1:$A$3880,0),MATCH("Night Unit Rate",'Flat Rates'!$A$1:$M$1,0))=0,"",((INDEX('Flat Rates'!$A$1:$M$3880,MATCH($AM420,'Flat Rates'!$A$1:$A$3880,0),MATCH("Night Unit Rate",'Flat Rates'!$A$1:$M$1,0)))*100)+H420),""))</f>
        <v/>
      </c>
      <c r="AT420" s="148" t="str">
        <f>IF($AN420=FALSE,"",IFERROR(IF(INDEX('Flat Rates'!$A$1:$M$3880,MATCH($AM420,'Flat Rates'!$A$1:$A$3880,0),MATCH("Evening and Weekend Rate",'Flat Rates'!$A$1:$M$1,0))=0,"",((INDEX('Flat Rates'!$A$1:$M$3880,MATCH($AM420,'Flat Rates'!$A$1:$A$3880,0),MATCH("Evening and Weekend Rate",'Flat Rates'!$A$1:$M$1,0)))*100)+H420),""))</f>
        <v/>
      </c>
      <c r="AU420" s="152" t="str">
        <f t="shared" si="177"/>
        <v/>
      </c>
      <c r="AV420" s="152" t="str">
        <f t="shared" si="178"/>
        <v/>
      </c>
      <c r="AW420" s="152" t="str">
        <f t="shared" si="179"/>
        <v/>
      </c>
    </row>
    <row r="421" spans="2:49" ht="15" thickBot="1" x14ac:dyDescent="0.35">
      <c r="B421" s="138" t="str">
        <f t="shared" si="156"/>
        <v/>
      </c>
      <c r="C421" s="137"/>
      <c r="D421" s="139"/>
      <c r="E421" s="140"/>
      <c r="F421" s="140"/>
      <c r="G421" s="139"/>
      <c r="H421" s="151"/>
      <c r="I421" s="139"/>
      <c r="J421" s="138"/>
      <c r="K421" s="139"/>
      <c r="L421" s="141"/>
      <c r="M421" s="133" t="str">
        <f t="shared" si="157"/>
        <v/>
      </c>
      <c r="N421" s="133" t="str">
        <f t="shared" si="158"/>
        <v/>
      </c>
      <c r="O421" s="133" t="str">
        <f t="shared" si="159"/>
        <v/>
      </c>
      <c r="P421" s="133" t="str">
        <f t="shared" si="160"/>
        <v/>
      </c>
      <c r="Q421" s="133" t="str">
        <f t="shared" si="161"/>
        <v/>
      </c>
      <c r="R421" s="133" t="str">
        <f t="shared" si="162"/>
        <v/>
      </c>
      <c r="S421" s="133" t="str">
        <f t="shared" si="163"/>
        <v/>
      </c>
      <c r="T421" s="133" t="str">
        <f>IFERROR(IF($U421="ERROR","ERROR",IF($N421="00",IF(J421="1-Rate","HH 1RATE",IF(J421="2-Rate","HH 2RATE","")),IFERROR(VLOOKUP(CONCATENATE(N421,Q421,O421,P421),Lookups!$A$2:$E$4557,5,0),VLOOKUP(CONCATENATE(N421,Q421,O421),Lookups!$A$2:$E$4557,5,0)))),"ERROR")</f>
        <v>ERROR</v>
      </c>
      <c r="U421" s="133" t="str">
        <f>IFERROR(IF(NOT($N421="00"),"",VLOOKUP(CONCATENATE(Q421,P421,LOOKUP(2,1/(Lookups!$I$2:$I$11&lt;=E421)/(Lookups!$J$2:$J$11&gt;=Tool!$C$14),Lookups!$K$2:$K$11)),'HH LLFs'!$A$2:$K$500,3,0)),"ERROR")</f>
        <v/>
      </c>
      <c r="V421" s="132">
        <f>Calcs!$I$2</f>
        <v>44377</v>
      </c>
      <c r="W421" s="132">
        <f>Calcs!$I$4</f>
        <v>44592</v>
      </c>
      <c r="X421" s="153" t="str">
        <f>IF(NOT(N421="00"),"",(VLOOKUP(CONCATENATE(Q421,P421,LOOKUP(2,1/(Lookups!$I$2:$I$11&lt;=Multisite!E421)/(Lookups!$J$2:$J$11&gt;=E421),Lookups!$K$2:$K$11)),'HH LLFs'!$A$2:$F$282,6,0)*365)/12)</f>
        <v/>
      </c>
      <c r="Y421" s="153">
        <f t="shared" si="164"/>
        <v>0</v>
      </c>
      <c r="Z421" s="153" t="str">
        <f t="shared" si="173"/>
        <v/>
      </c>
      <c r="AA421" s="153" t="str">
        <f t="shared" si="165"/>
        <v/>
      </c>
      <c r="AB421" s="153" t="str">
        <f t="shared" si="174"/>
        <v/>
      </c>
      <c r="AC421" s="153" t="str">
        <f t="shared" si="166"/>
        <v/>
      </c>
      <c r="AD421" s="153" t="str">
        <f t="shared" si="167"/>
        <v/>
      </c>
      <c r="AE421" s="153" t="str">
        <f t="shared" si="168"/>
        <v/>
      </c>
      <c r="AF421" s="155" t="e">
        <f>LOOKUP(2,1/(Lookups!$I$2:$I$11&lt;=E421)/(Lookups!$J$2:$J$11&gt;=E421),Lookups!$L$2:$L$11)</f>
        <v>#N/A</v>
      </c>
      <c r="AG421" s="142" t="str">
        <f t="shared" si="169"/>
        <v/>
      </c>
      <c r="AH421" s="142" t="str">
        <f t="shared" si="170"/>
        <v/>
      </c>
      <c r="AI421" s="143" t="b">
        <f t="shared" si="175"/>
        <v>0</v>
      </c>
      <c r="AJ421" s="143" t="str">
        <f t="shared" si="171"/>
        <v>Level 1</v>
      </c>
      <c r="AK421" s="142">
        <f t="shared" si="172"/>
        <v>0</v>
      </c>
      <c r="AL421" s="157" t="str">
        <f t="shared" si="180"/>
        <v/>
      </c>
      <c r="AM421" s="144" t="str">
        <f t="shared" si="181"/>
        <v>--FALSE-0</v>
      </c>
      <c r="AN421" s="158" t="str">
        <f t="shared" si="176"/>
        <v/>
      </c>
      <c r="AO421" s="145"/>
      <c r="AP421" s="159" t="str">
        <f>IF($AN421=FALSE,"",IFERROR(INDEX('Flat Rates'!$A$1:$M$3880,MATCH($AM421,'Flat Rates'!$A$1:$A$3880,0),MATCH("Standing Charge",'Flat Rates'!$A$1:$M$1,0))*100,""))</f>
        <v/>
      </c>
      <c r="AQ421" s="148" t="str">
        <f>IF($AN421=FALSE,"",IFERROR((IF(NOT(T421="Unrestricted"),"",INDEX('Flat Rates'!$A$1:$M$3880,MATCH($AM421,'Flat Rates'!$A$1:$A$3880,0),MATCH("Uni/Day Rate",'Flat Rates'!$A$1:$M$1,0)))*100)+H421,""))</f>
        <v/>
      </c>
      <c r="AR421" s="148" t="str">
        <f>IF($AN421=FALSE,"",IFERROR((IF(T421="Unrestricted","",INDEX('Flat Rates'!$A$1:$M$3880,MATCH($AM421,'Flat Rates'!$A$1:$A$3880,0),MATCH("Uni/Day Rate",'Flat Rates'!$A$1:$M$1,0)))*100)+H421,""))</f>
        <v/>
      </c>
      <c r="AS421" s="148" t="str">
        <f>IF($AN421=FALSE,"",IFERROR(IF(INDEX('Flat Rates'!$A$1:$M$3880,MATCH($AM421,'Flat Rates'!$A$1:$A$3880,0),MATCH("Night Unit Rate",'Flat Rates'!$A$1:$M$1,0))=0,"",((INDEX('Flat Rates'!$A$1:$M$3880,MATCH($AM421,'Flat Rates'!$A$1:$A$3880,0),MATCH("Night Unit Rate",'Flat Rates'!$A$1:$M$1,0)))*100)+H421),""))</f>
        <v/>
      </c>
      <c r="AT421" s="148" t="str">
        <f>IF($AN421=FALSE,"",IFERROR(IF(INDEX('Flat Rates'!$A$1:$M$3880,MATCH($AM421,'Flat Rates'!$A$1:$A$3880,0),MATCH("Evening and Weekend Rate",'Flat Rates'!$A$1:$M$1,0))=0,"",((INDEX('Flat Rates'!$A$1:$M$3880,MATCH($AM421,'Flat Rates'!$A$1:$A$3880,0),MATCH("Evening and Weekend Rate",'Flat Rates'!$A$1:$M$1,0)))*100)+H421),""))</f>
        <v/>
      </c>
      <c r="AU421" s="152" t="str">
        <f t="shared" si="177"/>
        <v/>
      </c>
      <c r="AV421" s="152" t="str">
        <f t="shared" si="178"/>
        <v/>
      </c>
      <c r="AW421" s="152" t="str">
        <f t="shared" si="179"/>
        <v/>
      </c>
    </row>
    <row r="422" spans="2:49" ht="15" thickBot="1" x14ac:dyDescent="0.35">
      <c r="B422" s="138" t="str">
        <f t="shared" si="156"/>
        <v/>
      </c>
      <c r="C422" s="146"/>
      <c r="D422" s="147"/>
      <c r="E422" s="140"/>
      <c r="F422" s="140"/>
      <c r="G422" s="139"/>
      <c r="H422" s="151"/>
      <c r="I422" s="139"/>
      <c r="J422" s="137"/>
      <c r="K422" s="139"/>
      <c r="L422" s="141"/>
      <c r="M422" s="133" t="str">
        <f t="shared" si="157"/>
        <v/>
      </c>
      <c r="N422" s="133" t="str">
        <f t="shared" si="158"/>
        <v/>
      </c>
      <c r="O422" s="133" t="str">
        <f t="shared" si="159"/>
        <v/>
      </c>
      <c r="P422" s="133" t="str">
        <f t="shared" si="160"/>
        <v/>
      </c>
      <c r="Q422" s="133" t="str">
        <f t="shared" si="161"/>
        <v/>
      </c>
      <c r="R422" s="133" t="str">
        <f t="shared" si="162"/>
        <v/>
      </c>
      <c r="S422" s="133" t="str">
        <f t="shared" si="163"/>
        <v/>
      </c>
      <c r="T422" s="133" t="str">
        <f>IFERROR(IF($U422="ERROR","ERROR",IF($N422="00",IF(J422="1-Rate","HH 1RATE",IF(J422="2-Rate","HH 2RATE","")),IFERROR(VLOOKUP(CONCATENATE(N422,Q422,O422,P422),Lookups!$A$2:$E$4557,5,0),VLOOKUP(CONCATENATE(N422,Q422,O422),Lookups!$A$2:$E$4557,5,0)))),"ERROR")</f>
        <v>ERROR</v>
      </c>
      <c r="U422" s="133" t="str">
        <f>IFERROR(IF(NOT($N422="00"),"",VLOOKUP(CONCATENATE(Q422,P422,LOOKUP(2,1/(Lookups!$I$2:$I$11&lt;=E422)/(Lookups!$J$2:$J$11&gt;=Tool!$C$14),Lookups!$K$2:$K$11)),'HH LLFs'!$A$2:$K$500,3,0)),"ERROR")</f>
        <v/>
      </c>
      <c r="V422" s="132">
        <f>Calcs!$I$2</f>
        <v>44377</v>
      </c>
      <c r="W422" s="132">
        <f>Calcs!$I$4</f>
        <v>44592</v>
      </c>
      <c r="X422" s="153" t="str">
        <f>IF(NOT(N422="00"),"",(VLOOKUP(CONCATENATE(Q422,P422,LOOKUP(2,1/(Lookups!$I$2:$I$11&lt;=Multisite!E422)/(Lookups!$J$2:$J$11&gt;=E422),Lookups!$K$2:$K$11)),'HH LLFs'!$A$2:$F$282,6,0)*365)/12)</f>
        <v/>
      </c>
      <c r="Y422" s="153">
        <f t="shared" si="164"/>
        <v>0</v>
      </c>
      <c r="Z422" s="153" t="str">
        <f t="shared" si="173"/>
        <v/>
      </c>
      <c r="AA422" s="153" t="str">
        <f t="shared" si="165"/>
        <v/>
      </c>
      <c r="AB422" s="153" t="str">
        <f t="shared" si="174"/>
        <v/>
      </c>
      <c r="AC422" s="153" t="str">
        <f t="shared" si="166"/>
        <v/>
      </c>
      <c r="AD422" s="153" t="str">
        <f t="shared" si="167"/>
        <v/>
      </c>
      <c r="AE422" s="153" t="str">
        <f t="shared" si="168"/>
        <v/>
      </c>
      <c r="AF422" s="155" t="e">
        <f>LOOKUP(2,1/(Lookups!$I$2:$I$11&lt;=E422)/(Lookups!$J$2:$J$11&gt;=E422),Lookups!$L$2:$L$11)</f>
        <v>#N/A</v>
      </c>
      <c r="AG422" s="142" t="str">
        <f t="shared" si="169"/>
        <v/>
      </c>
      <c r="AH422" s="142" t="str">
        <f t="shared" si="170"/>
        <v/>
      </c>
      <c r="AI422" s="143" t="b">
        <f t="shared" si="175"/>
        <v>0</v>
      </c>
      <c r="AJ422" s="143" t="str">
        <f t="shared" si="171"/>
        <v>Level 1</v>
      </c>
      <c r="AK422" s="142">
        <f t="shared" si="172"/>
        <v>0</v>
      </c>
      <c r="AL422" s="157" t="str">
        <f t="shared" si="180"/>
        <v/>
      </c>
      <c r="AM422" s="144" t="str">
        <f t="shared" si="181"/>
        <v>--FALSE-0</v>
      </c>
      <c r="AN422" s="158" t="str">
        <f t="shared" si="176"/>
        <v/>
      </c>
      <c r="AO422" s="145"/>
      <c r="AP422" s="159" t="str">
        <f>IF($AN422=FALSE,"",IFERROR(INDEX('Flat Rates'!$A$1:$M$3880,MATCH($AM422,'Flat Rates'!$A$1:$A$3880,0),MATCH("Standing Charge",'Flat Rates'!$A$1:$M$1,0))*100,""))</f>
        <v/>
      </c>
      <c r="AQ422" s="148" t="str">
        <f>IF($AN422=FALSE,"",IFERROR((IF(NOT(T422="Unrestricted"),"",INDEX('Flat Rates'!$A$1:$M$3880,MATCH($AM422,'Flat Rates'!$A$1:$A$3880,0),MATCH("Uni/Day Rate",'Flat Rates'!$A$1:$M$1,0)))*100)+H422,""))</f>
        <v/>
      </c>
      <c r="AR422" s="148" t="str">
        <f>IF($AN422=FALSE,"",IFERROR((IF(T422="Unrestricted","",INDEX('Flat Rates'!$A$1:$M$3880,MATCH($AM422,'Flat Rates'!$A$1:$A$3880,0),MATCH("Uni/Day Rate",'Flat Rates'!$A$1:$M$1,0)))*100)+H422,""))</f>
        <v/>
      </c>
      <c r="AS422" s="148" t="str">
        <f>IF($AN422=FALSE,"",IFERROR(IF(INDEX('Flat Rates'!$A$1:$M$3880,MATCH($AM422,'Flat Rates'!$A$1:$A$3880,0),MATCH("Night Unit Rate",'Flat Rates'!$A$1:$M$1,0))=0,"",((INDEX('Flat Rates'!$A$1:$M$3880,MATCH($AM422,'Flat Rates'!$A$1:$A$3880,0),MATCH("Night Unit Rate",'Flat Rates'!$A$1:$M$1,0)))*100)+H422),""))</f>
        <v/>
      </c>
      <c r="AT422" s="148" t="str">
        <f>IF($AN422=FALSE,"",IFERROR(IF(INDEX('Flat Rates'!$A$1:$M$3880,MATCH($AM422,'Flat Rates'!$A$1:$A$3880,0),MATCH("Evening and Weekend Rate",'Flat Rates'!$A$1:$M$1,0))=0,"",((INDEX('Flat Rates'!$A$1:$M$3880,MATCH($AM422,'Flat Rates'!$A$1:$A$3880,0),MATCH("Evening and Weekend Rate",'Flat Rates'!$A$1:$M$1,0)))*100)+H422),""))</f>
        <v/>
      </c>
      <c r="AU422" s="152" t="str">
        <f t="shared" si="177"/>
        <v/>
      </c>
      <c r="AV422" s="152" t="str">
        <f t="shared" si="178"/>
        <v/>
      </c>
      <c r="AW422" s="152" t="str">
        <f t="shared" si="179"/>
        <v/>
      </c>
    </row>
    <row r="423" spans="2:49" ht="15" thickBot="1" x14ac:dyDescent="0.35">
      <c r="B423" s="138" t="str">
        <f t="shared" si="156"/>
        <v/>
      </c>
      <c r="C423" s="137"/>
      <c r="D423" s="139"/>
      <c r="E423" s="140"/>
      <c r="F423" s="140"/>
      <c r="G423" s="139"/>
      <c r="H423" s="151"/>
      <c r="I423" s="139"/>
      <c r="J423" s="138"/>
      <c r="K423" s="139"/>
      <c r="L423" s="141"/>
      <c r="M423" s="133" t="str">
        <f t="shared" si="157"/>
        <v/>
      </c>
      <c r="N423" s="133" t="str">
        <f t="shared" si="158"/>
        <v/>
      </c>
      <c r="O423" s="133" t="str">
        <f t="shared" si="159"/>
        <v/>
      </c>
      <c r="P423" s="133" t="str">
        <f t="shared" si="160"/>
        <v/>
      </c>
      <c r="Q423" s="133" t="str">
        <f t="shared" si="161"/>
        <v/>
      </c>
      <c r="R423" s="133" t="str">
        <f t="shared" si="162"/>
        <v/>
      </c>
      <c r="S423" s="133" t="str">
        <f t="shared" si="163"/>
        <v/>
      </c>
      <c r="T423" s="133" t="str">
        <f>IFERROR(IF($U423="ERROR","ERROR",IF($N423="00",IF(J423="1-Rate","HH 1RATE",IF(J423="2-Rate","HH 2RATE","")),IFERROR(VLOOKUP(CONCATENATE(N423,Q423,O423,P423),Lookups!$A$2:$E$4557,5,0),VLOOKUP(CONCATENATE(N423,Q423,O423),Lookups!$A$2:$E$4557,5,0)))),"ERROR")</f>
        <v>ERROR</v>
      </c>
      <c r="U423" s="133" t="str">
        <f>IFERROR(IF(NOT($N423="00"),"",VLOOKUP(CONCATENATE(Q423,P423,LOOKUP(2,1/(Lookups!$I$2:$I$11&lt;=E423)/(Lookups!$J$2:$J$11&gt;=Tool!$C$14),Lookups!$K$2:$K$11)),'HH LLFs'!$A$2:$K$500,3,0)),"ERROR")</f>
        <v/>
      </c>
      <c r="V423" s="132">
        <f>Calcs!$I$2</f>
        <v>44377</v>
      </c>
      <c r="W423" s="132">
        <f>Calcs!$I$4</f>
        <v>44592</v>
      </c>
      <c r="X423" s="153" t="str">
        <f>IF(NOT(N423="00"),"",(VLOOKUP(CONCATENATE(Q423,P423,LOOKUP(2,1/(Lookups!$I$2:$I$11&lt;=Multisite!E423)/(Lookups!$J$2:$J$11&gt;=E423),Lookups!$K$2:$K$11)),'HH LLFs'!$A$2:$F$282,6,0)*365)/12)</f>
        <v/>
      </c>
      <c r="Y423" s="153">
        <f t="shared" si="164"/>
        <v>0</v>
      </c>
      <c r="Z423" s="153" t="str">
        <f t="shared" si="173"/>
        <v/>
      </c>
      <c r="AA423" s="153" t="str">
        <f t="shared" si="165"/>
        <v/>
      </c>
      <c r="AB423" s="153" t="str">
        <f t="shared" si="174"/>
        <v/>
      </c>
      <c r="AC423" s="153" t="str">
        <f t="shared" si="166"/>
        <v/>
      </c>
      <c r="AD423" s="153" t="str">
        <f t="shared" si="167"/>
        <v/>
      </c>
      <c r="AE423" s="153" t="str">
        <f t="shared" si="168"/>
        <v/>
      </c>
      <c r="AF423" s="155" t="e">
        <f>LOOKUP(2,1/(Lookups!$I$2:$I$11&lt;=E423)/(Lookups!$J$2:$J$11&gt;=E423),Lookups!$L$2:$L$11)</f>
        <v>#N/A</v>
      </c>
      <c r="AG423" s="142" t="str">
        <f t="shared" si="169"/>
        <v/>
      </c>
      <c r="AH423" s="142" t="str">
        <f t="shared" si="170"/>
        <v/>
      </c>
      <c r="AI423" s="143" t="b">
        <f t="shared" si="175"/>
        <v>0</v>
      </c>
      <c r="AJ423" s="143" t="str">
        <f t="shared" si="171"/>
        <v>Level 1</v>
      </c>
      <c r="AK423" s="142">
        <f t="shared" si="172"/>
        <v>0</v>
      </c>
      <c r="AL423" s="157" t="str">
        <f t="shared" si="180"/>
        <v/>
      </c>
      <c r="AM423" s="144" t="str">
        <f t="shared" si="181"/>
        <v>--FALSE-0</v>
      </c>
      <c r="AN423" s="158" t="str">
        <f t="shared" si="176"/>
        <v/>
      </c>
      <c r="AO423" s="145"/>
      <c r="AP423" s="159" t="str">
        <f>IF($AN423=FALSE,"",IFERROR(INDEX('Flat Rates'!$A$1:$M$3880,MATCH($AM423,'Flat Rates'!$A$1:$A$3880,0),MATCH("Standing Charge",'Flat Rates'!$A$1:$M$1,0))*100,""))</f>
        <v/>
      </c>
      <c r="AQ423" s="148" t="str">
        <f>IF($AN423=FALSE,"",IFERROR((IF(NOT(T423="Unrestricted"),"",INDEX('Flat Rates'!$A$1:$M$3880,MATCH($AM423,'Flat Rates'!$A$1:$A$3880,0),MATCH("Uni/Day Rate",'Flat Rates'!$A$1:$M$1,0)))*100)+H423,""))</f>
        <v/>
      </c>
      <c r="AR423" s="148" t="str">
        <f>IF($AN423=FALSE,"",IFERROR((IF(T423="Unrestricted","",INDEX('Flat Rates'!$A$1:$M$3880,MATCH($AM423,'Flat Rates'!$A$1:$A$3880,0),MATCH("Uni/Day Rate",'Flat Rates'!$A$1:$M$1,0)))*100)+H423,""))</f>
        <v/>
      </c>
      <c r="AS423" s="148" t="str">
        <f>IF($AN423=FALSE,"",IFERROR(IF(INDEX('Flat Rates'!$A$1:$M$3880,MATCH($AM423,'Flat Rates'!$A$1:$A$3880,0),MATCH("Night Unit Rate",'Flat Rates'!$A$1:$M$1,0))=0,"",((INDEX('Flat Rates'!$A$1:$M$3880,MATCH($AM423,'Flat Rates'!$A$1:$A$3880,0),MATCH("Night Unit Rate",'Flat Rates'!$A$1:$M$1,0)))*100)+H423),""))</f>
        <v/>
      </c>
      <c r="AT423" s="148" t="str">
        <f>IF($AN423=FALSE,"",IFERROR(IF(INDEX('Flat Rates'!$A$1:$M$3880,MATCH($AM423,'Flat Rates'!$A$1:$A$3880,0),MATCH("Evening and Weekend Rate",'Flat Rates'!$A$1:$M$1,0))=0,"",((INDEX('Flat Rates'!$A$1:$M$3880,MATCH($AM423,'Flat Rates'!$A$1:$A$3880,0),MATCH("Evening and Weekend Rate",'Flat Rates'!$A$1:$M$1,0)))*100)+H423),""))</f>
        <v/>
      </c>
      <c r="AU423" s="152" t="str">
        <f t="shared" si="177"/>
        <v/>
      </c>
      <c r="AV423" s="152" t="str">
        <f t="shared" si="178"/>
        <v/>
      </c>
      <c r="AW423" s="152" t="str">
        <f t="shared" si="179"/>
        <v/>
      </c>
    </row>
    <row r="424" spans="2:49" ht="15" thickBot="1" x14ac:dyDescent="0.35">
      <c r="B424" s="138" t="str">
        <f t="shared" si="156"/>
        <v/>
      </c>
      <c r="C424" s="146"/>
      <c r="D424" s="147"/>
      <c r="E424" s="140"/>
      <c r="F424" s="140"/>
      <c r="G424" s="139"/>
      <c r="H424" s="151"/>
      <c r="I424" s="139"/>
      <c r="J424" s="137"/>
      <c r="K424" s="139"/>
      <c r="L424" s="141"/>
      <c r="M424" s="133" t="str">
        <f t="shared" si="157"/>
        <v/>
      </c>
      <c r="N424" s="133" t="str">
        <f t="shared" si="158"/>
        <v/>
      </c>
      <c r="O424" s="133" t="str">
        <f t="shared" si="159"/>
        <v/>
      </c>
      <c r="P424" s="133" t="str">
        <f t="shared" si="160"/>
        <v/>
      </c>
      <c r="Q424" s="133" t="str">
        <f t="shared" si="161"/>
        <v/>
      </c>
      <c r="R424" s="133" t="str">
        <f t="shared" si="162"/>
        <v/>
      </c>
      <c r="S424" s="133" t="str">
        <f t="shared" si="163"/>
        <v/>
      </c>
      <c r="T424" s="133" t="str">
        <f>IFERROR(IF($U424="ERROR","ERROR",IF($N424="00",IF(J424="1-Rate","HH 1RATE",IF(J424="2-Rate","HH 2RATE","")),IFERROR(VLOOKUP(CONCATENATE(N424,Q424,O424,P424),Lookups!$A$2:$E$4557,5,0),VLOOKUP(CONCATENATE(N424,Q424,O424),Lookups!$A$2:$E$4557,5,0)))),"ERROR")</f>
        <v>ERROR</v>
      </c>
      <c r="U424" s="133" t="str">
        <f>IFERROR(IF(NOT($N424="00"),"",VLOOKUP(CONCATENATE(Q424,P424,LOOKUP(2,1/(Lookups!$I$2:$I$11&lt;=E424)/(Lookups!$J$2:$J$11&gt;=Tool!$C$14),Lookups!$K$2:$K$11)),'HH LLFs'!$A$2:$K$500,3,0)),"ERROR")</f>
        <v/>
      </c>
      <c r="V424" s="132">
        <f>Calcs!$I$2</f>
        <v>44377</v>
      </c>
      <c r="W424" s="132">
        <f>Calcs!$I$4</f>
        <v>44592</v>
      </c>
      <c r="X424" s="153" t="str">
        <f>IF(NOT(N424="00"),"",(VLOOKUP(CONCATENATE(Q424,P424,LOOKUP(2,1/(Lookups!$I$2:$I$11&lt;=Multisite!E424)/(Lookups!$J$2:$J$11&gt;=E424),Lookups!$K$2:$K$11)),'HH LLFs'!$A$2:$F$282,6,0)*365)/12)</f>
        <v/>
      </c>
      <c r="Y424" s="153">
        <f t="shared" si="164"/>
        <v>0</v>
      </c>
      <c r="Z424" s="153" t="str">
        <f t="shared" si="173"/>
        <v/>
      </c>
      <c r="AA424" s="153" t="str">
        <f t="shared" si="165"/>
        <v/>
      </c>
      <c r="AB424" s="153" t="str">
        <f t="shared" si="174"/>
        <v/>
      </c>
      <c r="AC424" s="153" t="str">
        <f t="shared" si="166"/>
        <v/>
      </c>
      <c r="AD424" s="153" t="str">
        <f t="shared" si="167"/>
        <v/>
      </c>
      <c r="AE424" s="153" t="str">
        <f t="shared" si="168"/>
        <v/>
      </c>
      <c r="AF424" s="155" t="e">
        <f>LOOKUP(2,1/(Lookups!$I$2:$I$11&lt;=E424)/(Lookups!$J$2:$J$11&gt;=E424),Lookups!$L$2:$L$11)</f>
        <v>#N/A</v>
      </c>
      <c r="AG424" s="142" t="str">
        <f t="shared" si="169"/>
        <v/>
      </c>
      <c r="AH424" s="142" t="str">
        <f t="shared" si="170"/>
        <v/>
      </c>
      <c r="AI424" s="143" t="b">
        <f t="shared" si="175"/>
        <v>0</v>
      </c>
      <c r="AJ424" s="143" t="str">
        <f t="shared" si="171"/>
        <v>Level 1</v>
      </c>
      <c r="AK424" s="142">
        <f t="shared" si="172"/>
        <v>0</v>
      </c>
      <c r="AL424" s="157" t="str">
        <f t="shared" si="180"/>
        <v/>
      </c>
      <c r="AM424" s="144" t="str">
        <f t="shared" si="181"/>
        <v>--FALSE-0</v>
      </c>
      <c r="AN424" s="158" t="str">
        <f t="shared" si="176"/>
        <v/>
      </c>
      <c r="AO424" s="145"/>
      <c r="AP424" s="159" t="str">
        <f>IF($AN424=FALSE,"",IFERROR(INDEX('Flat Rates'!$A$1:$M$3880,MATCH($AM424,'Flat Rates'!$A$1:$A$3880,0),MATCH("Standing Charge",'Flat Rates'!$A$1:$M$1,0))*100,""))</f>
        <v/>
      </c>
      <c r="AQ424" s="148" t="str">
        <f>IF($AN424=FALSE,"",IFERROR((IF(NOT(T424="Unrestricted"),"",INDEX('Flat Rates'!$A$1:$M$3880,MATCH($AM424,'Flat Rates'!$A$1:$A$3880,0),MATCH("Uni/Day Rate",'Flat Rates'!$A$1:$M$1,0)))*100)+H424,""))</f>
        <v/>
      </c>
      <c r="AR424" s="148" t="str">
        <f>IF($AN424=FALSE,"",IFERROR((IF(T424="Unrestricted","",INDEX('Flat Rates'!$A$1:$M$3880,MATCH($AM424,'Flat Rates'!$A$1:$A$3880,0),MATCH("Uni/Day Rate",'Flat Rates'!$A$1:$M$1,0)))*100)+H424,""))</f>
        <v/>
      </c>
      <c r="AS424" s="148" t="str">
        <f>IF($AN424=FALSE,"",IFERROR(IF(INDEX('Flat Rates'!$A$1:$M$3880,MATCH($AM424,'Flat Rates'!$A$1:$A$3880,0),MATCH("Night Unit Rate",'Flat Rates'!$A$1:$M$1,0))=0,"",((INDEX('Flat Rates'!$A$1:$M$3880,MATCH($AM424,'Flat Rates'!$A$1:$A$3880,0),MATCH("Night Unit Rate",'Flat Rates'!$A$1:$M$1,0)))*100)+H424),""))</f>
        <v/>
      </c>
      <c r="AT424" s="148" t="str">
        <f>IF($AN424=FALSE,"",IFERROR(IF(INDEX('Flat Rates'!$A$1:$M$3880,MATCH($AM424,'Flat Rates'!$A$1:$A$3880,0),MATCH("Evening and Weekend Rate",'Flat Rates'!$A$1:$M$1,0))=0,"",((INDEX('Flat Rates'!$A$1:$M$3880,MATCH($AM424,'Flat Rates'!$A$1:$A$3880,0),MATCH("Evening and Weekend Rate",'Flat Rates'!$A$1:$M$1,0)))*100)+H424),""))</f>
        <v/>
      </c>
      <c r="AU424" s="152" t="str">
        <f t="shared" si="177"/>
        <v/>
      </c>
      <c r="AV424" s="152" t="str">
        <f t="shared" si="178"/>
        <v/>
      </c>
      <c r="AW424" s="152" t="str">
        <f t="shared" si="179"/>
        <v/>
      </c>
    </row>
    <row r="425" spans="2:49" ht="15" thickBot="1" x14ac:dyDescent="0.35">
      <c r="B425" s="138" t="str">
        <f t="shared" si="156"/>
        <v/>
      </c>
      <c r="C425" s="137"/>
      <c r="D425" s="139"/>
      <c r="E425" s="140"/>
      <c r="F425" s="140"/>
      <c r="G425" s="139"/>
      <c r="H425" s="151"/>
      <c r="I425" s="139"/>
      <c r="J425" s="138"/>
      <c r="K425" s="139"/>
      <c r="L425" s="141"/>
      <c r="M425" s="133" t="str">
        <f t="shared" si="157"/>
        <v/>
      </c>
      <c r="N425" s="133" t="str">
        <f t="shared" si="158"/>
        <v/>
      </c>
      <c r="O425" s="133" t="str">
        <f t="shared" si="159"/>
        <v/>
      </c>
      <c r="P425" s="133" t="str">
        <f t="shared" si="160"/>
        <v/>
      </c>
      <c r="Q425" s="133" t="str">
        <f t="shared" si="161"/>
        <v/>
      </c>
      <c r="R425" s="133" t="str">
        <f t="shared" si="162"/>
        <v/>
      </c>
      <c r="S425" s="133" t="str">
        <f t="shared" si="163"/>
        <v/>
      </c>
      <c r="T425" s="133" t="str">
        <f>IFERROR(IF($U425="ERROR","ERROR",IF($N425="00",IF(J425="1-Rate","HH 1RATE",IF(J425="2-Rate","HH 2RATE","")),IFERROR(VLOOKUP(CONCATENATE(N425,Q425,O425,P425),Lookups!$A$2:$E$4557,5,0),VLOOKUP(CONCATENATE(N425,Q425,O425),Lookups!$A$2:$E$4557,5,0)))),"ERROR")</f>
        <v>ERROR</v>
      </c>
      <c r="U425" s="133" t="str">
        <f>IFERROR(IF(NOT($N425="00"),"",VLOOKUP(CONCATENATE(Q425,P425,LOOKUP(2,1/(Lookups!$I$2:$I$11&lt;=E425)/(Lookups!$J$2:$J$11&gt;=Tool!$C$14),Lookups!$K$2:$K$11)),'HH LLFs'!$A$2:$K$500,3,0)),"ERROR")</f>
        <v/>
      </c>
      <c r="V425" s="132">
        <f>Calcs!$I$2</f>
        <v>44377</v>
      </c>
      <c r="W425" s="132">
        <f>Calcs!$I$4</f>
        <v>44592</v>
      </c>
      <c r="X425" s="153" t="str">
        <f>IF(NOT(N425="00"),"",(VLOOKUP(CONCATENATE(Q425,P425,LOOKUP(2,1/(Lookups!$I$2:$I$11&lt;=Multisite!E425)/(Lookups!$J$2:$J$11&gt;=E425),Lookups!$K$2:$K$11)),'HH LLFs'!$A$2:$F$282,6,0)*365)/12)</f>
        <v/>
      </c>
      <c r="Y425" s="153">
        <f t="shared" si="164"/>
        <v>0</v>
      </c>
      <c r="Z425" s="153" t="str">
        <f t="shared" si="173"/>
        <v/>
      </c>
      <c r="AA425" s="153" t="str">
        <f t="shared" si="165"/>
        <v/>
      </c>
      <c r="AB425" s="153" t="str">
        <f t="shared" si="174"/>
        <v/>
      </c>
      <c r="AC425" s="153" t="str">
        <f t="shared" si="166"/>
        <v/>
      </c>
      <c r="AD425" s="153" t="str">
        <f t="shared" si="167"/>
        <v/>
      </c>
      <c r="AE425" s="153" t="str">
        <f t="shared" si="168"/>
        <v/>
      </c>
      <c r="AF425" s="155" t="e">
        <f>LOOKUP(2,1/(Lookups!$I$2:$I$11&lt;=E425)/(Lookups!$J$2:$J$11&gt;=E425),Lookups!$L$2:$L$11)</f>
        <v>#N/A</v>
      </c>
      <c r="AG425" s="142" t="str">
        <f t="shared" si="169"/>
        <v/>
      </c>
      <c r="AH425" s="142" t="str">
        <f t="shared" si="170"/>
        <v/>
      </c>
      <c r="AI425" s="143" t="b">
        <f t="shared" si="175"/>
        <v>0</v>
      </c>
      <c r="AJ425" s="143" t="str">
        <f t="shared" si="171"/>
        <v>Level 1</v>
      </c>
      <c r="AK425" s="142">
        <f t="shared" si="172"/>
        <v>0</v>
      </c>
      <c r="AL425" s="157" t="str">
        <f t="shared" si="180"/>
        <v/>
      </c>
      <c r="AM425" s="144" t="str">
        <f t="shared" si="181"/>
        <v>--FALSE-0</v>
      </c>
      <c r="AN425" s="158" t="str">
        <f t="shared" si="176"/>
        <v/>
      </c>
      <c r="AO425" s="145"/>
      <c r="AP425" s="159" t="str">
        <f>IF($AN425=FALSE,"",IFERROR(INDEX('Flat Rates'!$A$1:$M$3880,MATCH($AM425,'Flat Rates'!$A$1:$A$3880,0),MATCH("Standing Charge",'Flat Rates'!$A$1:$M$1,0))*100,""))</f>
        <v/>
      </c>
      <c r="AQ425" s="148" t="str">
        <f>IF($AN425=FALSE,"",IFERROR((IF(NOT(T425="Unrestricted"),"",INDEX('Flat Rates'!$A$1:$M$3880,MATCH($AM425,'Flat Rates'!$A$1:$A$3880,0),MATCH("Uni/Day Rate",'Flat Rates'!$A$1:$M$1,0)))*100)+H425,""))</f>
        <v/>
      </c>
      <c r="AR425" s="148" t="str">
        <f>IF($AN425=FALSE,"",IFERROR((IF(T425="Unrestricted","",INDEX('Flat Rates'!$A$1:$M$3880,MATCH($AM425,'Flat Rates'!$A$1:$A$3880,0),MATCH("Uni/Day Rate",'Flat Rates'!$A$1:$M$1,0)))*100)+H425,""))</f>
        <v/>
      </c>
      <c r="AS425" s="148" t="str">
        <f>IF($AN425=FALSE,"",IFERROR(IF(INDEX('Flat Rates'!$A$1:$M$3880,MATCH($AM425,'Flat Rates'!$A$1:$A$3880,0),MATCH("Night Unit Rate",'Flat Rates'!$A$1:$M$1,0))=0,"",((INDEX('Flat Rates'!$A$1:$M$3880,MATCH($AM425,'Flat Rates'!$A$1:$A$3880,0),MATCH("Night Unit Rate",'Flat Rates'!$A$1:$M$1,0)))*100)+H425),""))</f>
        <v/>
      </c>
      <c r="AT425" s="148" t="str">
        <f>IF($AN425=FALSE,"",IFERROR(IF(INDEX('Flat Rates'!$A$1:$M$3880,MATCH($AM425,'Flat Rates'!$A$1:$A$3880,0),MATCH("Evening and Weekend Rate",'Flat Rates'!$A$1:$M$1,0))=0,"",((INDEX('Flat Rates'!$A$1:$M$3880,MATCH($AM425,'Flat Rates'!$A$1:$A$3880,0),MATCH("Evening and Weekend Rate",'Flat Rates'!$A$1:$M$1,0)))*100)+H425),""))</f>
        <v/>
      </c>
      <c r="AU425" s="152" t="str">
        <f t="shared" si="177"/>
        <v/>
      </c>
      <c r="AV425" s="152" t="str">
        <f t="shared" si="178"/>
        <v/>
      </c>
      <c r="AW425" s="152" t="str">
        <f t="shared" si="179"/>
        <v/>
      </c>
    </row>
    <row r="426" spans="2:49" ht="15" thickBot="1" x14ac:dyDescent="0.35">
      <c r="B426" s="138" t="str">
        <f t="shared" si="156"/>
        <v/>
      </c>
      <c r="C426" s="146"/>
      <c r="D426" s="147"/>
      <c r="E426" s="140"/>
      <c r="F426" s="140"/>
      <c r="G426" s="139"/>
      <c r="H426" s="151"/>
      <c r="I426" s="139"/>
      <c r="J426" s="137"/>
      <c r="K426" s="139"/>
      <c r="L426" s="141"/>
      <c r="M426" s="133" t="str">
        <f t="shared" si="157"/>
        <v/>
      </c>
      <c r="N426" s="133" t="str">
        <f t="shared" si="158"/>
        <v/>
      </c>
      <c r="O426" s="133" t="str">
        <f t="shared" si="159"/>
        <v/>
      </c>
      <c r="P426" s="133" t="str">
        <f t="shared" si="160"/>
        <v/>
      </c>
      <c r="Q426" s="133" t="str">
        <f t="shared" si="161"/>
        <v/>
      </c>
      <c r="R426" s="133" t="str">
        <f t="shared" si="162"/>
        <v/>
      </c>
      <c r="S426" s="133" t="str">
        <f t="shared" si="163"/>
        <v/>
      </c>
      <c r="T426" s="133" t="str">
        <f>IFERROR(IF($U426="ERROR","ERROR",IF($N426="00",IF(J426="1-Rate","HH 1RATE",IF(J426="2-Rate","HH 2RATE","")),IFERROR(VLOOKUP(CONCATENATE(N426,Q426,O426,P426),Lookups!$A$2:$E$4557,5,0),VLOOKUP(CONCATENATE(N426,Q426,O426),Lookups!$A$2:$E$4557,5,0)))),"ERROR")</f>
        <v>ERROR</v>
      </c>
      <c r="U426" s="133" t="str">
        <f>IFERROR(IF(NOT($N426="00"),"",VLOOKUP(CONCATENATE(Q426,P426,LOOKUP(2,1/(Lookups!$I$2:$I$11&lt;=E426)/(Lookups!$J$2:$J$11&gt;=Tool!$C$14),Lookups!$K$2:$K$11)),'HH LLFs'!$A$2:$K$500,3,0)),"ERROR")</f>
        <v/>
      </c>
      <c r="V426" s="132">
        <f>Calcs!$I$2</f>
        <v>44377</v>
      </c>
      <c r="W426" s="132">
        <f>Calcs!$I$4</f>
        <v>44592</v>
      </c>
      <c r="X426" s="153" t="str">
        <f>IF(NOT(N426="00"),"",(VLOOKUP(CONCATENATE(Q426,P426,LOOKUP(2,1/(Lookups!$I$2:$I$11&lt;=Multisite!E426)/(Lookups!$J$2:$J$11&gt;=E426),Lookups!$K$2:$K$11)),'HH LLFs'!$A$2:$F$282,6,0)*365)/12)</f>
        <v/>
      </c>
      <c r="Y426" s="153">
        <f t="shared" si="164"/>
        <v>0</v>
      </c>
      <c r="Z426" s="153" t="str">
        <f t="shared" si="173"/>
        <v/>
      </c>
      <c r="AA426" s="153" t="str">
        <f t="shared" si="165"/>
        <v/>
      </c>
      <c r="AB426" s="153" t="str">
        <f t="shared" si="174"/>
        <v/>
      </c>
      <c r="AC426" s="153" t="str">
        <f t="shared" si="166"/>
        <v/>
      </c>
      <c r="AD426" s="153" t="str">
        <f t="shared" si="167"/>
        <v/>
      </c>
      <c r="AE426" s="153" t="str">
        <f t="shared" si="168"/>
        <v/>
      </c>
      <c r="AF426" s="155" t="e">
        <f>LOOKUP(2,1/(Lookups!$I$2:$I$11&lt;=E426)/(Lookups!$J$2:$J$11&gt;=E426),Lookups!$L$2:$L$11)</f>
        <v>#N/A</v>
      </c>
      <c r="AG426" s="142" t="str">
        <f t="shared" si="169"/>
        <v/>
      </c>
      <c r="AH426" s="142" t="str">
        <f t="shared" si="170"/>
        <v/>
      </c>
      <c r="AI426" s="143" t="b">
        <f t="shared" si="175"/>
        <v>0</v>
      </c>
      <c r="AJ426" s="143" t="str">
        <f t="shared" si="171"/>
        <v>Level 1</v>
      </c>
      <c r="AK426" s="142">
        <f t="shared" si="172"/>
        <v>0</v>
      </c>
      <c r="AL426" s="157" t="str">
        <f t="shared" si="180"/>
        <v/>
      </c>
      <c r="AM426" s="144" t="str">
        <f t="shared" si="181"/>
        <v>--FALSE-0</v>
      </c>
      <c r="AN426" s="158" t="str">
        <f t="shared" si="176"/>
        <v/>
      </c>
      <c r="AO426" s="145"/>
      <c r="AP426" s="159" t="str">
        <f>IF($AN426=FALSE,"",IFERROR(INDEX('Flat Rates'!$A$1:$M$3880,MATCH($AM426,'Flat Rates'!$A$1:$A$3880,0),MATCH("Standing Charge",'Flat Rates'!$A$1:$M$1,0))*100,""))</f>
        <v/>
      </c>
      <c r="AQ426" s="148" t="str">
        <f>IF($AN426=FALSE,"",IFERROR((IF(NOT(T426="Unrestricted"),"",INDEX('Flat Rates'!$A$1:$M$3880,MATCH($AM426,'Flat Rates'!$A$1:$A$3880,0),MATCH("Uni/Day Rate",'Flat Rates'!$A$1:$M$1,0)))*100)+H426,""))</f>
        <v/>
      </c>
      <c r="AR426" s="148" t="str">
        <f>IF($AN426=FALSE,"",IFERROR((IF(T426="Unrestricted","",INDEX('Flat Rates'!$A$1:$M$3880,MATCH($AM426,'Flat Rates'!$A$1:$A$3880,0),MATCH("Uni/Day Rate",'Flat Rates'!$A$1:$M$1,0)))*100)+H426,""))</f>
        <v/>
      </c>
      <c r="AS426" s="148" t="str">
        <f>IF($AN426=FALSE,"",IFERROR(IF(INDEX('Flat Rates'!$A$1:$M$3880,MATCH($AM426,'Flat Rates'!$A$1:$A$3880,0),MATCH("Night Unit Rate",'Flat Rates'!$A$1:$M$1,0))=0,"",((INDEX('Flat Rates'!$A$1:$M$3880,MATCH($AM426,'Flat Rates'!$A$1:$A$3880,0),MATCH("Night Unit Rate",'Flat Rates'!$A$1:$M$1,0)))*100)+H426),""))</f>
        <v/>
      </c>
      <c r="AT426" s="148" t="str">
        <f>IF($AN426=FALSE,"",IFERROR(IF(INDEX('Flat Rates'!$A$1:$M$3880,MATCH($AM426,'Flat Rates'!$A$1:$A$3880,0),MATCH("Evening and Weekend Rate",'Flat Rates'!$A$1:$M$1,0))=0,"",((INDEX('Flat Rates'!$A$1:$M$3880,MATCH($AM426,'Flat Rates'!$A$1:$A$3880,0),MATCH("Evening and Weekend Rate",'Flat Rates'!$A$1:$M$1,0)))*100)+H426),""))</f>
        <v/>
      </c>
      <c r="AU426" s="152" t="str">
        <f t="shared" si="177"/>
        <v/>
      </c>
      <c r="AV426" s="152" t="str">
        <f t="shared" si="178"/>
        <v/>
      </c>
      <c r="AW426" s="152" t="str">
        <f t="shared" si="179"/>
        <v/>
      </c>
    </row>
    <row r="427" spans="2:49" ht="15" thickBot="1" x14ac:dyDescent="0.35">
      <c r="B427" s="138" t="str">
        <f t="shared" si="156"/>
        <v/>
      </c>
      <c r="C427" s="137"/>
      <c r="D427" s="139"/>
      <c r="E427" s="140"/>
      <c r="F427" s="140"/>
      <c r="G427" s="139"/>
      <c r="H427" s="151"/>
      <c r="I427" s="139"/>
      <c r="J427" s="138"/>
      <c r="K427" s="139"/>
      <c r="L427" s="141"/>
      <c r="M427" s="133" t="str">
        <f t="shared" si="157"/>
        <v/>
      </c>
      <c r="N427" s="133" t="str">
        <f t="shared" si="158"/>
        <v/>
      </c>
      <c r="O427" s="133" t="str">
        <f t="shared" si="159"/>
        <v/>
      </c>
      <c r="P427" s="133" t="str">
        <f t="shared" si="160"/>
        <v/>
      </c>
      <c r="Q427" s="133" t="str">
        <f t="shared" si="161"/>
        <v/>
      </c>
      <c r="R427" s="133" t="str">
        <f t="shared" si="162"/>
        <v/>
      </c>
      <c r="S427" s="133" t="str">
        <f t="shared" si="163"/>
        <v/>
      </c>
      <c r="T427" s="133" t="str">
        <f>IFERROR(IF($U427="ERROR","ERROR",IF($N427="00",IF(J427="1-Rate","HH 1RATE",IF(J427="2-Rate","HH 2RATE","")),IFERROR(VLOOKUP(CONCATENATE(N427,Q427,O427,P427),Lookups!$A$2:$E$4557,5,0),VLOOKUP(CONCATENATE(N427,Q427,O427),Lookups!$A$2:$E$4557,5,0)))),"ERROR")</f>
        <v>ERROR</v>
      </c>
      <c r="U427" s="133" t="str">
        <f>IFERROR(IF(NOT($N427="00"),"",VLOOKUP(CONCATENATE(Q427,P427,LOOKUP(2,1/(Lookups!$I$2:$I$11&lt;=E427)/(Lookups!$J$2:$J$11&gt;=Tool!$C$14),Lookups!$K$2:$K$11)),'HH LLFs'!$A$2:$K$500,3,0)),"ERROR")</f>
        <v/>
      </c>
      <c r="V427" s="132">
        <f>Calcs!$I$2</f>
        <v>44377</v>
      </c>
      <c r="W427" s="132">
        <f>Calcs!$I$4</f>
        <v>44592</v>
      </c>
      <c r="X427" s="153" t="str">
        <f>IF(NOT(N427="00"),"",(VLOOKUP(CONCATENATE(Q427,P427,LOOKUP(2,1/(Lookups!$I$2:$I$11&lt;=Multisite!E427)/(Lookups!$J$2:$J$11&gt;=E427),Lookups!$K$2:$K$11)),'HH LLFs'!$A$2:$F$282,6,0)*365)/12)</f>
        <v/>
      </c>
      <c r="Y427" s="153">
        <f t="shared" si="164"/>
        <v>0</v>
      </c>
      <c r="Z427" s="153" t="str">
        <f t="shared" si="173"/>
        <v/>
      </c>
      <c r="AA427" s="153" t="str">
        <f t="shared" si="165"/>
        <v/>
      </c>
      <c r="AB427" s="153" t="str">
        <f t="shared" si="174"/>
        <v/>
      </c>
      <c r="AC427" s="153" t="str">
        <f t="shared" si="166"/>
        <v/>
      </c>
      <c r="AD427" s="153" t="str">
        <f t="shared" si="167"/>
        <v/>
      </c>
      <c r="AE427" s="153" t="str">
        <f t="shared" si="168"/>
        <v/>
      </c>
      <c r="AF427" s="155" t="e">
        <f>LOOKUP(2,1/(Lookups!$I$2:$I$11&lt;=E427)/(Lookups!$J$2:$J$11&gt;=E427),Lookups!$L$2:$L$11)</f>
        <v>#N/A</v>
      </c>
      <c r="AG427" s="142" t="str">
        <f t="shared" si="169"/>
        <v/>
      </c>
      <c r="AH427" s="142" t="str">
        <f t="shared" si="170"/>
        <v/>
      </c>
      <c r="AI427" s="143" t="b">
        <f t="shared" si="175"/>
        <v>0</v>
      </c>
      <c r="AJ427" s="143" t="str">
        <f t="shared" si="171"/>
        <v>Level 1</v>
      </c>
      <c r="AK427" s="142">
        <f t="shared" si="172"/>
        <v>0</v>
      </c>
      <c r="AL427" s="157" t="str">
        <f t="shared" si="180"/>
        <v/>
      </c>
      <c r="AM427" s="144" t="str">
        <f t="shared" si="181"/>
        <v>--FALSE-0</v>
      </c>
      <c r="AN427" s="158" t="str">
        <f t="shared" si="176"/>
        <v/>
      </c>
      <c r="AO427" s="145"/>
      <c r="AP427" s="159" t="str">
        <f>IF($AN427=FALSE,"",IFERROR(INDEX('Flat Rates'!$A$1:$M$3880,MATCH($AM427,'Flat Rates'!$A$1:$A$3880,0),MATCH("Standing Charge",'Flat Rates'!$A$1:$M$1,0))*100,""))</f>
        <v/>
      </c>
      <c r="AQ427" s="148" t="str">
        <f>IF($AN427=FALSE,"",IFERROR((IF(NOT(T427="Unrestricted"),"",INDEX('Flat Rates'!$A$1:$M$3880,MATCH($AM427,'Flat Rates'!$A$1:$A$3880,0),MATCH("Uni/Day Rate",'Flat Rates'!$A$1:$M$1,0)))*100)+H427,""))</f>
        <v/>
      </c>
      <c r="AR427" s="148" t="str">
        <f>IF($AN427=FALSE,"",IFERROR((IF(T427="Unrestricted","",INDEX('Flat Rates'!$A$1:$M$3880,MATCH($AM427,'Flat Rates'!$A$1:$A$3880,0),MATCH("Uni/Day Rate",'Flat Rates'!$A$1:$M$1,0)))*100)+H427,""))</f>
        <v/>
      </c>
      <c r="AS427" s="148" t="str">
        <f>IF($AN427=FALSE,"",IFERROR(IF(INDEX('Flat Rates'!$A$1:$M$3880,MATCH($AM427,'Flat Rates'!$A$1:$A$3880,0),MATCH("Night Unit Rate",'Flat Rates'!$A$1:$M$1,0))=0,"",((INDEX('Flat Rates'!$A$1:$M$3880,MATCH($AM427,'Flat Rates'!$A$1:$A$3880,0),MATCH("Night Unit Rate",'Flat Rates'!$A$1:$M$1,0)))*100)+H427),""))</f>
        <v/>
      </c>
      <c r="AT427" s="148" t="str">
        <f>IF($AN427=FALSE,"",IFERROR(IF(INDEX('Flat Rates'!$A$1:$M$3880,MATCH($AM427,'Flat Rates'!$A$1:$A$3880,0),MATCH("Evening and Weekend Rate",'Flat Rates'!$A$1:$M$1,0))=0,"",((INDEX('Flat Rates'!$A$1:$M$3880,MATCH($AM427,'Flat Rates'!$A$1:$A$3880,0),MATCH("Evening and Weekend Rate",'Flat Rates'!$A$1:$M$1,0)))*100)+H427),""))</f>
        <v/>
      </c>
      <c r="AU427" s="152" t="str">
        <f t="shared" si="177"/>
        <v/>
      </c>
      <c r="AV427" s="152" t="str">
        <f t="shared" si="178"/>
        <v/>
      </c>
      <c r="AW427" s="152" t="str">
        <f t="shared" si="179"/>
        <v/>
      </c>
    </row>
    <row r="428" spans="2:49" ht="15" thickBot="1" x14ac:dyDescent="0.35">
      <c r="B428" s="138" t="str">
        <f t="shared" si="156"/>
        <v/>
      </c>
      <c r="C428" s="146"/>
      <c r="D428" s="147"/>
      <c r="E428" s="140"/>
      <c r="F428" s="140"/>
      <c r="G428" s="139"/>
      <c r="H428" s="151"/>
      <c r="I428" s="139"/>
      <c r="J428" s="137"/>
      <c r="K428" s="139"/>
      <c r="L428" s="141"/>
      <c r="M428" s="133" t="str">
        <f t="shared" si="157"/>
        <v/>
      </c>
      <c r="N428" s="133" t="str">
        <f t="shared" si="158"/>
        <v/>
      </c>
      <c r="O428" s="133" t="str">
        <f t="shared" si="159"/>
        <v/>
      </c>
      <c r="P428" s="133" t="str">
        <f t="shared" si="160"/>
        <v/>
      </c>
      <c r="Q428" s="133" t="str">
        <f t="shared" si="161"/>
        <v/>
      </c>
      <c r="R428" s="133" t="str">
        <f t="shared" si="162"/>
        <v/>
      </c>
      <c r="S428" s="133" t="str">
        <f t="shared" si="163"/>
        <v/>
      </c>
      <c r="T428" s="133" t="str">
        <f>IFERROR(IF($U428="ERROR","ERROR",IF($N428="00",IF(J428="1-Rate","HH 1RATE",IF(J428="2-Rate","HH 2RATE","")),IFERROR(VLOOKUP(CONCATENATE(N428,Q428,O428,P428),Lookups!$A$2:$E$4557,5,0),VLOOKUP(CONCATENATE(N428,Q428,O428),Lookups!$A$2:$E$4557,5,0)))),"ERROR")</f>
        <v>ERROR</v>
      </c>
      <c r="U428" s="133" t="str">
        <f>IFERROR(IF(NOT($N428="00"),"",VLOOKUP(CONCATENATE(Q428,P428,LOOKUP(2,1/(Lookups!$I$2:$I$11&lt;=E428)/(Lookups!$J$2:$J$11&gt;=Tool!$C$14),Lookups!$K$2:$K$11)),'HH LLFs'!$A$2:$K$500,3,0)),"ERROR")</f>
        <v/>
      </c>
      <c r="V428" s="132">
        <f>Calcs!$I$2</f>
        <v>44377</v>
      </c>
      <c r="W428" s="132">
        <f>Calcs!$I$4</f>
        <v>44592</v>
      </c>
      <c r="X428" s="153" t="str">
        <f>IF(NOT(N428="00"),"",(VLOOKUP(CONCATENATE(Q428,P428,LOOKUP(2,1/(Lookups!$I$2:$I$11&lt;=Multisite!E428)/(Lookups!$J$2:$J$11&gt;=E428),Lookups!$K$2:$K$11)),'HH LLFs'!$A$2:$F$282,6,0)*365)/12)</f>
        <v/>
      </c>
      <c r="Y428" s="153">
        <f t="shared" si="164"/>
        <v>0</v>
      </c>
      <c r="Z428" s="153" t="str">
        <f t="shared" si="173"/>
        <v/>
      </c>
      <c r="AA428" s="153" t="str">
        <f t="shared" si="165"/>
        <v/>
      </c>
      <c r="AB428" s="153" t="str">
        <f t="shared" si="174"/>
        <v/>
      </c>
      <c r="AC428" s="153" t="str">
        <f t="shared" si="166"/>
        <v/>
      </c>
      <c r="AD428" s="153" t="str">
        <f t="shared" si="167"/>
        <v/>
      </c>
      <c r="AE428" s="153" t="str">
        <f t="shared" si="168"/>
        <v/>
      </c>
      <c r="AF428" s="155" t="e">
        <f>LOOKUP(2,1/(Lookups!$I$2:$I$11&lt;=E428)/(Lookups!$J$2:$J$11&gt;=E428),Lookups!$L$2:$L$11)</f>
        <v>#N/A</v>
      </c>
      <c r="AG428" s="142" t="str">
        <f t="shared" si="169"/>
        <v/>
      </c>
      <c r="AH428" s="142" t="str">
        <f t="shared" si="170"/>
        <v/>
      </c>
      <c r="AI428" s="143" t="b">
        <f t="shared" si="175"/>
        <v>0</v>
      </c>
      <c r="AJ428" s="143" t="str">
        <f t="shared" si="171"/>
        <v>Level 1</v>
      </c>
      <c r="AK428" s="142">
        <f t="shared" si="172"/>
        <v>0</v>
      </c>
      <c r="AL428" s="157" t="str">
        <f t="shared" si="180"/>
        <v/>
      </c>
      <c r="AM428" s="144" t="str">
        <f t="shared" si="181"/>
        <v>--FALSE-0</v>
      </c>
      <c r="AN428" s="158" t="str">
        <f t="shared" si="176"/>
        <v/>
      </c>
      <c r="AO428" s="145"/>
      <c r="AP428" s="159" t="str">
        <f>IF($AN428=FALSE,"",IFERROR(INDEX('Flat Rates'!$A$1:$M$3880,MATCH($AM428,'Flat Rates'!$A$1:$A$3880,0),MATCH("Standing Charge",'Flat Rates'!$A$1:$M$1,0))*100,""))</f>
        <v/>
      </c>
      <c r="AQ428" s="148" t="str">
        <f>IF($AN428=FALSE,"",IFERROR((IF(NOT(T428="Unrestricted"),"",INDEX('Flat Rates'!$A$1:$M$3880,MATCH($AM428,'Flat Rates'!$A$1:$A$3880,0),MATCH("Uni/Day Rate",'Flat Rates'!$A$1:$M$1,0)))*100)+H428,""))</f>
        <v/>
      </c>
      <c r="AR428" s="148" t="str">
        <f>IF($AN428=FALSE,"",IFERROR((IF(T428="Unrestricted","",INDEX('Flat Rates'!$A$1:$M$3880,MATCH($AM428,'Flat Rates'!$A$1:$A$3880,0),MATCH("Uni/Day Rate",'Flat Rates'!$A$1:$M$1,0)))*100)+H428,""))</f>
        <v/>
      </c>
      <c r="AS428" s="148" t="str">
        <f>IF($AN428=FALSE,"",IFERROR(IF(INDEX('Flat Rates'!$A$1:$M$3880,MATCH($AM428,'Flat Rates'!$A$1:$A$3880,0),MATCH("Night Unit Rate",'Flat Rates'!$A$1:$M$1,0))=0,"",((INDEX('Flat Rates'!$A$1:$M$3880,MATCH($AM428,'Flat Rates'!$A$1:$A$3880,0),MATCH("Night Unit Rate",'Flat Rates'!$A$1:$M$1,0)))*100)+H428),""))</f>
        <v/>
      </c>
      <c r="AT428" s="148" t="str">
        <f>IF($AN428=FALSE,"",IFERROR(IF(INDEX('Flat Rates'!$A$1:$M$3880,MATCH($AM428,'Flat Rates'!$A$1:$A$3880,0),MATCH("Evening and Weekend Rate",'Flat Rates'!$A$1:$M$1,0))=0,"",((INDEX('Flat Rates'!$A$1:$M$3880,MATCH($AM428,'Flat Rates'!$A$1:$A$3880,0),MATCH("Evening and Weekend Rate",'Flat Rates'!$A$1:$M$1,0)))*100)+H428),""))</f>
        <v/>
      </c>
      <c r="AU428" s="152" t="str">
        <f t="shared" si="177"/>
        <v/>
      </c>
      <c r="AV428" s="152" t="str">
        <f t="shared" si="178"/>
        <v/>
      </c>
      <c r="AW428" s="152" t="str">
        <f t="shared" si="179"/>
        <v/>
      </c>
    </row>
    <row r="429" spans="2:49" ht="15" thickBot="1" x14ac:dyDescent="0.35">
      <c r="B429" s="138" t="str">
        <f t="shared" si="156"/>
        <v/>
      </c>
      <c r="C429" s="137"/>
      <c r="D429" s="139"/>
      <c r="E429" s="140"/>
      <c r="F429" s="140"/>
      <c r="G429" s="139"/>
      <c r="H429" s="151"/>
      <c r="I429" s="139"/>
      <c r="J429" s="138"/>
      <c r="K429" s="139"/>
      <c r="L429" s="141"/>
      <c r="M429" s="133" t="str">
        <f t="shared" si="157"/>
        <v/>
      </c>
      <c r="N429" s="133" t="str">
        <f t="shared" si="158"/>
        <v/>
      </c>
      <c r="O429" s="133" t="str">
        <f t="shared" si="159"/>
        <v/>
      </c>
      <c r="P429" s="133" t="str">
        <f t="shared" si="160"/>
        <v/>
      </c>
      <c r="Q429" s="133" t="str">
        <f t="shared" si="161"/>
        <v/>
      </c>
      <c r="R429" s="133" t="str">
        <f t="shared" si="162"/>
        <v/>
      </c>
      <c r="S429" s="133" t="str">
        <f t="shared" si="163"/>
        <v/>
      </c>
      <c r="T429" s="133" t="str">
        <f>IFERROR(IF($U429="ERROR","ERROR",IF($N429="00",IF(J429="1-Rate","HH 1RATE",IF(J429="2-Rate","HH 2RATE","")),IFERROR(VLOOKUP(CONCATENATE(N429,Q429,O429,P429),Lookups!$A$2:$E$4557,5,0),VLOOKUP(CONCATENATE(N429,Q429,O429),Lookups!$A$2:$E$4557,5,0)))),"ERROR")</f>
        <v>ERROR</v>
      </c>
      <c r="U429" s="133" t="str">
        <f>IFERROR(IF(NOT($N429="00"),"",VLOOKUP(CONCATENATE(Q429,P429,LOOKUP(2,1/(Lookups!$I$2:$I$11&lt;=E429)/(Lookups!$J$2:$J$11&gt;=Tool!$C$14),Lookups!$K$2:$K$11)),'HH LLFs'!$A$2:$K$500,3,0)),"ERROR")</f>
        <v/>
      </c>
      <c r="V429" s="132">
        <f>Calcs!$I$2</f>
        <v>44377</v>
      </c>
      <c r="W429" s="132">
        <f>Calcs!$I$4</f>
        <v>44592</v>
      </c>
      <c r="X429" s="153" t="str">
        <f>IF(NOT(N429="00"),"",(VLOOKUP(CONCATENATE(Q429,P429,LOOKUP(2,1/(Lookups!$I$2:$I$11&lt;=Multisite!E429)/(Lookups!$J$2:$J$11&gt;=E429),Lookups!$K$2:$K$11)),'HH LLFs'!$A$2:$F$282,6,0)*365)/12)</f>
        <v/>
      </c>
      <c r="Y429" s="153">
        <f t="shared" si="164"/>
        <v>0</v>
      </c>
      <c r="Z429" s="153" t="str">
        <f t="shared" si="173"/>
        <v/>
      </c>
      <c r="AA429" s="153" t="str">
        <f t="shared" si="165"/>
        <v/>
      </c>
      <c r="AB429" s="153" t="str">
        <f t="shared" si="174"/>
        <v/>
      </c>
      <c r="AC429" s="153" t="str">
        <f t="shared" si="166"/>
        <v/>
      </c>
      <c r="AD429" s="153" t="str">
        <f t="shared" si="167"/>
        <v/>
      </c>
      <c r="AE429" s="153" t="str">
        <f t="shared" si="168"/>
        <v/>
      </c>
      <c r="AF429" s="155" t="e">
        <f>LOOKUP(2,1/(Lookups!$I$2:$I$11&lt;=E429)/(Lookups!$J$2:$J$11&gt;=E429),Lookups!$L$2:$L$11)</f>
        <v>#N/A</v>
      </c>
      <c r="AG429" s="142" t="str">
        <f t="shared" si="169"/>
        <v/>
      </c>
      <c r="AH429" s="142" t="str">
        <f t="shared" si="170"/>
        <v/>
      </c>
      <c r="AI429" s="143" t="b">
        <f t="shared" si="175"/>
        <v>0</v>
      </c>
      <c r="AJ429" s="143" t="str">
        <f t="shared" si="171"/>
        <v>Level 1</v>
      </c>
      <c r="AK429" s="142">
        <f t="shared" si="172"/>
        <v>0</v>
      </c>
      <c r="AL429" s="157" t="str">
        <f t="shared" si="180"/>
        <v/>
      </c>
      <c r="AM429" s="144" t="str">
        <f t="shared" si="181"/>
        <v>--FALSE-0</v>
      </c>
      <c r="AN429" s="158" t="str">
        <f t="shared" si="176"/>
        <v/>
      </c>
      <c r="AO429" s="145"/>
      <c r="AP429" s="159" t="str">
        <f>IF($AN429=FALSE,"",IFERROR(INDEX('Flat Rates'!$A$1:$M$3880,MATCH($AM429,'Flat Rates'!$A$1:$A$3880,0),MATCH("Standing Charge",'Flat Rates'!$A$1:$M$1,0))*100,""))</f>
        <v/>
      </c>
      <c r="AQ429" s="148" t="str">
        <f>IF($AN429=FALSE,"",IFERROR((IF(NOT(T429="Unrestricted"),"",INDEX('Flat Rates'!$A$1:$M$3880,MATCH($AM429,'Flat Rates'!$A$1:$A$3880,0),MATCH("Uni/Day Rate",'Flat Rates'!$A$1:$M$1,0)))*100)+H429,""))</f>
        <v/>
      </c>
      <c r="AR429" s="148" t="str">
        <f>IF($AN429=FALSE,"",IFERROR((IF(T429="Unrestricted","",INDEX('Flat Rates'!$A$1:$M$3880,MATCH($AM429,'Flat Rates'!$A$1:$A$3880,0),MATCH("Uni/Day Rate",'Flat Rates'!$A$1:$M$1,0)))*100)+H429,""))</f>
        <v/>
      </c>
      <c r="AS429" s="148" t="str">
        <f>IF($AN429=FALSE,"",IFERROR(IF(INDEX('Flat Rates'!$A$1:$M$3880,MATCH($AM429,'Flat Rates'!$A$1:$A$3880,0),MATCH("Night Unit Rate",'Flat Rates'!$A$1:$M$1,0))=0,"",((INDEX('Flat Rates'!$A$1:$M$3880,MATCH($AM429,'Flat Rates'!$A$1:$A$3880,0),MATCH("Night Unit Rate",'Flat Rates'!$A$1:$M$1,0)))*100)+H429),""))</f>
        <v/>
      </c>
      <c r="AT429" s="148" t="str">
        <f>IF($AN429=FALSE,"",IFERROR(IF(INDEX('Flat Rates'!$A$1:$M$3880,MATCH($AM429,'Flat Rates'!$A$1:$A$3880,0),MATCH("Evening and Weekend Rate",'Flat Rates'!$A$1:$M$1,0))=0,"",((INDEX('Flat Rates'!$A$1:$M$3880,MATCH($AM429,'Flat Rates'!$A$1:$A$3880,0),MATCH("Evening and Weekend Rate",'Flat Rates'!$A$1:$M$1,0)))*100)+H429),""))</f>
        <v/>
      </c>
      <c r="AU429" s="152" t="str">
        <f t="shared" si="177"/>
        <v/>
      </c>
      <c r="AV429" s="152" t="str">
        <f t="shared" si="178"/>
        <v/>
      </c>
      <c r="AW429" s="152" t="str">
        <f t="shared" si="179"/>
        <v/>
      </c>
    </row>
    <row r="430" spans="2:49" ht="15" thickBot="1" x14ac:dyDescent="0.35">
      <c r="B430" s="138" t="str">
        <f t="shared" si="156"/>
        <v/>
      </c>
      <c r="C430" s="146"/>
      <c r="D430" s="147"/>
      <c r="E430" s="140"/>
      <c r="F430" s="140"/>
      <c r="G430" s="139"/>
      <c r="H430" s="151"/>
      <c r="I430" s="139"/>
      <c r="J430" s="137"/>
      <c r="K430" s="139"/>
      <c r="L430" s="141"/>
      <c r="M430" s="133" t="str">
        <f t="shared" si="157"/>
        <v/>
      </c>
      <c r="N430" s="133" t="str">
        <f t="shared" si="158"/>
        <v/>
      </c>
      <c r="O430" s="133" t="str">
        <f t="shared" si="159"/>
        <v/>
      </c>
      <c r="P430" s="133" t="str">
        <f t="shared" si="160"/>
        <v/>
      </c>
      <c r="Q430" s="133" t="str">
        <f t="shared" si="161"/>
        <v/>
      </c>
      <c r="R430" s="133" t="str">
        <f t="shared" si="162"/>
        <v/>
      </c>
      <c r="S430" s="133" t="str">
        <f t="shared" si="163"/>
        <v/>
      </c>
      <c r="T430" s="133" t="str">
        <f>IFERROR(IF($U430="ERROR","ERROR",IF($N430="00",IF(J430="1-Rate","HH 1RATE",IF(J430="2-Rate","HH 2RATE","")),IFERROR(VLOOKUP(CONCATENATE(N430,Q430,O430,P430),Lookups!$A$2:$E$4557,5,0),VLOOKUP(CONCATENATE(N430,Q430,O430),Lookups!$A$2:$E$4557,5,0)))),"ERROR")</f>
        <v>ERROR</v>
      </c>
      <c r="U430" s="133" t="str">
        <f>IFERROR(IF(NOT($N430="00"),"",VLOOKUP(CONCATENATE(Q430,P430,LOOKUP(2,1/(Lookups!$I$2:$I$11&lt;=E430)/(Lookups!$J$2:$J$11&gt;=Tool!$C$14),Lookups!$K$2:$K$11)),'HH LLFs'!$A$2:$K$500,3,0)),"ERROR")</f>
        <v/>
      </c>
      <c r="V430" s="132">
        <f>Calcs!$I$2</f>
        <v>44377</v>
      </c>
      <c r="W430" s="132">
        <f>Calcs!$I$4</f>
        <v>44592</v>
      </c>
      <c r="X430" s="153" t="str">
        <f>IF(NOT(N430="00"),"",(VLOOKUP(CONCATENATE(Q430,P430,LOOKUP(2,1/(Lookups!$I$2:$I$11&lt;=Multisite!E430)/(Lookups!$J$2:$J$11&gt;=E430),Lookups!$K$2:$K$11)),'HH LLFs'!$A$2:$F$282,6,0)*365)/12)</f>
        <v/>
      </c>
      <c r="Y430" s="153">
        <f t="shared" si="164"/>
        <v>0</v>
      </c>
      <c r="Z430" s="153" t="str">
        <f t="shared" si="173"/>
        <v/>
      </c>
      <c r="AA430" s="153" t="str">
        <f t="shared" si="165"/>
        <v/>
      </c>
      <c r="AB430" s="153" t="str">
        <f t="shared" si="174"/>
        <v/>
      </c>
      <c r="AC430" s="153" t="str">
        <f t="shared" si="166"/>
        <v/>
      </c>
      <c r="AD430" s="153" t="str">
        <f t="shared" si="167"/>
        <v/>
      </c>
      <c r="AE430" s="153" t="str">
        <f t="shared" si="168"/>
        <v/>
      </c>
      <c r="AF430" s="155" t="e">
        <f>LOOKUP(2,1/(Lookups!$I$2:$I$11&lt;=E430)/(Lookups!$J$2:$J$11&gt;=E430),Lookups!$L$2:$L$11)</f>
        <v>#N/A</v>
      </c>
      <c r="AG430" s="142" t="str">
        <f t="shared" si="169"/>
        <v/>
      </c>
      <c r="AH430" s="142" t="str">
        <f t="shared" si="170"/>
        <v/>
      </c>
      <c r="AI430" s="143" t="b">
        <f t="shared" si="175"/>
        <v>0</v>
      </c>
      <c r="AJ430" s="143" t="str">
        <f t="shared" si="171"/>
        <v>Level 1</v>
      </c>
      <c r="AK430" s="142">
        <f t="shared" si="172"/>
        <v>0</v>
      </c>
      <c r="AL430" s="157" t="str">
        <f t="shared" si="180"/>
        <v/>
      </c>
      <c r="AM430" s="144" t="str">
        <f t="shared" si="181"/>
        <v>--FALSE-0</v>
      </c>
      <c r="AN430" s="158" t="str">
        <f t="shared" si="176"/>
        <v/>
      </c>
      <c r="AO430" s="145"/>
      <c r="AP430" s="159" t="str">
        <f>IF($AN430=FALSE,"",IFERROR(INDEX('Flat Rates'!$A$1:$M$3880,MATCH($AM430,'Flat Rates'!$A$1:$A$3880,0),MATCH("Standing Charge",'Flat Rates'!$A$1:$M$1,0))*100,""))</f>
        <v/>
      </c>
      <c r="AQ430" s="148" t="str">
        <f>IF($AN430=FALSE,"",IFERROR((IF(NOT(T430="Unrestricted"),"",INDEX('Flat Rates'!$A$1:$M$3880,MATCH($AM430,'Flat Rates'!$A$1:$A$3880,0),MATCH("Uni/Day Rate",'Flat Rates'!$A$1:$M$1,0)))*100)+H430,""))</f>
        <v/>
      </c>
      <c r="AR430" s="148" t="str">
        <f>IF($AN430=FALSE,"",IFERROR((IF(T430="Unrestricted","",INDEX('Flat Rates'!$A$1:$M$3880,MATCH($AM430,'Flat Rates'!$A$1:$A$3880,0),MATCH("Uni/Day Rate",'Flat Rates'!$A$1:$M$1,0)))*100)+H430,""))</f>
        <v/>
      </c>
      <c r="AS430" s="148" t="str">
        <f>IF($AN430=FALSE,"",IFERROR(IF(INDEX('Flat Rates'!$A$1:$M$3880,MATCH($AM430,'Flat Rates'!$A$1:$A$3880,0),MATCH("Night Unit Rate",'Flat Rates'!$A$1:$M$1,0))=0,"",((INDEX('Flat Rates'!$A$1:$M$3880,MATCH($AM430,'Flat Rates'!$A$1:$A$3880,0),MATCH("Night Unit Rate",'Flat Rates'!$A$1:$M$1,0)))*100)+H430),""))</f>
        <v/>
      </c>
      <c r="AT430" s="148" t="str">
        <f>IF($AN430=FALSE,"",IFERROR(IF(INDEX('Flat Rates'!$A$1:$M$3880,MATCH($AM430,'Flat Rates'!$A$1:$A$3880,0),MATCH("Evening and Weekend Rate",'Flat Rates'!$A$1:$M$1,0))=0,"",((INDEX('Flat Rates'!$A$1:$M$3880,MATCH($AM430,'Flat Rates'!$A$1:$A$3880,0),MATCH("Evening and Weekend Rate",'Flat Rates'!$A$1:$M$1,0)))*100)+H430),""))</f>
        <v/>
      </c>
      <c r="AU430" s="152" t="str">
        <f t="shared" si="177"/>
        <v/>
      </c>
      <c r="AV430" s="152" t="str">
        <f t="shared" si="178"/>
        <v/>
      </c>
      <c r="AW430" s="152" t="str">
        <f t="shared" si="179"/>
        <v/>
      </c>
    </row>
    <row r="431" spans="2:49" ht="15" thickBot="1" x14ac:dyDescent="0.35">
      <c r="B431" s="138" t="str">
        <f t="shared" si="156"/>
        <v/>
      </c>
      <c r="C431" s="137"/>
      <c r="D431" s="139"/>
      <c r="E431" s="140"/>
      <c r="F431" s="140"/>
      <c r="G431" s="139"/>
      <c r="H431" s="151"/>
      <c r="I431" s="139"/>
      <c r="J431" s="138"/>
      <c r="K431" s="139"/>
      <c r="L431" s="141"/>
      <c r="M431" s="133" t="str">
        <f t="shared" si="157"/>
        <v/>
      </c>
      <c r="N431" s="133" t="str">
        <f t="shared" si="158"/>
        <v/>
      </c>
      <c r="O431" s="133" t="str">
        <f t="shared" si="159"/>
        <v/>
      </c>
      <c r="P431" s="133" t="str">
        <f t="shared" si="160"/>
        <v/>
      </c>
      <c r="Q431" s="133" t="str">
        <f t="shared" si="161"/>
        <v/>
      </c>
      <c r="R431" s="133" t="str">
        <f t="shared" si="162"/>
        <v/>
      </c>
      <c r="S431" s="133" t="str">
        <f t="shared" si="163"/>
        <v/>
      </c>
      <c r="T431" s="133" t="str">
        <f>IFERROR(IF($U431="ERROR","ERROR",IF($N431="00",IF(J431="1-Rate","HH 1RATE",IF(J431="2-Rate","HH 2RATE","")),IFERROR(VLOOKUP(CONCATENATE(N431,Q431,O431,P431),Lookups!$A$2:$E$4557,5,0),VLOOKUP(CONCATENATE(N431,Q431,O431),Lookups!$A$2:$E$4557,5,0)))),"ERROR")</f>
        <v>ERROR</v>
      </c>
      <c r="U431" s="133" t="str">
        <f>IFERROR(IF(NOT($N431="00"),"",VLOOKUP(CONCATENATE(Q431,P431,LOOKUP(2,1/(Lookups!$I$2:$I$11&lt;=E431)/(Lookups!$J$2:$J$11&gt;=Tool!$C$14),Lookups!$K$2:$K$11)),'HH LLFs'!$A$2:$K$500,3,0)),"ERROR")</f>
        <v/>
      </c>
      <c r="V431" s="132">
        <f>Calcs!$I$2</f>
        <v>44377</v>
      </c>
      <c r="W431" s="132">
        <f>Calcs!$I$4</f>
        <v>44592</v>
      </c>
      <c r="X431" s="153" t="str">
        <f>IF(NOT(N431="00"),"",(VLOOKUP(CONCATENATE(Q431,P431,LOOKUP(2,1/(Lookups!$I$2:$I$11&lt;=Multisite!E431)/(Lookups!$J$2:$J$11&gt;=E431),Lookups!$K$2:$K$11)),'HH LLFs'!$A$2:$F$282,6,0)*365)/12)</f>
        <v/>
      </c>
      <c r="Y431" s="153">
        <f t="shared" si="164"/>
        <v>0</v>
      </c>
      <c r="Z431" s="153" t="str">
        <f t="shared" si="173"/>
        <v/>
      </c>
      <c r="AA431" s="153" t="str">
        <f t="shared" si="165"/>
        <v/>
      </c>
      <c r="AB431" s="153" t="str">
        <f t="shared" si="174"/>
        <v/>
      </c>
      <c r="AC431" s="153" t="str">
        <f t="shared" si="166"/>
        <v/>
      </c>
      <c r="AD431" s="153" t="str">
        <f t="shared" si="167"/>
        <v/>
      </c>
      <c r="AE431" s="153" t="str">
        <f t="shared" si="168"/>
        <v/>
      </c>
      <c r="AF431" s="155" t="e">
        <f>LOOKUP(2,1/(Lookups!$I$2:$I$11&lt;=E431)/(Lookups!$J$2:$J$11&gt;=E431),Lookups!$L$2:$L$11)</f>
        <v>#N/A</v>
      </c>
      <c r="AG431" s="142" t="str">
        <f t="shared" si="169"/>
        <v/>
      </c>
      <c r="AH431" s="142" t="str">
        <f t="shared" si="170"/>
        <v/>
      </c>
      <c r="AI431" s="143" t="b">
        <f t="shared" si="175"/>
        <v>0</v>
      </c>
      <c r="AJ431" s="143" t="str">
        <f t="shared" si="171"/>
        <v>Level 1</v>
      </c>
      <c r="AK431" s="142">
        <f t="shared" si="172"/>
        <v>0</v>
      </c>
      <c r="AL431" s="157" t="str">
        <f t="shared" si="180"/>
        <v/>
      </c>
      <c r="AM431" s="144" t="str">
        <f t="shared" si="181"/>
        <v>--FALSE-0</v>
      </c>
      <c r="AN431" s="158" t="str">
        <f t="shared" si="176"/>
        <v/>
      </c>
      <c r="AO431" s="145"/>
      <c r="AP431" s="159" t="str">
        <f>IF($AN431=FALSE,"",IFERROR(INDEX('Flat Rates'!$A$1:$M$3880,MATCH($AM431,'Flat Rates'!$A$1:$A$3880,0),MATCH("Standing Charge",'Flat Rates'!$A$1:$M$1,0))*100,""))</f>
        <v/>
      </c>
      <c r="AQ431" s="148" t="str">
        <f>IF($AN431=FALSE,"",IFERROR((IF(NOT(T431="Unrestricted"),"",INDEX('Flat Rates'!$A$1:$M$3880,MATCH($AM431,'Flat Rates'!$A$1:$A$3880,0),MATCH("Uni/Day Rate",'Flat Rates'!$A$1:$M$1,0)))*100)+H431,""))</f>
        <v/>
      </c>
      <c r="AR431" s="148" t="str">
        <f>IF($AN431=FALSE,"",IFERROR((IF(T431="Unrestricted","",INDEX('Flat Rates'!$A$1:$M$3880,MATCH($AM431,'Flat Rates'!$A$1:$A$3880,0),MATCH("Uni/Day Rate",'Flat Rates'!$A$1:$M$1,0)))*100)+H431,""))</f>
        <v/>
      </c>
      <c r="AS431" s="148" t="str">
        <f>IF($AN431=FALSE,"",IFERROR(IF(INDEX('Flat Rates'!$A$1:$M$3880,MATCH($AM431,'Flat Rates'!$A$1:$A$3880,0),MATCH("Night Unit Rate",'Flat Rates'!$A$1:$M$1,0))=0,"",((INDEX('Flat Rates'!$A$1:$M$3880,MATCH($AM431,'Flat Rates'!$A$1:$A$3880,0),MATCH("Night Unit Rate",'Flat Rates'!$A$1:$M$1,0)))*100)+H431),""))</f>
        <v/>
      </c>
      <c r="AT431" s="148" t="str">
        <f>IF($AN431=FALSE,"",IFERROR(IF(INDEX('Flat Rates'!$A$1:$M$3880,MATCH($AM431,'Flat Rates'!$A$1:$A$3880,0),MATCH("Evening and Weekend Rate",'Flat Rates'!$A$1:$M$1,0))=0,"",((INDEX('Flat Rates'!$A$1:$M$3880,MATCH($AM431,'Flat Rates'!$A$1:$A$3880,0),MATCH("Evening and Weekend Rate",'Flat Rates'!$A$1:$M$1,0)))*100)+H431),""))</f>
        <v/>
      </c>
      <c r="AU431" s="152" t="str">
        <f t="shared" si="177"/>
        <v/>
      </c>
      <c r="AV431" s="152" t="str">
        <f t="shared" si="178"/>
        <v/>
      </c>
      <c r="AW431" s="152" t="str">
        <f t="shared" si="179"/>
        <v/>
      </c>
    </row>
    <row r="432" spans="2:49" ht="15" thickBot="1" x14ac:dyDescent="0.35">
      <c r="B432" s="138" t="str">
        <f t="shared" si="156"/>
        <v/>
      </c>
      <c r="C432" s="146"/>
      <c r="D432" s="147"/>
      <c r="E432" s="140"/>
      <c r="F432" s="140"/>
      <c r="G432" s="139"/>
      <c r="H432" s="151"/>
      <c r="I432" s="139"/>
      <c r="J432" s="137"/>
      <c r="K432" s="139"/>
      <c r="L432" s="141"/>
      <c r="M432" s="133" t="str">
        <f t="shared" si="157"/>
        <v/>
      </c>
      <c r="N432" s="133" t="str">
        <f t="shared" si="158"/>
        <v/>
      </c>
      <c r="O432" s="133" t="str">
        <f t="shared" si="159"/>
        <v/>
      </c>
      <c r="P432" s="133" t="str">
        <f t="shared" si="160"/>
        <v/>
      </c>
      <c r="Q432" s="133" t="str">
        <f t="shared" si="161"/>
        <v/>
      </c>
      <c r="R432" s="133" t="str">
        <f t="shared" si="162"/>
        <v/>
      </c>
      <c r="S432" s="133" t="str">
        <f t="shared" si="163"/>
        <v/>
      </c>
      <c r="T432" s="133" t="str">
        <f>IFERROR(IF($U432="ERROR","ERROR",IF($N432="00",IF(J432="1-Rate","HH 1RATE",IF(J432="2-Rate","HH 2RATE","")),IFERROR(VLOOKUP(CONCATENATE(N432,Q432,O432,P432),Lookups!$A$2:$E$4557,5,0),VLOOKUP(CONCATENATE(N432,Q432,O432),Lookups!$A$2:$E$4557,5,0)))),"ERROR")</f>
        <v>ERROR</v>
      </c>
      <c r="U432" s="133" t="str">
        <f>IFERROR(IF(NOT($N432="00"),"",VLOOKUP(CONCATENATE(Q432,P432,LOOKUP(2,1/(Lookups!$I$2:$I$11&lt;=E432)/(Lookups!$J$2:$J$11&gt;=Tool!$C$14),Lookups!$K$2:$K$11)),'HH LLFs'!$A$2:$K$500,3,0)),"ERROR")</f>
        <v/>
      </c>
      <c r="V432" s="132">
        <f>Calcs!$I$2</f>
        <v>44377</v>
      </c>
      <c r="W432" s="132">
        <f>Calcs!$I$4</f>
        <v>44592</v>
      </c>
      <c r="X432" s="153" t="str">
        <f>IF(NOT(N432="00"),"",(VLOOKUP(CONCATENATE(Q432,P432,LOOKUP(2,1/(Lookups!$I$2:$I$11&lt;=Multisite!E432)/(Lookups!$J$2:$J$11&gt;=E432),Lookups!$K$2:$K$11)),'HH LLFs'!$A$2:$F$282,6,0)*365)/12)</f>
        <v/>
      </c>
      <c r="Y432" s="153">
        <f t="shared" si="164"/>
        <v>0</v>
      </c>
      <c r="Z432" s="153" t="str">
        <f t="shared" si="173"/>
        <v/>
      </c>
      <c r="AA432" s="153" t="str">
        <f t="shared" si="165"/>
        <v/>
      </c>
      <c r="AB432" s="153" t="str">
        <f t="shared" si="174"/>
        <v/>
      </c>
      <c r="AC432" s="153" t="str">
        <f t="shared" si="166"/>
        <v/>
      </c>
      <c r="AD432" s="153" t="str">
        <f t="shared" si="167"/>
        <v/>
      </c>
      <c r="AE432" s="153" t="str">
        <f t="shared" si="168"/>
        <v/>
      </c>
      <c r="AF432" s="155" t="e">
        <f>LOOKUP(2,1/(Lookups!$I$2:$I$11&lt;=E432)/(Lookups!$J$2:$J$11&gt;=E432),Lookups!$L$2:$L$11)</f>
        <v>#N/A</v>
      </c>
      <c r="AG432" s="142" t="str">
        <f t="shared" si="169"/>
        <v/>
      </c>
      <c r="AH432" s="142" t="str">
        <f t="shared" si="170"/>
        <v/>
      </c>
      <c r="AI432" s="143" t="b">
        <f t="shared" si="175"/>
        <v>0</v>
      </c>
      <c r="AJ432" s="143" t="str">
        <f t="shared" si="171"/>
        <v>Level 1</v>
      </c>
      <c r="AK432" s="142">
        <f t="shared" si="172"/>
        <v>0</v>
      </c>
      <c r="AL432" s="157" t="str">
        <f t="shared" si="180"/>
        <v/>
      </c>
      <c r="AM432" s="144" t="str">
        <f t="shared" si="181"/>
        <v>--FALSE-0</v>
      </c>
      <c r="AN432" s="158" t="str">
        <f t="shared" si="176"/>
        <v/>
      </c>
      <c r="AO432" s="145"/>
      <c r="AP432" s="159" t="str">
        <f>IF($AN432=FALSE,"",IFERROR(INDEX('Flat Rates'!$A$1:$M$3880,MATCH($AM432,'Flat Rates'!$A$1:$A$3880,0),MATCH("Standing Charge",'Flat Rates'!$A$1:$M$1,0))*100,""))</f>
        <v/>
      </c>
      <c r="AQ432" s="148" t="str">
        <f>IF($AN432=FALSE,"",IFERROR((IF(NOT(T432="Unrestricted"),"",INDEX('Flat Rates'!$A$1:$M$3880,MATCH($AM432,'Flat Rates'!$A$1:$A$3880,0),MATCH("Uni/Day Rate",'Flat Rates'!$A$1:$M$1,0)))*100)+H432,""))</f>
        <v/>
      </c>
      <c r="AR432" s="148" t="str">
        <f>IF($AN432=FALSE,"",IFERROR((IF(T432="Unrestricted","",INDEX('Flat Rates'!$A$1:$M$3880,MATCH($AM432,'Flat Rates'!$A$1:$A$3880,0),MATCH("Uni/Day Rate",'Flat Rates'!$A$1:$M$1,0)))*100)+H432,""))</f>
        <v/>
      </c>
      <c r="AS432" s="148" t="str">
        <f>IF($AN432=FALSE,"",IFERROR(IF(INDEX('Flat Rates'!$A$1:$M$3880,MATCH($AM432,'Flat Rates'!$A$1:$A$3880,0),MATCH("Night Unit Rate",'Flat Rates'!$A$1:$M$1,0))=0,"",((INDEX('Flat Rates'!$A$1:$M$3880,MATCH($AM432,'Flat Rates'!$A$1:$A$3880,0),MATCH("Night Unit Rate",'Flat Rates'!$A$1:$M$1,0)))*100)+H432),""))</f>
        <v/>
      </c>
      <c r="AT432" s="148" t="str">
        <f>IF($AN432=FALSE,"",IFERROR(IF(INDEX('Flat Rates'!$A$1:$M$3880,MATCH($AM432,'Flat Rates'!$A$1:$A$3880,0),MATCH("Evening and Weekend Rate",'Flat Rates'!$A$1:$M$1,0))=0,"",((INDEX('Flat Rates'!$A$1:$M$3880,MATCH($AM432,'Flat Rates'!$A$1:$A$3880,0),MATCH("Evening and Weekend Rate",'Flat Rates'!$A$1:$M$1,0)))*100)+H432),""))</f>
        <v/>
      </c>
      <c r="AU432" s="152" t="str">
        <f t="shared" si="177"/>
        <v/>
      </c>
      <c r="AV432" s="152" t="str">
        <f t="shared" si="178"/>
        <v/>
      </c>
      <c r="AW432" s="152" t="str">
        <f t="shared" si="179"/>
        <v/>
      </c>
    </row>
    <row r="433" spans="2:49" ht="15" thickBot="1" x14ac:dyDescent="0.35">
      <c r="B433" s="138" t="str">
        <f t="shared" si="156"/>
        <v/>
      </c>
      <c r="C433" s="137"/>
      <c r="D433" s="139"/>
      <c r="E433" s="140"/>
      <c r="F433" s="140"/>
      <c r="G433" s="139"/>
      <c r="H433" s="151"/>
      <c r="I433" s="139"/>
      <c r="J433" s="138"/>
      <c r="K433" s="139"/>
      <c r="L433" s="141"/>
      <c r="M433" s="133" t="str">
        <f t="shared" si="157"/>
        <v/>
      </c>
      <c r="N433" s="133" t="str">
        <f t="shared" si="158"/>
        <v/>
      </c>
      <c r="O433" s="133" t="str">
        <f t="shared" si="159"/>
        <v/>
      </c>
      <c r="P433" s="133" t="str">
        <f t="shared" si="160"/>
        <v/>
      </c>
      <c r="Q433" s="133" t="str">
        <f t="shared" si="161"/>
        <v/>
      </c>
      <c r="R433" s="133" t="str">
        <f t="shared" si="162"/>
        <v/>
      </c>
      <c r="S433" s="133" t="str">
        <f t="shared" si="163"/>
        <v/>
      </c>
      <c r="T433" s="133" t="str">
        <f>IFERROR(IF($U433="ERROR","ERROR",IF($N433="00",IF(J433="1-Rate","HH 1RATE",IF(J433="2-Rate","HH 2RATE","")),IFERROR(VLOOKUP(CONCATENATE(N433,Q433,O433,P433),Lookups!$A$2:$E$4557,5,0),VLOOKUP(CONCATENATE(N433,Q433,O433),Lookups!$A$2:$E$4557,5,0)))),"ERROR")</f>
        <v>ERROR</v>
      </c>
      <c r="U433" s="133" t="str">
        <f>IFERROR(IF(NOT($N433="00"),"",VLOOKUP(CONCATENATE(Q433,P433,LOOKUP(2,1/(Lookups!$I$2:$I$11&lt;=E433)/(Lookups!$J$2:$J$11&gt;=Tool!$C$14),Lookups!$K$2:$K$11)),'HH LLFs'!$A$2:$K$500,3,0)),"ERROR")</f>
        <v/>
      </c>
      <c r="V433" s="132">
        <f>Calcs!$I$2</f>
        <v>44377</v>
      </c>
      <c r="W433" s="132">
        <f>Calcs!$I$4</f>
        <v>44592</v>
      </c>
      <c r="X433" s="153" t="str">
        <f>IF(NOT(N433="00"),"",(VLOOKUP(CONCATENATE(Q433,P433,LOOKUP(2,1/(Lookups!$I$2:$I$11&lt;=Multisite!E433)/(Lookups!$J$2:$J$11&gt;=E433),Lookups!$K$2:$K$11)),'HH LLFs'!$A$2:$F$282,6,0)*365)/12)</f>
        <v/>
      </c>
      <c r="Y433" s="153">
        <f t="shared" si="164"/>
        <v>0</v>
      </c>
      <c r="Z433" s="153" t="str">
        <f t="shared" si="173"/>
        <v/>
      </c>
      <c r="AA433" s="153" t="str">
        <f t="shared" si="165"/>
        <v/>
      </c>
      <c r="AB433" s="153" t="str">
        <f t="shared" si="174"/>
        <v/>
      </c>
      <c r="AC433" s="153" t="str">
        <f t="shared" si="166"/>
        <v/>
      </c>
      <c r="AD433" s="153" t="str">
        <f t="shared" si="167"/>
        <v/>
      </c>
      <c r="AE433" s="153" t="str">
        <f t="shared" si="168"/>
        <v/>
      </c>
      <c r="AF433" s="155" t="e">
        <f>LOOKUP(2,1/(Lookups!$I$2:$I$11&lt;=E433)/(Lookups!$J$2:$J$11&gt;=E433),Lookups!$L$2:$L$11)</f>
        <v>#N/A</v>
      </c>
      <c r="AG433" s="142" t="str">
        <f t="shared" si="169"/>
        <v/>
      </c>
      <c r="AH433" s="142" t="str">
        <f t="shared" si="170"/>
        <v/>
      </c>
      <c r="AI433" s="143" t="b">
        <f t="shared" si="175"/>
        <v>0</v>
      </c>
      <c r="AJ433" s="143" t="str">
        <f t="shared" si="171"/>
        <v>Level 1</v>
      </c>
      <c r="AK433" s="142">
        <f t="shared" si="172"/>
        <v>0</v>
      </c>
      <c r="AL433" s="157" t="str">
        <f t="shared" si="180"/>
        <v/>
      </c>
      <c r="AM433" s="144" t="str">
        <f t="shared" si="181"/>
        <v>--FALSE-0</v>
      </c>
      <c r="AN433" s="158" t="str">
        <f t="shared" si="176"/>
        <v/>
      </c>
      <c r="AO433" s="145"/>
      <c r="AP433" s="159" t="str">
        <f>IF($AN433=FALSE,"",IFERROR(INDEX('Flat Rates'!$A$1:$M$3880,MATCH($AM433,'Flat Rates'!$A$1:$A$3880,0),MATCH("Standing Charge",'Flat Rates'!$A$1:$M$1,0))*100,""))</f>
        <v/>
      </c>
      <c r="AQ433" s="148" t="str">
        <f>IF($AN433=FALSE,"",IFERROR((IF(NOT(T433="Unrestricted"),"",INDEX('Flat Rates'!$A$1:$M$3880,MATCH($AM433,'Flat Rates'!$A$1:$A$3880,0),MATCH("Uni/Day Rate",'Flat Rates'!$A$1:$M$1,0)))*100)+H433,""))</f>
        <v/>
      </c>
      <c r="AR433" s="148" t="str">
        <f>IF($AN433=FALSE,"",IFERROR((IF(T433="Unrestricted","",INDEX('Flat Rates'!$A$1:$M$3880,MATCH($AM433,'Flat Rates'!$A$1:$A$3880,0),MATCH("Uni/Day Rate",'Flat Rates'!$A$1:$M$1,0)))*100)+H433,""))</f>
        <v/>
      </c>
      <c r="AS433" s="148" t="str">
        <f>IF($AN433=FALSE,"",IFERROR(IF(INDEX('Flat Rates'!$A$1:$M$3880,MATCH($AM433,'Flat Rates'!$A$1:$A$3880,0),MATCH("Night Unit Rate",'Flat Rates'!$A$1:$M$1,0))=0,"",((INDEX('Flat Rates'!$A$1:$M$3880,MATCH($AM433,'Flat Rates'!$A$1:$A$3880,0),MATCH("Night Unit Rate",'Flat Rates'!$A$1:$M$1,0)))*100)+H433),""))</f>
        <v/>
      </c>
      <c r="AT433" s="148" t="str">
        <f>IF($AN433=FALSE,"",IFERROR(IF(INDEX('Flat Rates'!$A$1:$M$3880,MATCH($AM433,'Flat Rates'!$A$1:$A$3880,0),MATCH("Evening and Weekend Rate",'Flat Rates'!$A$1:$M$1,0))=0,"",((INDEX('Flat Rates'!$A$1:$M$3880,MATCH($AM433,'Flat Rates'!$A$1:$A$3880,0),MATCH("Evening and Weekend Rate",'Flat Rates'!$A$1:$M$1,0)))*100)+H433),""))</f>
        <v/>
      </c>
      <c r="AU433" s="152" t="str">
        <f t="shared" si="177"/>
        <v/>
      </c>
      <c r="AV433" s="152" t="str">
        <f t="shared" si="178"/>
        <v/>
      </c>
      <c r="AW433" s="152" t="str">
        <f t="shared" si="179"/>
        <v/>
      </c>
    </row>
    <row r="434" spans="2:49" ht="15" thickBot="1" x14ac:dyDescent="0.35">
      <c r="B434" s="138" t="str">
        <f t="shared" si="156"/>
        <v/>
      </c>
      <c r="C434" s="146"/>
      <c r="D434" s="147"/>
      <c r="E434" s="140"/>
      <c r="F434" s="140"/>
      <c r="G434" s="139"/>
      <c r="H434" s="151"/>
      <c r="I434" s="139"/>
      <c r="J434" s="137"/>
      <c r="K434" s="139"/>
      <c r="L434" s="141"/>
      <c r="M434" s="133" t="str">
        <f t="shared" si="157"/>
        <v/>
      </c>
      <c r="N434" s="133" t="str">
        <f t="shared" si="158"/>
        <v/>
      </c>
      <c r="O434" s="133" t="str">
        <f t="shared" si="159"/>
        <v/>
      </c>
      <c r="P434" s="133" t="str">
        <f t="shared" si="160"/>
        <v/>
      </c>
      <c r="Q434" s="133" t="str">
        <f t="shared" si="161"/>
        <v/>
      </c>
      <c r="R434" s="133" t="str">
        <f t="shared" si="162"/>
        <v/>
      </c>
      <c r="S434" s="133" t="str">
        <f t="shared" si="163"/>
        <v/>
      </c>
      <c r="T434" s="133" t="str">
        <f>IFERROR(IF($U434="ERROR","ERROR",IF($N434="00",IF(J434="1-Rate","HH 1RATE",IF(J434="2-Rate","HH 2RATE","")),IFERROR(VLOOKUP(CONCATENATE(N434,Q434,O434,P434),Lookups!$A$2:$E$4557,5,0),VLOOKUP(CONCATENATE(N434,Q434,O434),Lookups!$A$2:$E$4557,5,0)))),"ERROR")</f>
        <v>ERROR</v>
      </c>
      <c r="U434" s="133" t="str">
        <f>IFERROR(IF(NOT($N434="00"),"",VLOOKUP(CONCATENATE(Q434,P434,LOOKUP(2,1/(Lookups!$I$2:$I$11&lt;=E434)/(Lookups!$J$2:$J$11&gt;=Tool!$C$14),Lookups!$K$2:$K$11)),'HH LLFs'!$A$2:$K$500,3,0)),"ERROR")</f>
        <v/>
      </c>
      <c r="V434" s="132">
        <f>Calcs!$I$2</f>
        <v>44377</v>
      </c>
      <c r="W434" s="132">
        <f>Calcs!$I$4</f>
        <v>44592</v>
      </c>
      <c r="X434" s="153" t="str">
        <f>IF(NOT(N434="00"),"",(VLOOKUP(CONCATENATE(Q434,P434,LOOKUP(2,1/(Lookups!$I$2:$I$11&lt;=Multisite!E434)/(Lookups!$J$2:$J$11&gt;=E434),Lookups!$K$2:$K$11)),'HH LLFs'!$A$2:$F$282,6,0)*365)/12)</f>
        <v/>
      </c>
      <c r="Y434" s="153">
        <f t="shared" si="164"/>
        <v>0</v>
      </c>
      <c r="Z434" s="153" t="str">
        <f t="shared" si="173"/>
        <v/>
      </c>
      <c r="AA434" s="153" t="str">
        <f t="shared" si="165"/>
        <v/>
      </c>
      <c r="AB434" s="153" t="str">
        <f t="shared" si="174"/>
        <v/>
      </c>
      <c r="AC434" s="153" t="str">
        <f t="shared" si="166"/>
        <v/>
      </c>
      <c r="AD434" s="153" t="str">
        <f t="shared" si="167"/>
        <v/>
      </c>
      <c r="AE434" s="153" t="str">
        <f t="shared" si="168"/>
        <v/>
      </c>
      <c r="AF434" s="155" t="e">
        <f>LOOKUP(2,1/(Lookups!$I$2:$I$11&lt;=E434)/(Lookups!$J$2:$J$11&gt;=E434),Lookups!$L$2:$L$11)</f>
        <v>#N/A</v>
      </c>
      <c r="AG434" s="142" t="str">
        <f t="shared" si="169"/>
        <v/>
      </c>
      <c r="AH434" s="142" t="str">
        <f t="shared" si="170"/>
        <v/>
      </c>
      <c r="AI434" s="143" t="b">
        <f t="shared" si="175"/>
        <v>0</v>
      </c>
      <c r="AJ434" s="143" t="str">
        <f t="shared" si="171"/>
        <v>Level 1</v>
      </c>
      <c r="AK434" s="142">
        <f t="shared" si="172"/>
        <v>0</v>
      </c>
      <c r="AL434" s="157" t="str">
        <f t="shared" si="180"/>
        <v/>
      </c>
      <c r="AM434" s="144" t="str">
        <f t="shared" si="181"/>
        <v>--FALSE-0</v>
      </c>
      <c r="AN434" s="158" t="str">
        <f t="shared" si="176"/>
        <v/>
      </c>
      <c r="AO434" s="145"/>
      <c r="AP434" s="159" t="str">
        <f>IF($AN434=FALSE,"",IFERROR(INDEX('Flat Rates'!$A$1:$M$3880,MATCH($AM434,'Flat Rates'!$A$1:$A$3880,0),MATCH("Standing Charge",'Flat Rates'!$A$1:$M$1,0))*100,""))</f>
        <v/>
      </c>
      <c r="AQ434" s="148" t="str">
        <f>IF($AN434=FALSE,"",IFERROR((IF(NOT(T434="Unrestricted"),"",INDEX('Flat Rates'!$A$1:$M$3880,MATCH($AM434,'Flat Rates'!$A$1:$A$3880,0),MATCH("Uni/Day Rate",'Flat Rates'!$A$1:$M$1,0)))*100)+H434,""))</f>
        <v/>
      </c>
      <c r="AR434" s="148" t="str">
        <f>IF($AN434=FALSE,"",IFERROR((IF(T434="Unrestricted","",INDEX('Flat Rates'!$A$1:$M$3880,MATCH($AM434,'Flat Rates'!$A$1:$A$3880,0),MATCH("Uni/Day Rate",'Flat Rates'!$A$1:$M$1,0)))*100)+H434,""))</f>
        <v/>
      </c>
      <c r="AS434" s="148" t="str">
        <f>IF($AN434=FALSE,"",IFERROR(IF(INDEX('Flat Rates'!$A$1:$M$3880,MATCH($AM434,'Flat Rates'!$A$1:$A$3880,0),MATCH("Night Unit Rate",'Flat Rates'!$A$1:$M$1,0))=0,"",((INDEX('Flat Rates'!$A$1:$M$3880,MATCH($AM434,'Flat Rates'!$A$1:$A$3880,0),MATCH("Night Unit Rate",'Flat Rates'!$A$1:$M$1,0)))*100)+H434),""))</f>
        <v/>
      </c>
      <c r="AT434" s="148" t="str">
        <f>IF($AN434=FALSE,"",IFERROR(IF(INDEX('Flat Rates'!$A$1:$M$3880,MATCH($AM434,'Flat Rates'!$A$1:$A$3880,0),MATCH("Evening and Weekend Rate",'Flat Rates'!$A$1:$M$1,0))=0,"",((INDEX('Flat Rates'!$A$1:$M$3880,MATCH($AM434,'Flat Rates'!$A$1:$A$3880,0),MATCH("Evening and Weekend Rate",'Flat Rates'!$A$1:$M$1,0)))*100)+H434),""))</f>
        <v/>
      </c>
      <c r="AU434" s="152" t="str">
        <f t="shared" si="177"/>
        <v/>
      </c>
      <c r="AV434" s="152" t="str">
        <f t="shared" si="178"/>
        <v/>
      </c>
      <c r="AW434" s="152" t="str">
        <f t="shared" si="179"/>
        <v/>
      </c>
    </row>
    <row r="435" spans="2:49" ht="15" thickBot="1" x14ac:dyDescent="0.35">
      <c r="B435" s="138" t="str">
        <f t="shared" si="156"/>
        <v/>
      </c>
      <c r="C435" s="137"/>
      <c r="D435" s="139"/>
      <c r="E435" s="140"/>
      <c r="F435" s="140"/>
      <c r="G435" s="139"/>
      <c r="H435" s="151"/>
      <c r="I435" s="139"/>
      <c r="J435" s="138"/>
      <c r="K435" s="139"/>
      <c r="L435" s="141"/>
      <c r="M435" s="133" t="str">
        <f t="shared" si="157"/>
        <v/>
      </c>
      <c r="N435" s="133" t="str">
        <f t="shared" si="158"/>
        <v/>
      </c>
      <c r="O435" s="133" t="str">
        <f t="shared" si="159"/>
        <v/>
      </c>
      <c r="P435" s="133" t="str">
        <f t="shared" si="160"/>
        <v/>
      </c>
      <c r="Q435" s="133" t="str">
        <f t="shared" si="161"/>
        <v/>
      </c>
      <c r="R435" s="133" t="str">
        <f t="shared" si="162"/>
        <v/>
      </c>
      <c r="S435" s="133" t="str">
        <f t="shared" si="163"/>
        <v/>
      </c>
      <c r="T435" s="133" t="str">
        <f>IFERROR(IF($U435="ERROR","ERROR",IF($N435="00",IF(J435="1-Rate","HH 1RATE",IF(J435="2-Rate","HH 2RATE","")),IFERROR(VLOOKUP(CONCATENATE(N435,Q435,O435,P435),Lookups!$A$2:$E$4557,5,0),VLOOKUP(CONCATENATE(N435,Q435,O435),Lookups!$A$2:$E$4557,5,0)))),"ERROR")</f>
        <v>ERROR</v>
      </c>
      <c r="U435" s="133" t="str">
        <f>IFERROR(IF(NOT($N435="00"),"",VLOOKUP(CONCATENATE(Q435,P435,LOOKUP(2,1/(Lookups!$I$2:$I$11&lt;=E435)/(Lookups!$J$2:$J$11&gt;=Tool!$C$14),Lookups!$K$2:$K$11)),'HH LLFs'!$A$2:$K$500,3,0)),"ERROR")</f>
        <v/>
      </c>
      <c r="V435" s="132">
        <f>Calcs!$I$2</f>
        <v>44377</v>
      </c>
      <c r="W435" s="132">
        <f>Calcs!$I$4</f>
        <v>44592</v>
      </c>
      <c r="X435" s="153" t="str">
        <f>IF(NOT(N435="00"),"",(VLOOKUP(CONCATENATE(Q435,P435,LOOKUP(2,1/(Lookups!$I$2:$I$11&lt;=Multisite!E435)/(Lookups!$J$2:$J$11&gt;=E435),Lookups!$K$2:$K$11)),'HH LLFs'!$A$2:$F$282,6,0)*365)/12)</f>
        <v/>
      </c>
      <c r="Y435" s="153">
        <f t="shared" si="164"/>
        <v>0</v>
      </c>
      <c r="Z435" s="153" t="str">
        <f t="shared" si="173"/>
        <v/>
      </c>
      <c r="AA435" s="153" t="str">
        <f t="shared" si="165"/>
        <v/>
      </c>
      <c r="AB435" s="153" t="str">
        <f t="shared" si="174"/>
        <v/>
      </c>
      <c r="AC435" s="153" t="str">
        <f t="shared" si="166"/>
        <v/>
      </c>
      <c r="AD435" s="153" t="str">
        <f t="shared" si="167"/>
        <v/>
      </c>
      <c r="AE435" s="153" t="str">
        <f t="shared" si="168"/>
        <v/>
      </c>
      <c r="AF435" s="155" t="e">
        <f>LOOKUP(2,1/(Lookups!$I$2:$I$11&lt;=E435)/(Lookups!$J$2:$J$11&gt;=E435),Lookups!$L$2:$L$11)</f>
        <v>#N/A</v>
      </c>
      <c r="AG435" s="142" t="str">
        <f t="shared" si="169"/>
        <v/>
      </c>
      <c r="AH435" s="142" t="str">
        <f t="shared" si="170"/>
        <v/>
      </c>
      <c r="AI435" s="143" t="b">
        <f t="shared" si="175"/>
        <v>0</v>
      </c>
      <c r="AJ435" s="143" t="str">
        <f t="shared" si="171"/>
        <v>Level 1</v>
      </c>
      <c r="AK435" s="142">
        <f t="shared" si="172"/>
        <v>0</v>
      </c>
      <c r="AL435" s="157" t="str">
        <f t="shared" si="180"/>
        <v/>
      </c>
      <c r="AM435" s="144" t="str">
        <f t="shared" si="181"/>
        <v>--FALSE-0</v>
      </c>
      <c r="AN435" s="158" t="str">
        <f t="shared" si="176"/>
        <v/>
      </c>
      <c r="AO435" s="145"/>
      <c r="AP435" s="159" t="str">
        <f>IF($AN435=FALSE,"",IFERROR(INDEX('Flat Rates'!$A$1:$M$3880,MATCH($AM435,'Flat Rates'!$A$1:$A$3880,0),MATCH("Standing Charge",'Flat Rates'!$A$1:$M$1,0))*100,""))</f>
        <v/>
      </c>
      <c r="AQ435" s="148" t="str">
        <f>IF($AN435=FALSE,"",IFERROR((IF(NOT(T435="Unrestricted"),"",INDEX('Flat Rates'!$A$1:$M$3880,MATCH($AM435,'Flat Rates'!$A$1:$A$3880,0),MATCH("Uni/Day Rate",'Flat Rates'!$A$1:$M$1,0)))*100)+H435,""))</f>
        <v/>
      </c>
      <c r="AR435" s="148" t="str">
        <f>IF($AN435=FALSE,"",IFERROR((IF(T435="Unrestricted","",INDEX('Flat Rates'!$A$1:$M$3880,MATCH($AM435,'Flat Rates'!$A$1:$A$3880,0),MATCH("Uni/Day Rate",'Flat Rates'!$A$1:$M$1,0)))*100)+H435,""))</f>
        <v/>
      </c>
      <c r="AS435" s="148" t="str">
        <f>IF($AN435=FALSE,"",IFERROR(IF(INDEX('Flat Rates'!$A$1:$M$3880,MATCH($AM435,'Flat Rates'!$A$1:$A$3880,0),MATCH("Night Unit Rate",'Flat Rates'!$A$1:$M$1,0))=0,"",((INDEX('Flat Rates'!$A$1:$M$3880,MATCH($AM435,'Flat Rates'!$A$1:$A$3880,0),MATCH("Night Unit Rate",'Flat Rates'!$A$1:$M$1,0)))*100)+H435),""))</f>
        <v/>
      </c>
      <c r="AT435" s="148" t="str">
        <f>IF($AN435=FALSE,"",IFERROR(IF(INDEX('Flat Rates'!$A$1:$M$3880,MATCH($AM435,'Flat Rates'!$A$1:$A$3880,0),MATCH("Evening and Weekend Rate",'Flat Rates'!$A$1:$M$1,0))=0,"",((INDEX('Flat Rates'!$A$1:$M$3880,MATCH($AM435,'Flat Rates'!$A$1:$A$3880,0),MATCH("Evening and Weekend Rate",'Flat Rates'!$A$1:$M$1,0)))*100)+H435),""))</f>
        <v/>
      </c>
      <c r="AU435" s="152" t="str">
        <f t="shared" si="177"/>
        <v/>
      </c>
      <c r="AV435" s="152" t="str">
        <f t="shared" si="178"/>
        <v/>
      </c>
      <c r="AW435" s="152" t="str">
        <f t="shared" si="179"/>
        <v/>
      </c>
    </row>
    <row r="436" spans="2:49" ht="15" thickBot="1" x14ac:dyDescent="0.35">
      <c r="B436" s="138" t="str">
        <f t="shared" si="156"/>
        <v/>
      </c>
      <c r="C436" s="146"/>
      <c r="D436" s="147"/>
      <c r="E436" s="140"/>
      <c r="F436" s="140"/>
      <c r="G436" s="139"/>
      <c r="H436" s="151"/>
      <c r="I436" s="139"/>
      <c r="J436" s="137"/>
      <c r="K436" s="139"/>
      <c r="L436" s="141"/>
      <c r="M436" s="133" t="str">
        <f t="shared" si="157"/>
        <v/>
      </c>
      <c r="N436" s="133" t="str">
        <f t="shared" si="158"/>
        <v/>
      </c>
      <c r="O436" s="133" t="str">
        <f t="shared" si="159"/>
        <v/>
      </c>
      <c r="P436" s="133" t="str">
        <f t="shared" si="160"/>
        <v/>
      </c>
      <c r="Q436" s="133" t="str">
        <f t="shared" si="161"/>
        <v/>
      </c>
      <c r="R436" s="133" t="str">
        <f t="shared" si="162"/>
        <v/>
      </c>
      <c r="S436" s="133" t="str">
        <f t="shared" si="163"/>
        <v/>
      </c>
      <c r="T436" s="133" t="str">
        <f>IFERROR(IF($U436="ERROR","ERROR",IF($N436="00",IF(J436="1-Rate","HH 1RATE",IF(J436="2-Rate","HH 2RATE","")),IFERROR(VLOOKUP(CONCATENATE(N436,Q436,O436,P436),Lookups!$A$2:$E$4557,5,0),VLOOKUP(CONCATENATE(N436,Q436,O436),Lookups!$A$2:$E$4557,5,0)))),"ERROR")</f>
        <v>ERROR</v>
      </c>
      <c r="U436" s="133" t="str">
        <f>IFERROR(IF(NOT($N436="00"),"",VLOOKUP(CONCATENATE(Q436,P436,LOOKUP(2,1/(Lookups!$I$2:$I$11&lt;=E436)/(Lookups!$J$2:$J$11&gt;=Tool!$C$14),Lookups!$K$2:$K$11)),'HH LLFs'!$A$2:$K$500,3,0)),"ERROR")</f>
        <v/>
      </c>
      <c r="V436" s="132">
        <f>Calcs!$I$2</f>
        <v>44377</v>
      </c>
      <c r="W436" s="132">
        <f>Calcs!$I$4</f>
        <v>44592</v>
      </c>
      <c r="X436" s="153" t="str">
        <f>IF(NOT(N436="00"),"",(VLOOKUP(CONCATENATE(Q436,P436,LOOKUP(2,1/(Lookups!$I$2:$I$11&lt;=Multisite!E436)/(Lookups!$J$2:$J$11&gt;=E436),Lookups!$K$2:$K$11)),'HH LLFs'!$A$2:$F$282,6,0)*365)/12)</f>
        <v/>
      </c>
      <c r="Y436" s="153">
        <f t="shared" si="164"/>
        <v>0</v>
      </c>
      <c r="Z436" s="153" t="str">
        <f t="shared" si="173"/>
        <v/>
      </c>
      <c r="AA436" s="153" t="str">
        <f t="shared" si="165"/>
        <v/>
      </c>
      <c r="AB436" s="153" t="str">
        <f t="shared" si="174"/>
        <v/>
      </c>
      <c r="AC436" s="153" t="str">
        <f t="shared" si="166"/>
        <v/>
      </c>
      <c r="AD436" s="153" t="str">
        <f t="shared" si="167"/>
        <v/>
      </c>
      <c r="AE436" s="153" t="str">
        <f t="shared" si="168"/>
        <v/>
      </c>
      <c r="AF436" s="155" t="e">
        <f>LOOKUP(2,1/(Lookups!$I$2:$I$11&lt;=E436)/(Lookups!$J$2:$J$11&gt;=E436),Lookups!$L$2:$L$11)</f>
        <v>#N/A</v>
      </c>
      <c r="AG436" s="142" t="str">
        <f t="shared" si="169"/>
        <v/>
      </c>
      <c r="AH436" s="142" t="str">
        <f t="shared" si="170"/>
        <v/>
      </c>
      <c r="AI436" s="143" t="b">
        <f t="shared" si="175"/>
        <v>0</v>
      </c>
      <c r="AJ436" s="143" t="str">
        <f t="shared" si="171"/>
        <v>Level 1</v>
      </c>
      <c r="AK436" s="142">
        <f t="shared" si="172"/>
        <v>0</v>
      </c>
      <c r="AL436" s="157" t="str">
        <f t="shared" si="180"/>
        <v/>
      </c>
      <c r="AM436" s="144" t="str">
        <f t="shared" si="181"/>
        <v>--FALSE-0</v>
      </c>
      <c r="AN436" s="158" t="str">
        <f t="shared" si="176"/>
        <v/>
      </c>
      <c r="AO436" s="145"/>
      <c r="AP436" s="159" t="str">
        <f>IF($AN436=FALSE,"",IFERROR(INDEX('Flat Rates'!$A$1:$M$3880,MATCH($AM436,'Flat Rates'!$A$1:$A$3880,0),MATCH("Standing Charge",'Flat Rates'!$A$1:$M$1,0))*100,""))</f>
        <v/>
      </c>
      <c r="AQ436" s="148" t="str">
        <f>IF($AN436=FALSE,"",IFERROR((IF(NOT(T436="Unrestricted"),"",INDEX('Flat Rates'!$A$1:$M$3880,MATCH($AM436,'Flat Rates'!$A$1:$A$3880,0),MATCH("Uni/Day Rate",'Flat Rates'!$A$1:$M$1,0)))*100)+H436,""))</f>
        <v/>
      </c>
      <c r="AR436" s="148" t="str">
        <f>IF($AN436=FALSE,"",IFERROR((IF(T436="Unrestricted","",INDEX('Flat Rates'!$A$1:$M$3880,MATCH($AM436,'Flat Rates'!$A$1:$A$3880,0),MATCH("Uni/Day Rate",'Flat Rates'!$A$1:$M$1,0)))*100)+H436,""))</f>
        <v/>
      </c>
      <c r="AS436" s="148" t="str">
        <f>IF($AN436=FALSE,"",IFERROR(IF(INDEX('Flat Rates'!$A$1:$M$3880,MATCH($AM436,'Flat Rates'!$A$1:$A$3880,0),MATCH("Night Unit Rate",'Flat Rates'!$A$1:$M$1,0))=0,"",((INDEX('Flat Rates'!$A$1:$M$3880,MATCH($AM436,'Flat Rates'!$A$1:$A$3880,0),MATCH("Night Unit Rate",'Flat Rates'!$A$1:$M$1,0)))*100)+H436),""))</f>
        <v/>
      </c>
      <c r="AT436" s="148" t="str">
        <f>IF($AN436=FALSE,"",IFERROR(IF(INDEX('Flat Rates'!$A$1:$M$3880,MATCH($AM436,'Flat Rates'!$A$1:$A$3880,0),MATCH("Evening and Weekend Rate",'Flat Rates'!$A$1:$M$1,0))=0,"",((INDEX('Flat Rates'!$A$1:$M$3880,MATCH($AM436,'Flat Rates'!$A$1:$A$3880,0),MATCH("Evening and Weekend Rate",'Flat Rates'!$A$1:$M$1,0)))*100)+H436),""))</f>
        <v/>
      </c>
      <c r="AU436" s="152" t="str">
        <f t="shared" si="177"/>
        <v/>
      </c>
      <c r="AV436" s="152" t="str">
        <f t="shared" si="178"/>
        <v/>
      </c>
      <c r="AW436" s="152" t="str">
        <f t="shared" si="179"/>
        <v/>
      </c>
    </row>
    <row r="437" spans="2:49" ht="15" thickBot="1" x14ac:dyDescent="0.35">
      <c r="B437" s="138" t="str">
        <f t="shared" si="156"/>
        <v/>
      </c>
      <c r="C437" s="137"/>
      <c r="D437" s="139"/>
      <c r="E437" s="140"/>
      <c r="F437" s="140"/>
      <c r="G437" s="139"/>
      <c r="H437" s="151"/>
      <c r="I437" s="139"/>
      <c r="J437" s="138"/>
      <c r="K437" s="139"/>
      <c r="L437" s="141"/>
      <c r="M437" s="133" t="str">
        <f t="shared" si="157"/>
        <v/>
      </c>
      <c r="N437" s="133" t="str">
        <f t="shared" si="158"/>
        <v/>
      </c>
      <c r="O437" s="133" t="str">
        <f t="shared" si="159"/>
        <v/>
      </c>
      <c r="P437" s="133" t="str">
        <f t="shared" si="160"/>
        <v/>
      </c>
      <c r="Q437" s="133" t="str">
        <f t="shared" si="161"/>
        <v/>
      </c>
      <c r="R437" s="133" t="str">
        <f t="shared" si="162"/>
        <v/>
      </c>
      <c r="S437" s="133" t="str">
        <f t="shared" si="163"/>
        <v/>
      </c>
      <c r="T437" s="133" t="str">
        <f>IFERROR(IF($U437="ERROR","ERROR",IF($N437="00",IF(J437="1-Rate","HH 1RATE",IF(J437="2-Rate","HH 2RATE","")),IFERROR(VLOOKUP(CONCATENATE(N437,Q437,O437,P437),Lookups!$A$2:$E$4557,5,0),VLOOKUP(CONCATENATE(N437,Q437,O437),Lookups!$A$2:$E$4557,5,0)))),"ERROR")</f>
        <v>ERROR</v>
      </c>
      <c r="U437" s="133" t="str">
        <f>IFERROR(IF(NOT($N437="00"),"",VLOOKUP(CONCATENATE(Q437,P437,LOOKUP(2,1/(Lookups!$I$2:$I$11&lt;=E437)/(Lookups!$J$2:$J$11&gt;=Tool!$C$14),Lookups!$K$2:$K$11)),'HH LLFs'!$A$2:$K$500,3,0)),"ERROR")</f>
        <v/>
      </c>
      <c r="V437" s="132">
        <f>Calcs!$I$2</f>
        <v>44377</v>
      </c>
      <c r="W437" s="132">
        <f>Calcs!$I$4</f>
        <v>44592</v>
      </c>
      <c r="X437" s="153" t="str">
        <f>IF(NOT(N437="00"),"",(VLOOKUP(CONCATENATE(Q437,P437,LOOKUP(2,1/(Lookups!$I$2:$I$11&lt;=Multisite!E437)/(Lookups!$J$2:$J$11&gt;=E437),Lookups!$K$2:$K$11)),'HH LLFs'!$A$2:$F$282,6,0)*365)/12)</f>
        <v/>
      </c>
      <c r="Y437" s="153">
        <f t="shared" si="164"/>
        <v>0</v>
      </c>
      <c r="Z437" s="153" t="str">
        <f t="shared" si="173"/>
        <v/>
      </c>
      <c r="AA437" s="153" t="str">
        <f t="shared" si="165"/>
        <v/>
      </c>
      <c r="AB437" s="153" t="str">
        <f t="shared" si="174"/>
        <v/>
      </c>
      <c r="AC437" s="153" t="str">
        <f t="shared" si="166"/>
        <v/>
      </c>
      <c r="AD437" s="153" t="str">
        <f t="shared" si="167"/>
        <v/>
      </c>
      <c r="AE437" s="153" t="str">
        <f t="shared" si="168"/>
        <v/>
      </c>
      <c r="AF437" s="155" t="e">
        <f>LOOKUP(2,1/(Lookups!$I$2:$I$11&lt;=E437)/(Lookups!$J$2:$J$11&gt;=E437),Lookups!$L$2:$L$11)</f>
        <v>#N/A</v>
      </c>
      <c r="AG437" s="142" t="str">
        <f t="shared" si="169"/>
        <v/>
      </c>
      <c r="AH437" s="142" t="str">
        <f t="shared" si="170"/>
        <v/>
      </c>
      <c r="AI437" s="143" t="b">
        <f t="shared" si="175"/>
        <v>0</v>
      </c>
      <c r="AJ437" s="143" t="str">
        <f t="shared" si="171"/>
        <v>Level 1</v>
      </c>
      <c r="AK437" s="142">
        <f t="shared" si="172"/>
        <v>0</v>
      </c>
      <c r="AL437" s="157" t="str">
        <f t="shared" si="180"/>
        <v/>
      </c>
      <c r="AM437" s="144" t="str">
        <f t="shared" si="181"/>
        <v>--FALSE-0</v>
      </c>
      <c r="AN437" s="158" t="str">
        <f t="shared" si="176"/>
        <v/>
      </c>
      <c r="AO437" s="145"/>
      <c r="AP437" s="159" t="str">
        <f>IF($AN437=FALSE,"",IFERROR(INDEX('Flat Rates'!$A$1:$M$3880,MATCH($AM437,'Flat Rates'!$A$1:$A$3880,0),MATCH("Standing Charge",'Flat Rates'!$A$1:$M$1,0))*100,""))</f>
        <v/>
      </c>
      <c r="AQ437" s="148" t="str">
        <f>IF($AN437=FALSE,"",IFERROR((IF(NOT(T437="Unrestricted"),"",INDEX('Flat Rates'!$A$1:$M$3880,MATCH($AM437,'Flat Rates'!$A$1:$A$3880,0),MATCH("Uni/Day Rate",'Flat Rates'!$A$1:$M$1,0)))*100)+H437,""))</f>
        <v/>
      </c>
      <c r="AR437" s="148" t="str">
        <f>IF($AN437=FALSE,"",IFERROR((IF(T437="Unrestricted","",INDEX('Flat Rates'!$A$1:$M$3880,MATCH($AM437,'Flat Rates'!$A$1:$A$3880,0),MATCH("Uni/Day Rate",'Flat Rates'!$A$1:$M$1,0)))*100)+H437,""))</f>
        <v/>
      </c>
      <c r="AS437" s="148" t="str">
        <f>IF($AN437=FALSE,"",IFERROR(IF(INDEX('Flat Rates'!$A$1:$M$3880,MATCH($AM437,'Flat Rates'!$A$1:$A$3880,0),MATCH("Night Unit Rate",'Flat Rates'!$A$1:$M$1,0))=0,"",((INDEX('Flat Rates'!$A$1:$M$3880,MATCH($AM437,'Flat Rates'!$A$1:$A$3880,0),MATCH("Night Unit Rate",'Flat Rates'!$A$1:$M$1,0)))*100)+H437),""))</f>
        <v/>
      </c>
      <c r="AT437" s="148" t="str">
        <f>IF($AN437=FALSE,"",IFERROR(IF(INDEX('Flat Rates'!$A$1:$M$3880,MATCH($AM437,'Flat Rates'!$A$1:$A$3880,0),MATCH("Evening and Weekend Rate",'Flat Rates'!$A$1:$M$1,0))=0,"",((INDEX('Flat Rates'!$A$1:$M$3880,MATCH($AM437,'Flat Rates'!$A$1:$A$3880,0),MATCH("Evening and Weekend Rate",'Flat Rates'!$A$1:$M$1,0)))*100)+H437),""))</f>
        <v/>
      </c>
      <c r="AU437" s="152" t="str">
        <f t="shared" si="177"/>
        <v/>
      </c>
      <c r="AV437" s="152" t="str">
        <f t="shared" si="178"/>
        <v/>
      </c>
      <c r="AW437" s="152" t="str">
        <f t="shared" si="179"/>
        <v/>
      </c>
    </row>
    <row r="438" spans="2:49" ht="15" thickBot="1" x14ac:dyDescent="0.35">
      <c r="B438" s="138" t="str">
        <f t="shared" si="156"/>
        <v/>
      </c>
      <c r="C438" s="146"/>
      <c r="D438" s="147"/>
      <c r="E438" s="140"/>
      <c r="F438" s="140"/>
      <c r="G438" s="139"/>
      <c r="H438" s="151"/>
      <c r="I438" s="139"/>
      <c r="J438" s="137"/>
      <c r="K438" s="139"/>
      <c r="L438" s="141"/>
      <c r="M438" s="133" t="str">
        <f t="shared" si="157"/>
        <v/>
      </c>
      <c r="N438" s="133" t="str">
        <f t="shared" si="158"/>
        <v/>
      </c>
      <c r="O438" s="133" t="str">
        <f t="shared" si="159"/>
        <v/>
      </c>
      <c r="P438" s="133" t="str">
        <f t="shared" si="160"/>
        <v/>
      </c>
      <c r="Q438" s="133" t="str">
        <f t="shared" si="161"/>
        <v/>
      </c>
      <c r="R438" s="133" t="str">
        <f t="shared" si="162"/>
        <v/>
      </c>
      <c r="S438" s="133" t="str">
        <f t="shared" si="163"/>
        <v/>
      </c>
      <c r="T438" s="133" t="str">
        <f>IFERROR(IF($U438="ERROR","ERROR",IF($N438="00",IF(J438="1-Rate","HH 1RATE",IF(J438="2-Rate","HH 2RATE","")),IFERROR(VLOOKUP(CONCATENATE(N438,Q438,O438,P438),Lookups!$A$2:$E$4557,5,0),VLOOKUP(CONCATENATE(N438,Q438,O438),Lookups!$A$2:$E$4557,5,0)))),"ERROR")</f>
        <v>ERROR</v>
      </c>
      <c r="U438" s="133" t="str">
        <f>IFERROR(IF(NOT($N438="00"),"",VLOOKUP(CONCATENATE(Q438,P438,LOOKUP(2,1/(Lookups!$I$2:$I$11&lt;=E438)/(Lookups!$J$2:$J$11&gt;=Tool!$C$14),Lookups!$K$2:$K$11)),'HH LLFs'!$A$2:$K$500,3,0)),"ERROR")</f>
        <v/>
      </c>
      <c r="V438" s="132">
        <f>Calcs!$I$2</f>
        <v>44377</v>
      </c>
      <c r="W438" s="132">
        <f>Calcs!$I$4</f>
        <v>44592</v>
      </c>
      <c r="X438" s="153" t="str">
        <f>IF(NOT(N438="00"),"",(VLOOKUP(CONCATENATE(Q438,P438,LOOKUP(2,1/(Lookups!$I$2:$I$11&lt;=Multisite!E438)/(Lookups!$J$2:$J$11&gt;=E438),Lookups!$K$2:$K$11)),'HH LLFs'!$A$2:$F$282,6,0)*365)/12)</f>
        <v/>
      </c>
      <c r="Y438" s="153">
        <f t="shared" si="164"/>
        <v>0</v>
      </c>
      <c r="Z438" s="153" t="str">
        <f t="shared" si="173"/>
        <v/>
      </c>
      <c r="AA438" s="153" t="str">
        <f t="shared" si="165"/>
        <v/>
      </c>
      <c r="AB438" s="153" t="str">
        <f t="shared" si="174"/>
        <v/>
      </c>
      <c r="AC438" s="153" t="str">
        <f t="shared" si="166"/>
        <v/>
      </c>
      <c r="AD438" s="153" t="str">
        <f t="shared" si="167"/>
        <v/>
      </c>
      <c r="AE438" s="153" t="str">
        <f t="shared" si="168"/>
        <v/>
      </c>
      <c r="AF438" s="155" t="e">
        <f>LOOKUP(2,1/(Lookups!$I$2:$I$11&lt;=E438)/(Lookups!$J$2:$J$11&gt;=E438),Lookups!$L$2:$L$11)</f>
        <v>#N/A</v>
      </c>
      <c r="AG438" s="142" t="str">
        <f t="shared" si="169"/>
        <v/>
      </c>
      <c r="AH438" s="142" t="str">
        <f t="shared" si="170"/>
        <v/>
      </c>
      <c r="AI438" s="143" t="b">
        <f t="shared" si="175"/>
        <v>0</v>
      </c>
      <c r="AJ438" s="143" t="str">
        <f t="shared" si="171"/>
        <v>Level 1</v>
      </c>
      <c r="AK438" s="142">
        <f t="shared" si="172"/>
        <v>0</v>
      </c>
      <c r="AL438" s="157" t="str">
        <f t="shared" si="180"/>
        <v/>
      </c>
      <c r="AM438" s="144" t="str">
        <f t="shared" si="181"/>
        <v>--FALSE-0</v>
      </c>
      <c r="AN438" s="158" t="str">
        <f t="shared" si="176"/>
        <v/>
      </c>
      <c r="AO438" s="145"/>
      <c r="AP438" s="159" t="str">
        <f>IF($AN438=FALSE,"",IFERROR(INDEX('Flat Rates'!$A$1:$M$3880,MATCH($AM438,'Flat Rates'!$A$1:$A$3880,0),MATCH("Standing Charge",'Flat Rates'!$A$1:$M$1,0))*100,""))</f>
        <v/>
      </c>
      <c r="AQ438" s="148" t="str">
        <f>IF($AN438=FALSE,"",IFERROR((IF(NOT(T438="Unrestricted"),"",INDEX('Flat Rates'!$A$1:$M$3880,MATCH($AM438,'Flat Rates'!$A$1:$A$3880,0),MATCH("Uni/Day Rate",'Flat Rates'!$A$1:$M$1,0)))*100)+H438,""))</f>
        <v/>
      </c>
      <c r="AR438" s="148" t="str">
        <f>IF($AN438=FALSE,"",IFERROR((IF(T438="Unrestricted","",INDEX('Flat Rates'!$A$1:$M$3880,MATCH($AM438,'Flat Rates'!$A$1:$A$3880,0),MATCH("Uni/Day Rate",'Flat Rates'!$A$1:$M$1,0)))*100)+H438,""))</f>
        <v/>
      </c>
      <c r="AS438" s="148" t="str">
        <f>IF($AN438=FALSE,"",IFERROR(IF(INDEX('Flat Rates'!$A$1:$M$3880,MATCH($AM438,'Flat Rates'!$A$1:$A$3880,0),MATCH("Night Unit Rate",'Flat Rates'!$A$1:$M$1,0))=0,"",((INDEX('Flat Rates'!$A$1:$M$3880,MATCH($AM438,'Flat Rates'!$A$1:$A$3880,0),MATCH("Night Unit Rate",'Flat Rates'!$A$1:$M$1,0)))*100)+H438),""))</f>
        <v/>
      </c>
      <c r="AT438" s="148" t="str">
        <f>IF($AN438=FALSE,"",IFERROR(IF(INDEX('Flat Rates'!$A$1:$M$3880,MATCH($AM438,'Flat Rates'!$A$1:$A$3880,0),MATCH("Evening and Weekend Rate",'Flat Rates'!$A$1:$M$1,0))=0,"",((INDEX('Flat Rates'!$A$1:$M$3880,MATCH($AM438,'Flat Rates'!$A$1:$A$3880,0),MATCH("Evening and Weekend Rate",'Flat Rates'!$A$1:$M$1,0)))*100)+H438),""))</f>
        <v/>
      </c>
      <c r="AU438" s="152" t="str">
        <f t="shared" si="177"/>
        <v/>
      </c>
      <c r="AV438" s="152" t="str">
        <f t="shared" si="178"/>
        <v/>
      </c>
      <c r="AW438" s="152" t="str">
        <f t="shared" si="179"/>
        <v/>
      </c>
    </row>
    <row r="439" spans="2:49" ht="15" thickBot="1" x14ac:dyDescent="0.35">
      <c r="B439" s="138" t="str">
        <f t="shared" si="156"/>
        <v/>
      </c>
      <c r="C439" s="137"/>
      <c r="D439" s="139"/>
      <c r="E439" s="140"/>
      <c r="F439" s="140"/>
      <c r="G439" s="139"/>
      <c r="H439" s="151"/>
      <c r="I439" s="139"/>
      <c r="J439" s="138"/>
      <c r="K439" s="139"/>
      <c r="L439" s="141"/>
      <c r="M439" s="133" t="str">
        <f t="shared" si="157"/>
        <v/>
      </c>
      <c r="N439" s="133" t="str">
        <f t="shared" si="158"/>
        <v/>
      </c>
      <c r="O439" s="133" t="str">
        <f t="shared" si="159"/>
        <v/>
      </c>
      <c r="P439" s="133" t="str">
        <f t="shared" si="160"/>
        <v/>
      </c>
      <c r="Q439" s="133" t="str">
        <f t="shared" si="161"/>
        <v/>
      </c>
      <c r="R439" s="133" t="str">
        <f t="shared" si="162"/>
        <v/>
      </c>
      <c r="S439" s="133" t="str">
        <f t="shared" si="163"/>
        <v/>
      </c>
      <c r="T439" s="133" t="str">
        <f>IFERROR(IF($U439="ERROR","ERROR",IF($N439="00",IF(J439="1-Rate","HH 1RATE",IF(J439="2-Rate","HH 2RATE","")),IFERROR(VLOOKUP(CONCATENATE(N439,Q439,O439,P439),Lookups!$A$2:$E$4557,5,0),VLOOKUP(CONCATENATE(N439,Q439,O439),Lookups!$A$2:$E$4557,5,0)))),"ERROR")</f>
        <v>ERROR</v>
      </c>
      <c r="U439" s="133" t="str">
        <f>IFERROR(IF(NOT($N439="00"),"",VLOOKUP(CONCATENATE(Q439,P439,LOOKUP(2,1/(Lookups!$I$2:$I$11&lt;=E439)/(Lookups!$J$2:$J$11&gt;=Tool!$C$14),Lookups!$K$2:$K$11)),'HH LLFs'!$A$2:$K$500,3,0)),"ERROR")</f>
        <v/>
      </c>
      <c r="V439" s="132">
        <f>Calcs!$I$2</f>
        <v>44377</v>
      </c>
      <c r="W439" s="132">
        <f>Calcs!$I$4</f>
        <v>44592</v>
      </c>
      <c r="X439" s="153" t="str">
        <f>IF(NOT(N439="00"),"",(VLOOKUP(CONCATENATE(Q439,P439,LOOKUP(2,1/(Lookups!$I$2:$I$11&lt;=Multisite!E439)/(Lookups!$J$2:$J$11&gt;=E439),Lookups!$K$2:$K$11)),'HH LLFs'!$A$2:$F$282,6,0)*365)/12)</f>
        <v/>
      </c>
      <c r="Y439" s="153">
        <f t="shared" si="164"/>
        <v>0</v>
      </c>
      <c r="Z439" s="153" t="str">
        <f t="shared" si="173"/>
        <v/>
      </c>
      <c r="AA439" s="153" t="str">
        <f t="shared" si="165"/>
        <v/>
      </c>
      <c r="AB439" s="153" t="str">
        <f t="shared" si="174"/>
        <v/>
      </c>
      <c r="AC439" s="153" t="str">
        <f t="shared" si="166"/>
        <v/>
      </c>
      <c r="AD439" s="153" t="str">
        <f t="shared" si="167"/>
        <v/>
      </c>
      <c r="AE439" s="153" t="str">
        <f t="shared" si="168"/>
        <v/>
      </c>
      <c r="AF439" s="155" t="e">
        <f>LOOKUP(2,1/(Lookups!$I$2:$I$11&lt;=E439)/(Lookups!$J$2:$J$11&gt;=E439),Lookups!$L$2:$L$11)</f>
        <v>#N/A</v>
      </c>
      <c r="AG439" s="142" t="str">
        <f t="shared" si="169"/>
        <v/>
      </c>
      <c r="AH439" s="142" t="str">
        <f t="shared" si="170"/>
        <v/>
      </c>
      <c r="AI439" s="143" t="b">
        <f t="shared" si="175"/>
        <v>0</v>
      </c>
      <c r="AJ439" s="143" t="str">
        <f t="shared" si="171"/>
        <v>Level 1</v>
      </c>
      <c r="AK439" s="142">
        <f t="shared" si="172"/>
        <v>0</v>
      </c>
      <c r="AL439" s="157" t="str">
        <f t="shared" si="180"/>
        <v/>
      </c>
      <c r="AM439" s="144" t="str">
        <f t="shared" si="181"/>
        <v>--FALSE-0</v>
      </c>
      <c r="AN439" s="158" t="str">
        <f t="shared" si="176"/>
        <v/>
      </c>
      <c r="AO439" s="145"/>
      <c r="AP439" s="159" t="str">
        <f>IF($AN439=FALSE,"",IFERROR(INDEX('Flat Rates'!$A$1:$M$3880,MATCH($AM439,'Flat Rates'!$A$1:$A$3880,0),MATCH("Standing Charge",'Flat Rates'!$A$1:$M$1,0))*100,""))</f>
        <v/>
      </c>
      <c r="AQ439" s="148" t="str">
        <f>IF($AN439=FALSE,"",IFERROR((IF(NOT(T439="Unrestricted"),"",INDEX('Flat Rates'!$A$1:$M$3880,MATCH($AM439,'Flat Rates'!$A$1:$A$3880,0),MATCH("Uni/Day Rate",'Flat Rates'!$A$1:$M$1,0)))*100)+H439,""))</f>
        <v/>
      </c>
      <c r="AR439" s="148" t="str">
        <f>IF($AN439=FALSE,"",IFERROR((IF(T439="Unrestricted","",INDEX('Flat Rates'!$A$1:$M$3880,MATCH($AM439,'Flat Rates'!$A$1:$A$3880,0),MATCH("Uni/Day Rate",'Flat Rates'!$A$1:$M$1,0)))*100)+H439,""))</f>
        <v/>
      </c>
      <c r="AS439" s="148" t="str">
        <f>IF($AN439=FALSE,"",IFERROR(IF(INDEX('Flat Rates'!$A$1:$M$3880,MATCH($AM439,'Flat Rates'!$A$1:$A$3880,0),MATCH("Night Unit Rate",'Flat Rates'!$A$1:$M$1,0))=0,"",((INDEX('Flat Rates'!$A$1:$M$3880,MATCH($AM439,'Flat Rates'!$A$1:$A$3880,0),MATCH("Night Unit Rate",'Flat Rates'!$A$1:$M$1,0)))*100)+H439),""))</f>
        <v/>
      </c>
      <c r="AT439" s="148" t="str">
        <f>IF($AN439=FALSE,"",IFERROR(IF(INDEX('Flat Rates'!$A$1:$M$3880,MATCH($AM439,'Flat Rates'!$A$1:$A$3880,0),MATCH("Evening and Weekend Rate",'Flat Rates'!$A$1:$M$1,0))=0,"",((INDEX('Flat Rates'!$A$1:$M$3880,MATCH($AM439,'Flat Rates'!$A$1:$A$3880,0),MATCH("Evening and Weekend Rate",'Flat Rates'!$A$1:$M$1,0)))*100)+H439),""))</f>
        <v/>
      </c>
      <c r="AU439" s="152" t="str">
        <f t="shared" si="177"/>
        <v/>
      </c>
      <c r="AV439" s="152" t="str">
        <f t="shared" si="178"/>
        <v/>
      </c>
      <c r="AW439" s="152" t="str">
        <f t="shared" si="179"/>
        <v/>
      </c>
    </row>
    <row r="440" spans="2:49" ht="15" thickBot="1" x14ac:dyDescent="0.35">
      <c r="B440" s="138" t="str">
        <f t="shared" si="156"/>
        <v/>
      </c>
      <c r="C440" s="146"/>
      <c r="D440" s="147"/>
      <c r="E440" s="140"/>
      <c r="F440" s="140"/>
      <c r="G440" s="139"/>
      <c r="H440" s="151"/>
      <c r="I440" s="139"/>
      <c r="J440" s="137"/>
      <c r="K440" s="139"/>
      <c r="L440" s="141"/>
      <c r="M440" s="133" t="str">
        <f t="shared" si="157"/>
        <v/>
      </c>
      <c r="N440" s="133" t="str">
        <f t="shared" si="158"/>
        <v/>
      </c>
      <c r="O440" s="133" t="str">
        <f t="shared" si="159"/>
        <v/>
      </c>
      <c r="P440" s="133" t="str">
        <f t="shared" si="160"/>
        <v/>
      </c>
      <c r="Q440" s="133" t="str">
        <f t="shared" si="161"/>
        <v/>
      </c>
      <c r="R440" s="133" t="str">
        <f t="shared" si="162"/>
        <v/>
      </c>
      <c r="S440" s="133" t="str">
        <f t="shared" si="163"/>
        <v/>
      </c>
      <c r="T440" s="133" t="str">
        <f>IFERROR(IF($U440="ERROR","ERROR",IF($N440="00",IF(J440="1-Rate","HH 1RATE",IF(J440="2-Rate","HH 2RATE","")),IFERROR(VLOOKUP(CONCATENATE(N440,Q440,O440,P440),Lookups!$A$2:$E$4557,5,0),VLOOKUP(CONCATENATE(N440,Q440,O440),Lookups!$A$2:$E$4557,5,0)))),"ERROR")</f>
        <v>ERROR</v>
      </c>
      <c r="U440" s="133" t="str">
        <f>IFERROR(IF(NOT($N440="00"),"",VLOOKUP(CONCATENATE(Q440,P440,LOOKUP(2,1/(Lookups!$I$2:$I$11&lt;=E440)/(Lookups!$J$2:$J$11&gt;=Tool!$C$14),Lookups!$K$2:$K$11)),'HH LLFs'!$A$2:$K$500,3,0)),"ERROR")</f>
        <v/>
      </c>
      <c r="V440" s="132">
        <f>Calcs!$I$2</f>
        <v>44377</v>
      </c>
      <c r="W440" s="132">
        <f>Calcs!$I$4</f>
        <v>44592</v>
      </c>
      <c r="X440" s="153" t="str">
        <f>IF(NOT(N440="00"),"",(VLOOKUP(CONCATENATE(Q440,P440,LOOKUP(2,1/(Lookups!$I$2:$I$11&lt;=Multisite!E440)/(Lookups!$J$2:$J$11&gt;=E440),Lookups!$K$2:$K$11)),'HH LLFs'!$A$2:$F$282,6,0)*365)/12)</f>
        <v/>
      </c>
      <c r="Y440" s="153">
        <f t="shared" si="164"/>
        <v>0</v>
      </c>
      <c r="Z440" s="153" t="str">
        <f t="shared" si="173"/>
        <v/>
      </c>
      <c r="AA440" s="153" t="str">
        <f t="shared" si="165"/>
        <v/>
      </c>
      <c r="AB440" s="153" t="str">
        <f t="shared" si="174"/>
        <v/>
      </c>
      <c r="AC440" s="153" t="str">
        <f t="shared" si="166"/>
        <v/>
      </c>
      <c r="AD440" s="153" t="str">
        <f t="shared" si="167"/>
        <v/>
      </c>
      <c r="AE440" s="153" t="str">
        <f t="shared" si="168"/>
        <v/>
      </c>
      <c r="AF440" s="155" t="e">
        <f>LOOKUP(2,1/(Lookups!$I$2:$I$11&lt;=E440)/(Lookups!$J$2:$J$11&gt;=E440),Lookups!$L$2:$L$11)</f>
        <v>#N/A</v>
      </c>
      <c r="AG440" s="142" t="str">
        <f t="shared" si="169"/>
        <v/>
      </c>
      <c r="AH440" s="142" t="str">
        <f t="shared" si="170"/>
        <v/>
      </c>
      <c r="AI440" s="143" t="b">
        <f t="shared" si="175"/>
        <v>0</v>
      </c>
      <c r="AJ440" s="143" t="str">
        <f t="shared" si="171"/>
        <v>Level 1</v>
      </c>
      <c r="AK440" s="142">
        <f t="shared" si="172"/>
        <v>0</v>
      </c>
      <c r="AL440" s="157" t="str">
        <f t="shared" si="180"/>
        <v/>
      </c>
      <c r="AM440" s="144" t="str">
        <f t="shared" si="181"/>
        <v>--FALSE-0</v>
      </c>
      <c r="AN440" s="158" t="str">
        <f t="shared" si="176"/>
        <v/>
      </c>
      <c r="AO440" s="145"/>
      <c r="AP440" s="159" t="str">
        <f>IF($AN440=FALSE,"",IFERROR(INDEX('Flat Rates'!$A$1:$M$3880,MATCH($AM440,'Flat Rates'!$A$1:$A$3880,0),MATCH("Standing Charge",'Flat Rates'!$A$1:$M$1,0))*100,""))</f>
        <v/>
      </c>
      <c r="AQ440" s="148" t="str">
        <f>IF($AN440=FALSE,"",IFERROR((IF(NOT(T440="Unrestricted"),"",INDEX('Flat Rates'!$A$1:$M$3880,MATCH($AM440,'Flat Rates'!$A$1:$A$3880,0),MATCH("Uni/Day Rate",'Flat Rates'!$A$1:$M$1,0)))*100)+H440,""))</f>
        <v/>
      </c>
      <c r="AR440" s="148" t="str">
        <f>IF($AN440=FALSE,"",IFERROR((IF(T440="Unrestricted","",INDEX('Flat Rates'!$A$1:$M$3880,MATCH($AM440,'Flat Rates'!$A$1:$A$3880,0),MATCH("Uni/Day Rate",'Flat Rates'!$A$1:$M$1,0)))*100)+H440,""))</f>
        <v/>
      </c>
      <c r="AS440" s="148" t="str">
        <f>IF($AN440=FALSE,"",IFERROR(IF(INDEX('Flat Rates'!$A$1:$M$3880,MATCH($AM440,'Flat Rates'!$A$1:$A$3880,0),MATCH("Night Unit Rate",'Flat Rates'!$A$1:$M$1,0))=0,"",((INDEX('Flat Rates'!$A$1:$M$3880,MATCH($AM440,'Flat Rates'!$A$1:$A$3880,0),MATCH("Night Unit Rate",'Flat Rates'!$A$1:$M$1,0)))*100)+H440),""))</f>
        <v/>
      </c>
      <c r="AT440" s="148" t="str">
        <f>IF($AN440=FALSE,"",IFERROR(IF(INDEX('Flat Rates'!$A$1:$M$3880,MATCH($AM440,'Flat Rates'!$A$1:$A$3880,0),MATCH("Evening and Weekend Rate",'Flat Rates'!$A$1:$M$1,0))=0,"",((INDEX('Flat Rates'!$A$1:$M$3880,MATCH($AM440,'Flat Rates'!$A$1:$A$3880,0),MATCH("Evening and Weekend Rate",'Flat Rates'!$A$1:$M$1,0)))*100)+H440),""))</f>
        <v/>
      </c>
      <c r="AU440" s="152" t="str">
        <f t="shared" si="177"/>
        <v/>
      </c>
      <c r="AV440" s="152" t="str">
        <f t="shared" si="178"/>
        <v/>
      </c>
      <c r="AW440" s="152" t="str">
        <f t="shared" si="179"/>
        <v/>
      </c>
    </row>
    <row r="441" spans="2:49" ht="15" thickBot="1" x14ac:dyDescent="0.35">
      <c r="B441" s="138" t="str">
        <f t="shared" si="156"/>
        <v/>
      </c>
      <c r="C441" s="137"/>
      <c r="D441" s="139"/>
      <c r="E441" s="140"/>
      <c r="F441" s="140"/>
      <c r="G441" s="139"/>
      <c r="H441" s="151"/>
      <c r="I441" s="139"/>
      <c r="J441" s="138"/>
      <c r="K441" s="139"/>
      <c r="L441" s="141"/>
      <c r="M441" s="133" t="str">
        <f t="shared" si="157"/>
        <v/>
      </c>
      <c r="N441" s="133" t="str">
        <f t="shared" si="158"/>
        <v/>
      </c>
      <c r="O441" s="133" t="str">
        <f t="shared" si="159"/>
        <v/>
      </c>
      <c r="P441" s="133" t="str">
        <f t="shared" si="160"/>
        <v/>
      </c>
      <c r="Q441" s="133" t="str">
        <f t="shared" si="161"/>
        <v/>
      </c>
      <c r="R441" s="133" t="str">
        <f t="shared" si="162"/>
        <v/>
      </c>
      <c r="S441" s="133" t="str">
        <f t="shared" si="163"/>
        <v/>
      </c>
      <c r="T441" s="133" t="str">
        <f>IFERROR(IF($U441="ERROR","ERROR",IF($N441="00",IF(J441="1-Rate","HH 1RATE",IF(J441="2-Rate","HH 2RATE","")),IFERROR(VLOOKUP(CONCATENATE(N441,Q441,O441,P441),Lookups!$A$2:$E$4557,5,0),VLOOKUP(CONCATENATE(N441,Q441,O441),Lookups!$A$2:$E$4557,5,0)))),"ERROR")</f>
        <v>ERROR</v>
      </c>
      <c r="U441" s="133" t="str">
        <f>IFERROR(IF(NOT($N441="00"),"",VLOOKUP(CONCATENATE(Q441,P441,LOOKUP(2,1/(Lookups!$I$2:$I$11&lt;=E441)/(Lookups!$J$2:$J$11&gt;=Tool!$C$14),Lookups!$K$2:$K$11)),'HH LLFs'!$A$2:$K$500,3,0)),"ERROR")</f>
        <v/>
      </c>
      <c r="V441" s="132">
        <f>Calcs!$I$2</f>
        <v>44377</v>
      </c>
      <c r="W441" s="132">
        <f>Calcs!$I$4</f>
        <v>44592</v>
      </c>
      <c r="X441" s="153" t="str">
        <f>IF(NOT(N441="00"),"",(VLOOKUP(CONCATENATE(Q441,P441,LOOKUP(2,1/(Lookups!$I$2:$I$11&lt;=Multisite!E441)/(Lookups!$J$2:$J$11&gt;=E441),Lookups!$K$2:$K$11)),'HH LLFs'!$A$2:$F$282,6,0)*365)/12)</f>
        <v/>
      </c>
      <c r="Y441" s="153">
        <f t="shared" si="164"/>
        <v>0</v>
      </c>
      <c r="Z441" s="153" t="str">
        <f t="shared" si="173"/>
        <v/>
      </c>
      <c r="AA441" s="153" t="str">
        <f t="shared" si="165"/>
        <v/>
      </c>
      <c r="AB441" s="153" t="str">
        <f t="shared" si="174"/>
        <v/>
      </c>
      <c r="AC441" s="153" t="str">
        <f t="shared" si="166"/>
        <v/>
      </c>
      <c r="AD441" s="153" t="str">
        <f t="shared" si="167"/>
        <v/>
      </c>
      <c r="AE441" s="153" t="str">
        <f t="shared" si="168"/>
        <v/>
      </c>
      <c r="AF441" s="155" t="e">
        <f>LOOKUP(2,1/(Lookups!$I$2:$I$11&lt;=E441)/(Lookups!$J$2:$J$11&gt;=E441),Lookups!$L$2:$L$11)</f>
        <v>#N/A</v>
      </c>
      <c r="AG441" s="142" t="str">
        <f t="shared" si="169"/>
        <v/>
      </c>
      <c r="AH441" s="142" t="str">
        <f t="shared" si="170"/>
        <v/>
      </c>
      <c r="AI441" s="143" t="b">
        <f t="shared" si="175"/>
        <v>0</v>
      </c>
      <c r="AJ441" s="143" t="str">
        <f t="shared" si="171"/>
        <v>Level 1</v>
      </c>
      <c r="AK441" s="142">
        <f t="shared" si="172"/>
        <v>0</v>
      </c>
      <c r="AL441" s="157" t="str">
        <f t="shared" si="180"/>
        <v/>
      </c>
      <c r="AM441" s="144" t="str">
        <f t="shared" si="181"/>
        <v>--FALSE-0</v>
      </c>
      <c r="AN441" s="158" t="str">
        <f t="shared" si="176"/>
        <v/>
      </c>
      <c r="AO441" s="145"/>
      <c r="AP441" s="159" t="str">
        <f>IF($AN441=FALSE,"",IFERROR(INDEX('Flat Rates'!$A$1:$M$3880,MATCH($AM441,'Flat Rates'!$A$1:$A$3880,0),MATCH("Standing Charge",'Flat Rates'!$A$1:$M$1,0))*100,""))</f>
        <v/>
      </c>
      <c r="AQ441" s="148" t="str">
        <f>IF($AN441=FALSE,"",IFERROR((IF(NOT(T441="Unrestricted"),"",INDEX('Flat Rates'!$A$1:$M$3880,MATCH($AM441,'Flat Rates'!$A$1:$A$3880,0),MATCH("Uni/Day Rate",'Flat Rates'!$A$1:$M$1,0)))*100)+H441,""))</f>
        <v/>
      </c>
      <c r="AR441" s="148" t="str">
        <f>IF($AN441=FALSE,"",IFERROR((IF(T441="Unrestricted","",INDEX('Flat Rates'!$A$1:$M$3880,MATCH($AM441,'Flat Rates'!$A$1:$A$3880,0),MATCH("Uni/Day Rate",'Flat Rates'!$A$1:$M$1,0)))*100)+H441,""))</f>
        <v/>
      </c>
      <c r="AS441" s="148" t="str">
        <f>IF($AN441=FALSE,"",IFERROR(IF(INDEX('Flat Rates'!$A$1:$M$3880,MATCH($AM441,'Flat Rates'!$A$1:$A$3880,0),MATCH("Night Unit Rate",'Flat Rates'!$A$1:$M$1,0))=0,"",((INDEX('Flat Rates'!$A$1:$M$3880,MATCH($AM441,'Flat Rates'!$A$1:$A$3880,0),MATCH("Night Unit Rate",'Flat Rates'!$A$1:$M$1,0)))*100)+H441),""))</f>
        <v/>
      </c>
      <c r="AT441" s="148" t="str">
        <f>IF($AN441=FALSE,"",IFERROR(IF(INDEX('Flat Rates'!$A$1:$M$3880,MATCH($AM441,'Flat Rates'!$A$1:$A$3880,0),MATCH("Evening and Weekend Rate",'Flat Rates'!$A$1:$M$1,0))=0,"",((INDEX('Flat Rates'!$A$1:$M$3880,MATCH($AM441,'Flat Rates'!$A$1:$A$3880,0),MATCH("Evening and Weekend Rate",'Flat Rates'!$A$1:$M$1,0)))*100)+H441),""))</f>
        <v/>
      </c>
      <c r="AU441" s="152" t="str">
        <f t="shared" si="177"/>
        <v/>
      </c>
      <c r="AV441" s="152" t="str">
        <f t="shared" si="178"/>
        <v/>
      </c>
      <c r="AW441" s="152" t="str">
        <f t="shared" si="179"/>
        <v/>
      </c>
    </row>
    <row r="442" spans="2:49" ht="15" thickBot="1" x14ac:dyDescent="0.35">
      <c r="B442" s="138" t="str">
        <f t="shared" si="156"/>
        <v/>
      </c>
      <c r="C442" s="146"/>
      <c r="D442" s="147"/>
      <c r="E442" s="140"/>
      <c r="F442" s="140"/>
      <c r="G442" s="139"/>
      <c r="H442" s="151"/>
      <c r="I442" s="139"/>
      <c r="J442" s="137"/>
      <c r="K442" s="139"/>
      <c r="L442" s="141"/>
      <c r="M442" s="133" t="str">
        <f t="shared" si="157"/>
        <v/>
      </c>
      <c r="N442" s="133" t="str">
        <f t="shared" si="158"/>
        <v/>
      </c>
      <c r="O442" s="133" t="str">
        <f t="shared" si="159"/>
        <v/>
      </c>
      <c r="P442" s="133" t="str">
        <f t="shared" si="160"/>
        <v/>
      </c>
      <c r="Q442" s="133" t="str">
        <f t="shared" si="161"/>
        <v/>
      </c>
      <c r="R442" s="133" t="str">
        <f t="shared" si="162"/>
        <v/>
      </c>
      <c r="S442" s="133" t="str">
        <f t="shared" si="163"/>
        <v/>
      </c>
      <c r="T442" s="133" t="str">
        <f>IFERROR(IF($U442="ERROR","ERROR",IF($N442="00",IF(J442="1-Rate","HH 1RATE",IF(J442="2-Rate","HH 2RATE","")),IFERROR(VLOOKUP(CONCATENATE(N442,Q442,O442,P442),Lookups!$A$2:$E$4557,5,0),VLOOKUP(CONCATENATE(N442,Q442,O442),Lookups!$A$2:$E$4557,5,0)))),"ERROR")</f>
        <v>ERROR</v>
      </c>
      <c r="U442" s="133" t="str">
        <f>IFERROR(IF(NOT($N442="00"),"",VLOOKUP(CONCATENATE(Q442,P442,LOOKUP(2,1/(Lookups!$I$2:$I$11&lt;=E442)/(Lookups!$J$2:$J$11&gt;=Tool!$C$14),Lookups!$K$2:$K$11)),'HH LLFs'!$A$2:$K$500,3,0)),"ERROR")</f>
        <v/>
      </c>
      <c r="V442" s="132">
        <f>Calcs!$I$2</f>
        <v>44377</v>
      </c>
      <c r="W442" s="132">
        <f>Calcs!$I$4</f>
        <v>44592</v>
      </c>
      <c r="X442" s="153" t="str">
        <f>IF(NOT(N442="00"),"",(VLOOKUP(CONCATENATE(Q442,P442,LOOKUP(2,1/(Lookups!$I$2:$I$11&lt;=Multisite!E442)/(Lookups!$J$2:$J$11&gt;=E442),Lookups!$K$2:$K$11)),'HH LLFs'!$A$2:$F$282,6,0)*365)/12)</f>
        <v/>
      </c>
      <c r="Y442" s="153">
        <f t="shared" si="164"/>
        <v>0</v>
      </c>
      <c r="Z442" s="153" t="str">
        <f t="shared" si="173"/>
        <v/>
      </c>
      <c r="AA442" s="153" t="str">
        <f t="shared" si="165"/>
        <v/>
      </c>
      <c r="AB442" s="153" t="str">
        <f t="shared" si="174"/>
        <v/>
      </c>
      <c r="AC442" s="153" t="str">
        <f t="shared" si="166"/>
        <v/>
      </c>
      <c r="AD442" s="153" t="str">
        <f t="shared" si="167"/>
        <v/>
      </c>
      <c r="AE442" s="153" t="str">
        <f t="shared" si="168"/>
        <v/>
      </c>
      <c r="AF442" s="155" t="e">
        <f>LOOKUP(2,1/(Lookups!$I$2:$I$11&lt;=E442)/(Lookups!$J$2:$J$11&gt;=E442),Lookups!$L$2:$L$11)</f>
        <v>#N/A</v>
      </c>
      <c r="AG442" s="142" t="str">
        <f t="shared" si="169"/>
        <v/>
      </c>
      <c r="AH442" s="142" t="str">
        <f t="shared" si="170"/>
        <v/>
      </c>
      <c r="AI442" s="143" t="b">
        <f t="shared" si="175"/>
        <v>0</v>
      </c>
      <c r="AJ442" s="143" t="str">
        <f t="shared" si="171"/>
        <v>Level 1</v>
      </c>
      <c r="AK442" s="142">
        <f t="shared" si="172"/>
        <v>0</v>
      </c>
      <c r="AL442" s="157" t="str">
        <f t="shared" si="180"/>
        <v/>
      </c>
      <c r="AM442" s="144" t="str">
        <f t="shared" si="181"/>
        <v>--FALSE-0</v>
      </c>
      <c r="AN442" s="158" t="str">
        <f t="shared" si="176"/>
        <v/>
      </c>
      <c r="AO442" s="145"/>
      <c r="AP442" s="159" t="str">
        <f>IF($AN442=FALSE,"",IFERROR(INDEX('Flat Rates'!$A$1:$M$3880,MATCH($AM442,'Flat Rates'!$A$1:$A$3880,0),MATCH("Standing Charge",'Flat Rates'!$A$1:$M$1,0))*100,""))</f>
        <v/>
      </c>
      <c r="AQ442" s="148" t="str">
        <f>IF($AN442=FALSE,"",IFERROR((IF(NOT(T442="Unrestricted"),"",INDEX('Flat Rates'!$A$1:$M$3880,MATCH($AM442,'Flat Rates'!$A$1:$A$3880,0),MATCH("Uni/Day Rate",'Flat Rates'!$A$1:$M$1,0)))*100)+H442,""))</f>
        <v/>
      </c>
      <c r="AR442" s="148" t="str">
        <f>IF($AN442=FALSE,"",IFERROR((IF(T442="Unrestricted","",INDEX('Flat Rates'!$A$1:$M$3880,MATCH($AM442,'Flat Rates'!$A$1:$A$3880,0),MATCH("Uni/Day Rate",'Flat Rates'!$A$1:$M$1,0)))*100)+H442,""))</f>
        <v/>
      </c>
      <c r="AS442" s="148" t="str">
        <f>IF($AN442=FALSE,"",IFERROR(IF(INDEX('Flat Rates'!$A$1:$M$3880,MATCH($AM442,'Flat Rates'!$A$1:$A$3880,0),MATCH("Night Unit Rate",'Flat Rates'!$A$1:$M$1,0))=0,"",((INDEX('Flat Rates'!$A$1:$M$3880,MATCH($AM442,'Flat Rates'!$A$1:$A$3880,0),MATCH("Night Unit Rate",'Flat Rates'!$A$1:$M$1,0)))*100)+H442),""))</f>
        <v/>
      </c>
      <c r="AT442" s="148" t="str">
        <f>IF($AN442=FALSE,"",IFERROR(IF(INDEX('Flat Rates'!$A$1:$M$3880,MATCH($AM442,'Flat Rates'!$A$1:$A$3880,0),MATCH("Evening and Weekend Rate",'Flat Rates'!$A$1:$M$1,0))=0,"",((INDEX('Flat Rates'!$A$1:$M$3880,MATCH($AM442,'Flat Rates'!$A$1:$A$3880,0),MATCH("Evening and Weekend Rate",'Flat Rates'!$A$1:$M$1,0)))*100)+H442),""))</f>
        <v/>
      </c>
      <c r="AU442" s="152" t="str">
        <f t="shared" si="177"/>
        <v/>
      </c>
      <c r="AV442" s="152" t="str">
        <f t="shared" si="178"/>
        <v/>
      </c>
      <c r="AW442" s="152" t="str">
        <f t="shared" si="179"/>
        <v/>
      </c>
    </row>
    <row r="443" spans="2:49" ht="15" thickBot="1" x14ac:dyDescent="0.35">
      <c r="B443" s="138" t="str">
        <f t="shared" si="156"/>
        <v/>
      </c>
      <c r="C443" s="137"/>
      <c r="D443" s="139"/>
      <c r="E443" s="140"/>
      <c r="F443" s="140"/>
      <c r="G443" s="139"/>
      <c r="H443" s="151"/>
      <c r="I443" s="139"/>
      <c r="J443" s="138"/>
      <c r="K443" s="139"/>
      <c r="L443" s="141"/>
      <c r="M443" s="133" t="str">
        <f t="shared" si="157"/>
        <v/>
      </c>
      <c r="N443" s="133" t="str">
        <f t="shared" si="158"/>
        <v/>
      </c>
      <c r="O443" s="133" t="str">
        <f t="shared" si="159"/>
        <v/>
      </c>
      <c r="P443" s="133" t="str">
        <f t="shared" si="160"/>
        <v/>
      </c>
      <c r="Q443" s="133" t="str">
        <f t="shared" si="161"/>
        <v/>
      </c>
      <c r="R443" s="133" t="str">
        <f t="shared" si="162"/>
        <v/>
      </c>
      <c r="S443" s="133" t="str">
        <f t="shared" si="163"/>
        <v/>
      </c>
      <c r="T443" s="133" t="str">
        <f>IFERROR(IF($U443="ERROR","ERROR",IF($N443="00",IF(J443="1-Rate","HH 1RATE",IF(J443="2-Rate","HH 2RATE","")),IFERROR(VLOOKUP(CONCATENATE(N443,Q443,O443,P443),Lookups!$A$2:$E$4557,5,0),VLOOKUP(CONCATENATE(N443,Q443,O443),Lookups!$A$2:$E$4557,5,0)))),"ERROR")</f>
        <v>ERROR</v>
      </c>
      <c r="U443" s="133" t="str">
        <f>IFERROR(IF(NOT($N443="00"),"",VLOOKUP(CONCATENATE(Q443,P443,LOOKUP(2,1/(Lookups!$I$2:$I$11&lt;=E443)/(Lookups!$J$2:$J$11&gt;=Tool!$C$14),Lookups!$K$2:$K$11)),'HH LLFs'!$A$2:$K$500,3,0)),"ERROR")</f>
        <v/>
      </c>
      <c r="V443" s="132">
        <f>Calcs!$I$2</f>
        <v>44377</v>
      </c>
      <c r="W443" s="132">
        <f>Calcs!$I$4</f>
        <v>44592</v>
      </c>
      <c r="X443" s="153" t="str">
        <f>IF(NOT(N443="00"),"",(VLOOKUP(CONCATENATE(Q443,P443,LOOKUP(2,1/(Lookups!$I$2:$I$11&lt;=Multisite!E443)/(Lookups!$J$2:$J$11&gt;=E443),Lookups!$K$2:$K$11)),'HH LLFs'!$A$2:$F$282,6,0)*365)/12)</f>
        <v/>
      </c>
      <c r="Y443" s="153">
        <f t="shared" si="164"/>
        <v>0</v>
      </c>
      <c r="Z443" s="153" t="str">
        <f t="shared" si="173"/>
        <v/>
      </c>
      <c r="AA443" s="153" t="str">
        <f t="shared" si="165"/>
        <v/>
      </c>
      <c r="AB443" s="153" t="str">
        <f t="shared" si="174"/>
        <v/>
      </c>
      <c r="AC443" s="153" t="str">
        <f t="shared" si="166"/>
        <v/>
      </c>
      <c r="AD443" s="153" t="str">
        <f t="shared" si="167"/>
        <v/>
      </c>
      <c r="AE443" s="153" t="str">
        <f t="shared" si="168"/>
        <v/>
      </c>
      <c r="AF443" s="155" t="e">
        <f>LOOKUP(2,1/(Lookups!$I$2:$I$11&lt;=E443)/(Lookups!$J$2:$J$11&gt;=E443),Lookups!$L$2:$L$11)</f>
        <v>#N/A</v>
      </c>
      <c r="AG443" s="142" t="str">
        <f t="shared" si="169"/>
        <v/>
      </c>
      <c r="AH443" s="142" t="str">
        <f t="shared" si="170"/>
        <v/>
      </c>
      <c r="AI443" s="143" t="b">
        <f t="shared" si="175"/>
        <v>0</v>
      </c>
      <c r="AJ443" s="143" t="str">
        <f t="shared" si="171"/>
        <v>Level 1</v>
      </c>
      <c r="AK443" s="142">
        <f t="shared" si="172"/>
        <v>0</v>
      </c>
      <c r="AL443" s="157" t="str">
        <f t="shared" si="180"/>
        <v/>
      </c>
      <c r="AM443" s="144" t="str">
        <f t="shared" si="181"/>
        <v>--FALSE-0</v>
      </c>
      <c r="AN443" s="158" t="str">
        <f t="shared" si="176"/>
        <v/>
      </c>
      <c r="AO443" s="145"/>
      <c r="AP443" s="159" t="str">
        <f>IF($AN443=FALSE,"",IFERROR(INDEX('Flat Rates'!$A$1:$M$3880,MATCH($AM443,'Flat Rates'!$A$1:$A$3880,0),MATCH("Standing Charge",'Flat Rates'!$A$1:$M$1,0))*100,""))</f>
        <v/>
      </c>
      <c r="AQ443" s="148" t="str">
        <f>IF($AN443=FALSE,"",IFERROR((IF(NOT(T443="Unrestricted"),"",INDEX('Flat Rates'!$A$1:$M$3880,MATCH($AM443,'Flat Rates'!$A$1:$A$3880,0),MATCH("Uni/Day Rate",'Flat Rates'!$A$1:$M$1,0)))*100)+H443,""))</f>
        <v/>
      </c>
      <c r="AR443" s="148" t="str">
        <f>IF($AN443=FALSE,"",IFERROR((IF(T443="Unrestricted","",INDEX('Flat Rates'!$A$1:$M$3880,MATCH($AM443,'Flat Rates'!$A$1:$A$3880,0),MATCH("Uni/Day Rate",'Flat Rates'!$A$1:$M$1,0)))*100)+H443,""))</f>
        <v/>
      </c>
      <c r="AS443" s="148" t="str">
        <f>IF($AN443=FALSE,"",IFERROR(IF(INDEX('Flat Rates'!$A$1:$M$3880,MATCH($AM443,'Flat Rates'!$A$1:$A$3880,0),MATCH("Night Unit Rate",'Flat Rates'!$A$1:$M$1,0))=0,"",((INDEX('Flat Rates'!$A$1:$M$3880,MATCH($AM443,'Flat Rates'!$A$1:$A$3880,0),MATCH("Night Unit Rate",'Flat Rates'!$A$1:$M$1,0)))*100)+H443),""))</f>
        <v/>
      </c>
      <c r="AT443" s="148" t="str">
        <f>IF($AN443=FALSE,"",IFERROR(IF(INDEX('Flat Rates'!$A$1:$M$3880,MATCH($AM443,'Flat Rates'!$A$1:$A$3880,0),MATCH("Evening and Weekend Rate",'Flat Rates'!$A$1:$M$1,0))=0,"",((INDEX('Flat Rates'!$A$1:$M$3880,MATCH($AM443,'Flat Rates'!$A$1:$A$3880,0),MATCH("Evening and Weekend Rate",'Flat Rates'!$A$1:$M$1,0)))*100)+H443),""))</f>
        <v/>
      </c>
      <c r="AU443" s="152" t="str">
        <f t="shared" si="177"/>
        <v/>
      </c>
      <c r="AV443" s="152" t="str">
        <f t="shared" si="178"/>
        <v/>
      </c>
      <c r="AW443" s="152" t="str">
        <f t="shared" si="179"/>
        <v/>
      </c>
    </row>
    <row r="444" spans="2:49" ht="15" thickBot="1" x14ac:dyDescent="0.35">
      <c r="B444" s="138" t="str">
        <f t="shared" si="156"/>
        <v/>
      </c>
      <c r="C444" s="146"/>
      <c r="D444" s="147"/>
      <c r="E444" s="140"/>
      <c r="F444" s="140"/>
      <c r="G444" s="139"/>
      <c r="H444" s="151"/>
      <c r="I444" s="139"/>
      <c r="J444" s="137"/>
      <c r="K444" s="139"/>
      <c r="L444" s="141"/>
      <c r="M444" s="133" t="str">
        <f t="shared" si="157"/>
        <v/>
      </c>
      <c r="N444" s="133" t="str">
        <f t="shared" si="158"/>
        <v/>
      </c>
      <c r="O444" s="133" t="str">
        <f t="shared" si="159"/>
        <v/>
      </c>
      <c r="P444" s="133" t="str">
        <f t="shared" si="160"/>
        <v/>
      </c>
      <c r="Q444" s="133" t="str">
        <f t="shared" si="161"/>
        <v/>
      </c>
      <c r="R444" s="133" t="str">
        <f t="shared" si="162"/>
        <v/>
      </c>
      <c r="S444" s="133" t="str">
        <f t="shared" si="163"/>
        <v/>
      </c>
      <c r="T444" s="133" t="str">
        <f>IFERROR(IF($U444="ERROR","ERROR",IF($N444="00",IF(J444="1-Rate","HH 1RATE",IF(J444="2-Rate","HH 2RATE","")),IFERROR(VLOOKUP(CONCATENATE(N444,Q444,O444,P444),Lookups!$A$2:$E$4557,5,0),VLOOKUP(CONCATENATE(N444,Q444,O444),Lookups!$A$2:$E$4557,5,0)))),"ERROR")</f>
        <v>ERROR</v>
      </c>
      <c r="U444" s="133" t="str">
        <f>IFERROR(IF(NOT($N444="00"),"",VLOOKUP(CONCATENATE(Q444,P444,LOOKUP(2,1/(Lookups!$I$2:$I$11&lt;=E444)/(Lookups!$J$2:$J$11&gt;=Tool!$C$14),Lookups!$K$2:$K$11)),'HH LLFs'!$A$2:$K$500,3,0)),"ERROR")</f>
        <v/>
      </c>
      <c r="V444" s="132">
        <f>Calcs!$I$2</f>
        <v>44377</v>
      </c>
      <c r="W444" s="132">
        <f>Calcs!$I$4</f>
        <v>44592</v>
      </c>
      <c r="X444" s="153" t="str">
        <f>IF(NOT(N444="00"),"",(VLOOKUP(CONCATENATE(Q444,P444,LOOKUP(2,1/(Lookups!$I$2:$I$11&lt;=Multisite!E444)/(Lookups!$J$2:$J$11&gt;=E444),Lookups!$K$2:$K$11)),'HH LLFs'!$A$2:$F$282,6,0)*365)/12)</f>
        <v/>
      </c>
      <c r="Y444" s="153">
        <f t="shared" si="164"/>
        <v>0</v>
      </c>
      <c r="Z444" s="153" t="str">
        <f t="shared" si="173"/>
        <v/>
      </c>
      <c r="AA444" s="153" t="str">
        <f t="shared" si="165"/>
        <v/>
      </c>
      <c r="AB444" s="153" t="str">
        <f t="shared" si="174"/>
        <v/>
      </c>
      <c r="AC444" s="153" t="str">
        <f t="shared" si="166"/>
        <v/>
      </c>
      <c r="AD444" s="153" t="str">
        <f t="shared" si="167"/>
        <v/>
      </c>
      <c r="AE444" s="153" t="str">
        <f t="shared" si="168"/>
        <v/>
      </c>
      <c r="AF444" s="155" t="e">
        <f>LOOKUP(2,1/(Lookups!$I$2:$I$11&lt;=E444)/(Lookups!$J$2:$J$11&gt;=E444),Lookups!$L$2:$L$11)</f>
        <v>#N/A</v>
      </c>
      <c r="AG444" s="142" t="str">
        <f t="shared" si="169"/>
        <v/>
      </c>
      <c r="AH444" s="142" t="str">
        <f t="shared" si="170"/>
        <v/>
      </c>
      <c r="AI444" s="143" t="b">
        <f t="shared" si="175"/>
        <v>0</v>
      </c>
      <c r="AJ444" s="143" t="str">
        <f t="shared" si="171"/>
        <v>Level 1</v>
      </c>
      <c r="AK444" s="142">
        <f t="shared" si="172"/>
        <v>0</v>
      </c>
      <c r="AL444" s="157" t="str">
        <f t="shared" si="180"/>
        <v/>
      </c>
      <c r="AM444" s="144" t="str">
        <f t="shared" si="181"/>
        <v>--FALSE-0</v>
      </c>
      <c r="AN444" s="158" t="str">
        <f t="shared" si="176"/>
        <v/>
      </c>
      <c r="AO444" s="145"/>
      <c r="AP444" s="159" t="str">
        <f>IF($AN444=FALSE,"",IFERROR(INDEX('Flat Rates'!$A$1:$M$3880,MATCH($AM444,'Flat Rates'!$A$1:$A$3880,0),MATCH("Standing Charge",'Flat Rates'!$A$1:$M$1,0))*100,""))</f>
        <v/>
      </c>
      <c r="AQ444" s="148" t="str">
        <f>IF($AN444=FALSE,"",IFERROR((IF(NOT(T444="Unrestricted"),"",INDEX('Flat Rates'!$A$1:$M$3880,MATCH($AM444,'Flat Rates'!$A$1:$A$3880,0),MATCH("Uni/Day Rate",'Flat Rates'!$A$1:$M$1,0)))*100)+H444,""))</f>
        <v/>
      </c>
      <c r="AR444" s="148" t="str">
        <f>IF($AN444=FALSE,"",IFERROR((IF(T444="Unrestricted","",INDEX('Flat Rates'!$A$1:$M$3880,MATCH($AM444,'Flat Rates'!$A$1:$A$3880,0),MATCH("Uni/Day Rate",'Flat Rates'!$A$1:$M$1,0)))*100)+H444,""))</f>
        <v/>
      </c>
      <c r="AS444" s="148" t="str">
        <f>IF($AN444=FALSE,"",IFERROR(IF(INDEX('Flat Rates'!$A$1:$M$3880,MATCH($AM444,'Flat Rates'!$A$1:$A$3880,0),MATCH("Night Unit Rate",'Flat Rates'!$A$1:$M$1,0))=0,"",((INDEX('Flat Rates'!$A$1:$M$3880,MATCH($AM444,'Flat Rates'!$A$1:$A$3880,0),MATCH("Night Unit Rate",'Flat Rates'!$A$1:$M$1,0)))*100)+H444),""))</f>
        <v/>
      </c>
      <c r="AT444" s="148" t="str">
        <f>IF($AN444=FALSE,"",IFERROR(IF(INDEX('Flat Rates'!$A$1:$M$3880,MATCH($AM444,'Flat Rates'!$A$1:$A$3880,0),MATCH("Evening and Weekend Rate",'Flat Rates'!$A$1:$M$1,0))=0,"",((INDEX('Flat Rates'!$A$1:$M$3880,MATCH($AM444,'Flat Rates'!$A$1:$A$3880,0),MATCH("Evening and Weekend Rate",'Flat Rates'!$A$1:$M$1,0)))*100)+H444),""))</f>
        <v/>
      </c>
      <c r="AU444" s="152" t="str">
        <f t="shared" si="177"/>
        <v/>
      </c>
      <c r="AV444" s="152" t="str">
        <f t="shared" si="178"/>
        <v/>
      </c>
      <c r="AW444" s="152" t="str">
        <f t="shared" si="179"/>
        <v/>
      </c>
    </row>
    <row r="445" spans="2:49" ht="15" thickBot="1" x14ac:dyDescent="0.35">
      <c r="B445" s="138" t="str">
        <f t="shared" si="156"/>
        <v/>
      </c>
      <c r="C445" s="137"/>
      <c r="D445" s="139"/>
      <c r="E445" s="140"/>
      <c r="F445" s="140"/>
      <c r="G445" s="139"/>
      <c r="H445" s="151"/>
      <c r="I445" s="139"/>
      <c r="J445" s="138"/>
      <c r="K445" s="139"/>
      <c r="L445" s="141"/>
      <c r="M445" s="133" t="str">
        <f t="shared" si="157"/>
        <v/>
      </c>
      <c r="N445" s="133" t="str">
        <f t="shared" si="158"/>
        <v/>
      </c>
      <c r="O445" s="133" t="str">
        <f t="shared" si="159"/>
        <v/>
      </c>
      <c r="P445" s="133" t="str">
        <f t="shared" si="160"/>
        <v/>
      </c>
      <c r="Q445" s="133" t="str">
        <f t="shared" si="161"/>
        <v/>
      </c>
      <c r="R445" s="133" t="str">
        <f t="shared" si="162"/>
        <v/>
      </c>
      <c r="S445" s="133" t="str">
        <f t="shared" si="163"/>
        <v/>
      </c>
      <c r="T445" s="133" t="str">
        <f>IFERROR(IF($U445="ERROR","ERROR",IF($N445="00",IF(J445="1-Rate","HH 1RATE",IF(J445="2-Rate","HH 2RATE","")),IFERROR(VLOOKUP(CONCATENATE(N445,Q445,O445,P445),Lookups!$A$2:$E$4557,5,0),VLOOKUP(CONCATENATE(N445,Q445,O445),Lookups!$A$2:$E$4557,5,0)))),"ERROR")</f>
        <v>ERROR</v>
      </c>
      <c r="U445" s="133" t="str">
        <f>IFERROR(IF(NOT($N445="00"),"",VLOOKUP(CONCATENATE(Q445,P445,LOOKUP(2,1/(Lookups!$I$2:$I$11&lt;=E445)/(Lookups!$J$2:$J$11&gt;=Tool!$C$14),Lookups!$K$2:$K$11)),'HH LLFs'!$A$2:$K$500,3,0)),"ERROR")</f>
        <v/>
      </c>
      <c r="V445" s="132">
        <f>Calcs!$I$2</f>
        <v>44377</v>
      </c>
      <c r="W445" s="132">
        <f>Calcs!$I$4</f>
        <v>44592</v>
      </c>
      <c r="X445" s="153" t="str">
        <f>IF(NOT(N445="00"),"",(VLOOKUP(CONCATENATE(Q445,P445,LOOKUP(2,1/(Lookups!$I$2:$I$11&lt;=Multisite!E445)/(Lookups!$J$2:$J$11&gt;=E445),Lookups!$K$2:$K$11)),'HH LLFs'!$A$2:$F$282,6,0)*365)/12)</f>
        <v/>
      </c>
      <c r="Y445" s="153">
        <f t="shared" si="164"/>
        <v>0</v>
      </c>
      <c r="Z445" s="153" t="str">
        <f t="shared" si="173"/>
        <v/>
      </c>
      <c r="AA445" s="153" t="str">
        <f t="shared" si="165"/>
        <v/>
      </c>
      <c r="AB445" s="153" t="str">
        <f t="shared" si="174"/>
        <v/>
      </c>
      <c r="AC445" s="153" t="str">
        <f t="shared" si="166"/>
        <v/>
      </c>
      <c r="AD445" s="153" t="str">
        <f t="shared" si="167"/>
        <v/>
      </c>
      <c r="AE445" s="153" t="str">
        <f t="shared" si="168"/>
        <v/>
      </c>
      <c r="AF445" s="155" t="e">
        <f>LOOKUP(2,1/(Lookups!$I$2:$I$11&lt;=E445)/(Lookups!$J$2:$J$11&gt;=E445),Lookups!$L$2:$L$11)</f>
        <v>#N/A</v>
      </c>
      <c r="AG445" s="142" t="str">
        <f t="shared" si="169"/>
        <v/>
      </c>
      <c r="AH445" s="142" t="str">
        <f t="shared" si="170"/>
        <v/>
      </c>
      <c r="AI445" s="143" t="b">
        <f t="shared" si="175"/>
        <v>0</v>
      </c>
      <c r="AJ445" s="143" t="str">
        <f t="shared" si="171"/>
        <v>Level 1</v>
      </c>
      <c r="AK445" s="142">
        <f t="shared" si="172"/>
        <v>0</v>
      </c>
      <c r="AL445" s="157" t="str">
        <f t="shared" si="180"/>
        <v/>
      </c>
      <c r="AM445" s="144" t="str">
        <f t="shared" si="181"/>
        <v>--FALSE-0</v>
      </c>
      <c r="AN445" s="158" t="str">
        <f t="shared" si="176"/>
        <v/>
      </c>
      <c r="AO445" s="145"/>
      <c r="AP445" s="159" t="str">
        <f>IF($AN445=FALSE,"",IFERROR(INDEX('Flat Rates'!$A$1:$M$3880,MATCH($AM445,'Flat Rates'!$A$1:$A$3880,0),MATCH("Standing Charge",'Flat Rates'!$A$1:$M$1,0))*100,""))</f>
        <v/>
      </c>
      <c r="AQ445" s="148" t="str">
        <f>IF($AN445=FALSE,"",IFERROR((IF(NOT(T445="Unrestricted"),"",INDEX('Flat Rates'!$A$1:$M$3880,MATCH($AM445,'Flat Rates'!$A$1:$A$3880,0),MATCH("Uni/Day Rate",'Flat Rates'!$A$1:$M$1,0)))*100)+H445,""))</f>
        <v/>
      </c>
      <c r="AR445" s="148" t="str">
        <f>IF($AN445=FALSE,"",IFERROR((IF(T445="Unrestricted","",INDEX('Flat Rates'!$A$1:$M$3880,MATCH($AM445,'Flat Rates'!$A$1:$A$3880,0),MATCH("Uni/Day Rate",'Flat Rates'!$A$1:$M$1,0)))*100)+H445,""))</f>
        <v/>
      </c>
      <c r="AS445" s="148" t="str">
        <f>IF($AN445=FALSE,"",IFERROR(IF(INDEX('Flat Rates'!$A$1:$M$3880,MATCH($AM445,'Flat Rates'!$A$1:$A$3880,0),MATCH("Night Unit Rate",'Flat Rates'!$A$1:$M$1,0))=0,"",((INDEX('Flat Rates'!$A$1:$M$3880,MATCH($AM445,'Flat Rates'!$A$1:$A$3880,0),MATCH("Night Unit Rate",'Flat Rates'!$A$1:$M$1,0)))*100)+H445),""))</f>
        <v/>
      </c>
      <c r="AT445" s="148" t="str">
        <f>IF($AN445=FALSE,"",IFERROR(IF(INDEX('Flat Rates'!$A$1:$M$3880,MATCH($AM445,'Flat Rates'!$A$1:$A$3880,0),MATCH("Evening and Weekend Rate",'Flat Rates'!$A$1:$M$1,0))=0,"",((INDEX('Flat Rates'!$A$1:$M$3880,MATCH($AM445,'Flat Rates'!$A$1:$A$3880,0),MATCH("Evening and Weekend Rate",'Flat Rates'!$A$1:$M$1,0)))*100)+H445),""))</f>
        <v/>
      </c>
      <c r="AU445" s="152" t="str">
        <f t="shared" si="177"/>
        <v/>
      </c>
      <c r="AV445" s="152" t="str">
        <f t="shared" si="178"/>
        <v/>
      </c>
      <c r="AW445" s="152" t="str">
        <f t="shared" si="179"/>
        <v/>
      </c>
    </row>
    <row r="446" spans="2:49" ht="15" thickBot="1" x14ac:dyDescent="0.35">
      <c r="B446" s="138" t="str">
        <f t="shared" si="156"/>
        <v/>
      </c>
      <c r="C446" s="146"/>
      <c r="D446" s="147"/>
      <c r="E446" s="140"/>
      <c r="F446" s="140"/>
      <c r="G446" s="139"/>
      <c r="H446" s="151"/>
      <c r="I446" s="139"/>
      <c r="J446" s="137"/>
      <c r="K446" s="139"/>
      <c r="L446" s="141"/>
      <c r="M446" s="133" t="str">
        <f t="shared" si="157"/>
        <v/>
      </c>
      <c r="N446" s="133" t="str">
        <f t="shared" si="158"/>
        <v/>
      </c>
      <c r="O446" s="133" t="str">
        <f t="shared" si="159"/>
        <v/>
      </c>
      <c r="P446" s="133" t="str">
        <f t="shared" si="160"/>
        <v/>
      </c>
      <c r="Q446" s="133" t="str">
        <f t="shared" si="161"/>
        <v/>
      </c>
      <c r="R446" s="133" t="str">
        <f t="shared" si="162"/>
        <v/>
      </c>
      <c r="S446" s="133" t="str">
        <f t="shared" si="163"/>
        <v/>
      </c>
      <c r="T446" s="133" t="str">
        <f>IFERROR(IF($U446="ERROR","ERROR",IF($N446="00",IF(J446="1-Rate","HH 1RATE",IF(J446="2-Rate","HH 2RATE","")),IFERROR(VLOOKUP(CONCATENATE(N446,Q446,O446,P446),Lookups!$A$2:$E$4557,5,0),VLOOKUP(CONCATENATE(N446,Q446,O446),Lookups!$A$2:$E$4557,5,0)))),"ERROR")</f>
        <v>ERROR</v>
      </c>
      <c r="U446" s="133" t="str">
        <f>IFERROR(IF(NOT($N446="00"),"",VLOOKUP(CONCATENATE(Q446,P446,LOOKUP(2,1/(Lookups!$I$2:$I$11&lt;=E446)/(Lookups!$J$2:$J$11&gt;=Tool!$C$14),Lookups!$K$2:$K$11)),'HH LLFs'!$A$2:$K$500,3,0)),"ERROR")</f>
        <v/>
      </c>
      <c r="V446" s="132">
        <f>Calcs!$I$2</f>
        <v>44377</v>
      </c>
      <c r="W446" s="132">
        <f>Calcs!$I$4</f>
        <v>44592</v>
      </c>
      <c r="X446" s="153" t="str">
        <f>IF(NOT(N446="00"),"",(VLOOKUP(CONCATENATE(Q446,P446,LOOKUP(2,1/(Lookups!$I$2:$I$11&lt;=Multisite!E446)/(Lookups!$J$2:$J$11&gt;=E446),Lookups!$K$2:$K$11)),'HH LLFs'!$A$2:$F$282,6,0)*365)/12)</f>
        <v/>
      </c>
      <c r="Y446" s="153">
        <f t="shared" si="164"/>
        <v>0</v>
      </c>
      <c r="Z446" s="153" t="str">
        <f t="shared" si="173"/>
        <v/>
      </c>
      <c r="AA446" s="153" t="str">
        <f t="shared" si="165"/>
        <v/>
      </c>
      <c r="AB446" s="153" t="str">
        <f t="shared" si="174"/>
        <v/>
      </c>
      <c r="AC446" s="153" t="str">
        <f t="shared" si="166"/>
        <v/>
      </c>
      <c r="AD446" s="153" t="str">
        <f t="shared" si="167"/>
        <v/>
      </c>
      <c r="AE446" s="153" t="str">
        <f t="shared" si="168"/>
        <v/>
      </c>
      <c r="AF446" s="155" t="e">
        <f>LOOKUP(2,1/(Lookups!$I$2:$I$11&lt;=E446)/(Lookups!$J$2:$J$11&gt;=E446),Lookups!$L$2:$L$11)</f>
        <v>#N/A</v>
      </c>
      <c r="AG446" s="142" t="str">
        <f t="shared" si="169"/>
        <v/>
      </c>
      <c r="AH446" s="142" t="str">
        <f t="shared" si="170"/>
        <v/>
      </c>
      <c r="AI446" s="143" t="b">
        <f t="shared" si="175"/>
        <v>0</v>
      </c>
      <c r="AJ446" s="143" t="str">
        <f t="shared" si="171"/>
        <v>Level 1</v>
      </c>
      <c r="AK446" s="142">
        <f t="shared" si="172"/>
        <v>0</v>
      </c>
      <c r="AL446" s="157" t="str">
        <f t="shared" si="180"/>
        <v/>
      </c>
      <c r="AM446" s="144" t="str">
        <f t="shared" si="181"/>
        <v>--FALSE-0</v>
      </c>
      <c r="AN446" s="158" t="str">
        <f t="shared" si="176"/>
        <v/>
      </c>
      <c r="AO446" s="145"/>
      <c r="AP446" s="159" t="str">
        <f>IF($AN446=FALSE,"",IFERROR(INDEX('Flat Rates'!$A$1:$M$3880,MATCH($AM446,'Flat Rates'!$A$1:$A$3880,0),MATCH("Standing Charge",'Flat Rates'!$A$1:$M$1,0))*100,""))</f>
        <v/>
      </c>
      <c r="AQ446" s="148" t="str">
        <f>IF($AN446=FALSE,"",IFERROR((IF(NOT(T446="Unrestricted"),"",INDEX('Flat Rates'!$A$1:$M$3880,MATCH($AM446,'Flat Rates'!$A$1:$A$3880,0),MATCH("Uni/Day Rate",'Flat Rates'!$A$1:$M$1,0)))*100)+H446,""))</f>
        <v/>
      </c>
      <c r="AR446" s="148" t="str">
        <f>IF($AN446=FALSE,"",IFERROR((IF(T446="Unrestricted","",INDEX('Flat Rates'!$A$1:$M$3880,MATCH($AM446,'Flat Rates'!$A$1:$A$3880,0),MATCH("Uni/Day Rate",'Flat Rates'!$A$1:$M$1,0)))*100)+H446,""))</f>
        <v/>
      </c>
      <c r="AS446" s="148" t="str">
        <f>IF($AN446=FALSE,"",IFERROR(IF(INDEX('Flat Rates'!$A$1:$M$3880,MATCH($AM446,'Flat Rates'!$A$1:$A$3880,0),MATCH("Night Unit Rate",'Flat Rates'!$A$1:$M$1,0))=0,"",((INDEX('Flat Rates'!$A$1:$M$3880,MATCH($AM446,'Flat Rates'!$A$1:$A$3880,0),MATCH("Night Unit Rate",'Flat Rates'!$A$1:$M$1,0)))*100)+H446),""))</f>
        <v/>
      </c>
      <c r="AT446" s="148" t="str">
        <f>IF($AN446=FALSE,"",IFERROR(IF(INDEX('Flat Rates'!$A$1:$M$3880,MATCH($AM446,'Flat Rates'!$A$1:$A$3880,0),MATCH("Evening and Weekend Rate",'Flat Rates'!$A$1:$M$1,0))=0,"",((INDEX('Flat Rates'!$A$1:$M$3880,MATCH($AM446,'Flat Rates'!$A$1:$A$3880,0),MATCH("Evening and Weekend Rate",'Flat Rates'!$A$1:$M$1,0)))*100)+H446),""))</f>
        <v/>
      </c>
      <c r="AU446" s="152" t="str">
        <f t="shared" si="177"/>
        <v/>
      </c>
      <c r="AV446" s="152" t="str">
        <f t="shared" si="178"/>
        <v/>
      </c>
      <c r="AW446" s="152" t="str">
        <f t="shared" si="179"/>
        <v/>
      </c>
    </row>
    <row r="447" spans="2:49" ht="15" thickBot="1" x14ac:dyDescent="0.35">
      <c r="B447" s="138" t="str">
        <f t="shared" si="156"/>
        <v/>
      </c>
      <c r="C447" s="137"/>
      <c r="D447" s="139"/>
      <c r="E447" s="140"/>
      <c r="F447" s="140"/>
      <c r="G447" s="139"/>
      <c r="H447" s="151"/>
      <c r="I447" s="139"/>
      <c r="J447" s="138"/>
      <c r="K447" s="139"/>
      <c r="L447" s="141"/>
      <c r="M447" s="133" t="str">
        <f t="shared" si="157"/>
        <v/>
      </c>
      <c r="N447" s="133" t="str">
        <f t="shared" si="158"/>
        <v/>
      </c>
      <c r="O447" s="133" t="str">
        <f t="shared" si="159"/>
        <v/>
      </c>
      <c r="P447" s="133" t="str">
        <f t="shared" si="160"/>
        <v/>
      </c>
      <c r="Q447" s="133" t="str">
        <f t="shared" si="161"/>
        <v/>
      </c>
      <c r="R447" s="133" t="str">
        <f t="shared" si="162"/>
        <v/>
      </c>
      <c r="S447" s="133" t="str">
        <f t="shared" si="163"/>
        <v/>
      </c>
      <c r="T447" s="133" t="str">
        <f>IFERROR(IF($U447="ERROR","ERROR",IF($N447="00",IF(J447="1-Rate","HH 1RATE",IF(J447="2-Rate","HH 2RATE","")),IFERROR(VLOOKUP(CONCATENATE(N447,Q447,O447,P447),Lookups!$A$2:$E$4557,5,0),VLOOKUP(CONCATENATE(N447,Q447,O447),Lookups!$A$2:$E$4557,5,0)))),"ERROR")</f>
        <v>ERROR</v>
      </c>
      <c r="U447" s="133" t="str">
        <f>IFERROR(IF(NOT($N447="00"),"",VLOOKUP(CONCATENATE(Q447,P447,LOOKUP(2,1/(Lookups!$I$2:$I$11&lt;=E447)/(Lookups!$J$2:$J$11&gt;=Tool!$C$14),Lookups!$K$2:$K$11)),'HH LLFs'!$A$2:$K$500,3,0)),"ERROR")</f>
        <v/>
      </c>
      <c r="V447" s="132">
        <f>Calcs!$I$2</f>
        <v>44377</v>
      </c>
      <c r="W447" s="132">
        <f>Calcs!$I$4</f>
        <v>44592</v>
      </c>
      <c r="X447" s="153" t="str">
        <f>IF(NOT(N447="00"),"",(VLOOKUP(CONCATENATE(Q447,P447,LOOKUP(2,1/(Lookups!$I$2:$I$11&lt;=Multisite!E447)/(Lookups!$J$2:$J$11&gt;=E447),Lookups!$K$2:$K$11)),'HH LLFs'!$A$2:$F$282,6,0)*365)/12)</f>
        <v/>
      </c>
      <c r="Y447" s="153">
        <f t="shared" si="164"/>
        <v>0</v>
      </c>
      <c r="Z447" s="153" t="str">
        <f t="shared" si="173"/>
        <v/>
      </c>
      <c r="AA447" s="153" t="str">
        <f t="shared" si="165"/>
        <v/>
      </c>
      <c r="AB447" s="153" t="str">
        <f t="shared" si="174"/>
        <v/>
      </c>
      <c r="AC447" s="153" t="str">
        <f t="shared" si="166"/>
        <v/>
      </c>
      <c r="AD447" s="153" t="str">
        <f t="shared" si="167"/>
        <v/>
      </c>
      <c r="AE447" s="153" t="str">
        <f t="shared" si="168"/>
        <v/>
      </c>
      <c r="AF447" s="155" t="e">
        <f>LOOKUP(2,1/(Lookups!$I$2:$I$11&lt;=E447)/(Lookups!$J$2:$J$11&gt;=E447),Lookups!$L$2:$L$11)</f>
        <v>#N/A</v>
      </c>
      <c r="AG447" s="142" t="str">
        <f t="shared" si="169"/>
        <v/>
      </c>
      <c r="AH447" s="142" t="str">
        <f t="shared" si="170"/>
        <v/>
      </c>
      <c r="AI447" s="143" t="b">
        <f t="shared" si="175"/>
        <v>0</v>
      </c>
      <c r="AJ447" s="143" t="str">
        <f t="shared" si="171"/>
        <v>Level 1</v>
      </c>
      <c r="AK447" s="142">
        <f t="shared" si="172"/>
        <v>0</v>
      </c>
      <c r="AL447" s="157" t="str">
        <f t="shared" si="180"/>
        <v/>
      </c>
      <c r="AM447" s="144" t="str">
        <f t="shared" si="181"/>
        <v>--FALSE-0</v>
      </c>
      <c r="AN447" s="158" t="str">
        <f t="shared" si="176"/>
        <v/>
      </c>
      <c r="AO447" s="145"/>
      <c r="AP447" s="159" t="str">
        <f>IF($AN447=FALSE,"",IFERROR(INDEX('Flat Rates'!$A$1:$M$3880,MATCH($AM447,'Flat Rates'!$A$1:$A$3880,0),MATCH("Standing Charge",'Flat Rates'!$A$1:$M$1,0))*100,""))</f>
        <v/>
      </c>
      <c r="AQ447" s="148" t="str">
        <f>IF($AN447=FALSE,"",IFERROR((IF(NOT(T447="Unrestricted"),"",INDEX('Flat Rates'!$A$1:$M$3880,MATCH($AM447,'Flat Rates'!$A$1:$A$3880,0),MATCH("Uni/Day Rate",'Flat Rates'!$A$1:$M$1,0)))*100)+H447,""))</f>
        <v/>
      </c>
      <c r="AR447" s="148" t="str">
        <f>IF($AN447=FALSE,"",IFERROR((IF(T447="Unrestricted","",INDEX('Flat Rates'!$A$1:$M$3880,MATCH($AM447,'Flat Rates'!$A$1:$A$3880,0),MATCH("Uni/Day Rate",'Flat Rates'!$A$1:$M$1,0)))*100)+H447,""))</f>
        <v/>
      </c>
      <c r="AS447" s="148" t="str">
        <f>IF($AN447=FALSE,"",IFERROR(IF(INDEX('Flat Rates'!$A$1:$M$3880,MATCH($AM447,'Flat Rates'!$A$1:$A$3880,0),MATCH("Night Unit Rate",'Flat Rates'!$A$1:$M$1,0))=0,"",((INDEX('Flat Rates'!$A$1:$M$3880,MATCH($AM447,'Flat Rates'!$A$1:$A$3880,0),MATCH("Night Unit Rate",'Flat Rates'!$A$1:$M$1,0)))*100)+H447),""))</f>
        <v/>
      </c>
      <c r="AT447" s="148" t="str">
        <f>IF($AN447=FALSE,"",IFERROR(IF(INDEX('Flat Rates'!$A$1:$M$3880,MATCH($AM447,'Flat Rates'!$A$1:$A$3880,0),MATCH("Evening and Weekend Rate",'Flat Rates'!$A$1:$M$1,0))=0,"",((INDEX('Flat Rates'!$A$1:$M$3880,MATCH($AM447,'Flat Rates'!$A$1:$A$3880,0),MATCH("Evening and Weekend Rate",'Flat Rates'!$A$1:$M$1,0)))*100)+H447),""))</f>
        <v/>
      </c>
      <c r="AU447" s="152" t="str">
        <f t="shared" si="177"/>
        <v/>
      </c>
      <c r="AV447" s="152" t="str">
        <f t="shared" si="178"/>
        <v/>
      </c>
      <c r="AW447" s="152" t="str">
        <f t="shared" si="179"/>
        <v/>
      </c>
    </row>
    <row r="448" spans="2:49" ht="15" thickBot="1" x14ac:dyDescent="0.35">
      <c r="B448" s="138" t="str">
        <f t="shared" si="156"/>
        <v/>
      </c>
      <c r="C448" s="146"/>
      <c r="D448" s="147"/>
      <c r="E448" s="140"/>
      <c r="F448" s="140"/>
      <c r="G448" s="139"/>
      <c r="H448" s="151"/>
      <c r="I448" s="139"/>
      <c r="J448" s="137"/>
      <c r="K448" s="139"/>
      <c r="L448" s="141"/>
      <c r="M448" s="133" t="str">
        <f t="shared" si="157"/>
        <v/>
      </c>
      <c r="N448" s="133" t="str">
        <f t="shared" si="158"/>
        <v/>
      </c>
      <c r="O448" s="133" t="str">
        <f t="shared" si="159"/>
        <v/>
      </c>
      <c r="P448" s="133" t="str">
        <f t="shared" si="160"/>
        <v/>
      </c>
      <c r="Q448" s="133" t="str">
        <f t="shared" si="161"/>
        <v/>
      </c>
      <c r="R448" s="133" t="str">
        <f t="shared" si="162"/>
        <v/>
      </c>
      <c r="S448" s="133" t="str">
        <f t="shared" si="163"/>
        <v/>
      </c>
      <c r="T448" s="133" t="str">
        <f>IFERROR(IF($U448="ERROR","ERROR",IF($N448="00",IF(J448="1-Rate","HH 1RATE",IF(J448="2-Rate","HH 2RATE","")),IFERROR(VLOOKUP(CONCATENATE(N448,Q448,O448,P448),Lookups!$A$2:$E$4557,5,0),VLOOKUP(CONCATENATE(N448,Q448,O448),Lookups!$A$2:$E$4557,5,0)))),"ERROR")</f>
        <v>ERROR</v>
      </c>
      <c r="U448" s="133" t="str">
        <f>IFERROR(IF(NOT($N448="00"),"",VLOOKUP(CONCATENATE(Q448,P448,LOOKUP(2,1/(Lookups!$I$2:$I$11&lt;=E448)/(Lookups!$J$2:$J$11&gt;=Tool!$C$14),Lookups!$K$2:$K$11)),'HH LLFs'!$A$2:$K$500,3,0)),"ERROR")</f>
        <v/>
      </c>
      <c r="V448" s="132">
        <f>Calcs!$I$2</f>
        <v>44377</v>
      </c>
      <c r="W448" s="132">
        <f>Calcs!$I$4</f>
        <v>44592</v>
      </c>
      <c r="X448" s="153" t="str">
        <f>IF(NOT(N448="00"),"",(VLOOKUP(CONCATENATE(Q448,P448,LOOKUP(2,1/(Lookups!$I$2:$I$11&lt;=Multisite!E448)/(Lookups!$J$2:$J$11&gt;=E448),Lookups!$K$2:$K$11)),'HH LLFs'!$A$2:$F$282,6,0)*365)/12)</f>
        <v/>
      </c>
      <c r="Y448" s="153">
        <f t="shared" si="164"/>
        <v>0</v>
      </c>
      <c r="Z448" s="153" t="str">
        <f t="shared" si="173"/>
        <v/>
      </c>
      <c r="AA448" s="153" t="str">
        <f t="shared" si="165"/>
        <v/>
      </c>
      <c r="AB448" s="153" t="str">
        <f t="shared" si="174"/>
        <v/>
      </c>
      <c r="AC448" s="153" t="str">
        <f t="shared" si="166"/>
        <v/>
      </c>
      <c r="AD448" s="153" t="str">
        <f t="shared" si="167"/>
        <v/>
      </c>
      <c r="AE448" s="153" t="str">
        <f t="shared" si="168"/>
        <v/>
      </c>
      <c r="AF448" s="155" t="e">
        <f>LOOKUP(2,1/(Lookups!$I$2:$I$11&lt;=E448)/(Lookups!$J$2:$J$11&gt;=E448),Lookups!$L$2:$L$11)</f>
        <v>#N/A</v>
      </c>
      <c r="AG448" s="142" t="str">
        <f t="shared" si="169"/>
        <v/>
      </c>
      <c r="AH448" s="142" t="str">
        <f t="shared" si="170"/>
        <v/>
      </c>
      <c r="AI448" s="143" t="b">
        <f t="shared" si="175"/>
        <v>0</v>
      </c>
      <c r="AJ448" s="143" t="str">
        <f t="shared" si="171"/>
        <v>Level 1</v>
      </c>
      <c r="AK448" s="142">
        <f t="shared" si="172"/>
        <v>0</v>
      </c>
      <c r="AL448" s="157" t="str">
        <f t="shared" si="180"/>
        <v/>
      </c>
      <c r="AM448" s="144" t="str">
        <f t="shared" si="181"/>
        <v>--FALSE-0</v>
      </c>
      <c r="AN448" s="158" t="str">
        <f t="shared" si="176"/>
        <v/>
      </c>
      <c r="AO448" s="145"/>
      <c r="AP448" s="159" t="str">
        <f>IF($AN448=FALSE,"",IFERROR(INDEX('Flat Rates'!$A$1:$M$3880,MATCH($AM448,'Flat Rates'!$A$1:$A$3880,0),MATCH("Standing Charge",'Flat Rates'!$A$1:$M$1,0))*100,""))</f>
        <v/>
      </c>
      <c r="AQ448" s="148" t="str">
        <f>IF($AN448=FALSE,"",IFERROR((IF(NOT(T448="Unrestricted"),"",INDEX('Flat Rates'!$A$1:$M$3880,MATCH($AM448,'Flat Rates'!$A$1:$A$3880,0),MATCH("Uni/Day Rate",'Flat Rates'!$A$1:$M$1,0)))*100)+H448,""))</f>
        <v/>
      </c>
      <c r="AR448" s="148" t="str">
        <f>IF($AN448=FALSE,"",IFERROR((IF(T448="Unrestricted","",INDEX('Flat Rates'!$A$1:$M$3880,MATCH($AM448,'Flat Rates'!$A$1:$A$3880,0),MATCH("Uni/Day Rate",'Flat Rates'!$A$1:$M$1,0)))*100)+H448,""))</f>
        <v/>
      </c>
      <c r="AS448" s="148" t="str">
        <f>IF($AN448=FALSE,"",IFERROR(IF(INDEX('Flat Rates'!$A$1:$M$3880,MATCH($AM448,'Flat Rates'!$A$1:$A$3880,0),MATCH("Night Unit Rate",'Flat Rates'!$A$1:$M$1,0))=0,"",((INDEX('Flat Rates'!$A$1:$M$3880,MATCH($AM448,'Flat Rates'!$A$1:$A$3880,0),MATCH("Night Unit Rate",'Flat Rates'!$A$1:$M$1,0)))*100)+H448),""))</f>
        <v/>
      </c>
      <c r="AT448" s="148" t="str">
        <f>IF($AN448=FALSE,"",IFERROR(IF(INDEX('Flat Rates'!$A$1:$M$3880,MATCH($AM448,'Flat Rates'!$A$1:$A$3880,0),MATCH("Evening and Weekend Rate",'Flat Rates'!$A$1:$M$1,0))=0,"",((INDEX('Flat Rates'!$A$1:$M$3880,MATCH($AM448,'Flat Rates'!$A$1:$A$3880,0),MATCH("Evening and Weekend Rate",'Flat Rates'!$A$1:$M$1,0)))*100)+H448),""))</f>
        <v/>
      </c>
      <c r="AU448" s="152" t="str">
        <f t="shared" si="177"/>
        <v/>
      </c>
      <c r="AV448" s="152" t="str">
        <f t="shared" si="178"/>
        <v/>
      </c>
      <c r="AW448" s="152" t="str">
        <f t="shared" si="179"/>
        <v/>
      </c>
    </row>
    <row r="449" spans="2:49" ht="15" thickBot="1" x14ac:dyDescent="0.35">
      <c r="B449" s="138" t="str">
        <f t="shared" si="156"/>
        <v/>
      </c>
      <c r="C449" s="137"/>
      <c r="D449" s="139"/>
      <c r="E449" s="140"/>
      <c r="F449" s="140"/>
      <c r="G449" s="139"/>
      <c r="H449" s="151"/>
      <c r="I449" s="139"/>
      <c r="J449" s="138"/>
      <c r="K449" s="139"/>
      <c r="L449" s="141"/>
      <c r="M449" s="133" t="str">
        <f t="shared" si="157"/>
        <v/>
      </c>
      <c r="N449" s="133" t="str">
        <f t="shared" si="158"/>
        <v/>
      </c>
      <c r="O449" s="133" t="str">
        <f t="shared" si="159"/>
        <v/>
      </c>
      <c r="P449" s="133" t="str">
        <f t="shared" si="160"/>
        <v/>
      </c>
      <c r="Q449" s="133" t="str">
        <f t="shared" si="161"/>
        <v/>
      </c>
      <c r="R449" s="133" t="str">
        <f t="shared" si="162"/>
        <v/>
      </c>
      <c r="S449" s="133" t="str">
        <f t="shared" si="163"/>
        <v/>
      </c>
      <c r="T449" s="133" t="str">
        <f>IFERROR(IF($U449="ERROR","ERROR",IF($N449="00",IF(J449="1-Rate","HH 1RATE",IF(J449="2-Rate","HH 2RATE","")),IFERROR(VLOOKUP(CONCATENATE(N449,Q449,O449,P449),Lookups!$A$2:$E$4557,5,0),VLOOKUP(CONCATENATE(N449,Q449,O449),Lookups!$A$2:$E$4557,5,0)))),"ERROR")</f>
        <v>ERROR</v>
      </c>
      <c r="U449" s="133" t="str">
        <f>IFERROR(IF(NOT($N449="00"),"",VLOOKUP(CONCATENATE(Q449,P449,LOOKUP(2,1/(Lookups!$I$2:$I$11&lt;=E449)/(Lookups!$J$2:$J$11&gt;=Tool!$C$14),Lookups!$K$2:$K$11)),'HH LLFs'!$A$2:$K$500,3,0)),"ERROR")</f>
        <v/>
      </c>
      <c r="V449" s="132">
        <f>Calcs!$I$2</f>
        <v>44377</v>
      </c>
      <c r="W449" s="132">
        <f>Calcs!$I$4</f>
        <v>44592</v>
      </c>
      <c r="X449" s="153" t="str">
        <f>IF(NOT(N449="00"),"",(VLOOKUP(CONCATENATE(Q449,P449,LOOKUP(2,1/(Lookups!$I$2:$I$11&lt;=Multisite!E449)/(Lookups!$J$2:$J$11&gt;=E449),Lookups!$K$2:$K$11)),'HH LLFs'!$A$2:$F$282,6,0)*365)/12)</f>
        <v/>
      </c>
      <c r="Y449" s="153">
        <f t="shared" si="164"/>
        <v>0</v>
      </c>
      <c r="Z449" s="153" t="str">
        <f t="shared" si="173"/>
        <v/>
      </c>
      <c r="AA449" s="153" t="str">
        <f t="shared" si="165"/>
        <v/>
      </c>
      <c r="AB449" s="153" t="str">
        <f t="shared" si="174"/>
        <v/>
      </c>
      <c r="AC449" s="153" t="str">
        <f t="shared" si="166"/>
        <v/>
      </c>
      <c r="AD449" s="153" t="str">
        <f t="shared" si="167"/>
        <v/>
      </c>
      <c r="AE449" s="153" t="str">
        <f t="shared" si="168"/>
        <v/>
      </c>
      <c r="AF449" s="155" t="e">
        <f>LOOKUP(2,1/(Lookups!$I$2:$I$11&lt;=E449)/(Lookups!$J$2:$J$11&gt;=E449),Lookups!$L$2:$L$11)</f>
        <v>#N/A</v>
      </c>
      <c r="AG449" s="142" t="str">
        <f t="shared" si="169"/>
        <v/>
      </c>
      <c r="AH449" s="142" t="str">
        <f t="shared" si="170"/>
        <v/>
      </c>
      <c r="AI449" s="143" t="b">
        <f t="shared" si="175"/>
        <v>0</v>
      </c>
      <c r="AJ449" s="143" t="str">
        <f t="shared" si="171"/>
        <v>Level 1</v>
      </c>
      <c r="AK449" s="142">
        <f t="shared" si="172"/>
        <v>0</v>
      </c>
      <c r="AL449" s="157" t="str">
        <f t="shared" si="180"/>
        <v/>
      </c>
      <c r="AM449" s="144" t="str">
        <f t="shared" si="181"/>
        <v>--FALSE-0</v>
      </c>
      <c r="AN449" s="158" t="str">
        <f t="shared" si="176"/>
        <v/>
      </c>
      <c r="AO449" s="145"/>
      <c r="AP449" s="159" t="str">
        <f>IF($AN449=FALSE,"",IFERROR(INDEX('Flat Rates'!$A$1:$M$3880,MATCH($AM449,'Flat Rates'!$A$1:$A$3880,0),MATCH("Standing Charge",'Flat Rates'!$A$1:$M$1,0))*100,""))</f>
        <v/>
      </c>
      <c r="AQ449" s="148" t="str">
        <f>IF($AN449=FALSE,"",IFERROR((IF(NOT(T449="Unrestricted"),"",INDEX('Flat Rates'!$A$1:$M$3880,MATCH($AM449,'Flat Rates'!$A$1:$A$3880,0),MATCH("Uni/Day Rate",'Flat Rates'!$A$1:$M$1,0)))*100)+H449,""))</f>
        <v/>
      </c>
      <c r="AR449" s="148" t="str">
        <f>IF($AN449=FALSE,"",IFERROR((IF(T449="Unrestricted","",INDEX('Flat Rates'!$A$1:$M$3880,MATCH($AM449,'Flat Rates'!$A$1:$A$3880,0),MATCH("Uni/Day Rate",'Flat Rates'!$A$1:$M$1,0)))*100)+H449,""))</f>
        <v/>
      </c>
      <c r="AS449" s="148" t="str">
        <f>IF($AN449=FALSE,"",IFERROR(IF(INDEX('Flat Rates'!$A$1:$M$3880,MATCH($AM449,'Flat Rates'!$A$1:$A$3880,0),MATCH("Night Unit Rate",'Flat Rates'!$A$1:$M$1,0))=0,"",((INDEX('Flat Rates'!$A$1:$M$3880,MATCH($AM449,'Flat Rates'!$A$1:$A$3880,0),MATCH("Night Unit Rate",'Flat Rates'!$A$1:$M$1,0)))*100)+H449),""))</f>
        <v/>
      </c>
      <c r="AT449" s="148" t="str">
        <f>IF($AN449=FALSE,"",IFERROR(IF(INDEX('Flat Rates'!$A$1:$M$3880,MATCH($AM449,'Flat Rates'!$A$1:$A$3880,0),MATCH("Evening and Weekend Rate",'Flat Rates'!$A$1:$M$1,0))=0,"",((INDEX('Flat Rates'!$A$1:$M$3880,MATCH($AM449,'Flat Rates'!$A$1:$A$3880,0),MATCH("Evening and Weekend Rate",'Flat Rates'!$A$1:$M$1,0)))*100)+H449),""))</f>
        <v/>
      </c>
      <c r="AU449" s="152" t="str">
        <f t="shared" si="177"/>
        <v/>
      </c>
      <c r="AV449" s="152" t="str">
        <f t="shared" si="178"/>
        <v/>
      </c>
      <c r="AW449" s="152" t="str">
        <f t="shared" si="179"/>
        <v/>
      </c>
    </row>
    <row r="450" spans="2:49" ht="15" thickBot="1" x14ac:dyDescent="0.35">
      <c r="B450" s="138" t="str">
        <f t="shared" si="156"/>
        <v/>
      </c>
      <c r="C450" s="146"/>
      <c r="D450" s="147"/>
      <c r="E450" s="140"/>
      <c r="F450" s="140"/>
      <c r="G450" s="139"/>
      <c r="H450" s="151"/>
      <c r="I450" s="139"/>
      <c r="J450" s="137"/>
      <c r="K450" s="139"/>
      <c r="L450" s="141"/>
      <c r="M450" s="133" t="str">
        <f t="shared" si="157"/>
        <v/>
      </c>
      <c r="N450" s="133" t="str">
        <f t="shared" si="158"/>
        <v/>
      </c>
      <c r="O450" s="133" t="str">
        <f t="shared" si="159"/>
        <v/>
      </c>
      <c r="P450" s="133" t="str">
        <f t="shared" si="160"/>
        <v/>
      </c>
      <c r="Q450" s="133" t="str">
        <f t="shared" si="161"/>
        <v/>
      </c>
      <c r="R450" s="133" t="str">
        <f t="shared" si="162"/>
        <v/>
      </c>
      <c r="S450" s="133" t="str">
        <f t="shared" si="163"/>
        <v/>
      </c>
      <c r="T450" s="133" t="str">
        <f>IFERROR(IF($U450="ERROR","ERROR",IF($N450="00",IF(J450="1-Rate","HH 1RATE",IF(J450="2-Rate","HH 2RATE","")),IFERROR(VLOOKUP(CONCATENATE(N450,Q450,O450,P450),Lookups!$A$2:$E$4557,5,0),VLOOKUP(CONCATENATE(N450,Q450,O450),Lookups!$A$2:$E$4557,5,0)))),"ERROR")</f>
        <v>ERROR</v>
      </c>
      <c r="U450" s="133" t="str">
        <f>IFERROR(IF(NOT($N450="00"),"",VLOOKUP(CONCATENATE(Q450,P450,LOOKUP(2,1/(Lookups!$I$2:$I$11&lt;=E450)/(Lookups!$J$2:$J$11&gt;=Tool!$C$14),Lookups!$K$2:$K$11)),'HH LLFs'!$A$2:$K$500,3,0)),"ERROR")</f>
        <v/>
      </c>
      <c r="V450" s="132">
        <f>Calcs!$I$2</f>
        <v>44377</v>
      </c>
      <c r="W450" s="132">
        <f>Calcs!$I$4</f>
        <v>44592</v>
      </c>
      <c r="X450" s="153" t="str">
        <f>IF(NOT(N450="00"),"",(VLOOKUP(CONCATENATE(Q450,P450,LOOKUP(2,1/(Lookups!$I$2:$I$11&lt;=Multisite!E450)/(Lookups!$J$2:$J$11&gt;=E450),Lookups!$K$2:$K$11)),'HH LLFs'!$A$2:$F$282,6,0)*365)/12)</f>
        <v/>
      </c>
      <c r="Y450" s="153">
        <f t="shared" si="164"/>
        <v>0</v>
      </c>
      <c r="Z450" s="153" t="str">
        <f t="shared" si="173"/>
        <v/>
      </c>
      <c r="AA450" s="153" t="str">
        <f t="shared" si="165"/>
        <v/>
      </c>
      <c r="AB450" s="153" t="str">
        <f t="shared" si="174"/>
        <v/>
      </c>
      <c r="AC450" s="153" t="str">
        <f t="shared" si="166"/>
        <v/>
      </c>
      <c r="AD450" s="153" t="str">
        <f t="shared" si="167"/>
        <v/>
      </c>
      <c r="AE450" s="153" t="str">
        <f t="shared" si="168"/>
        <v/>
      </c>
      <c r="AF450" s="155" t="e">
        <f>LOOKUP(2,1/(Lookups!$I$2:$I$11&lt;=E450)/(Lookups!$J$2:$J$11&gt;=E450),Lookups!$L$2:$L$11)</f>
        <v>#N/A</v>
      </c>
      <c r="AG450" s="142" t="str">
        <f t="shared" si="169"/>
        <v/>
      </c>
      <c r="AH450" s="142" t="str">
        <f t="shared" si="170"/>
        <v/>
      </c>
      <c r="AI450" s="143" t="b">
        <f t="shared" si="175"/>
        <v>0</v>
      </c>
      <c r="AJ450" s="143" t="str">
        <f t="shared" si="171"/>
        <v>Level 1</v>
      </c>
      <c r="AK450" s="142">
        <f t="shared" si="172"/>
        <v>0</v>
      </c>
      <c r="AL450" s="157" t="str">
        <f t="shared" si="180"/>
        <v/>
      </c>
      <c r="AM450" s="144" t="str">
        <f t="shared" si="181"/>
        <v>--FALSE-0</v>
      </c>
      <c r="AN450" s="158" t="str">
        <f t="shared" si="176"/>
        <v/>
      </c>
      <c r="AO450" s="145"/>
      <c r="AP450" s="159" t="str">
        <f>IF($AN450=FALSE,"",IFERROR(INDEX('Flat Rates'!$A$1:$M$3880,MATCH($AM450,'Flat Rates'!$A$1:$A$3880,0),MATCH("Standing Charge",'Flat Rates'!$A$1:$M$1,0))*100,""))</f>
        <v/>
      </c>
      <c r="AQ450" s="148" t="str">
        <f>IF($AN450=FALSE,"",IFERROR((IF(NOT(T450="Unrestricted"),"",INDEX('Flat Rates'!$A$1:$M$3880,MATCH($AM450,'Flat Rates'!$A$1:$A$3880,0),MATCH("Uni/Day Rate",'Flat Rates'!$A$1:$M$1,0)))*100)+H450,""))</f>
        <v/>
      </c>
      <c r="AR450" s="148" t="str">
        <f>IF($AN450=FALSE,"",IFERROR((IF(T450="Unrestricted","",INDEX('Flat Rates'!$A$1:$M$3880,MATCH($AM450,'Flat Rates'!$A$1:$A$3880,0),MATCH("Uni/Day Rate",'Flat Rates'!$A$1:$M$1,0)))*100)+H450,""))</f>
        <v/>
      </c>
      <c r="AS450" s="148" t="str">
        <f>IF($AN450=FALSE,"",IFERROR(IF(INDEX('Flat Rates'!$A$1:$M$3880,MATCH($AM450,'Flat Rates'!$A$1:$A$3880,0),MATCH("Night Unit Rate",'Flat Rates'!$A$1:$M$1,0))=0,"",((INDEX('Flat Rates'!$A$1:$M$3880,MATCH($AM450,'Flat Rates'!$A$1:$A$3880,0),MATCH("Night Unit Rate",'Flat Rates'!$A$1:$M$1,0)))*100)+H450),""))</f>
        <v/>
      </c>
      <c r="AT450" s="148" t="str">
        <f>IF($AN450=FALSE,"",IFERROR(IF(INDEX('Flat Rates'!$A$1:$M$3880,MATCH($AM450,'Flat Rates'!$A$1:$A$3880,0),MATCH("Evening and Weekend Rate",'Flat Rates'!$A$1:$M$1,0))=0,"",((INDEX('Flat Rates'!$A$1:$M$3880,MATCH($AM450,'Flat Rates'!$A$1:$A$3880,0),MATCH("Evening and Weekend Rate",'Flat Rates'!$A$1:$M$1,0)))*100)+H450),""))</f>
        <v/>
      </c>
      <c r="AU450" s="152" t="str">
        <f t="shared" si="177"/>
        <v/>
      </c>
      <c r="AV450" s="152" t="str">
        <f t="shared" si="178"/>
        <v/>
      </c>
      <c r="AW450" s="152" t="str">
        <f t="shared" si="179"/>
        <v/>
      </c>
    </row>
    <row r="451" spans="2:49" ht="15" thickBot="1" x14ac:dyDescent="0.35">
      <c r="B451" s="138" t="str">
        <f t="shared" si="156"/>
        <v/>
      </c>
      <c r="C451" s="137"/>
      <c r="D451" s="139"/>
      <c r="E451" s="140"/>
      <c r="F451" s="140"/>
      <c r="G451" s="139"/>
      <c r="H451" s="151"/>
      <c r="I451" s="139"/>
      <c r="J451" s="138"/>
      <c r="K451" s="139"/>
      <c r="L451" s="141"/>
      <c r="M451" s="133" t="str">
        <f t="shared" si="157"/>
        <v/>
      </c>
      <c r="N451" s="133" t="str">
        <f t="shared" si="158"/>
        <v/>
      </c>
      <c r="O451" s="133" t="str">
        <f t="shared" si="159"/>
        <v/>
      </c>
      <c r="P451" s="133" t="str">
        <f t="shared" si="160"/>
        <v/>
      </c>
      <c r="Q451" s="133" t="str">
        <f t="shared" si="161"/>
        <v/>
      </c>
      <c r="R451" s="133" t="str">
        <f t="shared" si="162"/>
        <v/>
      </c>
      <c r="S451" s="133" t="str">
        <f t="shared" si="163"/>
        <v/>
      </c>
      <c r="T451" s="133" t="str">
        <f>IFERROR(IF($U451="ERROR","ERROR",IF($N451="00",IF(J451="1-Rate","HH 1RATE",IF(J451="2-Rate","HH 2RATE","")),IFERROR(VLOOKUP(CONCATENATE(N451,Q451,O451,P451),Lookups!$A$2:$E$4557,5,0),VLOOKUP(CONCATENATE(N451,Q451,O451),Lookups!$A$2:$E$4557,5,0)))),"ERROR")</f>
        <v>ERROR</v>
      </c>
      <c r="U451" s="133" t="str">
        <f>IFERROR(IF(NOT($N451="00"),"",VLOOKUP(CONCATENATE(Q451,P451,LOOKUP(2,1/(Lookups!$I$2:$I$11&lt;=E451)/(Lookups!$J$2:$J$11&gt;=Tool!$C$14),Lookups!$K$2:$K$11)),'HH LLFs'!$A$2:$K$500,3,0)),"ERROR")</f>
        <v/>
      </c>
      <c r="V451" s="132">
        <f>Calcs!$I$2</f>
        <v>44377</v>
      </c>
      <c r="W451" s="132">
        <f>Calcs!$I$4</f>
        <v>44592</v>
      </c>
      <c r="X451" s="153" t="str">
        <f>IF(NOT(N451="00"),"",(VLOOKUP(CONCATENATE(Q451,P451,LOOKUP(2,1/(Lookups!$I$2:$I$11&lt;=Multisite!E451)/(Lookups!$J$2:$J$11&gt;=E451),Lookups!$K$2:$K$11)),'HH LLFs'!$A$2:$F$282,6,0)*365)/12)</f>
        <v/>
      </c>
      <c r="Y451" s="153">
        <f t="shared" si="164"/>
        <v>0</v>
      </c>
      <c r="Z451" s="153" t="str">
        <f t="shared" si="173"/>
        <v/>
      </c>
      <c r="AA451" s="153" t="str">
        <f t="shared" si="165"/>
        <v/>
      </c>
      <c r="AB451" s="153" t="str">
        <f t="shared" si="174"/>
        <v/>
      </c>
      <c r="AC451" s="153" t="str">
        <f t="shared" si="166"/>
        <v/>
      </c>
      <c r="AD451" s="153" t="str">
        <f t="shared" si="167"/>
        <v/>
      </c>
      <c r="AE451" s="153" t="str">
        <f t="shared" si="168"/>
        <v/>
      </c>
      <c r="AF451" s="155" t="e">
        <f>LOOKUP(2,1/(Lookups!$I$2:$I$11&lt;=E451)/(Lookups!$J$2:$J$11&gt;=E451),Lookups!$L$2:$L$11)</f>
        <v>#N/A</v>
      </c>
      <c r="AG451" s="142" t="str">
        <f t="shared" si="169"/>
        <v/>
      </c>
      <c r="AH451" s="142" t="str">
        <f t="shared" si="170"/>
        <v/>
      </c>
      <c r="AI451" s="143" t="b">
        <f t="shared" si="175"/>
        <v>0</v>
      </c>
      <c r="AJ451" s="143" t="str">
        <f t="shared" si="171"/>
        <v>Level 1</v>
      </c>
      <c r="AK451" s="142">
        <f t="shared" si="172"/>
        <v>0</v>
      </c>
      <c r="AL451" s="157" t="str">
        <f t="shared" si="180"/>
        <v/>
      </c>
      <c r="AM451" s="144" t="str">
        <f t="shared" si="181"/>
        <v>--FALSE-0</v>
      </c>
      <c r="AN451" s="158" t="str">
        <f t="shared" si="176"/>
        <v/>
      </c>
      <c r="AO451" s="145"/>
      <c r="AP451" s="159" t="str">
        <f>IF($AN451=FALSE,"",IFERROR(INDEX('Flat Rates'!$A$1:$M$3880,MATCH($AM451,'Flat Rates'!$A$1:$A$3880,0),MATCH("Standing Charge",'Flat Rates'!$A$1:$M$1,0))*100,""))</f>
        <v/>
      </c>
      <c r="AQ451" s="148" t="str">
        <f>IF($AN451=FALSE,"",IFERROR((IF(NOT(T451="Unrestricted"),"",INDEX('Flat Rates'!$A$1:$M$3880,MATCH($AM451,'Flat Rates'!$A$1:$A$3880,0),MATCH("Uni/Day Rate",'Flat Rates'!$A$1:$M$1,0)))*100)+H451,""))</f>
        <v/>
      </c>
      <c r="AR451" s="148" t="str">
        <f>IF($AN451=FALSE,"",IFERROR((IF(T451="Unrestricted","",INDEX('Flat Rates'!$A$1:$M$3880,MATCH($AM451,'Flat Rates'!$A$1:$A$3880,0),MATCH("Uni/Day Rate",'Flat Rates'!$A$1:$M$1,0)))*100)+H451,""))</f>
        <v/>
      </c>
      <c r="AS451" s="148" t="str">
        <f>IF($AN451=FALSE,"",IFERROR(IF(INDEX('Flat Rates'!$A$1:$M$3880,MATCH($AM451,'Flat Rates'!$A$1:$A$3880,0),MATCH("Night Unit Rate",'Flat Rates'!$A$1:$M$1,0))=0,"",((INDEX('Flat Rates'!$A$1:$M$3880,MATCH($AM451,'Flat Rates'!$A$1:$A$3880,0),MATCH("Night Unit Rate",'Flat Rates'!$A$1:$M$1,0)))*100)+H451),""))</f>
        <v/>
      </c>
      <c r="AT451" s="148" t="str">
        <f>IF($AN451=FALSE,"",IFERROR(IF(INDEX('Flat Rates'!$A$1:$M$3880,MATCH($AM451,'Flat Rates'!$A$1:$A$3880,0),MATCH("Evening and Weekend Rate",'Flat Rates'!$A$1:$M$1,0))=0,"",((INDEX('Flat Rates'!$A$1:$M$3880,MATCH($AM451,'Flat Rates'!$A$1:$A$3880,0),MATCH("Evening and Weekend Rate",'Flat Rates'!$A$1:$M$1,0)))*100)+H451),""))</f>
        <v/>
      </c>
      <c r="AU451" s="152" t="str">
        <f t="shared" si="177"/>
        <v/>
      </c>
      <c r="AV451" s="152" t="str">
        <f t="shared" si="178"/>
        <v/>
      </c>
      <c r="AW451" s="152" t="str">
        <f t="shared" si="179"/>
        <v/>
      </c>
    </row>
    <row r="452" spans="2:49" ht="15" thickBot="1" x14ac:dyDescent="0.35">
      <c r="B452" s="138" t="str">
        <f t="shared" si="156"/>
        <v/>
      </c>
      <c r="C452" s="146"/>
      <c r="D452" s="147"/>
      <c r="E452" s="140"/>
      <c r="F452" s="140"/>
      <c r="G452" s="139"/>
      <c r="H452" s="151"/>
      <c r="I452" s="139"/>
      <c r="J452" s="137"/>
      <c r="K452" s="139"/>
      <c r="L452" s="141"/>
      <c r="M452" s="133" t="str">
        <f t="shared" si="157"/>
        <v/>
      </c>
      <c r="N452" s="133" t="str">
        <f t="shared" si="158"/>
        <v/>
      </c>
      <c r="O452" s="133" t="str">
        <f t="shared" si="159"/>
        <v/>
      </c>
      <c r="P452" s="133" t="str">
        <f t="shared" si="160"/>
        <v/>
      </c>
      <c r="Q452" s="133" t="str">
        <f t="shared" si="161"/>
        <v/>
      </c>
      <c r="R452" s="133" t="str">
        <f t="shared" si="162"/>
        <v/>
      </c>
      <c r="S452" s="133" t="str">
        <f t="shared" si="163"/>
        <v/>
      </c>
      <c r="T452" s="133" t="str">
        <f>IFERROR(IF($U452="ERROR","ERROR",IF($N452="00",IF(J452="1-Rate","HH 1RATE",IF(J452="2-Rate","HH 2RATE","")),IFERROR(VLOOKUP(CONCATENATE(N452,Q452,O452,P452),Lookups!$A$2:$E$4557,5,0),VLOOKUP(CONCATENATE(N452,Q452,O452),Lookups!$A$2:$E$4557,5,0)))),"ERROR")</f>
        <v>ERROR</v>
      </c>
      <c r="U452" s="133" t="str">
        <f>IFERROR(IF(NOT($N452="00"),"",VLOOKUP(CONCATENATE(Q452,P452,LOOKUP(2,1/(Lookups!$I$2:$I$11&lt;=E452)/(Lookups!$J$2:$J$11&gt;=Tool!$C$14),Lookups!$K$2:$K$11)),'HH LLFs'!$A$2:$K$500,3,0)),"ERROR")</f>
        <v/>
      </c>
      <c r="V452" s="132">
        <f>Calcs!$I$2</f>
        <v>44377</v>
      </c>
      <c r="W452" s="132">
        <f>Calcs!$I$4</f>
        <v>44592</v>
      </c>
      <c r="X452" s="153" t="str">
        <f>IF(NOT(N452="00"),"",(VLOOKUP(CONCATENATE(Q452,P452,LOOKUP(2,1/(Lookups!$I$2:$I$11&lt;=Multisite!E452)/(Lookups!$J$2:$J$11&gt;=E452),Lookups!$K$2:$K$11)),'HH LLFs'!$A$2:$F$282,6,0)*365)/12)</f>
        <v/>
      </c>
      <c r="Y452" s="153">
        <f t="shared" si="164"/>
        <v>0</v>
      </c>
      <c r="Z452" s="153" t="str">
        <f t="shared" si="173"/>
        <v/>
      </c>
      <c r="AA452" s="153" t="str">
        <f t="shared" si="165"/>
        <v/>
      </c>
      <c r="AB452" s="153" t="str">
        <f t="shared" si="174"/>
        <v/>
      </c>
      <c r="AC452" s="153" t="str">
        <f t="shared" si="166"/>
        <v/>
      </c>
      <c r="AD452" s="153" t="str">
        <f t="shared" si="167"/>
        <v/>
      </c>
      <c r="AE452" s="153" t="str">
        <f t="shared" si="168"/>
        <v/>
      </c>
      <c r="AF452" s="155" t="e">
        <f>LOOKUP(2,1/(Lookups!$I$2:$I$11&lt;=E452)/(Lookups!$J$2:$J$11&gt;=E452),Lookups!$L$2:$L$11)</f>
        <v>#N/A</v>
      </c>
      <c r="AG452" s="142" t="str">
        <f t="shared" si="169"/>
        <v/>
      </c>
      <c r="AH452" s="142" t="str">
        <f t="shared" si="170"/>
        <v/>
      </c>
      <c r="AI452" s="143" t="b">
        <f t="shared" si="175"/>
        <v>0</v>
      </c>
      <c r="AJ452" s="143" t="str">
        <f t="shared" si="171"/>
        <v>Level 1</v>
      </c>
      <c r="AK452" s="142">
        <f t="shared" si="172"/>
        <v>0</v>
      </c>
      <c r="AL452" s="157" t="str">
        <f t="shared" si="180"/>
        <v/>
      </c>
      <c r="AM452" s="144" t="str">
        <f t="shared" si="181"/>
        <v>--FALSE-0</v>
      </c>
      <c r="AN452" s="158" t="str">
        <f t="shared" si="176"/>
        <v/>
      </c>
      <c r="AO452" s="145"/>
      <c r="AP452" s="159" t="str">
        <f>IF($AN452=FALSE,"",IFERROR(INDEX('Flat Rates'!$A$1:$M$3880,MATCH($AM452,'Flat Rates'!$A$1:$A$3880,0),MATCH("Standing Charge",'Flat Rates'!$A$1:$M$1,0))*100,""))</f>
        <v/>
      </c>
      <c r="AQ452" s="148" t="str">
        <f>IF($AN452=FALSE,"",IFERROR((IF(NOT(T452="Unrestricted"),"",INDEX('Flat Rates'!$A$1:$M$3880,MATCH($AM452,'Flat Rates'!$A$1:$A$3880,0),MATCH("Uni/Day Rate",'Flat Rates'!$A$1:$M$1,0)))*100)+H452,""))</f>
        <v/>
      </c>
      <c r="AR452" s="148" t="str">
        <f>IF($AN452=FALSE,"",IFERROR((IF(T452="Unrestricted","",INDEX('Flat Rates'!$A$1:$M$3880,MATCH($AM452,'Flat Rates'!$A$1:$A$3880,0),MATCH("Uni/Day Rate",'Flat Rates'!$A$1:$M$1,0)))*100)+H452,""))</f>
        <v/>
      </c>
      <c r="AS452" s="148" t="str">
        <f>IF($AN452=FALSE,"",IFERROR(IF(INDEX('Flat Rates'!$A$1:$M$3880,MATCH($AM452,'Flat Rates'!$A$1:$A$3880,0),MATCH("Night Unit Rate",'Flat Rates'!$A$1:$M$1,0))=0,"",((INDEX('Flat Rates'!$A$1:$M$3880,MATCH($AM452,'Flat Rates'!$A$1:$A$3880,0),MATCH("Night Unit Rate",'Flat Rates'!$A$1:$M$1,0)))*100)+H452),""))</f>
        <v/>
      </c>
      <c r="AT452" s="148" t="str">
        <f>IF($AN452=FALSE,"",IFERROR(IF(INDEX('Flat Rates'!$A$1:$M$3880,MATCH($AM452,'Flat Rates'!$A$1:$A$3880,0),MATCH("Evening and Weekend Rate",'Flat Rates'!$A$1:$M$1,0))=0,"",((INDEX('Flat Rates'!$A$1:$M$3880,MATCH($AM452,'Flat Rates'!$A$1:$A$3880,0),MATCH("Evening and Weekend Rate",'Flat Rates'!$A$1:$M$1,0)))*100)+H452),""))</f>
        <v/>
      </c>
      <c r="AU452" s="152" t="str">
        <f t="shared" si="177"/>
        <v/>
      </c>
      <c r="AV452" s="152" t="str">
        <f t="shared" si="178"/>
        <v/>
      </c>
      <c r="AW452" s="152" t="str">
        <f t="shared" si="179"/>
        <v/>
      </c>
    </row>
    <row r="453" spans="2:49" ht="15" thickBot="1" x14ac:dyDescent="0.35">
      <c r="B453" s="138" t="str">
        <f t="shared" si="156"/>
        <v/>
      </c>
      <c r="C453" s="137"/>
      <c r="D453" s="139"/>
      <c r="E453" s="140"/>
      <c r="F453" s="140"/>
      <c r="G453" s="139"/>
      <c r="H453" s="151"/>
      <c r="I453" s="139"/>
      <c r="J453" s="138"/>
      <c r="K453" s="139"/>
      <c r="L453" s="141"/>
      <c r="M453" s="133" t="str">
        <f t="shared" si="157"/>
        <v/>
      </c>
      <c r="N453" s="133" t="str">
        <f t="shared" si="158"/>
        <v/>
      </c>
      <c r="O453" s="133" t="str">
        <f t="shared" si="159"/>
        <v/>
      </c>
      <c r="P453" s="133" t="str">
        <f t="shared" si="160"/>
        <v/>
      </c>
      <c r="Q453" s="133" t="str">
        <f t="shared" si="161"/>
        <v/>
      </c>
      <c r="R453" s="133" t="str">
        <f t="shared" si="162"/>
        <v/>
      </c>
      <c r="S453" s="133" t="str">
        <f t="shared" si="163"/>
        <v/>
      </c>
      <c r="T453" s="133" t="str">
        <f>IFERROR(IF($U453="ERROR","ERROR",IF($N453="00",IF(J453="1-Rate","HH 1RATE",IF(J453="2-Rate","HH 2RATE","")),IFERROR(VLOOKUP(CONCATENATE(N453,Q453,O453,P453),Lookups!$A$2:$E$4557,5,0),VLOOKUP(CONCATENATE(N453,Q453,O453),Lookups!$A$2:$E$4557,5,0)))),"ERROR")</f>
        <v>ERROR</v>
      </c>
      <c r="U453" s="133" t="str">
        <f>IFERROR(IF(NOT($N453="00"),"",VLOOKUP(CONCATENATE(Q453,P453,LOOKUP(2,1/(Lookups!$I$2:$I$11&lt;=E453)/(Lookups!$J$2:$J$11&gt;=Tool!$C$14),Lookups!$K$2:$K$11)),'HH LLFs'!$A$2:$K$500,3,0)),"ERROR")</f>
        <v/>
      </c>
      <c r="V453" s="132">
        <f>Calcs!$I$2</f>
        <v>44377</v>
      </c>
      <c r="W453" s="132">
        <f>Calcs!$I$4</f>
        <v>44592</v>
      </c>
      <c r="X453" s="153" t="str">
        <f>IF(NOT(N453="00"),"",(VLOOKUP(CONCATENATE(Q453,P453,LOOKUP(2,1/(Lookups!$I$2:$I$11&lt;=Multisite!E453)/(Lookups!$J$2:$J$11&gt;=E453),Lookups!$K$2:$K$11)),'HH LLFs'!$A$2:$F$282,6,0)*365)/12)</f>
        <v/>
      </c>
      <c r="Y453" s="153">
        <f t="shared" si="164"/>
        <v>0</v>
      </c>
      <c r="Z453" s="153" t="str">
        <f t="shared" si="173"/>
        <v/>
      </c>
      <c r="AA453" s="153" t="str">
        <f t="shared" si="165"/>
        <v/>
      </c>
      <c r="AB453" s="153" t="str">
        <f t="shared" si="174"/>
        <v/>
      </c>
      <c r="AC453" s="153" t="str">
        <f t="shared" si="166"/>
        <v/>
      </c>
      <c r="AD453" s="153" t="str">
        <f t="shared" si="167"/>
        <v/>
      </c>
      <c r="AE453" s="153" t="str">
        <f t="shared" si="168"/>
        <v/>
      </c>
      <c r="AF453" s="155" t="e">
        <f>LOOKUP(2,1/(Lookups!$I$2:$I$11&lt;=E453)/(Lookups!$J$2:$J$11&gt;=E453),Lookups!$L$2:$L$11)</f>
        <v>#N/A</v>
      </c>
      <c r="AG453" s="142" t="str">
        <f t="shared" si="169"/>
        <v/>
      </c>
      <c r="AH453" s="142" t="str">
        <f t="shared" si="170"/>
        <v/>
      </c>
      <c r="AI453" s="143" t="b">
        <f t="shared" si="175"/>
        <v>0</v>
      </c>
      <c r="AJ453" s="143" t="str">
        <f t="shared" si="171"/>
        <v>Level 1</v>
      </c>
      <c r="AK453" s="142">
        <f t="shared" si="172"/>
        <v>0</v>
      </c>
      <c r="AL453" s="157" t="str">
        <f t="shared" si="180"/>
        <v/>
      </c>
      <c r="AM453" s="144" t="str">
        <f t="shared" si="181"/>
        <v>--FALSE-0</v>
      </c>
      <c r="AN453" s="158" t="str">
        <f t="shared" si="176"/>
        <v/>
      </c>
      <c r="AO453" s="145"/>
      <c r="AP453" s="159" t="str">
        <f>IF($AN453=FALSE,"",IFERROR(INDEX('Flat Rates'!$A$1:$M$3880,MATCH($AM453,'Flat Rates'!$A$1:$A$3880,0),MATCH("Standing Charge",'Flat Rates'!$A$1:$M$1,0))*100,""))</f>
        <v/>
      </c>
      <c r="AQ453" s="148" t="str">
        <f>IF($AN453=FALSE,"",IFERROR((IF(NOT(T453="Unrestricted"),"",INDEX('Flat Rates'!$A$1:$M$3880,MATCH($AM453,'Flat Rates'!$A$1:$A$3880,0),MATCH("Uni/Day Rate",'Flat Rates'!$A$1:$M$1,0)))*100)+H453,""))</f>
        <v/>
      </c>
      <c r="AR453" s="148" t="str">
        <f>IF($AN453=FALSE,"",IFERROR((IF(T453="Unrestricted","",INDEX('Flat Rates'!$A$1:$M$3880,MATCH($AM453,'Flat Rates'!$A$1:$A$3880,0),MATCH("Uni/Day Rate",'Flat Rates'!$A$1:$M$1,0)))*100)+H453,""))</f>
        <v/>
      </c>
      <c r="AS453" s="148" t="str">
        <f>IF($AN453=FALSE,"",IFERROR(IF(INDEX('Flat Rates'!$A$1:$M$3880,MATCH($AM453,'Flat Rates'!$A$1:$A$3880,0),MATCH("Night Unit Rate",'Flat Rates'!$A$1:$M$1,0))=0,"",((INDEX('Flat Rates'!$A$1:$M$3880,MATCH($AM453,'Flat Rates'!$A$1:$A$3880,0),MATCH("Night Unit Rate",'Flat Rates'!$A$1:$M$1,0)))*100)+H453),""))</f>
        <v/>
      </c>
      <c r="AT453" s="148" t="str">
        <f>IF($AN453=FALSE,"",IFERROR(IF(INDEX('Flat Rates'!$A$1:$M$3880,MATCH($AM453,'Flat Rates'!$A$1:$A$3880,0),MATCH("Evening and Weekend Rate",'Flat Rates'!$A$1:$M$1,0))=0,"",((INDEX('Flat Rates'!$A$1:$M$3880,MATCH($AM453,'Flat Rates'!$A$1:$A$3880,0),MATCH("Evening and Weekend Rate",'Flat Rates'!$A$1:$M$1,0)))*100)+H453),""))</f>
        <v/>
      </c>
      <c r="AU453" s="152" t="str">
        <f t="shared" si="177"/>
        <v/>
      </c>
      <c r="AV453" s="152" t="str">
        <f t="shared" si="178"/>
        <v/>
      </c>
      <c r="AW453" s="152" t="str">
        <f t="shared" si="179"/>
        <v/>
      </c>
    </row>
    <row r="454" spans="2:49" ht="15" thickBot="1" x14ac:dyDescent="0.35">
      <c r="B454" s="138" t="str">
        <f t="shared" si="156"/>
        <v/>
      </c>
      <c r="C454" s="146"/>
      <c r="D454" s="147"/>
      <c r="E454" s="140"/>
      <c r="F454" s="140"/>
      <c r="G454" s="139"/>
      <c r="H454" s="151"/>
      <c r="I454" s="139"/>
      <c r="J454" s="137"/>
      <c r="K454" s="139"/>
      <c r="L454" s="141"/>
      <c r="M454" s="133" t="str">
        <f t="shared" si="157"/>
        <v/>
      </c>
      <c r="N454" s="133" t="str">
        <f t="shared" si="158"/>
        <v/>
      </c>
      <c r="O454" s="133" t="str">
        <f t="shared" si="159"/>
        <v/>
      </c>
      <c r="P454" s="133" t="str">
        <f t="shared" si="160"/>
        <v/>
      </c>
      <c r="Q454" s="133" t="str">
        <f t="shared" si="161"/>
        <v/>
      </c>
      <c r="R454" s="133" t="str">
        <f t="shared" si="162"/>
        <v/>
      </c>
      <c r="S454" s="133" t="str">
        <f t="shared" si="163"/>
        <v/>
      </c>
      <c r="T454" s="133" t="str">
        <f>IFERROR(IF($U454="ERROR","ERROR",IF($N454="00",IF(J454="1-Rate","HH 1RATE",IF(J454="2-Rate","HH 2RATE","")),IFERROR(VLOOKUP(CONCATENATE(N454,Q454,O454,P454),Lookups!$A$2:$E$4557,5,0),VLOOKUP(CONCATENATE(N454,Q454,O454),Lookups!$A$2:$E$4557,5,0)))),"ERROR")</f>
        <v>ERROR</v>
      </c>
      <c r="U454" s="133" t="str">
        <f>IFERROR(IF(NOT($N454="00"),"",VLOOKUP(CONCATENATE(Q454,P454,LOOKUP(2,1/(Lookups!$I$2:$I$11&lt;=E454)/(Lookups!$J$2:$J$11&gt;=Tool!$C$14),Lookups!$K$2:$K$11)),'HH LLFs'!$A$2:$K$500,3,0)),"ERROR")</f>
        <v/>
      </c>
      <c r="V454" s="132">
        <f>Calcs!$I$2</f>
        <v>44377</v>
      </c>
      <c r="W454" s="132">
        <f>Calcs!$I$4</f>
        <v>44592</v>
      </c>
      <c r="X454" s="153" t="str">
        <f>IF(NOT(N454="00"),"",(VLOOKUP(CONCATENATE(Q454,P454,LOOKUP(2,1/(Lookups!$I$2:$I$11&lt;=Multisite!E454)/(Lookups!$J$2:$J$11&gt;=E454),Lookups!$K$2:$K$11)),'HH LLFs'!$A$2:$F$282,6,0)*365)/12)</f>
        <v/>
      </c>
      <c r="Y454" s="153">
        <f t="shared" si="164"/>
        <v>0</v>
      </c>
      <c r="Z454" s="153" t="str">
        <f t="shared" si="173"/>
        <v/>
      </c>
      <c r="AA454" s="153" t="str">
        <f t="shared" si="165"/>
        <v/>
      </c>
      <c r="AB454" s="153" t="str">
        <f t="shared" si="174"/>
        <v/>
      </c>
      <c r="AC454" s="153" t="str">
        <f t="shared" si="166"/>
        <v/>
      </c>
      <c r="AD454" s="153" t="str">
        <f t="shared" si="167"/>
        <v/>
      </c>
      <c r="AE454" s="153" t="str">
        <f t="shared" si="168"/>
        <v/>
      </c>
      <c r="AF454" s="155" t="e">
        <f>LOOKUP(2,1/(Lookups!$I$2:$I$11&lt;=E454)/(Lookups!$J$2:$J$11&gt;=E454),Lookups!$L$2:$L$11)</f>
        <v>#N/A</v>
      </c>
      <c r="AG454" s="142" t="str">
        <f t="shared" si="169"/>
        <v/>
      </c>
      <c r="AH454" s="142" t="str">
        <f t="shared" si="170"/>
        <v/>
      </c>
      <c r="AI454" s="143" t="b">
        <f t="shared" si="175"/>
        <v>0</v>
      </c>
      <c r="AJ454" s="143" t="str">
        <f t="shared" si="171"/>
        <v>Level 1</v>
      </c>
      <c r="AK454" s="142">
        <f t="shared" si="172"/>
        <v>0</v>
      </c>
      <c r="AL454" s="157" t="str">
        <f t="shared" si="180"/>
        <v/>
      </c>
      <c r="AM454" s="144" t="str">
        <f t="shared" si="181"/>
        <v>--FALSE-0</v>
      </c>
      <c r="AN454" s="158" t="str">
        <f t="shared" si="176"/>
        <v/>
      </c>
      <c r="AO454" s="145"/>
      <c r="AP454" s="159" t="str">
        <f>IF($AN454=FALSE,"",IFERROR(INDEX('Flat Rates'!$A$1:$M$3880,MATCH($AM454,'Flat Rates'!$A$1:$A$3880,0),MATCH("Standing Charge",'Flat Rates'!$A$1:$M$1,0))*100,""))</f>
        <v/>
      </c>
      <c r="AQ454" s="148" t="str">
        <f>IF($AN454=FALSE,"",IFERROR((IF(NOT(T454="Unrestricted"),"",INDEX('Flat Rates'!$A$1:$M$3880,MATCH($AM454,'Flat Rates'!$A$1:$A$3880,0),MATCH("Uni/Day Rate",'Flat Rates'!$A$1:$M$1,0)))*100)+H454,""))</f>
        <v/>
      </c>
      <c r="AR454" s="148" t="str">
        <f>IF($AN454=FALSE,"",IFERROR((IF(T454="Unrestricted","",INDEX('Flat Rates'!$A$1:$M$3880,MATCH($AM454,'Flat Rates'!$A$1:$A$3880,0),MATCH("Uni/Day Rate",'Flat Rates'!$A$1:$M$1,0)))*100)+H454,""))</f>
        <v/>
      </c>
      <c r="AS454" s="148" t="str">
        <f>IF($AN454=FALSE,"",IFERROR(IF(INDEX('Flat Rates'!$A$1:$M$3880,MATCH($AM454,'Flat Rates'!$A$1:$A$3880,0),MATCH("Night Unit Rate",'Flat Rates'!$A$1:$M$1,0))=0,"",((INDEX('Flat Rates'!$A$1:$M$3880,MATCH($AM454,'Flat Rates'!$A$1:$A$3880,0),MATCH("Night Unit Rate",'Flat Rates'!$A$1:$M$1,0)))*100)+H454),""))</f>
        <v/>
      </c>
      <c r="AT454" s="148" t="str">
        <f>IF($AN454=FALSE,"",IFERROR(IF(INDEX('Flat Rates'!$A$1:$M$3880,MATCH($AM454,'Flat Rates'!$A$1:$A$3880,0),MATCH("Evening and Weekend Rate",'Flat Rates'!$A$1:$M$1,0))=0,"",((INDEX('Flat Rates'!$A$1:$M$3880,MATCH($AM454,'Flat Rates'!$A$1:$A$3880,0),MATCH("Evening and Weekend Rate",'Flat Rates'!$A$1:$M$1,0)))*100)+H454),""))</f>
        <v/>
      </c>
      <c r="AU454" s="152" t="str">
        <f t="shared" si="177"/>
        <v/>
      </c>
      <c r="AV454" s="152" t="str">
        <f t="shared" si="178"/>
        <v/>
      </c>
      <c r="AW454" s="152" t="str">
        <f t="shared" si="179"/>
        <v/>
      </c>
    </row>
    <row r="455" spans="2:49" ht="15" thickBot="1" x14ac:dyDescent="0.35">
      <c r="B455" s="138" t="str">
        <f t="shared" si="156"/>
        <v/>
      </c>
      <c r="C455" s="137"/>
      <c r="D455" s="139"/>
      <c r="E455" s="140"/>
      <c r="F455" s="140"/>
      <c r="G455" s="139"/>
      <c r="H455" s="151"/>
      <c r="I455" s="139"/>
      <c r="J455" s="138"/>
      <c r="K455" s="139"/>
      <c r="L455" s="141"/>
      <c r="M455" s="133" t="str">
        <f t="shared" si="157"/>
        <v/>
      </c>
      <c r="N455" s="133" t="str">
        <f t="shared" si="158"/>
        <v/>
      </c>
      <c r="O455" s="133" t="str">
        <f t="shared" si="159"/>
        <v/>
      </c>
      <c r="P455" s="133" t="str">
        <f t="shared" si="160"/>
        <v/>
      </c>
      <c r="Q455" s="133" t="str">
        <f t="shared" si="161"/>
        <v/>
      </c>
      <c r="R455" s="133" t="str">
        <f t="shared" si="162"/>
        <v/>
      </c>
      <c r="S455" s="133" t="str">
        <f t="shared" si="163"/>
        <v/>
      </c>
      <c r="T455" s="133" t="str">
        <f>IFERROR(IF($U455="ERROR","ERROR",IF($N455="00",IF(J455="1-Rate","HH 1RATE",IF(J455="2-Rate","HH 2RATE","")),IFERROR(VLOOKUP(CONCATENATE(N455,Q455,O455,P455),Lookups!$A$2:$E$4557,5,0),VLOOKUP(CONCATENATE(N455,Q455,O455),Lookups!$A$2:$E$4557,5,0)))),"ERROR")</f>
        <v>ERROR</v>
      </c>
      <c r="U455" s="133" t="str">
        <f>IFERROR(IF(NOT($N455="00"),"",VLOOKUP(CONCATENATE(Q455,P455,LOOKUP(2,1/(Lookups!$I$2:$I$11&lt;=E455)/(Lookups!$J$2:$J$11&gt;=Tool!$C$14),Lookups!$K$2:$K$11)),'HH LLFs'!$A$2:$K$500,3,0)),"ERROR")</f>
        <v/>
      </c>
      <c r="V455" s="132">
        <f>Calcs!$I$2</f>
        <v>44377</v>
      </c>
      <c r="W455" s="132">
        <f>Calcs!$I$4</f>
        <v>44592</v>
      </c>
      <c r="X455" s="153" t="str">
        <f>IF(NOT(N455="00"),"",(VLOOKUP(CONCATENATE(Q455,P455,LOOKUP(2,1/(Lookups!$I$2:$I$11&lt;=Multisite!E455)/(Lookups!$J$2:$J$11&gt;=E455),Lookups!$K$2:$K$11)),'HH LLFs'!$A$2:$F$282,6,0)*365)/12)</f>
        <v/>
      </c>
      <c r="Y455" s="153">
        <f t="shared" si="164"/>
        <v>0</v>
      </c>
      <c r="Z455" s="153" t="str">
        <f t="shared" si="173"/>
        <v/>
      </c>
      <c r="AA455" s="153" t="str">
        <f t="shared" si="165"/>
        <v/>
      </c>
      <c r="AB455" s="153" t="str">
        <f t="shared" si="174"/>
        <v/>
      </c>
      <c r="AC455" s="153" t="str">
        <f t="shared" si="166"/>
        <v/>
      </c>
      <c r="AD455" s="153" t="str">
        <f t="shared" si="167"/>
        <v/>
      </c>
      <c r="AE455" s="153" t="str">
        <f t="shared" si="168"/>
        <v/>
      </c>
      <c r="AF455" s="155" t="e">
        <f>LOOKUP(2,1/(Lookups!$I$2:$I$11&lt;=E455)/(Lookups!$J$2:$J$11&gt;=E455),Lookups!$L$2:$L$11)</f>
        <v>#N/A</v>
      </c>
      <c r="AG455" s="142" t="str">
        <f t="shared" si="169"/>
        <v/>
      </c>
      <c r="AH455" s="142" t="str">
        <f t="shared" si="170"/>
        <v/>
      </c>
      <c r="AI455" s="143" t="b">
        <f t="shared" si="175"/>
        <v>0</v>
      </c>
      <c r="AJ455" s="143" t="str">
        <f t="shared" si="171"/>
        <v>Level 1</v>
      </c>
      <c r="AK455" s="142">
        <f t="shared" si="172"/>
        <v>0</v>
      </c>
      <c r="AL455" s="157" t="str">
        <f t="shared" si="180"/>
        <v/>
      </c>
      <c r="AM455" s="144" t="str">
        <f t="shared" si="181"/>
        <v>--FALSE-0</v>
      </c>
      <c r="AN455" s="158" t="str">
        <f t="shared" si="176"/>
        <v/>
      </c>
      <c r="AO455" s="145"/>
      <c r="AP455" s="159" t="str">
        <f>IF($AN455=FALSE,"",IFERROR(INDEX('Flat Rates'!$A$1:$M$3880,MATCH($AM455,'Flat Rates'!$A$1:$A$3880,0),MATCH("Standing Charge",'Flat Rates'!$A$1:$M$1,0))*100,""))</f>
        <v/>
      </c>
      <c r="AQ455" s="148" t="str">
        <f>IF($AN455=FALSE,"",IFERROR((IF(NOT(T455="Unrestricted"),"",INDEX('Flat Rates'!$A$1:$M$3880,MATCH($AM455,'Flat Rates'!$A$1:$A$3880,0),MATCH("Uni/Day Rate",'Flat Rates'!$A$1:$M$1,0)))*100)+H455,""))</f>
        <v/>
      </c>
      <c r="AR455" s="148" t="str">
        <f>IF($AN455=FALSE,"",IFERROR((IF(T455="Unrestricted","",INDEX('Flat Rates'!$A$1:$M$3880,MATCH($AM455,'Flat Rates'!$A$1:$A$3880,0),MATCH("Uni/Day Rate",'Flat Rates'!$A$1:$M$1,0)))*100)+H455,""))</f>
        <v/>
      </c>
      <c r="AS455" s="148" t="str">
        <f>IF($AN455=FALSE,"",IFERROR(IF(INDEX('Flat Rates'!$A$1:$M$3880,MATCH($AM455,'Flat Rates'!$A$1:$A$3880,0),MATCH("Night Unit Rate",'Flat Rates'!$A$1:$M$1,0))=0,"",((INDEX('Flat Rates'!$A$1:$M$3880,MATCH($AM455,'Flat Rates'!$A$1:$A$3880,0),MATCH("Night Unit Rate",'Flat Rates'!$A$1:$M$1,0)))*100)+H455),""))</f>
        <v/>
      </c>
      <c r="AT455" s="148" t="str">
        <f>IF($AN455=FALSE,"",IFERROR(IF(INDEX('Flat Rates'!$A$1:$M$3880,MATCH($AM455,'Flat Rates'!$A$1:$A$3880,0),MATCH("Evening and Weekend Rate",'Flat Rates'!$A$1:$M$1,0))=0,"",((INDEX('Flat Rates'!$A$1:$M$3880,MATCH($AM455,'Flat Rates'!$A$1:$A$3880,0),MATCH("Evening and Weekend Rate",'Flat Rates'!$A$1:$M$1,0)))*100)+H455),""))</f>
        <v/>
      </c>
      <c r="AU455" s="152" t="str">
        <f t="shared" si="177"/>
        <v/>
      </c>
      <c r="AV455" s="152" t="str">
        <f t="shared" si="178"/>
        <v/>
      </c>
      <c r="AW455" s="152" t="str">
        <f t="shared" si="179"/>
        <v/>
      </c>
    </row>
    <row r="456" spans="2:49" ht="15" thickBot="1" x14ac:dyDescent="0.35">
      <c r="B456" s="138" t="str">
        <f t="shared" si="156"/>
        <v/>
      </c>
      <c r="C456" s="146"/>
      <c r="D456" s="147"/>
      <c r="E456" s="140"/>
      <c r="F456" s="140"/>
      <c r="G456" s="139"/>
      <c r="H456" s="151"/>
      <c r="I456" s="139"/>
      <c r="J456" s="137"/>
      <c r="K456" s="139"/>
      <c r="L456" s="141"/>
      <c r="M456" s="133" t="str">
        <f t="shared" si="157"/>
        <v/>
      </c>
      <c r="N456" s="133" t="str">
        <f t="shared" si="158"/>
        <v/>
      </c>
      <c r="O456" s="133" t="str">
        <f t="shared" si="159"/>
        <v/>
      </c>
      <c r="P456" s="133" t="str">
        <f t="shared" si="160"/>
        <v/>
      </c>
      <c r="Q456" s="133" t="str">
        <f t="shared" si="161"/>
        <v/>
      </c>
      <c r="R456" s="133" t="str">
        <f t="shared" si="162"/>
        <v/>
      </c>
      <c r="S456" s="133" t="str">
        <f t="shared" si="163"/>
        <v/>
      </c>
      <c r="T456" s="133" t="str">
        <f>IFERROR(IF($U456="ERROR","ERROR",IF($N456="00",IF(J456="1-Rate","HH 1RATE",IF(J456="2-Rate","HH 2RATE","")),IFERROR(VLOOKUP(CONCATENATE(N456,Q456,O456,P456),Lookups!$A$2:$E$4557,5,0),VLOOKUP(CONCATENATE(N456,Q456,O456),Lookups!$A$2:$E$4557,5,0)))),"ERROR")</f>
        <v>ERROR</v>
      </c>
      <c r="U456" s="133" t="str">
        <f>IFERROR(IF(NOT($N456="00"),"",VLOOKUP(CONCATENATE(Q456,P456,LOOKUP(2,1/(Lookups!$I$2:$I$11&lt;=E456)/(Lookups!$J$2:$J$11&gt;=Tool!$C$14),Lookups!$K$2:$K$11)),'HH LLFs'!$A$2:$K$500,3,0)),"ERROR")</f>
        <v/>
      </c>
      <c r="V456" s="132">
        <f>Calcs!$I$2</f>
        <v>44377</v>
      </c>
      <c r="W456" s="132">
        <f>Calcs!$I$4</f>
        <v>44592</v>
      </c>
      <c r="X456" s="153" t="str">
        <f>IF(NOT(N456="00"),"",(VLOOKUP(CONCATENATE(Q456,P456,LOOKUP(2,1/(Lookups!$I$2:$I$11&lt;=Multisite!E456)/(Lookups!$J$2:$J$11&gt;=E456),Lookups!$K$2:$K$11)),'HH LLFs'!$A$2:$F$282,6,0)*365)/12)</f>
        <v/>
      </c>
      <c r="Y456" s="153">
        <f t="shared" si="164"/>
        <v>0</v>
      </c>
      <c r="Z456" s="153" t="str">
        <f t="shared" si="173"/>
        <v/>
      </c>
      <c r="AA456" s="153" t="str">
        <f t="shared" si="165"/>
        <v/>
      </c>
      <c r="AB456" s="153" t="str">
        <f t="shared" si="174"/>
        <v/>
      </c>
      <c r="AC456" s="153" t="str">
        <f t="shared" si="166"/>
        <v/>
      </c>
      <c r="AD456" s="153" t="str">
        <f t="shared" si="167"/>
        <v/>
      </c>
      <c r="AE456" s="153" t="str">
        <f t="shared" si="168"/>
        <v/>
      </c>
      <c r="AF456" s="155" t="e">
        <f>LOOKUP(2,1/(Lookups!$I$2:$I$11&lt;=E456)/(Lookups!$J$2:$J$11&gt;=E456),Lookups!$L$2:$L$11)</f>
        <v>#N/A</v>
      </c>
      <c r="AG456" s="142" t="str">
        <f t="shared" si="169"/>
        <v/>
      </c>
      <c r="AH456" s="142" t="str">
        <f t="shared" si="170"/>
        <v/>
      </c>
      <c r="AI456" s="143" t="b">
        <f t="shared" si="175"/>
        <v>0</v>
      </c>
      <c r="AJ456" s="143" t="str">
        <f t="shared" si="171"/>
        <v>Level 1</v>
      </c>
      <c r="AK456" s="142">
        <f t="shared" si="172"/>
        <v>0</v>
      </c>
      <c r="AL456" s="157" t="str">
        <f t="shared" si="180"/>
        <v/>
      </c>
      <c r="AM456" s="144" t="str">
        <f t="shared" si="181"/>
        <v>--FALSE-0</v>
      </c>
      <c r="AN456" s="158" t="str">
        <f t="shared" si="176"/>
        <v/>
      </c>
      <c r="AO456" s="145"/>
      <c r="AP456" s="159" t="str">
        <f>IF($AN456=FALSE,"",IFERROR(INDEX('Flat Rates'!$A$1:$M$3880,MATCH($AM456,'Flat Rates'!$A$1:$A$3880,0),MATCH("Standing Charge",'Flat Rates'!$A$1:$M$1,0))*100,""))</f>
        <v/>
      </c>
      <c r="AQ456" s="148" t="str">
        <f>IF($AN456=FALSE,"",IFERROR((IF(NOT(T456="Unrestricted"),"",INDEX('Flat Rates'!$A$1:$M$3880,MATCH($AM456,'Flat Rates'!$A$1:$A$3880,0),MATCH("Uni/Day Rate",'Flat Rates'!$A$1:$M$1,0)))*100)+H456,""))</f>
        <v/>
      </c>
      <c r="AR456" s="148" t="str">
        <f>IF($AN456=FALSE,"",IFERROR((IF(T456="Unrestricted","",INDEX('Flat Rates'!$A$1:$M$3880,MATCH($AM456,'Flat Rates'!$A$1:$A$3880,0),MATCH("Uni/Day Rate",'Flat Rates'!$A$1:$M$1,0)))*100)+H456,""))</f>
        <v/>
      </c>
      <c r="AS456" s="148" t="str">
        <f>IF($AN456=FALSE,"",IFERROR(IF(INDEX('Flat Rates'!$A$1:$M$3880,MATCH($AM456,'Flat Rates'!$A$1:$A$3880,0),MATCH("Night Unit Rate",'Flat Rates'!$A$1:$M$1,0))=0,"",((INDEX('Flat Rates'!$A$1:$M$3880,MATCH($AM456,'Flat Rates'!$A$1:$A$3880,0),MATCH("Night Unit Rate",'Flat Rates'!$A$1:$M$1,0)))*100)+H456),""))</f>
        <v/>
      </c>
      <c r="AT456" s="148" t="str">
        <f>IF($AN456=FALSE,"",IFERROR(IF(INDEX('Flat Rates'!$A$1:$M$3880,MATCH($AM456,'Flat Rates'!$A$1:$A$3880,0),MATCH("Evening and Weekend Rate",'Flat Rates'!$A$1:$M$1,0))=0,"",((INDEX('Flat Rates'!$A$1:$M$3880,MATCH($AM456,'Flat Rates'!$A$1:$A$3880,0),MATCH("Evening and Weekend Rate",'Flat Rates'!$A$1:$M$1,0)))*100)+H456),""))</f>
        <v/>
      </c>
      <c r="AU456" s="152" t="str">
        <f t="shared" si="177"/>
        <v/>
      </c>
      <c r="AV456" s="152" t="str">
        <f t="shared" si="178"/>
        <v/>
      </c>
      <c r="AW456" s="152" t="str">
        <f t="shared" si="179"/>
        <v/>
      </c>
    </row>
    <row r="457" spans="2:49" ht="15" thickBot="1" x14ac:dyDescent="0.35">
      <c r="B457" s="138" t="str">
        <f t="shared" si="156"/>
        <v/>
      </c>
      <c r="C457" s="137"/>
      <c r="D457" s="139"/>
      <c r="E457" s="140"/>
      <c r="F457" s="140"/>
      <c r="G457" s="139"/>
      <c r="H457" s="151"/>
      <c r="I457" s="139"/>
      <c r="J457" s="138"/>
      <c r="K457" s="139"/>
      <c r="L457" s="141"/>
      <c r="M457" s="133" t="str">
        <f t="shared" si="157"/>
        <v/>
      </c>
      <c r="N457" s="133" t="str">
        <f t="shared" si="158"/>
        <v/>
      </c>
      <c r="O457" s="133" t="str">
        <f t="shared" si="159"/>
        <v/>
      </c>
      <c r="P457" s="133" t="str">
        <f t="shared" si="160"/>
        <v/>
      </c>
      <c r="Q457" s="133" t="str">
        <f t="shared" si="161"/>
        <v/>
      </c>
      <c r="R457" s="133" t="str">
        <f t="shared" si="162"/>
        <v/>
      </c>
      <c r="S457" s="133" t="str">
        <f t="shared" si="163"/>
        <v/>
      </c>
      <c r="T457" s="133" t="str">
        <f>IFERROR(IF($U457="ERROR","ERROR",IF($N457="00",IF(J457="1-Rate","HH 1RATE",IF(J457="2-Rate","HH 2RATE","")),IFERROR(VLOOKUP(CONCATENATE(N457,Q457,O457,P457),Lookups!$A$2:$E$4557,5,0),VLOOKUP(CONCATENATE(N457,Q457,O457),Lookups!$A$2:$E$4557,5,0)))),"ERROR")</f>
        <v>ERROR</v>
      </c>
      <c r="U457" s="133" t="str">
        <f>IFERROR(IF(NOT($N457="00"),"",VLOOKUP(CONCATENATE(Q457,P457,LOOKUP(2,1/(Lookups!$I$2:$I$11&lt;=E457)/(Lookups!$J$2:$J$11&gt;=Tool!$C$14),Lookups!$K$2:$K$11)),'HH LLFs'!$A$2:$K$500,3,0)),"ERROR")</f>
        <v/>
      </c>
      <c r="V457" s="132">
        <f>Calcs!$I$2</f>
        <v>44377</v>
      </c>
      <c r="W457" s="132">
        <f>Calcs!$I$4</f>
        <v>44592</v>
      </c>
      <c r="X457" s="153" t="str">
        <f>IF(NOT(N457="00"),"",(VLOOKUP(CONCATENATE(Q457,P457,LOOKUP(2,1/(Lookups!$I$2:$I$11&lt;=Multisite!E457)/(Lookups!$J$2:$J$11&gt;=E457),Lookups!$K$2:$K$11)),'HH LLFs'!$A$2:$F$282,6,0)*365)/12)</f>
        <v/>
      </c>
      <c r="Y457" s="153">
        <f t="shared" si="164"/>
        <v>0</v>
      </c>
      <c r="Z457" s="153" t="str">
        <f t="shared" si="173"/>
        <v/>
      </c>
      <c r="AA457" s="153" t="str">
        <f t="shared" si="165"/>
        <v/>
      </c>
      <c r="AB457" s="153" t="str">
        <f t="shared" si="174"/>
        <v/>
      </c>
      <c r="AC457" s="153" t="str">
        <f t="shared" si="166"/>
        <v/>
      </c>
      <c r="AD457" s="153" t="str">
        <f t="shared" si="167"/>
        <v/>
      </c>
      <c r="AE457" s="153" t="str">
        <f t="shared" si="168"/>
        <v/>
      </c>
      <c r="AF457" s="155" t="e">
        <f>LOOKUP(2,1/(Lookups!$I$2:$I$11&lt;=E457)/(Lookups!$J$2:$J$11&gt;=E457),Lookups!$L$2:$L$11)</f>
        <v>#N/A</v>
      </c>
      <c r="AG457" s="142" t="str">
        <f t="shared" si="169"/>
        <v/>
      </c>
      <c r="AH457" s="142" t="str">
        <f t="shared" si="170"/>
        <v/>
      </c>
      <c r="AI457" s="143" t="b">
        <f t="shared" si="175"/>
        <v>0</v>
      </c>
      <c r="AJ457" s="143" t="str">
        <f t="shared" si="171"/>
        <v>Level 1</v>
      </c>
      <c r="AK457" s="142">
        <f t="shared" si="172"/>
        <v>0</v>
      </c>
      <c r="AL457" s="157" t="str">
        <f t="shared" si="180"/>
        <v/>
      </c>
      <c r="AM457" s="144" t="str">
        <f t="shared" si="181"/>
        <v>--FALSE-0</v>
      </c>
      <c r="AN457" s="158" t="str">
        <f t="shared" si="176"/>
        <v/>
      </c>
      <c r="AO457" s="145"/>
      <c r="AP457" s="159" t="str">
        <f>IF($AN457=FALSE,"",IFERROR(INDEX('Flat Rates'!$A$1:$M$3880,MATCH($AM457,'Flat Rates'!$A$1:$A$3880,0),MATCH("Standing Charge",'Flat Rates'!$A$1:$M$1,0))*100,""))</f>
        <v/>
      </c>
      <c r="AQ457" s="148" t="str">
        <f>IF($AN457=FALSE,"",IFERROR((IF(NOT(T457="Unrestricted"),"",INDEX('Flat Rates'!$A$1:$M$3880,MATCH($AM457,'Flat Rates'!$A$1:$A$3880,0),MATCH("Uni/Day Rate",'Flat Rates'!$A$1:$M$1,0)))*100)+H457,""))</f>
        <v/>
      </c>
      <c r="AR457" s="148" t="str">
        <f>IF($AN457=FALSE,"",IFERROR((IF(T457="Unrestricted","",INDEX('Flat Rates'!$A$1:$M$3880,MATCH($AM457,'Flat Rates'!$A$1:$A$3880,0),MATCH("Uni/Day Rate",'Flat Rates'!$A$1:$M$1,0)))*100)+H457,""))</f>
        <v/>
      </c>
      <c r="AS457" s="148" t="str">
        <f>IF($AN457=FALSE,"",IFERROR(IF(INDEX('Flat Rates'!$A$1:$M$3880,MATCH($AM457,'Flat Rates'!$A$1:$A$3880,0),MATCH("Night Unit Rate",'Flat Rates'!$A$1:$M$1,0))=0,"",((INDEX('Flat Rates'!$A$1:$M$3880,MATCH($AM457,'Flat Rates'!$A$1:$A$3880,0),MATCH("Night Unit Rate",'Flat Rates'!$A$1:$M$1,0)))*100)+H457),""))</f>
        <v/>
      </c>
      <c r="AT457" s="148" t="str">
        <f>IF($AN457=FALSE,"",IFERROR(IF(INDEX('Flat Rates'!$A$1:$M$3880,MATCH($AM457,'Flat Rates'!$A$1:$A$3880,0),MATCH("Evening and Weekend Rate",'Flat Rates'!$A$1:$M$1,0))=0,"",((INDEX('Flat Rates'!$A$1:$M$3880,MATCH($AM457,'Flat Rates'!$A$1:$A$3880,0),MATCH("Evening and Weekend Rate",'Flat Rates'!$A$1:$M$1,0)))*100)+H457),""))</f>
        <v/>
      </c>
      <c r="AU457" s="152" t="str">
        <f t="shared" si="177"/>
        <v/>
      </c>
      <c r="AV457" s="152" t="str">
        <f t="shared" si="178"/>
        <v/>
      </c>
      <c r="AW457" s="152" t="str">
        <f t="shared" si="179"/>
        <v/>
      </c>
    </row>
    <row r="458" spans="2:49" ht="15" thickBot="1" x14ac:dyDescent="0.35">
      <c r="B458" s="138" t="str">
        <f t="shared" si="156"/>
        <v/>
      </c>
      <c r="C458" s="146"/>
      <c r="D458" s="147"/>
      <c r="E458" s="140"/>
      <c r="F458" s="140"/>
      <c r="G458" s="139"/>
      <c r="H458" s="151"/>
      <c r="I458" s="139"/>
      <c r="J458" s="137"/>
      <c r="K458" s="139"/>
      <c r="L458" s="141"/>
      <c r="M458" s="133" t="str">
        <f t="shared" si="157"/>
        <v/>
      </c>
      <c r="N458" s="133" t="str">
        <f t="shared" si="158"/>
        <v/>
      </c>
      <c r="O458" s="133" t="str">
        <f t="shared" si="159"/>
        <v/>
      </c>
      <c r="P458" s="133" t="str">
        <f t="shared" si="160"/>
        <v/>
      </c>
      <c r="Q458" s="133" t="str">
        <f t="shared" si="161"/>
        <v/>
      </c>
      <c r="R458" s="133" t="str">
        <f t="shared" si="162"/>
        <v/>
      </c>
      <c r="S458" s="133" t="str">
        <f t="shared" si="163"/>
        <v/>
      </c>
      <c r="T458" s="133" t="str">
        <f>IFERROR(IF($U458="ERROR","ERROR",IF($N458="00",IF(J458="1-Rate","HH 1RATE",IF(J458="2-Rate","HH 2RATE","")),IFERROR(VLOOKUP(CONCATENATE(N458,Q458,O458,P458),Lookups!$A$2:$E$4557,5,0),VLOOKUP(CONCATENATE(N458,Q458,O458),Lookups!$A$2:$E$4557,5,0)))),"ERROR")</f>
        <v>ERROR</v>
      </c>
      <c r="U458" s="133" t="str">
        <f>IFERROR(IF(NOT($N458="00"),"",VLOOKUP(CONCATENATE(Q458,P458,LOOKUP(2,1/(Lookups!$I$2:$I$11&lt;=E458)/(Lookups!$J$2:$J$11&gt;=Tool!$C$14),Lookups!$K$2:$K$11)),'HH LLFs'!$A$2:$K$500,3,0)),"ERROR")</f>
        <v/>
      </c>
      <c r="V458" s="132">
        <f>Calcs!$I$2</f>
        <v>44377</v>
      </c>
      <c r="W458" s="132">
        <f>Calcs!$I$4</f>
        <v>44592</v>
      </c>
      <c r="X458" s="153" t="str">
        <f>IF(NOT(N458="00"),"",(VLOOKUP(CONCATENATE(Q458,P458,LOOKUP(2,1/(Lookups!$I$2:$I$11&lt;=Multisite!E458)/(Lookups!$J$2:$J$11&gt;=E458),Lookups!$K$2:$K$11)),'HH LLFs'!$A$2:$F$282,6,0)*365)/12)</f>
        <v/>
      </c>
      <c r="Y458" s="153">
        <f t="shared" si="164"/>
        <v>0</v>
      </c>
      <c r="Z458" s="153" t="str">
        <f t="shared" si="173"/>
        <v/>
      </c>
      <c r="AA458" s="153" t="str">
        <f t="shared" si="165"/>
        <v/>
      </c>
      <c r="AB458" s="153" t="str">
        <f t="shared" si="174"/>
        <v/>
      </c>
      <c r="AC458" s="153" t="str">
        <f t="shared" si="166"/>
        <v/>
      </c>
      <c r="AD458" s="153" t="str">
        <f t="shared" si="167"/>
        <v/>
      </c>
      <c r="AE458" s="153" t="str">
        <f t="shared" si="168"/>
        <v/>
      </c>
      <c r="AF458" s="155" t="e">
        <f>LOOKUP(2,1/(Lookups!$I$2:$I$11&lt;=E458)/(Lookups!$J$2:$J$11&gt;=E458),Lookups!$L$2:$L$11)</f>
        <v>#N/A</v>
      </c>
      <c r="AG458" s="142" t="str">
        <f t="shared" si="169"/>
        <v/>
      </c>
      <c r="AH458" s="142" t="str">
        <f t="shared" si="170"/>
        <v/>
      </c>
      <c r="AI458" s="143" t="b">
        <f t="shared" si="175"/>
        <v>0</v>
      </c>
      <c r="AJ458" s="143" t="str">
        <f t="shared" si="171"/>
        <v>Level 1</v>
      </c>
      <c r="AK458" s="142">
        <f t="shared" si="172"/>
        <v>0</v>
      </c>
      <c r="AL458" s="157" t="str">
        <f t="shared" si="180"/>
        <v/>
      </c>
      <c r="AM458" s="144" t="str">
        <f t="shared" si="181"/>
        <v>--FALSE-0</v>
      </c>
      <c r="AN458" s="158" t="str">
        <f t="shared" si="176"/>
        <v/>
      </c>
      <c r="AO458" s="145"/>
      <c r="AP458" s="159" t="str">
        <f>IF($AN458=FALSE,"",IFERROR(INDEX('Flat Rates'!$A$1:$M$3880,MATCH($AM458,'Flat Rates'!$A$1:$A$3880,0),MATCH("Standing Charge",'Flat Rates'!$A$1:$M$1,0))*100,""))</f>
        <v/>
      </c>
      <c r="AQ458" s="148" t="str">
        <f>IF($AN458=FALSE,"",IFERROR((IF(NOT(T458="Unrestricted"),"",INDEX('Flat Rates'!$A$1:$M$3880,MATCH($AM458,'Flat Rates'!$A$1:$A$3880,0),MATCH("Uni/Day Rate",'Flat Rates'!$A$1:$M$1,0)))*100)+H458,""))</f>
        <v/>
      </c>
      <c r="AR458" s="148" t="str">
        <f>IF($AN458=FALSE,"",IFERROR((IF(T458="Unrestricted","",INDEX('Flat Rates'!$A$1:$M$3880,MATCH($AM458,'Flat Rates'!$A$1:$A$3880,0),MATCH("Uni/Day Rate",'Flat Rates'!$A$1:$M$1,0)))*100)+H458,""))</f>
        <v/>
      </c>
      <c r="AS458" s="148" t="str">
        <f>IF($AN458=FALSE,"",IFERROR(IF(INDEX('Flat Rates'!$A$1:$M$3880,MATCH($AM458,'Flat Rates'!$A$1:$A$3880,0),MATCH("Night Unit Rate",'Flat Rates'!$A$1:$M$1,0))=0,"",((INDEX('Flat Rates'!$A$1:$M$3880,MATCH($AM458,'Flat Rates'!$A$1:$A$3880,0),MATCH("Night Unit Rate",'Flat Rates'!$A$1:$M$1,0)))*100)+H458),""))</f>
        <v/>
      </c>
      <c r="AT458" s="148" t="str">
        <f>IF($AN458=FALSE,"",IFERROR(IF(INDEX('Flat Rates'!$A$1:$M$3880,MATCH($AM458,'Flat Rates'!$A$1:$A$3880,0),MATCH("Evening and Weekend Rate",'Flat Rates'!$A$1:$M$1,0))=0,"",((INDEX('Flat Rates'!$A$1:$M$3880,MATCH($AM458,'Flat Rates'!$A$1:$A$3880,0),MATCH("Evening and Weekend Rate",'Flat Rates'!$A$1:$M$1,0)))*100)+H458),""))</f>
        <v/>
      </c>
      <c r="AU458" s="152" t="str">
        <f t="shared" si="177"/>
        <v/>
      </c>
      <c r="AV458" s="152" t="str">
        <f t="shared" si="178"/>
        <v/>
      </c>
      <c r="AW458" s="152" t="str">
        <f t="shared" si="179"/>
        <v/>
      </c>
    </row>
    <row r="459" spans="2:49" ht="15" thickBot="1" x14ac:dyDescent="0.35">
      <c r="B459" s="138" t="str">
        <f t="shared" si="156"/>
        <v/>
      </c>
      <c r="C459" s="137"/>
      <c r="D459" s="139"/>
      <c r="E459" s="140"/>
      <c r="F459" s="140"/>
      <c r="G459" s="139"/>
      <c r="H459" s="151"/>
      <c r="I459" s="139"/>
      <c r="J459" s="138"/>
      <c r="K459" s="139"/>
      <c r="L459" s="141"/>
      <c r="M459" s="133" t="str">
        <f t="shared" si="157"/>
        <v/>
      </c>
      <c r="N459" s="133" t="str">
        <f t="shared" si="158"/>
        <v/>
      </c>
      <c r="O459" s="133" t="str">
        <f t="shared" si="159"/>
        <v/>
      </c>
      <c r="P459" s="133" t="str">
        <f t="shared" si="160"/>
        <v/>
      </c>
      <c r="Q459" s="133" t="str">
        <f t="shared" si="161"/>
        <v/>
      </c>
      <c r="R459" s="133" t="str">
        <f t="shared" si="162"/>
        <v/>
      </c>
      <c r="S459" s="133" t="str">
        <f t="shared" si="163"/>
        <v/>
      </c>
      <c r="T459" s="133" t="str">
        <f>IFERROR(IF($U459="ERROR","ERROR",IF($N459="00",IF(J459="1-Rate","HH 1RATE",IF(J459="2-Rate","HH 2RATE","")),IFERROR(VLOOKUP(CONCATENATE(N459,Q459,O459,P459),Lookups!$A$2:$E$4557,5,0),VLOOKUP(CONCATENATE(N459,Q459,O459),Lookups!$A$2:$E$4557,5,0)))),"ERROR")</f>
        <v>ERROR</v>
      </c>
      <c r="U459" s="133" t="str">
        <f>IFERROR(IF(NOT($N459="00"),"",VLOOKUP(CONCATENATE(Q459,P459,LOOKUP(2,1/(Lookups!$I$2:$I$11&lt;=E459)/(Lookups!$J$2:$J$11&gt;=Tool!$C$14),Lookups!$K$2:$K$11)),'HH LLFs'!$A$2:$K$500,3,0)),"ERROR")</f>
        <v/>
      </c>
      <c r="V459" s="132">
        <f>Calcs!$I$2</f>
        <v>44377</v>
      </c>
      <c r="W459" s="132">
        <f>Calcs!$I$4</f>
        <v>44592</v>
      </c>
      <c r="X459" s="153" t="str">
        <f>IF(NOT(N459="00"),"",(VLOOKUP(CONCATENATE(Q459,P459,LOOKUP(2,1/(Lookups!$I$2:$I$11&lt;=Multisite!E459)/(Lookups!$J$2:$J$11&gt;=E459),Lookups!$K$2:$K$11)),'HH LLFs'!$A$2:$F$282,6,0)*365)/12)</f>
        <v/>
      </c>
      <c r="Y459" s="153">
        <f t="shared" si="164"/>
        <v>0</v>
      </c>
      <c r="Z459" s="153" t="str">
        <f t="shared" si="173"/>
        <v/>
      </c>
      <c r="AA459" s="153" t="str">
        <f t="shared" si="165"/>
        <v/>
      </c>
      <c r="AB459" s="153" t="str">
        <f t="shared" si="174"/>
        <v/>
      </c>
      <c r="AC459" s="153" t="str">
        <f t="shared" si="166"/>
        <v/>
      </c>
      <c r="AD459" s="153" t="str">
        <f t="shared" si="167"/>
        <v/>
      </c>
      <c r="AE459" s="153" t="str">
        <f t="shared" si="168"/>
        <v/>
      </c>
      <c r="AF459" s="155" t="e">
        <f>LOOKUP(2,1/(Lookups!$I$2:$I$11&lt;=E459)/(Lookups!$J$2:$J$11&gt;=E459),Lookups!$L$2:$L$11)</f>
        <v>#N/A</v>
      </c>
      <c r="AG459" s="142" t="str">
        <f t="shared" si="169"/>
        <v/>
      </c>
      <c r="AH459" s="142" t="str">
        <f t="shared" si="170"/>
        <v/>
      </c>
      <c r="AI459" s="143" t="b">
        <f t="shared" si="175"/>
        <v>0</v>
      </c>
      <c r="AJ459" s="143" t="str">
        <f t="shared" si="171"/>
        <v>Level 1</v>
      </c>
      <c r="AK459" s="142">
        <f t="shared" si="172"/>
        <v>0</v>
      </c>
      <c r="AL459" s="157" t="str">
        <f t="shared" si="180"/>
        <v/>
      </c>
      <c r="AM459" s="144" t="str">
        <f t="shared" si="181"/>
        <v>--FALSE-0</v>
      </c>
      <c r="AN459" s="158" t="str">
        <f t="shared" si="176"/>
        <v/>
      </c>
      <c r="AO459" s="145"/>
      <c r="AP459" s="159" t="str">
        <f>IF($AN459=FALSE,"",IFERROR(INDEX('Flat Rates'!$A$1:$M$3880,MATCH($AM459,'Flat Rates'!$A$1:$A$3880,0),MATCH("Standing Charge",'Flat Rates'!$A$1:$M$1,0))*100,""))</f>
        <v/>
      </c>
      <c r="AQ459" s="148" t="str">
        <f>IF($AN459=FALSE,"",IFERROR((IF(NOT(T459="Unrestricted"),"",INDEX('Flat Rates'!$A$1:$M$3880,MATCH($AM459,'Flat Rates'!$A$1:$A$3880,0),MATCH("Uni/Day Rate",'Flat Rates'!$A$1:$M$1,0)))*100)+H459,""))</f>
        <v/>
      </c>
      <c r="AR459" s="148" t="str">
        <f>IF($AN459=FALSE,"",IFERROR((IF(T459="Unrestricted","",INDEX('Flat Rates'!$A$1:$M$3880,MATCH($AM459,'Flat Rates'!$A$1:$A$3880,0),MATCH("Uni/Day Rate",'Flat Rates'!$A$1:$M$1,0)))*100)+H459,""))</f>
        <v/>
      </c>
      <c r="AS459" s="148" t="str">
        <f>IF($AN459=FALSE,"",IFERROR(IF(INDEX('Flat Rates'!$A$1:$M$3880,MATCH($AM459,'Flat Rates'!$A$1:$A$3880,0),MATCH("Night Unit Rate",'Flat Rates'!$A$1:$M$1,0))=0,"",((INDEX('Flat Rates'!$A$1:$M$3880,MATCH($AM459,'Flat Rates'!$A$1:$A$3880,0),MATCH("Night Unit Rate",'Flat Rates'!$A$1:$M$1,0)))*100)+H459),""))</f>
        <v/>
      </c>
      <c r="AT459" s="148" t="str">
        <f>IF($AN459=FALSE,"",IFERROR(IF(INDEX('Flat Rates'!$A$1:$M$3880,MATCH($AM459,'Flat Rates'!$A$1:$A$3880,0),MATCH("Evening and Weekend Rate",'Flat Rates'!$A$1:$M$1,0))=0,"",((INDEX('Flat Rates'!$A$1:$M$3880,MATCH($AM459,'Flat Rates'!$A$1:$A$3880,0),MATCH("Evening and Weekend Rate",'Flat Rates'!$A$1:$M$1,0)))*100)+H459),""))</f>
        <v/>
      </c>
      <c r="AU459" s="152" t="str">
        <f t="shared" si="177"/>
        <v/>
      </c>
      <c r="AV459" s="152" t="str">
        <f t="shared" si="178"/>
        <v/>
      </c>
      <c r="AW459" s="152" t="str">
        <f t="shared" si="179"/>
        <v/>
      </c>
    </row>
    <row r="460" spans="2:49" ht="15" thickBot="1" x14ac:dyDescent="0.35">
      <c r="B460" s="138" t="str">
        <f t="shared" si="156"/>
        <v/>
      </c>
      <c r="C460" s="146"/>
      <c r="D460" s="147"/>
      <c r="E460" s="140"/>
      <c r="F460" s="140"/>
      <c r="G460" s="139"/>
      <c r="H460" s="151"/>
      <c r="I460" s="139"/>
      <c r="J460" s="137"/>
      <c r="K460" s="139"/>
      <c r="L460" s="141"/>
      <c r="M460" s="133" t="str">
        <f t="shared" si="157"/>
        <v/>
      </c>
      <c r="N460" s="133" t="str">
        <f t="shared" si="158"/>
        <v/>
      </c>
      <c r="O460" s="133" t="str">
        <f t="shared" si="159"/>
        <v/>
      </c>
      <c r="P460" s="133" t="str">
        <f t="shared" si="160"/>
        <v/>
      </c>
      <c r="Q460" s="133" t="str">
        <f t="shared" si="161"/>
        <v/>
      </c>
      <c r="R460" s="133" t="str">
        <f t="shared" si="162"/>
        <v/>
      </c>
      <c r="S460" s="133" t="str">
        <f t="shared" si="163"/>
        <v/>
      </c>
      <c r="T460" s="133" t="str">
        <f>IFERROR(IF($U460="ERROR","ERROR",IF($N460="00",IF(J460="1-Rate","HH 1RATE",IF(J460="2-Rate","HH 2RATE","")),IFERROR(VLOOKUP(CONCATENATE(N460,Q460,O460,P460),Lookups!$A$2:$E$4557,5,0),VLOOKUP(CONCATENATE(N460,Q460,O460),Lookups!$A$2:$E$4557,5,0)))),"ERROR")</f>
        <v>ERROR</v>
      </c>
      <c r="U460" s="133" t="str">
        <f>IFERROR(IF(NOT($N460="00"),"",VLOOKUP(CONCATENATE(Q460,P460,LOOKUP(2,1/(Lookups!$I$2:$I$11&lt;=E460)/(Lookups!$J$2:$J$11&gt;=Tool!$C$14),Lookups!$K$2:$K$11)),'HH LLFs'!$A$2:$K$500,3,0)),"ERROR")</f>
        <v/>
      </c>
      <c r="V460" s="132">
        <f>Calcs!$I$2</f>
        <v>44377</v>
      </c>
      <c r="W460" s="132">
        <f>Calcs!$I$4</f>
        <v>44592</v>
      </c>
      <c r="X460" s="153" t="str">
        <f>IF(NOT(N460="00"),"",(VLOOKUP(CONCATENATE(Q460,P460,LOOKUP(2,1/(Lookups!$I$2:$I$11&lt;=Multisite!E460)/(Lookups!$J$2:$J$11&gt;=E460),Lookups!$K$2:$K$11)),'HH LLFs'!$A$2:$F$282,6,0)*365)/12)</f>
        <v/>
      </c>
      <c r="Y460" s="153">
        <f t="shared" si="164"/>
        <v>0</v>
      </c>
      <c r="Z460" s="153" t="str">
        <f t="shared" si="173"/>
        <v/>
      </c>
      <c r="AA460" s="153" t="str">
        <f t="shared" si="165"/>
        <v/>
      </c>
      <c r="AB460" s="153" t="str">
        <f t="shared" si="174"/>
        <v/>
      </c>
      <c r="AC460" s="153" t="str">
        <f t="shared" si="166"/>
        <v/>
      </c>
      <c r="AD460" s="153" t="str">
        <f t="shared" si="167"/>
        <v/>
      </c>
      <c r="AE460" s="153" t="str">
        <f t="shared" si="168"/>
        <v/>
      </c>
      <c r="AF460" s="155" t="e">
        <f>LOOKUP(2,1/(Lookups!$I$2:$I$11&lt;=E460)/(Lookups!$J$2:$J$11&gt;=E460),Lookups!$L$2:$L$11)</f>
        <v>#N/A</v>
      </c>
      <c r="AG460" s="142" t="str">
        <f t="shared" si="169"/>
        <v/>
      </c>
      <c r="AH460" s="142" t="str">
        <f t="shared" si="170"/>
        <v/>
      </c>
      <c r="AI460" s="143" t="b">
        <f t="shared" si="175"/>
        <v>0</v>
      </c>
      <c r="AJ460" s="143" t="str">
        <f t="shared" si="171"/>
        <v>Level 1</v>
      </c>
      <c r="AK460" s="142">
        <f t="shared" si="172"/>
        <v>0</v>
      </c>
      <c r="AL460" s="157" t="str">
        <f t="shared" si="180"/>
        <v/>
      </c>
      <c r="AM460" s="144" t="str">
        <f t="shared" si="181"/>
        <v>--FALSE-0</v>
      </c>
      <c r="AN460" s="158" t="str">
        <f t="shared" si="176"/>
        <v/>
      </c>
      <c r="AO460" s="145"/>
      <c r="AP460" s="159" t="str">
        <f>IF($AN460=FALSE,"",IFERROR(INDEX('Flat Rates'!$A$1:$M$3880,MATCH($AM460,'Flat Rates'!$A$1:$A$3880,0),MATCH("Standing Charge",'Flat Rates'!$A$1:$M$1,0))*100,""))</f>
        <v/>
      </c>
      <c r="AQ460" s="148" t="str">
        <f>IF($AN460=FALSE,"",IFERROR((IF(NOT(T460="Unrestricted"),"",INDEX('Flat Rates'!$A$1:$M$3880,MATCH($AM460,'Flat Rates'!$A$1:$A$3880,0),MATCH("Uni/Day Rate",'Flat Rates'!$A$1:$M$1,0)))*100)+H460,""))</f>
        <v/>
      </c>
      <c r="AR460" s="148" t="str">
        <f>IF($AN460=FALSE,"",IFERROR((IF(T460="Unrestricted","",INDEX('Flat Rates'!$A$1:$M$3880,MATCH($AM460,'Flat Rates'!$A$1:$A$3880,0),MATCH("Uni/Day Rate",'Flat Rates'!$A$1:$M$1,0)))*100)+H460,""))</f>
        <v/>
      </c>
      <c r="AS460" s="148" t="str">
        <f>IF($AN460=FALSE,"",IFERROR(IF(INDEX('Flat Rates'!$A$1:$M$3880,MATCH($AM460,'Flat Rates'!$A$1:$A$3880,0),MATCH("Night Unit Rate",'Flat Rates'!$A$1:$M$1,0))=0,"",((INDEX('Flat Rates'!$A$1:$M$3880,MATCH($AM460,'Flat Rates'!$A$1:$A$3880,0),MATCH("Night Unit Rate",'Flat Rates'!$A$1:$M$1,0)))*100)+H460),""))</f>
        <v/>
      </c>
      <c r="AT460" s="148" t="str">
        <f>IF($AN460=FALSE,"",IFERROR(IF(INDEX('Flat Rates'!$A$1:$M$3880,MATCH($AM460,'Flat Rates'!$A$1:$A$3880,0),MATCH("Evening and Weekend Rate",'Flat Rates'!$A$1:$M$1,0))=0,"",((INDEX('Flat Rates'!$A$1:$M$3880,MATCH($AM460,'Flat Rates'!$A$1:$A$3880,0),MATCH("Evening and Weekend Rate",'Flat Rates'!$A$1:$M$1,0)))*100)+H460),""))</f>
        <v/>
      </c>
      <c r="AU460" s="152" t="str">
        <f t="shared" si="177"/>
        <v/>
      </c>
      <c r="AV460" s="152" t="str">
        <f t="shared" si="178"/>
        <v/>
      </c>
      <c r="AW460" s="152" t="str">
        <f t="shared" si="179"/>
        <v/>
      </c>
    </row>
    <row r="461" spans="2:49" ht="15" thickBot="1" x14ac:dyDescent="0.35">
      <c r="B461" s="138" t="str">
        <f t="shared" si="156"/>
        <v/>
      </c>
      <c r="C461" s="137"/>
      <c r="D461" s="139"/>
      <c r="E461" s="140"/>
      <c r="F461" s="140"/>
      <c r="G461" s="139"/>
      <c r="H461" s="151"/>
      <c r="I461" s="139"/>
      <c r="J461" s="138"/>
      <c r="K461" s="139"/>
      <c r="L461" s="141"/>
      <c r="M461" s="133" t="str">
        <f t="shared" si="157"/>
        <v/>
      </c>
      <c r="N461" s="133" t="str">
        <f t="shared" si="158"/>
        <v/>
      </c>
      <c r="O461" s="133" t="str">
        <f t="shared" si="159"/>
        <v/>
      </c>
      <c r="P461" s="133" t="str">
        <f t="shared" si="160"/>
        <v/>
      </c>
      <c r="Q461" s="133" t="str">
        <f t="shared" si="161"/>
        <v/>
      </c>
      <c r="R461" s="133" t="str">
        <f t="shared" si="162"/>
        <v/>
      </c>
      <c r="S461" s="133" t="str">
        <f t="shared" si="163"/>
        <v/>
      </c>
      <c r="T461" s="133" t="str">
        <f>IFERROR(IF($U461="ERROR","ERROR",IF($N461="00",IF(J461="1-Rate","HH 1RATE",IF(J461="2-Rate","HH 2RATE","")),IFERROR(VLOOKUP(CONCATENATE(N461,Q461,O461,P461),Lookups!$A$2:$E$4557,5,0),VLOOKUP(CONCATENATE(N461,Q461,O461),Lookups!$A$2:$E$4557,5,0)))),"ERROR")</f>
        <v>ERROR</v>
      </c>
      <c r="U461" s="133" t="str">
        <f>IFERROR(IF(NOT($N461="00"),"",VLOOKUP(CONCATENATE(Q461,P461,LOOKUP(2,1/(Lookups!$I$2:$I$11&lt;=E461)/(Lookups!$J$2:$J$11&gt;=Tool!$C$14),Lookups!$K$2:$K$11)),'HH LLFs'!$A$2:$K$500,3,0)),"ERROR")</f>
        <v/>
      </c>
      <c r="V461" s="132">
        <f>Calcs!$I$2</f>
        <v>44377</v>
      </c>
      <c r="W461" s="132">
        <f>Calcs!$I$4</f>
        <v>44592</v>
      </c>
      <c r="X461" s="153" t="str">
        <f>IF(NOT(N461="00"),"",(VLOOKUP(CONCATENATE(Q461,P461,LOOKUP(2,1/(Lookups!$I$2:$I$11&lt;=Multisite!E461)/(Lookups!$J$2:$J$11&gt;=E461),Lookups!$K$2:$K$11)),'HH LLFs'!$A$2:$F$282,6,0)*365)/12)</f>
        <v/>
      </c>
      <c r="Y461" s="153">
        <f t="shared" si="164"/>
        <v>0</v>
      </c>
      <c r="Z461" s="153" t="str">
        <f t="shared" si="173"/>
        <v/>
      </c>
      <c r="AA461" s="153" t="str">
        <f t="shared" si="165"/>
        <v/>
      </c>
      <c r="AB461" s="153" t="str">
        <f t="shared" si="174"/>
        <v/>
      </c>
      <c r="AC461" s="153" t="str">
        <f t="shared" si="166"/>
        <v/>
      </c>
      <c r="AD461" s="153" t="str">
        <f t="shared" si="167"/>
        <v/>
      </c>
      <c r="AE461" s="153" t="str">
        <f t="shared" si="168"/>
        <v/>
      </c>
      <c r="AF461" s="155" t="e">
        <f>LOOKUP(2,1/(Lookups!$I$2:$I$11&lt;=E461)/(Lookups!$J$2:$J$11&gt;=E461),Lookups!$L$2:$L$11)</f>
        <v>#N/A</v>
      </c>
      <c r="AG461" s="142" t="str">
        <f t="shared" si="169"/>
        <v/>
      </c>
      <c r="AH461" s="142" t="str">
        <f t="shared" si="170"/>
        <v/>
      </c>
      <c r="AI461" s="143" t="b">
        <f t="shared" si="175"/>
        <v>0</v>
      </c>
      <c r="AJ461" s="143" t="str">
        <f t="shared" si="171"/>
        <v>Level 1</v>
      </c>
      <c r="AK461" s="142">
        <f t="shared" si="172"/>
        <v>0</v>
      </c>
      <c r="AL461" s="157" t="str">
        <f t="shared" si="180"/>
        <v/>
      </c>
      <c r="AM461" s="144" t="str">
        <f t="shared" si="181"/>
        <v>--FALSE-0</v>
      </c>
      <c r="AN461" s="158" t="str">
        <f t="shared" si="176"/>
        <v/>
      </c>
      <c r="AO461" s="145"/>
      <c r="AP461" s="159" t="str">
        <f>IF($AN461=FALSE,"",IFERROR(INDEX('Flat Rates'!$A$1:$M$3880,MATCH($AM461,'Flat Rates'!$A$1:$A$3880,0),MATCH("Standing Charge",'Flat Rates'!$A$1:$M$1,0))*100,""))</f>
        <v/>
      </c>
      <c r="AQ461" s="148" t="str">
        <f>IF($AN461=FALSE,"",IFERROR((IF(NOT(T461="Unrestricted"),"",INDEX('Flat Rates'!$A$1:$M$3880,MATCH($AM461,'Flat Rates'!$A$1:$A$3880,0),MATCH("Uni/Day Rate",'Flat Rates'!$A$1:$M$1,0)))*100)+H461,""))</f>
        <v/>
      </c>
      <c r="AR461" s="148" t="str">
        <f>IF($AN461=FALSE,"",IFERROR((IF(T461="Unrestricted","",INDEX('Flat Rates'!$A$1:$M$3880,MATCH($AM461,'Flat Rates'!$A$1:$A$3880,0),MATCH("Uni/Day Rate",'Flat Rates'!$A$1:$M$1,0)))*100)+H461,""))</f>
        <v/>
      </c>
      <c r="AS461" s="148" t="str">
        <f>IF($AN461=FALSE,"",IFERROR(IF(INDEX('Flat Rates'!$A$1:$M$3880,MATCH($AM461,'Flat Rates'!$A$1:$A$3880,0),MATCH("Night Unit Rate",'Flat Rates'!$A$1:$M$1,0))=0,"",((INDEX('Flat Rates'!$A$1:$M$3880,MATCH($AM461,'Flat Rates'!$A$1:$A$3880,0),MATCH("Night Unit Rate",'Flat Rates'!$A$1:$M$1,0)))*100)+H461),""))</f>
        <v/>
      </c>
      <c r="AT461" s="148" t="str">
        <f>IF($AN461=FALSE,"",IFERROR(IF(INDEX('Flat Rates'!$A$1:$M$3880,MATCH($AM461,'Flat Rates'!$A$1:$A$3880,0),MATCH("Evening and Weekend Rate",'Flat Rates'!$A$1:$M$1,0))=0,"",((INDEX('Flat Rates'!$A$1:$M$3880,MATCH($AM461,'Flat Rates'!$A$1:$A$3880,0),MATCH("Evening and Weekend Rate",'Flat Rates'!$A$1:$M$1,0)))*100)+H461),""))</f>
        <v/>
      </c>
      <c r="AU461" s="152" t="str">
        <f t="shared" si="177"/>
        <v/>
      </c>
      <c r="AV461" s="152" t="str">
        <f t="shared" si="178"/>
        <v/>
      </c>
      <c r="AW461" s="152" t="str">
        <f t="shared" si="179"/>
        <v/>
      </c>
    </row>
    <row r="462" spans="2:49" ht="15" thickBot="1" x14ac:dyDescent="0.35">
      <c r="B462" s="138" t="str">
        <f t="shared" si="156"/>
        <v/>
      </c>
      <c r="C462" s="146"/>
      <c r="D462" s="147"/>
      <c r="E462" s="140"/>
      <c r="F462" s="140"/>
      <c r="G462" s="139"/>
      <c r="H462" s="151"/>
      <c r="I462" s="139"/>
      <c r="J462" s="137"/>
      <c r="K462" s="139"/>
      <c r="L462" s="141"/>
      <c r="M462" s="133" t="str">
        <f t="shared" si="157"/>
        <v/>
      </c>
      <c r="N462" s="133" t="str">
        <f t="shared" si="158"/>
        <v/>
      </c>
      <c r="O462" s="133" t="str">
        <f t="shared" si="159"/>
        <v/>
      </c>
      <c r="P462" s="133" t="str">
        <f t="shared" si="160"/>
        <v/>
      </c>
      <c r="Q462" s="133" t="str">
        <f t="shared" si="161"/>
        <v/>
      </c>
      <c r="R462" s="133" t="str">
        <f t="shared" si="162"/>
        <v/>
      </c>
      <c r="S462" s="133" t="str">
        <f t="shared" si="163"/>
        <v/>
      </c>
      <c r="T462" s="133" t="str">
        <f>IFERROR(IF($U462="ERROR","ERROR",IF($N462="00",IF(J462="1-Rate","HH 1RATE",IF(J462="2-Rate","HH 2RATE","")),IFERROR(VLOOKUP(CONCATENATE(N462,Q462,O462,P462),Lookups!$A$2:$E$4557,5,0),VLOOKUP(CONCATENATE(N462,Q462,O462),Lookups!$A$2:$E$4557,5,0)))),"ERROR")</f>
        <v>ERROR</v>
      </c>
      <c r="U462" s="133" t="str">
        <f>IFERROR(IF(NOT($N462="00"),"",VLOOKUP(CONCATENATE(Q462,P462,LOOKUP(2,1/(Lookups!$I$2:$I$11&lt;=E462)/(Lookups!$J$2:$J$11&gt;=Tool!$C$14),Lookups!$K$2:$K$11)),'HH LLFs'!$A$2:$K$500,3,0)),"ERROR")</f>
        <v/>
      </c>
      <c r="V462" s="132">
        <f>Calcs!$I$2</f>
        <v>44377</v>
      </c>
      <c r="W462" s="132">
        <f>Calcs!$I$4</f>
        <v>44592</v>
      </c>
      <c r="X462" s="153" t="str">
        <f>IF(NOT(N462="00"),"",(VLOOKUP(CONCATENATE(Q462,P462,LOOKUP(2,1/(Lookups!$I$2:$I$11&lt;=Multisite!E462)/(Lookups!$J$2:$J$11&gt;=E462),Lookups!$K$2:$K$11)),'HH LLFs'!$A$2:$F$282,6,0)*365)/12)</f>
        <v/>
      </c>
      <c r="Y462" s="153">
        <f t="shared" si="164"/>
        <v>0</v>
      </c>
      <c r="Z462" s="153" t="str">
        <f t="shared" si="173"/>
        <v/>
      </c>
      <c r="AA462" s="153" t="str">
        <f t="shared" si="165"/>
        <v/>
      </c>
      <c r="AB462" s="153" t="str">
        <f t="shared" si="174"/>
        <v/>
      </c>
      <c r="AC462" s="153" t="str">
        <f t="shared" si="166"/>
        <v/>
      </c>
      <c r="AD462" s="153" t="str">
        <f t="shared" si="167"/>
        <v/>
      </c>
      <c r="AE462" s="153" t="str">
        <f t="shared" si="168"/>
        <v/>
      </c>
      <c r="AF462" s="155" t="e">
        <f>LOOKUP(2,1/(Lookups!$I$2:$I$11&lt;=E462)/(Lookups!$J$2:$J$11&gt;=E462),Lookups!$L$2:$L$11)</f>
        <v>#N/A</v>
      </c>
      <c r="AG462" s="142" t="str">
        <f t="shared" si="169"/>
        <v/>
      </c>
      <c r="AH462" s="142" t="str">
        <f t="shared" si="170"/>
        <v/>
      </c>
      <c r="AI462" s="143" t="b">
        <f t="shared" si="175"/>
        <v>0</v>
      </c>
      <c r="AJ462" s="143" t="str">
        <f t="shared" si="171"/>
        <v>Level 1</v>
      </c>
      <c r="AK462" s="142">
        <f t="shared" si="172"/>
        <v>0</v>
      </c>
      <c r="AL462" s="157" t="str">
        <f t="shared" si="180"/>
        <v/>
      </c>
      <c r="AM462" s="144" t="str">
        <f t="shared" si="181"/>
        <v>--FALSE-0</v>
      </c>
      <c r="AN462" s="158" t="str">
        <f t="shared" si="176"/>
        <v/>
      </c>
      <c r="AO462" s="145"/>
      <c r="AP462" s="159" t="str">
        <f>IF($AN462=FALSE,"",IFERROR(INDEX('Flat Rates'!$A$1:$M$3880,MATCH($AM462,'Flat Rates'!$A$1:$A$3880,0),MATCH("Standing Charge",'Flat Rates'!$A$1:$M$1,0))*100,""))</f>
        <v/>
      </c>
      <c r="AQ462" s="148" t="str">
        <f>IF($AN462=FALSE,"",IFERROR((IF(NOT(T462="Unrestricted"),"",INDEX('Flat Rates'!$A$1:$M$3880,MATCH($AM462,'Flat Rates'!$A$1:$A$3880,0),MATCH("Uni/Day Rate",'Flat Rates'!$A$1:$M$1,0)))*100)+H462,""))</f>
        <v/>
      </c>
      <c r="AR462" s="148" t="str">
        <f>IF($AN462=FALSE,"",IFERROR((IF(T462="Unrestricted","",INDEX('Flat Rates'!$A$1:$M$3880,MATCH($AM462,'Flat Rates'!$A$1:$A$3880,0),MATCH("Uni/Day Rate",'Flat Rates'!$A$1:$M$1,0)))*100)+H462,""))</f>
        <v/>
      </c>
      <c r="AS462" s="148" t="str">
        <f>IF($AN462=FALSE,"",IFERROR(IF(INDEX('Flat Rates'!$A$1:$M$3880,MATCH($AM462,'Flat Rates'!$A$1:$A$3880,0),MATCH("Night Unit Rate",'Flat Rates'!$A$1:$M$1,0))=0,"",((INDEX('Flat Rates'!$A$1:$M$3880,MATCH($AM462,'Flat Rates'!$A$1:$A$3880,0),MATCH("Night Unit Rate",'Flat Rates'!$A$1:$M$1,0)))*100)+H462),""))</f>
        <v/>
      </c>
      <c r="AT462" s="148" t="str">
        <f>IF($AN462=FALSE,"",IFERROR(IF(INDEX('Flat Rates'!$A$1:$M$3880,MATCH($AM462,'Flat Rates'!$A$1:$A$3880,0),MATCH("Evening and Weekend Rate",'Flat Rates'!$A$1:$M$1,0))=0,"",((INDEX('Flat Rates'!$A$1:$M$3880,MATCH($AM462,'Flat Rates'!$A$1:$A$3880,0),MATCH("Evening and Weekend Rate",'Flat Rates'!$A$1:$M$1,0)))*100)+H462),""))</f>
        <v/>
      </c>
      <c r="AU462" s="152" t="str">
        <f t="shared" si="177"/>
        <v/>
      </c>
      <c r="AV462" s="152" t="str">
        <f t="shared" si="178"/>
        <v/>
      </c>
      <c r="AW462" s="152" t="str">
        <f t="shared" si="179"/>
        <v/>
      </c>
    </row>
    <row r="463" spans="2:49" ht="15" thickBot="1" x14ac:dyDescent="0.35">
      <c r="B463" s="138" t="str">
        <f t="shared" si="156"/>
        <v/>
      </c>
      <c r="C463" s="137"/>
      <c r="D463" s="139"/>
      <c r="E463" s="140"/>
      <c r="F463" s="140"/>
      <c r="G463" s="139"/>
      <c r="H463" s="151"/>
      <c r="I463" s="139"/>
      <c r="J463" s="138"/>
      <c r="K463" s="139"/>
      <c r="L463" s="141"/>
      <c r="M463" s="133" t="str">
        <f t="shared" si="157"/>
        <v/>
      </c>
      <c r="N463" s="133" t="str">
        <f t="shared" si="158"/>
        <v/>
      </c>
      <c r="O463" s="133" t="str">
        <f t="shared" si="159"/>
        <v/>
      </c>
      <c r="P463" s="133" t="str">
        <f t="shared" si="160"/>
        <v/>
      </c>
      <c r="Q463" s="133" t="str">
        <f t="shared" si="161"/>
        <v/>
      </c>
      <c r="R463" s="133" t="str">
        <f t="shared" si="162"/>
        <v/>
      </c>
      <c r="S463" s="133" t="str">
        <f t="shared" si="163"/>
        <v/>
      </c>
      <c r="T463" s="133" t="str">
        <f>IFERROR(IF($U463="ERROR","ERROR",IF($N463="00",IF(J463="1-Rate","HH 1RATE",IF(J463="2-Rate","HH 2RATE","")),IFERROR(VLOOKUP(CONCATENATE(N463,Q463,O463,P463),Lookups!$A$2:$E$4557,5,0),VLOOKUP(CONCATENATE(N463,Q463,O463),Lookups!$A$2:$E$4557,5,0)))),"ERROR")</f>
        <v>ERROR</v>
      </c>
      <c r="U463" s="133" t="str">
        <f>IFERROR(IF(NOT($N463="00"),"",VLOOKUP(CONCATENATE(Q463,P463,LOOKUP(2,1/(Lookups!$I$2:$I$11&lt;=E463)/(Lookups!$J$2:$J$11&gt;=Tool!$C$14),Lookups!$K$2:$K$11)),'HH LLFs'!$A$2:$K$500,3,0)),"ERROR")</f>
        <v/>
      </c>
      <c r="V463" s="132">
        <f>Calcs!$I$2</f>
        <v>44377</v>
      </c>
      <c r="W463" s="132">
        <f>Calcs!$I$4</f>
        <v>44592</v>
      </c>
      <c r="X463" s="153" t="str">
        <f>IF(NOT(N463="00"),"",(VLOOKUP(CONCATENATE(Q463,P463,LOOKUP(2,1/(Lookups!$I$2:$I$11&lt;=Multisite!E463)/(Lookups!$J$2:$J$11&gt;=E463),Lookups!$K$2:$K$11)),'HH LLFs'!$A$2:$F$282,6,0)*365)/12)</f>
        <v/>
      </c>
      <c r="Y463" s="153">
        <f t="shared" si="164"/>
        <v>0</v>
      </c>
      <c r="Z463" s="153" t="str">
        <f t="shared" si="173"/>
        <v/>
      </c>
      <c r="AA463" s="153" t="str">
        <f t="shared" si="165"/>
        <v/>
      </c>
      <c r="AB463" s="153" t="str">
        <f t="shared" si="174"/>
        <v/>
      </c>
      <c r="AC463" s="153" t="str">
        <f t="shared" si="166"/>
        <v/>
      </c>
      <c r="AD463" s="153" t="str">
        <f t="shared" si="167"/>
        <v/>
      </c>
      <c r="AE463" s="153" t="str">
        <f t="shared" si="168"/>
        <v/>
      </c>
      <c r="AF463" s="155" t="e">
        <f>LOOKUP(2,1/(Lookups!$I$2:$I$11&lt;=E463)/(Lookups!$J$2:$J$11&gt;=E463),Lookups!$L$2:$L$11)</f>
        <v>#N/A</v>
      </c>
      <c r="AG463" s="142" t="str">
        <f t="shared" si="169"/>
        <v/>
      </c>
      <c r="AH463" s="142" t="str">
        <f t="shared" si="170"/>
        <v/>
      </c>
      <c r="AI463" s="143" t="b">
        <f t="shared" si="175"/>
        <v>0</v>
      </c>
      <c r="AJ463" s="143" t="str">
        <f t="shared" si="171"/>
        <v>Level 1</v>
      </c>
      <c r="AK463" s="142">
        <f t="shared" si="172"/>
        <v>0</v>
      </c>
      <c r="AL463" s="157" t="str">
        <f t="shared" si="180"/>
        <v/>
      </c>
      <c r="AM463" s="144" t="str">
        <f t="shared" si="181"/>
        <v>--FALSE-0</v>
      </c>
      <c r="AN463" s="158" t="str">
        <f t="shared" si="176"/>
        <v/>
      </c>
      <c r="AO463" s="145"/>
      <c r="AP463" s="159" t="str">
        <f>IF($AN463=FALSE,"",IFERROR(INDEX('Flat Rates'!$A$1:$M$3880,MATCH($AM463,'Flat Rates'!$A$1:$A$3880,0),MATCH("Standing Charge",'Flat Rates'!$A$1:$M$1,0))*100,""))</f>
        <v/>
      </c>
      <c r="AQ463" s="148" t="str">
        <f>IF($AN463=FALSE,"",IFERROR((IF(NOT(T463="Unrestricted"),"",INDEX('Flat Rates'!$A$1:$M$3880,MATCH($AM463,'Flat Rates'!$A$1:$A$3880,0),MATCH("Uni/Day Rate",'Flat Rates'!$A$1:$M$1,0)))*100)+H463,""))</f>
        <v/>
      </c>
      <c r="AR463" s="148" t="str">
        <f>IF($AN463=FALSE,"",IFERROR((IF(T463="Unrestricted","",INDEX('Flat Rates'!$A$1:$M$3880,MATCH($AM463,'Flat Rates'!$A$1:$A$3880,0),MATCH("Uni/Day Rate",'Flat Rates'!$A$1:$M$1,0)))*100)+H463,""))</f>
        <v/>
      </c>
      <c r="AS463" s="148" t="str">
        <f>IF($AN463=FALSE,"",IFERROR(IF(INDEX('Flat Rates'!$A$1:$M$3880,MATCH($AM463,'Flat Rates'!$A$1:$A$3880,0),MATCH("Night Unit Rate",'Flat Rates'!$A$1:$M$1,0))=0,"",((INDEX('Flat Rates'!$A$1:$M$3880,MATCH($AM463,'Flat Rates'!$A$1:$A$3880,0),MATCH("Night Unit Rate",'Flat Rates'!$A$1:$M$1,0)))*100)+H463),""))</f>
        <v/>
      </c>
      <c r="AT463" s="148" t="str">
        <f>IF($AN463=FALSE,"",IFERROR(IF(INDEX('Flat Rates'!$A$1:$M$3880,MATCH($AM463,'Flat Rates'!$A$1:$A$3880,0),MATCH("Evening and Weekend Rate",'Flat Rates'!$A$1:$M$1,0))=0,"",((INDEX('Flat Rates'!$A$1:$M$3880,MATCH($AM463,'Flat Rates'!$A$1:$A$3880,0),MATCH("Evening and Weekend Rate",'Flat Rates'!$A$1:$M$1,0)))*100)+H463),""))</f>
        <v/>
      </c>
      <c r="AU463" s="152" t="str">
        <f t="shared" si="177"/>
        <v/>
      </c>
      <c r="AV463" s="152" t="str">
        <f t="shared" si="178"/>
        <v/>
      </c>
      <c r="AW463" s="152" t="str">
        <f t="shared" si="179"/>
        <v/>
      </c>
    </row>
    <row r="464" spans="2:49" ht="15" thickBot="1" x14ac:dyDescent="0.35">
      <c r="B464" s="138" t="str">
        <f t="shared" si="156"/>
        <v/>
      </c>
      <c r="C464" s="146"/>
      <c r="D464" s="147"/>
      <c r="E464" s="140"/>
      <c r="F464" s="140"/>
      <c r="G464" s="139"/>
      <c r="H464" s="151"/>
      <c r="I464" s="139"/>
      <c r="J464" s="137"/>
      <c r="K464" s="139"/>
      <c r="L464" s="141"/>
      <c r="M464" s="133" t="str">
        <f t="shared" si="157"/>
        <v/>
      </c>
      <c r="N464" s="133" t="str">
        <f t="shared" si="158"/>
        <v/>
      </c>
      <c r="O464" s="133" t="str">
        <f t="shared" si="159"/>
        <v/>
      </c>
      <c r="P464" s="133" t="str">
        <f t="shared" si="160"/>
        <v/>
      </c>
      <c r="Q464" s="133" t="str">
        <f t="shared" si="161"/>
        <v/>
      </c>
      <c r="R464" s="133" t="str">
        <f t="shared" si="162"/>
        <v/>
      </c>
      <c r="S464" s="133" t="str">
        <f t="shared" si="163"/>
        <v/>
      </c>
      <c r="T464" s="133" t="str">
        <f>IFERROR(IF($U464="ERROR","ERROR",IF($N464="00",IF(J464="1-Rate","HH 1RATE",IF(J464="2-Rate","HH 2RATE","")),IFERROR(VLOOKUP(CONCATENATE(N464,Q464,O464,P464),Lookups!$A$2:$E$4557,5,0),VLOOKUP(CONCATENATE(N464,Q464,O464),Lookups!$A$2:$E$4557,5,0)))),"ERROR")</f>
        <v>ERROR</v>
      </c>
      <c r="U464" s="133" t="str">
        <f>IFERROR(IF(NOT($N464="00"),"",VLOOKUP(CONCATENATE(Q464,P464,LOOKUP(2,1/(Lookups!$I$2:$I$11&lt;=E464)/(Lookups!$J$2:$J$11&gt;=Tool!$C$14),Lookups!$K$2:$K$11)),'HH LLFs'!$A$2:$K$500,3,0)),"ERROR")</f>
        <v/>
      </c>
      <c r="V464" s="132">
        <f>Calcs!$I$2</f>
        <v>44377</v>
      </c>
      <c r="W464" s="132">
        <f>Calcs!$I$4</f>
        <v>44592</v>
      </c>
      <c r="X464" s="153" t="str">
        <f>IF(NOT(N464="00"),"",(VLOOKUP(CONCATENATE(Q464,P464,LOOKUP(2,1/(Lookups!$I$2:$I$11&lt;=Multisite!E464)/(Lookups!$J$2:$J$11&gt;=E464),Lookups!$K$2:$K$11)),'HH LLFs'!$A$2:$F$282,6,0)*365)/12)</f>
        <v/>
      </c>
      <c r="Y464" s="153">
        <f t="shared" si="164"/>
        <v>0</v>
      </c>
      <c r="Z464" s="153" t="str">
        <f t="shared" si="173"/>
        <v/>
      </c>
      <c r="AA464" s="153" t="str">
        <f t="shared" si="165"/>
        <v/>
      </c>
      <c r="AB464" s="153" t="str">
        <f t="shared" si="174"/>
        <v/>
      </c>
      <c r="AC464" s="153" t="str">
        <f t="shared" si="166"/>
        <v/>
      </c>
      <c r="AD464" s="153" t="str">
        <f t="shared" si="167"/>
        <v/>
      </c>
      <c r="AE464" s="153" t="str">
        <f t="shared" si="168"/>
        <v/>
      </c>
      <c r="AF464" s="155" t="e">
        <f>LOOKUP(2,1/(Lookups!$I$2:$I$11&lt;=E464)/(Lookups!$J$2:$J$11&gt;=E464),Lookups!$L$2:$L$11)</f>
        <v>#N/A</v>
      </c>
      <c r="AG464" s="142" t="str">
        <f t="shared" si="169"/>
        <v/>
      </c>
      <c r="AH464" s="142" t="str">
        <f t="shared" si="170"/>
        <v/>
      </c>
      <c r="AI464" s="143" t="b">
        <f t="shared" si="175"/>
        <v>0</v>
      </c>
      <c r="AJ464" s="143" t="str">
        <f t="shared" si="171"/>
        <v>Level 1</v>
      </c>
      <c r="AK464" s="142">
        <f t="shared" si="172"/>
        <v>0</v>
      </c>
      <c r="AL464" s="157" t="str">
        <f t="shared" si="180"/>
        <v/>
      </c>
      <c r="AM464" s="144" t="str">
        <f t="shared" si="181"/>
        <v>--FALSE-0</v>
      </c>
      <c r="AN464" s="158" t="str">
        <f t="shared" si="176"/>
        <v/>
      </c>
      <c r="AO464" s="145"/>
      <c r="AP464" s="159" t="str">
        <f>IF($AN464=FALSE,"",IFERROR(INDEX('Flat Rates'!$A$1:$M$3880,MATCH($AM464,'Flat Rates'!$A$1:$A$3880,0),MATCH("Standing Charge",'Flat Rates'!$A$1:$M$1,0))*100,""))</f>
        <v/>
      </c>
      <c r="AQ464" s="148" t="str">
        <f>IF($AN464=FALSE,"",IFERROR((IF(NOT(T464="Unrestricted"),"",INDEX('Flat Rates'!$A$1:$M$3880,MATCH($AM464,'Flat Rates'!$A$1:$A$3880,0),MATCH("Uni/Day Rate",'Flat Rates'!$A$1:$M$1,0)))*100)+H464,""))</f>
        <v/>
      </c>
      <c r="AR464" s="148" t="str">
        <f>IF($AN464=FALSE,"",IFERROR((IF(T464="Unrestricted","",INDEX('Flat Rates'!$A$1:$M$3880,MATCH($AM464,'Flat Rates'!$A$1:$A$3880,0),MATCH("Uni/Day Rate",'Flat Rates'!$A$1:$M$1,0)))*100)+H464,""))</f>
        <v/>
      </c>
      <c r="AS464" s="148" t="str">
        <f>IF($AN464=FALSE,"",IFERROR(IF(INDEX('Flat Rates'!$A$1:$M$3880,MATCH($AM464,'Flat Rates'!$A$1:$A$3880,0),MATCH("Night Unit Rate",'Flat Rates'!$A$1:$M$1,0))=0,"",((INDEX('Flat Rates'!$A$1:$M$3880,MATCH($AM464,'Flat Rates'!$A$1:$A$3880,0),MATCH("Night Unit Rate",'Flat Rates'!$A$1:$M$1,0)))*100)+H464),""))</f>
        <v/>
      </c>
      <c r="AT464" s="148" t="str">
        <f>IF($AN464=FALSE,"",IFERROR(IF(INDEX('Flat Rates'!$A$1:$M$3880,MATCH($AM464,'Flat Rates'!$A$1:$A$3880,0),MATCH("Evening and Weekend Rate",'Flat Rates'!$A$1:$M$1,0))=0,"",((INDEX('Flat Rates'!$A$1:$M$3880,MATCH($AM464,'Flat Rates'!$A$1:$A$3880,0),MATCH("Evening and Weekend Rate",'Flat Rates'!$A$1:$M$1,0)))*100)+H464),""))</f>
        <v/>
      </c>
      <c r="AU464" s="152" t="str">
        <f t="shared" si="177"/>
        <v/>
      </c>
      <c r="AV464" s="152" t="str">
        <f t="shared" si="178"/>
        <v/>
      </c>
      <c r="AW464" s="152" t="str">
        <f t="shared" si="179"/>
        <v/>
      </c>
    </row>
    <row r="465" spans="2:49" ht="15" thickBot="1" x14ac:dyDescent="0.35">
      <c r="B465" s="138" t="str">
        <f t="shared" si="156"/>
        <v/>
      </c>
      <c r="C465" s="137"/>
      <c r="D465" s="139"/>
      <c r="E465" s="140"/>
      <c r="F465" s="140"/>
      <c r="G465" s="139"/>
      <c r="H465" s="151"/>
      <c r="I465" s="139"/>
      <c r="J465" s="138"/>
      <c r="K465" s="139"/>
      <c r="L465" s="141"/>
      <c r="M465" s="133" t="str">
        <f t="shared" si="157"/>
        <v/>
      </c>
      <c r="N465" s="133" t="str">
        <f t="shared" si="158"/>
        <v/>
      </c>
      <c r="O465" s="133" t="str">
        <f t="shared" si="159"/>
        <v/>
      </c>
      <c r="P465" s="133" t="str">
        <f t="shared" si="160"/>
        <v/>
      </c>
      <c r="Q465" s="133" t="str">
        <f t="shared" si="161"/>
        <v/>
      </c>
      <c r="R465" s="133" t="str">
        <f t="shared" si="162"/>
        <v/>
      </c>
      <c r="S465" s="133" t="str">
        <f t="shared" si="163"/>
        <v/>
      </c>
      <c r="T465" s="133" t="str">
        <f>IFERROR(IF($U465="ERROR","ERROR",IF($N465="00",IF(J465="1-Rate","HH 1RATE",IF(J465="2-Rate","HH 2RATE","")),IFERROR(VLOOKUP(CONCATENATE(N465,Q465,O465,P465),Lookups!$A$2:$E$4557,5,0),VLOOKUP(CONCATENATE(N465,Q465,O465),Lookups!$A$2:$E$4557,5,0)))),"ERROR")</f>
        <v>ERROR</v>
      </c>
      <c r="U465" s="133" t="str">
        <f>IFERROR(IF(NOT($N465="00"),"",VLOOKUP(CONCATENATE(Q465,P465,LOOKUP(2,1/(Lookups!$I$2:$I$11&lt;=E465)/(Lookups!$J$2:$J$11&gt;=Tool!$C$14),Lookups!$K$2:$K$11)),'HH LLFs'!$A$2:$K$500,3,0)),"ERROR")</f>
        <v/>
      </c>
      <c r="V465" s="132">
        <f>Calcs!$I$2</f>
        <v>44377</v>
      </c>
      <c r="W465" s="132">
        <f>Calcs!$I$4</f>
        <v>44592</v>
      </c>
      <c r="X465" s="153" t="str">
        <f>IF(NOT(N465="00"),"",(VLOOKUP(CONCATENATE(Q465,P465,LOOKUP(2,1/(Lookups!$I$2:$I$11&lt;=Multisite!E465)/(Lookups!$J$2:$J$11&gt;=E465),Lookups!$K$2:$K$11)),'HH LLFs'!$A$2:$F$282,6,0)*365)/12)</f>
        <v/>
      </c>
      <c r="Y465" s="153">
        <f t="shared" si="164"/>
        <v>0</v>
      </c>
      <c r="Z465" s="153" t="str">
        <f t="shared" si="173"/>
        <v/>
      </c>
      <c r="AA465" s="153" t="str">
        <f t="shared" si="165"/>
        <v/>
      </c>
      <c r="AB465" s="153" t="str">
        <f t="shared" si="174"/>
        <v/>
      </c>
      <c r="AC465" s="153" t="str">
        <f t="shared" si="166"/>
        <v/>
      </c>
      <c r="AD465" s="153" t="str">
        <f t="shared" si="167"/>
        <v/>
      </c>
      <c r="AE465" s="153" t="str">
        <f t="shared" si="168"/>
        <v/>
      </c>
      <c r="AF465" s="155" t="e">
        <f>LOOKUP(2,1/(Lookups!$I$2:$I$11&lt;=E465)/(Lookups!$J$2:$J$11&gt;=E465),Lookups!$L$2:$L$11)</f>
        <v>#N/A</v>
      </c>
      <c r="AG465" s="142" t="str">
        <f t="shared" si="169"/>
        <v/>
      </c>
      <c r="AH465" s="142" t="str">
        <f t="shared" si="170"/>
        <v/>
      </c>
      <c r="AI465" s="143" t="b">
        <f t="shared" si="175"/>
        <v>0</v>
      </c>
      <c r="AJ465" s="143" t="str">
        <f t="shared" si="171"/>
        <v>Level 1</v>
      </c>
      <c r="AK465" s="142">
        <f t="shared" si="172"/>
        <v>0</v>
      </c>
      <c r="AL465" s="157" t="str">
        <f t="shared" si="180"/>
        <v/>
      </c>
      <c r="AM465" s="144" t="str">
        <f t="shared" si="181"/>
        <v>--FALSE-0</v>
      </c>
      <c r="AN465" s="158" t="str">
        <f t="shared" si="176"/>
        <v/>
      </c>
      <c r="AO465" s="145"/>
      <c r="AP465" s="159" t="str">
        <f>IF($AN465=FALSE,"",IFERROR(INDEX('Flat Rates'!$A$1:$M$3880,MATCH($AM465,'Flat Rates'!$A$1:$A$3880,0),MATCH("Standing Charge",'Flat Rates'!$A$1:$M$1,0))*100,""))</f>
        <v/>
      </c>
      <c r="AQ465" s="148" t="str">
        <f>IF($AN465=FALSE,"",IFERROR((IF(NOT(T465="Unrestricted"),"",INDEX('Flat Rates'!$A$1:$M$3880,MATCH($AM465,'Flat Rates'!$A$1:$A$3880,0),MATCH("Uni/Day Rate",'Flat Rates'!$A$1:$M$1,0)))*100)+H465,""))</f>
        <v/>
      </c>
      <c r="AR465" s="148" t="str">
        <f>IF($AN465=FALSE,"",IFERROR((IF(T465="Unrestricted","",INDEX('Flat Rates'!$A$1:$M$3880,MATCH($AM465,'Flat Rates'!$A$1:$A$3880,0),MATCH("Uni/Day Rate",'Flat Rates'!$A$1:$M$1,0)))*100)+H465,""))</f>
        <v/>
      </c>
      <c r="AS465" s="148" t="str">
        <f>IF($AN465=FALSE,"",IFERROR(IF(INDEX('Flat Rates'!$A$1:$M$3880,MATCH($AM465,'Flat Rates'!$A$1:$A$3880,0),MATCH("Night Unit Rate",'Flat Rates'!$A$1:$M$1,0))=0,"",((INDEX('Flat Rates'!$A$1:$M$3880,MATCH($AM465,'Flat Rates'!$A$1:$A$3880,0),MATCH("Night Unit Rate",'Flat Rates'!$A$1:$M$1,0)))*100)+H465),""))</f>
        <v/>
      </c>
      <c r="AT465" s="148" t="str">
        <f>IF($AN465=FALSE,"",IFERROR(IF(INDEX('Flat Rates'!$A$1:$M$3880,MATCH($AM465,'Flat Rates'!$A$1:$A$3880,0),MATCH("Evening and Weekend Rate",'Flat Rates'!$A$1:$M$1,0))=0,"",((INDEX('Flat Rates'!$A$1:$M$3880,MATCH($AM465,'Flat Rates'!$A$1:$A$3880,0),MATCH("Evening and Weekend Rate",'Flat Rates'!$A$1:$M$1,0)))*100)+H465),""))</f>
        <v/>
      </c>
      <c r="AU465" s="152" t="str">
        <f t="shared" si="177"/>
        <v/>
      </c>
      <c r="AV465" s="152" t="str">
        <f t="shared" si="178"/>
        <v/>
      </c>
      <c r="AW465" s="152" t="str">
        <f t="shared" si="179"/>
        <v/>
      </c>
    </row>
    <row r="466" spans="2:49" ht="15" thickBot="1" x14ac:dyDescent="0.35">
      <c r="B466" s="138" t="str">
        <f t="shared" si="156"/>
        <v/>
      </c>
      <c r="C466" s="146"/>
      <c r="D466" s="147"/>
      <c r="E466" s="140"/>
      <c r="F466" s="140"/>
      <c r="G466" s="139"/>
      <c r="H466" s="151"/>
      <c r="I466" s="139"/>
      <c r="J466" s="137"/>
      <c r="K466" s="139"/>
      <c r="L466" s="141"/>
      <c r="M466" s="133" t="str">
        <f t="shared" si="157"/>
        <v/>
      </c>
      <c r="N466" s="133" t="str">
        <f t="shared" si="158"/>
        <v/>
      </c>
      <c r="O466" s="133" t="str">
        <f t="shared" si="159"/>
        <v/>
      </c>
      <c r="P466" s="133" t="str">
        <f t="shared" si="160"/>
        <v/>
      </c>
      <c r="Q466" s="133" t="str">
        <f t="shared" si="161"/>
        <v/>
      </c>
      <c r="R466" s="133" t="str">
        <f t="shared" si="162"/>
        <v/>
      </c>
      <c r="S466" s="133" t="str">
        <f t="shared" si="163"/>
        <v/>
      </c>
      <c r="T466" s="133" t="str">
        <f>IFERROR(IF($U466="ERROR","ERROR",IF($N466="00",IF(J466="1-Rate","HH 1RATE",IF(J466="2-Rate","HH 2RATE","")),IFERROR(VLOOKUP(CONCATENATE(N466,Q466,O466,P466),Lookups!$A$2:$E$4557,5,0),VLOOKUP(CONCATENATE(N466,Q466,O466),Lookups!$A$2:$E$4557,5,0)))),"ERROR")</f>
        <v>ERROR</v>
      </c>
      <c r="U466" s="133" t="str">
        <f>IFERROR(IF(NOT($N466="00"),"",VLOOKUP(CONCATENATE(Q466,P466,LOOKUP(2,1/(Lookups!$I$2:$I$11&lt;=E466)/(Lookups!$J$2:$J$11&gt;=Tool!$C$14),Lookups!$K$2:$K$11)),'HH LLFs'!$A$2:$K$500,3,0)),"ERROR")</f>
        <v/>
      </c>
      <c r="V466" s="132">
        <f>Calcs!$I$2</f>
        <v>44377</v>
      </c>
      <c r="W466" s="132">
        <f>Calcs!$I$4</f>
        <v>44592</v>
      </c>
      <c r="X466" s="153" t="str">
        <f>IF(NOT(N466="00"),"",(VLOOKUP(CONCATENATE(Q466,P466,LOOKUP(2,1/(Lookups!$I$2:$I$11&lt;=Multisite!E466)/(Lookups!$J$2:$J$11&gt;=E466),Lookups!$K$2:$K$11)),'HH LLFs'!$A$2:$F$282,6,0)*365)/12)</f>
        <v/>
      </c>
      <c r="Y466" s="153">
        <f t="shared" si="164"/>
        <v>0</v>
      </c>
      <c r="Z466" s="153" t="str">
        <f t="shared" si="173"/>
        <v/>
      </c>
      <c r="AA466" s="153" t="str">
        <f t="shared" si="165"/>
        <v/>
      </c>
      <c r="AB466" s="153" t="str">
        <f t="shared" si="174"/>
        <v/>
      </c>
      <c r="AC466" s="153" t="str">
        <f t="shared" si="166"/>
        <v/>
      </c>
      <c r="AD466" s="153" t="str">
        <f t="shared" si="167"/>
        <v/>
      </c>
      <c r="AE466" s="153" t="str">
        <f t="shared" si="168"/>
        <v/>
      </c>
      <c r="AF466" s="155" t="e">
        <f>LOOKUP(2,1/(Lookups!$I$2:$I$11&lt;=E466)/(Lookups!$J$2:$J$11&gt;=E466),Lookups!$L$2:$L$11)</f>
        <v>#N/A</v>
      </c>
      <c r="AG466" s="142" t="str">
        <f t="shared" si="169"/>
        <v/>
      </c>
      <c r="AH466" s="142" t="str">
        <f t="shared" si="170"/>
        <v/>
      </c>
      <c r="AI466" s="143" t="b">
        <f t="shared" si="175"/>
        <v>0</v>
      </c>
      <c r="AJ466" s="143" t="str">
        <f t="shared" si="171"/>
        <v>Level 1</v>
      </c>
      <c r="AK466" s="142">
        <f t="shared" si="172"/>
        <v>0</v>
      </c>
      <c r="AL466" s="157" t="str">
        <f t="shared" si="180"/>
        <v/>
      </c>
      <c r="AM466" s="144" t="str">
        <f t="shared" si="181"/>
        <v>--FALSE-0</v>
      </c>
      <c r="AN466" s="158" t="str">
        <f t="shared" si="176"/>
        <v/>
      </c>
      <c r="AO466" s="145"/>
      <c r="AP466" s="159" t="str">
        <f>IF($AN466=FALSE,"",IFERROR(INDEX('Flat Rates'!$A$1:$M$3880,MATCH($AM466,'Flat Rates'!$A$1:$A$3880,0),MATCH("Standing Charge",'Flat Rates'!$A$1:$M$1,0))*100,""))</f>
        <v/>
      </c>
      <c r="AQ466" s="148" t="str">
        <f>IF($AN466=FALSE,"",IFERROR((IF(NOT(T466="Unrestricted"),"",INDEX('Flat Rates'!$A$1:$M$3880,MATCH($AM466,'Flat Rates'!$A$1:$A$3880,0),MATCH("Uni/Day Rate",'Flat Rates'!$A$1:$M$1,0)))*100)+H466,""))</f>
        <v/>
      </c>
      <c r="AR466" s="148" t="str">
        <f>IF($AN466=FALSE,"",IFERROR((IF(T466="Unrestricted","",INDEX('Flat Rates'!$A$1:$M$3880,MATCH($AM466,'Flat Rates'!$A$1:$A$3880,0),MATCH("Uni/Day Rate",'Flat Rates'!$A$1:$M$1,0)))*100)+H466,""))</f>
        <v/>
      </c>
      <c r="AS466" s="148" t="str">
        <f>IF($AN466=FALSE,"",IFERROR(IF(INDEX('Flat Rates'!$A$1:$M$3880,MATCH($AM466,'Flat Rates'!$A$1:$A$3880,0),MATCH("Night Unit Rate",'Flat Rates'!$A$1:$M$1,0))=0,"",((INDEX('Flat Rates'!$A$1:$M$3880,MATCH($AM466,'Flat Rates'!$A$1:$A$3880,0),MATCH("Night Unit Rate",'Flat Rates'!$A$1:$M$1,0)))*100)+H466),""))</f>
        <v/>
      </c>
      <c r="AT466" s="148" t="str">
        <f>IF($AN466=FALSE,"",IFERROR(IF(INDEX('Flat Rates'!$A$1:$M$3880,MATCH($AM466,'Flat Rates'!$A$1:$A$3880,0),MATCH("Evening and Weekend Rate",'Flat Rates'!$A$1:$M$1,0))=0,"",((INDEX('Flat Rates'!$A$1:$M$3880,MATCH($AM466,'Flat Rates'!$A$1:$A$3880,0),MATCH("Evening and Weekend Rate",'Flat Rates'!$A$1:$M$1,0)))*100)+H466),""))</f>
        <v/>
      </c>
      <c r="AU466" s="152" t="str">
        <f t="shared" si="177"/>
        <v/>
      </c>
      <c r="AV466" s="152" t="str">
        <f t="shared" si="178"/>
        <v/>
      </c>
      <c r="AW466" s="152" t="str">
        <f t="shared" si="179"/>
        <v/>
      </c>
    </row>
    <row r="467" spans="2:49" ht="15" thickBot="1" x14ac:dyDescent="0.35">
      <c r="B467" s="138" t="str">
        <f t="shared" ref="B467:B518" si="182">SUBSTITUTE(C467," ","")</f>
        <v/>
      </c>
      <c r="C467" s="137"/>
      <c r="D467" s="139"/>
      <c r="E467" s="140"/>
      <c r="F467" s="140"/>
      <c r="G467" s="139"/>
      <c r="H467" s="151"/>
      <c r="I467" s="139"/>
      <c r="J467" s="138"/>
      <c r="K467" s="139"/>
      <c r="L467" s="141"/>
      <c r="M467" s="133" t="str">
        <f t="shared" ref="M467:M518" si="183">CONCATENATE(LEFT(B467,2),LEFT(D467,2),MID(B467,3,3))</f>
        <v/>
      </c>
      <c r="N467" s="133" t="str">
        <f t="shared" ref="N467:N518" si="184">IF(LEFT(B467,2)="01","03",IF(LEFT(B467,2)="02","04",LEFT(B467,2)))</f>
        <v/>
      </c>
      <c r="O467" s="133" t="str">
        <f t="shared" ref="O467:O518" si="185">MID(B467,3,3)</f>
        <v/>
      </c>
      <c r="P467" s="133" t="str">
        <f t="shared" ref="P467:P518" si="186">RIGHT(B467,3)</f>
        <v/>
      </c>
      <c r="Q467" s="133" t="str">
        <f t="shared" ref="Q467:Q518" si="187">LEFT(D467,2)</f>
        <v/>
      </c>
      <c r="R467" s="133" t="str">
        <f t="shared" ref="R467:R518" si="188">MID(D467,3,8)</f>
        <v/>
      </c>
      <c r="S467" s="133" t="str">
        <f t="shared" ref="S467:S518" si="189">RIGHT(D467,3)</f>
        <v/>
      </c>
      <c r="T467" s="133" t="str">
        <f>IFERROR(IF($U467="ERROR","ERROR",IF($N467="00",IF(J467="1-Rate","HH 1RATE",IF(J467="2-Rate","HH 2RATE","")),IFERROR(VLOOKUP(CONCATENATE(N467,Q467,O467,P467),Lookups!$A$2:$E$4557,5,0),VLOOKUP(CONCATENATE(N467,Q467,O467),Lookups!$A$2:$E$4557,5,0)))),"ERROR")</f>
        <v>ERROR</v>
      </c>
      <c r="U467" s="133" t="str">
        <f>IFERROR(IF(NOT($N467="00"),"",VLOOKUP(CONCATENATE(Q467,P467,LOOKUP(2,1/(Lookups!$I$2:$I$11&lt;=E467)/(Lookups!$J$2:$J$11&gt;=Tool!$C$14),Lookups!$K$2:$K$11)),'HH LLFs'!$A$2:$K$500,3,0)),"ERROR")</f>
        <v/>
      </c>
      <c r="V467" s="132">
        <f>Calcs!$I$2</f>
        <v>44377</v>
      </c>
      <c r="W467" s="132">
        <f>Calcs!$I$4</f>
        <v>44592</v>
      </c>
      <c r="X467" s="153" t="str">
        <f>IF(NOT(N467="00"),"",(VLOOKUP(CONCATENATE(Q467,P467,LOOKUP(2,1/(Lookups!$I$2:$I$11&lt;=Multisite!E467)/(Lookups!$J$2:$J$11&gt;=E467),Lookups!$K$2:$K$11)),'HH LLFs'!$A$2:$F$282,6,0)*365)/12)</f>
        <v/>
      </c>
      <c r="Y467" s="153">
        <f t="shared" ref="Y467:Y518" si="190">K467</f>
        <v>0</v>
      </c>
      <c r="Z467" s="153" t="str">
        <f t="shared" si="173"/>
        <v/>
      </c>
      <c r="AA467" s="153" t="str">
        <f t="shared" ref="AA467:AA518" si="191">IFERROR(((AQ467*I467)/100),"")</f>
        <v/>
      </c>
      <c r="AB467" s="153" t="str">
        <f t="shared" si="174"/>
        <v/>
      </c>
      <c r="AC467" s="153" t="str">
        <f t="shared" ref="AC467:AC518" si="192">IFERROR((IF(T467="E7",((AS467*I467)*0.3),IF(T467="3-Rate",((AS467*I467)*0.2),IF(T467="HH 2RATE",((AS467*I467)*0.3),"")))/100),"")</f>
        <v/>
      </c>
      <c r="AD467" s="153" t="str">
        <f t="shared" ref="AD467:AD518" si="193">IFERROR((IF(T467="EW",((AT467*I467)*0.4),IF(T467="3-Rate",((AT467*I467)*0.2),""))/100),"")</f>
        <v/>
      </c>
      <c r="AE467" s="153" t="str">
        <f t="shared" ref="AE467:AE518" si="194">IF(Z467="","",IF(T467="3 Rate Half Hourly","",SUM(Z467:AD467,AW467)))</f>
        <v/>
      </c>
      <c r="AF467" s="155" t="e">
        <f>LOOKUP(2,1/(Lookups!$I$2:$I$11&lt;=E467)/(Lookups!$J$2:$J$11&gt;=E467),Lookups!$L$2:$L$11)</f>
        <v>#N/A</v>
      </c>
      <c r="AG467" s="142" t="str">
        <f t="shared" ref="AG467:AG518" si="195">Q467</f>
        <v/>
      </c>
      <c r="AH467" s="142" t="str">
        <f t="shared" ref="AH467:AH518" si="196">IF(E467&gt;W467,"",RIGHT(N467,1))</f>
        <v/>
      </c>
      <c r="AI467" s="143" t="b">
        <f t="shared" si="175"/>
        <v>0</v>
      </c>
      <c r="AJ467" s="143" t="str">
        <f t="shared" ref="AJ467:AJ518" si="197">IF($E467&lt;=$V467,"Level 1",IF($E467&lt;=$W467,"Level 2",""))</f>
        <v>Level 1</v>
      </c>
      <c r="AK467" s="142">
        <f t="shared" ref="AK467:AK518" si="198">IF($G467="SmartFIX – 1 Year","SmartFIX – 1 Year",IF($G467="SmartFIX – 2 Year","SmartFIX – 2 Year",IF($G467="SmartFIX – 3 Year","SmartFIX – 3 Year",IF($G467="SmartPAY12","SmartPAY12",IF($G467="SmartPAY24","SmartPAY24",IF($G467="SmartPAY36","SmartPAY36",IF($G467="SmartFIX – 5 Year","SmartFIX – 5 Year",IF($G467="SmartTRACKER","SmartTRACKER",IF($G467="SmartTRACKER","SmartTRACKER",)))))))))</f>
        <v>0</v>
      </c>
      <c r="AL467" s="157" t="str">
        <f t="shared" si="180"/>
        <v/>
      </c>
      <c r="AM467" s="144" t="str">
        <f t="shared" si="181"/>
        <v>--FALSE-0</v>
      </c>
      <c r="AN467" s="158" t="str">
        <f t="shared" si="176"/>
        <v/>
      </c>
      <c r="AO467" s="145"/>
      <c r="AP467" s="159" t="str">
        <f>IF($AN467=FALSE,"",IFERROR(INDEX('Flat Rates'!$A$1:$M$3880,MATCH($AM467,'Flat Rates'!$A$1:$A$3880,0),MATCH("Standing Charge",'Flat Rates'!$A$1:$M$1,0))*100,""))</f>
        <v/>
      </c>
      <c r="AQ467" s="148" t="str">
        <f>IF($AN467=FALSE,"",IFERROR((IF(NOT(T467="Unrestricted"),"",INDEX('Flat Rates'!$A$1:$M$3880,MATCH($AM467,'Flat Rates'!$A$1:$A$3880,0),MATCH("Uni/Day Rate",'Flat Rates'!$A$1:$M$1,0)))*100)+H467,""))</f>
        <v/>
      </c>
      <c r="AR467" s="148" t="str">
        <f>IF($AN467=FALSE,"",IFERROR((IF(T467="Unrestricted","",INDEX('Flat Rates'!$A$1:$M$3880,MATCH($AM467,'Flat Rates'!$A$1:$A$3880,0),MATCH("Uni/Day Rate",'Flat Rates'!$A$1:$M$1,0)))*100)+H467,""))</f>
        <v/>
      </c>
      <c r="AS467" s="148" t="str">
        <f>IF($AN467=FALSE,"",IFERROR(IF(INDEX('Flat Rates'!$A$1:$M$3880,MATCH($AM467,'Flat Rates'!$A$1:$A$3880,0),MATCH("Night Unit Rate",'Flat Rates'!$A$1:$M$1,0))=0,"",((INDEX('Flat Rates'!$A$1:$M$3880,MATCH($AM467,'Flat Rates'!$A$1:$A$3880,0),MATCH("Night Unit Rate",'Flat Rates'!$A$1:$M$1,0)))*100)+H467),""))</f>
        <v/>
      </c>
      <c r="AT467" s="148" t="str">
        <f>IF($AN467=FALSE,"",IFERROR(IF(INDEX('Flat Rates'!$A$1:$M$3880,MATCH($AM467,'Flat Rates'!$A$1:$A$3880,0),MATCH("Evening and Weekend Rate",'Flat Rates'!$A$1:$M$1,0))=0,"",((INDEX('Flat Rates'!$A$1:$M$3880,MATCH($AM467,'Flat Rates'!$A$1:$A$3880,0),MATCH("Evening and Weekend Rate",'Flat Rates'!$A$1:$M$1,0)))*100)+H467),""))</f>
        <v/>
      </c>
      <c r="AU467" s="152" t="str">
        <f t="shared" si="177"/>
        <v/>
      </c>
      <c r="AV467" s="152" t="str">
        <f t="shared" si="178"/>
        <v/>
      </c>
      <c r="AW467" s="152" t="str">
        <f t="shared" si="179"/>
        <v/>
      </c>
    </row>
    <row r="468" spans="2:49" ht="15" thickBot="1" x14ac:dyDescent="0.35">
      <c r="B468" s="138" t="str">
        <f t="shared" si="182"/>
        <v/>
      </c>
      <c r="C468" s="146"/>
      <c r="D468" s="147"/>
      <c r="E468" s="140"/>
      <c r="F468" s="140"/>
      <c r="G468" s="139"/>
      <c r="H468" s="151"/>
      <c r="I468" s="139"/>
      <c r="J468" s="137"/>
      <c r="K468" s="139"/>
      <c r="L468" s="141"/>
      <c r="M468" s="133" t="str">
        <f t="shared" si="183"/>
        <v/>
      </c>
      <c r="N468" s="133" t="str">
        <f t="shared" si="184"/>
        <v/>
      </c>
      <c r="O468" s="133" t="str">
        <f t="shared" si="185"/>
        <v/>
      </c>
      <c r="P468" s="133" t="str">
        <f t="shared" si="186"/>
        <v/>
      </c>
      <c r="Q468" s="133" t="str">
        <f t="shared" si="187"/>
        <v/>
      </c>
      <c r="R468" s="133" t="str">
        <f t="shared" si="188"/>
        <v/>
      </c>
      <c r="S468" s="133" t="str">
        <f t="shared" si="189"/>
        <v/>
      </c>
      <c r="T468" s="133" t="str">
        <f>IFERROR(IF($U468="ERROR","ERROR",IF($N468="00",IF(J468="1-Rate","HH 1RATE",IF(J468="2-Rate","HH 2RATE","")),IFERROR(VLOOKUP(CONCATENATE(N468,Q468,O468,P468),Lookups!$A$2:$E$4557,5,0),VLOOKUP(CONCATENATE(N468,Q468,O468),Lookups!$A$2:$E$4557,5,0)))),"ERROR")</f>
        <v>ERROR</v>
      </c>
      <c r="U468" s="133" t="str">
        <f>IFERROR(IF(NOT($N468="00"),"",VLOOKUP(CONCATENATE(Q468,P468,LOOKUP(2,1/(Lookups!$I$2:$I$11&lt;=E468)/(Lookups!$J$2:$J$11&gt;=Tool!$C$14),Lookups!$K$2:$K$11)),'HH LLFs'!$A$2:$K$500,3,0)),"ERROR")</f>
        <v/>
      </c>
      <c r="V468" s="132">
        <f>Calcs!$I$2</f>
        <v>44377</v>
      </c>
      <c r="W468" s="132">
        <f>Calcs!$I$4</f>
        <v>44592</v>
      </c>
      <c r="X468" s="153" t="str">
        <f>IF(NOT(N468="00"),"",(VLOOKUP(CONCATENATE(Q468,P468,LOOKUP(2,1/(Lookups!$I$2:$I$11&lt;=Multisite!E468)/(Lookups!$J$2:$J$11&gt;=E468),Lookups!$K$2:$K$11)),'HH LLFs'!$A$2:$F$282,6,0)*365)/12)</f>
        <v/>
      </c>
      <c r="Y468" s="153">
        <f t="shared" si="190"/>
        <v>0</v>
      </c>
      <c r="Z468" s="153" t="str">
        <f t="shared" ref="Z468:Z518" si="199">IFERROR(((IF(I468="3 `Rate Half Hourly","",AP468*365)/100)),"")</f>
        <v/>
      </c>
      <c r="AA468" s="153" t="str">
        <f t="shared" si="191"/>
        <v/>
      </c>
      <c r="AB468" s="153" t="str">
        <f t="shared" ref="AB468:AB518" si="200">IFERROR((IF(T468="E7",((AR468*I468)*0.7),IF(T468="EW",((AR468*I468)*0.6),IF(T468="3-Rate",((AR468*I468)*0.6),IF(T468="HH 2RATE",((AR468*I468)*0.7),IF(T468="HH 1RATE",(AR468*I468),"")))))/100),"")</f>
        <v/>
      </c>
      <c r="AC468" s="153" t="str">
        <f t="shared" si="192"/>
        <v/>
      </c>
      <c r="AD468" s="153" t="str">
        <f t="shared" si="193"/>
        <v/>
      </c>
      <c r="AE468" s="153" t="str">
        <f t="shared" si="194"/>
        <v/>
      </c>
      <c r="AF468" s="155" t="e">
        <f>LOOKUP(2,1/(Lookups!$I$2:$I$11&lt;=E468)/(Lookups!$J$2:$J$11&gt;=E468),Lookups!$L$2:$L$11)</f>
        <v>#N/A</v>
      </c>
      <c r="AG468" s="142" t="str">
        <f t="shared" si="195"/>
        <v/>
      </c>
      <c r="AH468" s="142" t="str">
        <f t="shared" si="196"/>
        <v/>
      </c>
      <c r="AI468" s="143" t="b">
        <f t="shared" ref="AI468:AI518" si="201">IF(T468="Unrestricted","U",IF(T468="E7","E7",IF(T468="EW","EW",IF(T468="3-Rate","3RATE",IF(T468="3 Rate Half Hourly","TOU",IF(T468="HH 2RATE",CONCATENATE("HH 2RATE ",U468),IF(T468="HH 1RATE",CONCATENATE("HH 1RATE ",U468))))))))</f>
        <v>0</v>
      </c>
      <c r="AJ468" s="143" t="str">
        <f t="shared" si="197"/>
        <v>Level 1</v>
      </c>
      <c r="AK468" s="142">
        <f t="shared" si="198"/>
        <v>0</v>
      </c>
      <c r="AL468" s="157" t="str">
        <f t="shared" si="180"/>
        <v/>
      </c>
      <c r="AM468" s="144" t="str">
        <f t="shared" si="181"/>
        <v>--FALSE-0</v>
      </c>
      <c r="AN468" s="158" t="str">
        <f t="shared" ref="AN468:AN518" si="202">IFERROR(CHOOSE(IF(OR(F468="Acquisition",F468="Renewal"),1,0)+IF(OR(F468="Smartpay",F468="Smartpay_Renewal"),2,0),IF(OR(ISNUMBER(SEARCH("fix",G468)),ISNUMBER(SEARCH("Tracker",G468))),TRUE,FALSE),IF(ISNUMBER(SEARCH("pay",G468)),TRUE,FALSE)),"")</f>
        <v/>
      </c>
      <c r="AO468" s="145"/>
      <c r="AP468" s="159" t="str">
        <f>IF($AN468=FALSE,"",IFERROR(INDEX('Flat Rates'!$A$1:$M$3880,MATCH($AM468,'Flat Rates'!$A$1:$A$3880,0),MATCH("Standing Charge",'Flat Rates'!$A$1:$M$1,0))*100,""))</f>
        <v/>
      </c>
      <c r="AQ468" s="148" t="str">
        <f>IF($AN468=FALSE,"",IFERROR((IF(NOT(T468="Unrestricted"),"",INDEX('Flat Rates'!$A$1:$M$3880,MATCH($AM468,'Flat Rates'!$A$1:$A$3880,0),MATCH("Uni/Day Rate",'Flat Rates'!$A$1:$M$1,0)))*100)+H468,""))</f>
        <v/>
      </c>
      <c r="AR468" s="148" t="str">
        <f>IF($AN468=FALSE,"",IFERROR((IF(T468="Unrestricted","",INDEX('Flat Rates'!$A$1:$M$3880,MATCH($AM468,'Flat Rates'!$A$1:$A$3880,0),MATCH("Uni/Day Rate",'Flat Rates'!$A$1:$M$1,0)))*100)+H468,""))</f>
        <v/>
      </c>
      <c r="AS468" s="148" t="str">
        <f>IF($AN468=FALSE,"",IFERROR(IF(INDEX('Flat Rates'!$A$1:$M$3880,MATCH($AM468,'Flat Rates'!$A$1:$A$3880,0),MATCH("Night Unit Rate",'Flat Rates'!$A$1:$M$1,0))=0,"",((INDEX('Flat Rates'!$A$1:$M$3880,MATCH($AM468,'Flat Rates'!$A$1:$A$3880,0),MATCH("Night Unit Rate",'Flat Rates'!$A$1:$M$1,0)))*100)+H468),""))</f>
        <v/>
      </c>
      <c r="AT468" s="148" t="str">
        <f>IF($AN468=FALSE,"",IFERROR(IF(INDEX('Flat Rates'!$A$1:$M$3880,MATCH($AM468,'Flat Rates'!$A$1:$A$3880,0),MATCH("Evening and Weekend Rate",'Flat Rates'!$A$1:$M$1,0))=0,"",((INDEX('Flat Rates'!$A$1:$M$3880,MATCH($AM468,'Flat Rates'!$A$1:$A$3880,0),MATCH("Evening and Weekend Rate",'Flat Rates'!$A$1:$M$1,0)))*100)+H468),""))</f>
        <v/>
      </c>
      <c r="AU468" s="152" t="str">
        <f t="shared" ref="AU468:AU518" si="203">IF($AN468=FALSE,"",IF(I468="","",AE468))</f>
        <v/>
      </c>
      <c r="AV468" s="152" t="str">
        <f t="shared" ref="AV468:AV518" si="204">IF($AN468=FALSE,"",IF(AU468="","",IF(I468&lt;12000,((AE468*1.05)/12),(((I468*AF468)+AE468)*1.2)/12)))</f>
        <v/>
      </c>
      <c r="AW468" s="152" t="str">
        <f t="shared" ref="AW468:AW518" si="205">IF($AN468=FALSE,"",IF(NOT(N468="00"),"",IFERROR(((X468/100)*Y468)*12,"")))</f>
        <v/>
      </c>
    </row>
    <row r="469" spans="2:49" ht="15" thickBot="1" x14ac:dyDescent="0.35">
      <c r="B469" s="138" t="str">
        <f t="shared" si="182"/>
        <v/>
      </c>
      <c r="C469" s="137"/>
      <c r="D469" s="139"/>
      <c r="E469" s="140"/>
      <c r="F469" s="140"/>
      <c r="G469" s="139"/>
      <c r="H469" s="151"/>
      <c r="I469" s="139"/>
      <c r="J469" s="138"/>
      <c r="K469" s="139"/>
      <c r="L469" s="141"/>
      <c r="M469" s="133" t="str">
        <f t="shared" si="183"/>
        <v/>
      </c>
      <c r="N469" s="133" t="str">
        <f t="shared" si="184"/>
        <v/>
      </c>
      <c r="O469" s="133" t="str">
        <f t="shared" si="185"/>
        <v/>
      </c>
      <c r="P469" s="133" t="str">
        <f t="shared" si="186"/>
        <v/>
      </c>
      <c r="Q469" s="133" t="str">
        <f t="shared" si="187"/>
        <v/>
      </c>
      <c r="R469" s="133" t="str">
        <f t="shared" si="188"/>
        <v/>
      </c>
      <c r="S469" s="133" t="str">
        <f t="shared" si="189"/>
        <v/>
      </c>
      <c r="T469" s="133" t="str">
        <f>IFERROR(IF($U469="ERROR","ERROR",IF($N469="00",IF(J469="1-Rate","HH 1RATE",IF(J469="2-Rate","HH 2RATE","")),IFERROR(VLOOKUP(CONCATENATE(N469,Q469,O469,P469),Lookups!$A$2:$E$4557,5,0),VLOOKUP(CONCATENATE(N469,Q469,O469),Lookups!$A$2:$E$4557,5,0)))),"ERROR")</f>
        <v>ERROR</v>
      </c>
      <c r="U469" s="133" t="str">
        <f>IFERROR(IF(NOT($N469="00"),"",VLOOKUP(CONCATENATE(Q469,P469,LOOKUP(2,1/(Lookups!$I$2:$I$11&lt;=E469)/(Lookups!$J$2:$J$11&gt;=Tool!$C$14),Lookups!$K$2:$K$11)),'HH LLFs'!$A$2:$K$500,3,0)),"ERROR")</f>
        <v/>
      </c>
      <c r="V469" s="132">
        <f>Calcs!$I$2</f>
        <v>44377</v>
      </c>
      <c r="W469" s="132">
        <f>Calcs!$I$4</f>
        <v>44592</v>
      </c>
      <c r="X469" s="153" t="str">
        <f>IF(NOT(N469="00"),"",(VLOOKUP(CONCATENATE(Q469,P469,LOOKUP(2,1/(Lookups!$I$2:$I$11&lt;=Multisite!E469)/(Lookups!$J$2:$J$11&gt;=E469),Lookups!$K$2:$K$11)),'HH LLFs'!$A$2:$F$282,6,0)*365)/12)</f>
        <v/>
      </c>
      <c r="Y469" s="153">
        <f t="shared" si="190"/>
        <v>0</v>
      </c>
      <c r="Z469" s="153" t="str">
        <f t="shared" si="199"/>
        <v/>
      </c>
      <c r="AA469" s="153" t="str">
        <f t="shared" si="191"/>
        <v/>
      </c>
      <c r="AB469" s="153" t="str">
        <f t="shared" si="200"/>
        <v/>
      </c>
      <c r="AC469" s="153" t="str">
        <f t="shared" si="192"/>
        <v/>
      </c>
      <c r="AD469" s="153" t="str">
        <f t="shared" si="193"/>
        <v/>
      </c>
      <c r="AE469" s="153" t="str">
        <f t="shared" si="194"/>
        <v/>
      </c>
      <c r="AF469" s="155" t="e">
        <f>LOOKUP(2,1/(Lookups!$I$2:$I$11&lt;=E469)/(Lookups!$J$2:$J$11&gt;=E469),Lookups!$L$2:$L$11)</f>
        <v>#N/A</v>
      </c>
      <c r="AG469" s="142" t="str">
        <f t="shared" si="195"/>
        <v/>
      </c>
      <c r="AH469" s="142" t="str">
        <f t="shared" si="196"/>
        <v/>
      </c>
      <c r="AI469" s="143" t="b">
        <f t="shared" si="201"/>
        <v>0</v>
      </c>
      <c r="AJ469" s="143" t="str">
        <f t="shared" si="197"/>
        <v>Level 1</v>
      </c>
      <c r="AK469" s="142">
        <f t="shared" si="198"/>
        <v>0</v>
      </c>
      <c r="AL469" s="157" t="str">
        <f t="shared" ref="AL469:AL518" si="206">IF(F469="Renewal"," Renewal",IF(F469="Smartpay_Renewal","_Renewal",""))</f>
        <v/>
      </c>
      <c r="AM469" s="144" t="str">
        <f t="shared" ref="AM469:AM518" si="207">IF(NOT($AI469="TOU"),CONCATENATE($AG469,"-",$AH469,"-",$AI469,"-",$AK469,$AL469,IF(AJ469="Level 2",CONCATENATE(" (",AJ469,")"),"")),CONCATENATE($AG469,"-",$AH469,"-",$AI469,"-",$AK469,$AL469,IF(AJ469="Level 2",CONCATENATE(" (",AJ469,")"),"")))</f>
        <v>--FALSE-0</v>
      </c>
      <c r="AN469" s="158" t="str">
        <f t="shared" si="202"/>
        <v/>
      </c>
      <c r="AO469" s="145"/>
      <c r="AP469" s="159" t="str">
        <f>IF($AN469=FALSE,"",IFERROR(INDEX('Flat Rates'!$A$1:$M$3880,MATCH($AM469,'Flat Rates'!$A$1:$A$3880,0),MATCH("Standing Charge",'Flat Rates'!$A$1:$M$1,0))*100,""))</f>
        <v/>
      </c>
      <c r="AQ469" s="148" t="str">
        <f>IF($AN469=FALSE,"",IFERROR((IF(NOT(T469="Unrestricted"),"",INDEX('Flat Rates'!$A$1:$M$3880,MATCH($AM469,'Flat Rates'!$A$1:$A$3880,0),MATCH("Uni/Day Rate",'Flat Rates'!$A$1:$M$1,0)))*100)+H469,""))</f>
        <v/>
      </c>
      <c r="AR469" s="148" t="str">
        <f>IF($AN469=FALSE,"",IFERROR((IF(T469="Unrestricted","",INDEX('Flat Rates'!$A$1:$M$3880,MATCH($AM469,'Flat Rates'!$A$1:$A$3880,0),MATCH("Uni/Day Rate",'Flat Rates'!$A$1:$M$1,0)))*100)+H469,""))</f>
        <v/>
      </c>
      <c r="AS469" s="148" t="str">
        <f>IF($AN469=FALSE,"",IFERROR(IF(INDEX('Flat Rates'!$A$1:$M$3880,MATCH($AM469,'Flat Rates'!$A$1:$A$3880,0),MATCH("Night Unit Rate",'Flat Rates'!$A$1:$M$1,0))=0,"",((INDEX('Flat Rates'!$A$1:$M$3880,MATCH($AM469,'Flat Rates'!$A$1:$A$3880,0),MATCH("Night Unit Rate",'Flat Rates'!$A$1:$M$1,0)))*100)+H469),""))</f>
        <v/>
      </c>
      <c r="AT469" s="148" t="str">
        <f>IF($AN469=FALSE,"",IFERROR(IF(INDEX('Flat Rates'!$A$1:$M$3880,MATCH($AM469,'Flat Rates'!$A$1:$A$3880,0),MATCH("Evening and Weekend Rate",'Flat Rates'!$A$1:$M$1,0))=0,"",((INDEX('Flat Rates'!$A$1:$M$3880,MATCH($AM469,'Flat Rates'!$A$1:$A$3880,0),MATCH("Evening and Weekend Rate",'Flat Rates'!$A$1:$M$1,0)))*100)+H469),""))</f>
        <v/>
      </c>
      <c r="AU469" s="152" t="str">
        <f t="shared" si="203"/>
        <v/>
      </c>
      <c r="AV469" s="152" t="str">
        <f t="shared" si="204"/>
        <v/>
      </c>
      <c r="AW469" s="152" t="str">
        <f t="shared" si="205"/>
        <v/>
      </c>
    </row>
    <row r="470" spans="2:49" ht="15" thickBot="1" x14ac:dyDescent="0.35">
      <c r="B470" s="138" t="str">
        <f t="shared" si="182"/>
        <v/>
      </c>
      <c r="C470" s="146"/>
      <c r="D470" s="147"/>
      <c r="E470" s="140"/>
      <c r="F470" s="140"/>
      <c r="G470" s="139"/>
      <c r="H470" s="151"/>
      <c r="I470" s="139"/>
      <c r="J470" s="137"/>
      <c r="K470" s="139"/>
      <c r="L470" s="141"/>
      <c r="M470" s="133" t="str">
        <f t="shared" si="183"/>
        <v/>
      </c>
      <c r="N470" s="133" t="str">
        <f t="shared" si="184"/>
        <v/>
      </c>
      <c r="O470" s="133" t="str">
        <f t="shared" si="185"/>
        <v/>
      </c>
      <c r="P470" s="133" t="str">
        <f t="shared" si="186"/>
        <v/>
      </c>
      <c r="Q470" s="133" t="str">
        <f t="shared" si="187"/>
        <v/>
      </c>
      <c r="R470" s="133" t="str">
        <f t="shared" si="188"/>
        <v/>
      </c>
      <c r="S470" s="133" t="str">
        <f t="shared" si="189"/>
        <v/>
      </c>
      <c r="T470" s="133" t="str">
        <f>IFERROR(IF($U470="ERROR","ERROR",IF($N470="00",IF(J470="1-Rate","HH 1RATE",IF(J470="2-Rate","HH 2RATE","")),IFERROR(VLOOKUP(CONCATENATE(N470,Q470,O470,P470),Lookups!$A$2:$E$4557,5,0),VLOOKUP(CONCATENATE(N470,Q470,O470),Lookups!$A$2:$E$4557,5,0)))),"ERROR")</f>
        <v>ERROR</v>
      </c>
      <c r="U470" s="133" t="str">
        <f>IFERROR(IF(NOT($N470="00"),"",VLOOKUP(CONCATENATE(Q470,P470,LOOKUP(2,1/(Lookups!$I$2:$I$11&lt;=E470)/(Lookups!$J$2:$J$11&gt;=Tool!$C$14),Lookups!$K$2:$K$11)),'HH LLFs'!$A$2:$K$500,3,0)),"ERROR")</f>
        <v/>
      </c>
      <c r="V470" s="132">
        <f>Calcs!$I$2</f>
        <v>44377</v>
      </c>
      <c r="W470" s="132">
        <f>Calcs!$I$4</f>
        <v>44592</v>
      </c>
      <c r="X470" s="153" t="str">
        <f>IF(NOT(N470="00"),"",(VLOOKUP(CONCATENATE(Q470,P470,LOOKUP(2,1/(Lookups!$I$2:$I$11&lt;=Multisite!E470)/(Lookups!$J$2:$J$11&gt;=E470),Lookups!$K$2:$K$11)),'HH LLFs'!$A$2:$F$282,6,0)*365)/12)</f>
        <v/>
      </c>
      <c r="Y470" s="153">
        <f t="shared" si="190"/>
        <v>0</v>
      </c>
      <c r="Z470" s="153" t="str">
        <f t="shared" si="199"/>
        <v/>
      </c>
      <c r="AA470" s="153" t="str">
        <f t="shared" si="191"/>
        <v/>
      </c>
      <c r="AB470" s="153" t="str">
        <f t="shared" si="200"/>
        <v/>
      </c>
      <c r="AC470" s="153" t="str">
        <f t="shared" si="192"/>
        <v/>
      </c>
      <c r="AD470" s="153" t="str">
        <f t="shared" si="193"/>
        <v/>
      </c>
      <c r="AE470" s="153" t="str">
        <f t="shared" si="194"/>
        <v/>
      </c>
      <c r="AF470" s="155" t="e">
        <f>LOOKUP(2,1/(Lookups!$I$2:$I$11&lt;=E470)/(Lookups!$J$2:$J$11&gt;=E470),Lookups!$L$2:$L$11)</f>
        <v>#N/A</v>
      </c>
      <c r="AG470" s="142" t="str">
        <f t="shared" si="195"/>
        <v/>
      </c>
      <c r="AH470" s="142" t="str">
        <f t="shared" si="196"/>
        <v/>
      </c>
      <c r="AI470" s="143" t="b">
        <f t="shared" si="201"/>
        <v>0</v>
      </c>
      <c r="AJ470" s="143" t="str">
        <f t="shared" si="197"/>
        <v>Level 1</v>
      </c>
      <c r="AK470" s="142">
        <f t="shared" si="198"/>
        <v>0</v>
      </c>
      <c r="AL470" s="157" t="str">
        <f t="shared" si="206"/>
        <v/>
      </c>
      <c r="AM470" s="144" t="str">
        <f t="shared" si="207"/>
        <v>--FALSE-0</v>
      </c>
      <c r="AN470" s="158" t="str">
        <f t="shared" si="202"/>
        <v/>
      </c>
      <c r="AO470" s="145"/>
      <c r="AP470" s="159" t="str">
        <f>IF($AN470=FALSE,"",IFERROR(INDEX('Flat Rates'!$A$1:$M$3880,MATCH($AM470,'Flat Rates'!$A$1:$A$3880,0),MATCH("Standing Charge",'Flat Rates'!$A$1:$M$1,0))*100,""))</f>
        <v/>
      </c>
      <c r="AQ470" s="148" t="str">
        <f>IF($AN470=FALSE,"",IFERROR((IF(NOT(T470="Unrestricted"),"",INDEX('Flat Rates'!$A$1:$M$3880,MATCH($AM470,'Flat Rates'!$A$1:$A$3880,0),MATCH("Uni/Day Rate",'Flat Rates'!$A$1:$M$1,0)))*100)+H470,""))</f>
        <v/>
      </c>
      <c r="AR470" s="148" t="str">
        <f>IF($AN470=FALSE,"",IFERROR((IF(T470="Unrestricted","",INDEX('Flat Rates'!$A$1:$M$3880,MATCH($AM470,'Flat Rates'!$A$1:$A$3880,0),MATCH("Uni/Day Rate",'Flat Rates'!$A$1:$M$1,0)))*100)+H470,""))</f>
        <v/>
      </c>
      <c r="AS470" s="148" t="str">
        <f>IF($AN470=FALSE,"",IFERROR(IF(INDEX('Flat Rates'!$A$1:$M$3880,MATCH($AM470,'Flat Rates'!$A$1:$A$3880,0),MATCH("Night Unit Rate",'Flat Rates'!$A$1:$M$1,0))=0,"",((INDEX('Flat Rates'!$A$1:$M$3880,MATCH($AM470,'Flat Rates'!$A$1:$A$3880,0),MATCH("Night Unit Rate",'Flat Rates'!$A$1:$M$1,0)))*100)+H470),""))</f>
        <v/>
      </c>
      <c r="AT470" s="148" t="str">
        <f>IF($AN470=FALSE,"",IFERROR(IF(INDEX('Flat Rates'!$A$1:$M$3880,MATCH($AM470,'Flat Rates'!$A$1:$A$3880,0),MATCH("Evening and Weekend Rate",'Flat Rates'!$A$1:$M$1,0))=0,"",((INDEX('Flat Rates'!$A$1:$M$3880,MATCH($AM470,'Flat Rates'!$A$1:$A$3880,0),MATCH("Evening and Weekend Rate",'Flat Rates'!$A$1:$M$1,0)))*100)+H470),""))</f>
        <v/>
      </c>
      <c r="AU470" s="152" t="str">
        <f t="shared" si="203"/>
        <v/>
      </c>
      <c r="AV470" s="152" t="str">
        <f t="shared" si="204"/>
        <v/>
      </c>
      <c r="AW470" s="152" t="str">
        <f t="shared" si="205"/>
        <v/>
      </c>
    </row>
    <row r="471" spans="2:49" ht="15" thickBot="1" x14ac:dyDescent="0.35">
      <c r="B471" s="138" t="str">
        <f t="shared" si="182"/>
        <v/>
      </c>
      <c r="C471" s="137"/>
      <c r="D471" s="139"/>
      <c r="E471" s="140"/>
      <c r="F471" s="140"/>
      <c r="G471" s="139"/>
      <c r="H471" s="151"/>
      <c r="I471" s="139"/>
      <c r="J471" s="138"/>
      <c r="K471" s="139"/>
      <c r="L471" s="141"/>
      <c r="M471" s="133" t="str">
        <f t="shared" si="183"/>
        <v/>
      </c>
      <c r="N471" s="133" t="str">
        <f t="shared" si="184"/>
        <v/>
      </c>
      <c r="O471" s="133" t="str">
        <f t="shared" si="185"/>
        <v/>
      </c>
      <c r="P471" s="133" t="str">
        <f t="shared" si="186"/>
        <v/>
      </c>
      <c r="Q471" s="133" t="str">
        <f t="shared" si="187"/>
        <v/>
      </c>
      <c r="R471" s="133" t="str">
        <f t="shared" si="188"/>
        <v/>
      </c>
      <c r="S471" s="133" t="str">
        <f t="shared" si="189"/>
        <v/>
      </c>
      <c r="T471" s="133" t="str">
        <f>IFERROR(IF($U471="ERROR","ERROR",IF($N471="00",IF(J471="1-Rate","HH 1RATE",IF(J471="2-Rate","HH 2RATE","")),IFERROR(VLOOKUP(CONCATENATE(N471,Q471,O471,P471),Lookups!$A$2:$E$4557,5,0),VLOOKUP(CONCATENATE(N471,Q471,O471),Lookups!$A$2:$E$4557,5,0)))),"ERROR")</f>
        <v>ERROR</v>
      </c>
      <c r="U471" s="133" t="str">
        <f>IFERROR(IF(NOT($N471="00"),"",VLOOKUP(CONCATENATE(Q471,P471,LOOKUP(2,1/(Lookups!$I$2:$I$11&lt;=E471)/(Lookups!$J$2:$J$11&gt;=Tool!$C$14),Lookups!$K$2:$K$11)),'HH LLFs'!$A$2:$K$500,3,0)),"ERROR")</f>
        <v/>
      </c>
      <c r="V471" s="132">
        <f>Calcs!$I$2</f>
        <v>44377</v>
      </c>
      <c r="W471" s="132">
        <f>Calcs!$I$4</f>
        <v>44592</v>
      </c>
      <c r="X471" s="153" t="str">
        <f>IF(NOT(N471="00"),"",(VLOOKUP(CONCATENATE(Q471,P471,LOOKUP(2,1/(Lookups!$I$2:$I$11&lt;=Multisite!E471)/(Lookups!$J$2:$J$11&gt;=E471),Lookups!$K$2:$K$11)),'HH LLFs'!$A$2:$F$282,6,0)*365)/12)</f>
        <v/>
      </c>
      <c r="Y471" s="153">
        <f t="shared" si="190"/>
        <v>0</v>
      </c>
      <c r="Z471" s="153" t="str">
        <f t="shared" si="199"/>
        <v/>
      </c>
      <c r="AA471" s="153" t="str">
        <f t="shared" si="191"/>
        <v/>
      </c>
      <c r="AB471" s="153" t="str">
        <f t="shared" si="200"/>
        <v/>
      </c>
      <c r="AC471" s="153" t="str">
        <f t="shared" si="192"/>
        <v/>
      </c>
      <c r="AD471" s="153" t="str">
        <f t="shared" si="193"/>
        <v/>
      </c>
      <c r="AE471" s="153" t="str">
        <f t="shared" si="194"/>
        <v/>
      </c>
      <c r="AF471" s="155" t="e">
        <f>LOOKUP(2,1/(Lookups!$I$2:$I$11&lt;=E471)/(Lookups!$J$2:$J$11&gt;=E471),Lookups!$L$2:$L$11)</f>
        <v>#N/A</v>
      </c>
      <c r="AG471" s="142" t="str">
        <f t="shared" si="195"/>
        <v/>
      </c>
      <c r="AH471" s="142" t="str">
        <f t="shared" si="196"/>
        <v/>
      </c>
      <c r="AI471" s="143" t="b">
        <f t="shared" si="201"/>
        <v>0</v>
      </c>
      <c r="AJ471" s="143" t="str">
        <f t="shared" si="197"/>
        <v>Level 1</v>
      </c>
      <c r="AK471" s="142">
        <f t="shared" si="198"/>
        <v>0</v>
      </c>
      <c r="AL471" s="157" t="str">
        <f t="shared" si="206"/>
        <v/>
      </c>
      <c r="AM471" s="144" t="str">
        <f t="shared" si="207"/>
        <v>--FALSE-0</v>
      </c>
      <c r="AN471" s="158" t="str">
        <f t="shared" si="202"/>
        <v/>
      </c>
      <c r="AO471" s="145"/>
      <c r="AP471" s="159" t="str">
        <f>IF($AN471=FALSE,"",IFERROR(INDEX('Flat Rates'!$A$1:$M$3880,MATCH($AM471,'Flat Rates'!$A$1:$A$3880,0),MATCH("Standing Charge",'Flat Rates'!$A$1:$M$1,0))*100,""))</f>
        <v/>
      </c>
      <c r="AQ471" s="148" t="str">
        <f>IF($AN471=FALSE,"",IFERROR((IF(NOT(T471="Unrestricted"),"",INDEX('Flat Rates'!$A$1:$M$3880,MATCH($AM471,'Flat Rates'!$A$1:$A$3880,0),MATCH("Uni/Day Rate",'Flat Rates'!$A$1:$M$1,0)))*100)+H471,""))</f>
        <v/>
      </c>
      <c r="AR471" s="148" t="str">
        <f>IF($AN471=FALSE,"",IFERROR((IF(T471="Unrestricted","",INDEX('Flat Rates'!$A$1:$M$3880,MATCH($AM471,'Flat Rates'!$A$1:$A$3880,0),MATCH("Uni/Day Rate",'Flat Rates'!$A$1:$M$1,0)))*100)+H471,""))</f>
        <v/>
      </c>
      <c r="AS471" s="148" t="str">
        <f>IF($AN471=FALSE,"",IFERROR(IF(INDEX('Flat Rates'!$A$1:$M$3880,MATCH($AM471,'Flat Rates'!$A$1:$A$3880,0),MATCH("Night Unit Rate",'Flat Rates'!$A$1:$M$1,0))=0,"",((INDEX('Flat Rates'!$A$1:$M$3880,MATCH($AM471,'Flat Rates'!$A$1:$A$3880,0),MATCH("Night Unit Rate",'Flat Rates'!$A$1:$M$1,0)))*100)+H471),""))</f>
        <v/>
      </c>
      <c r="AT471" s="148" t="str">
        <f>IF($AN471=FALSE,"",IFERROR(IF(INDEX('Flat Rates'!$A$1:$M$3880,MATCH($AM471,'Flat Rates'!$A$1:$A$3880,0),MATCH("Evening and Weekend Rate",'Flat Rates'!$A$1:$M$1,0))=0,"",((INDEX('Flat Rates'!$A$1:$M$3880,MATCH($AM471,'Flat Rates'!$A$1:$A$3880,0),MATCH("Evening and Weekend Rate",'Flat Rates'!$A$1:$M$1,0)))*100)+H471),""))</f>
        <v/>
      </c>
      <c r="AU471" s="152" t="str">
        <f t="shared" si="203"/>
        <v/>
      </c>
      <c r="AV471" s="152" t="str">
        <f t="shared" si="204"/>
        <v/>
      </c>
      <c r="AW471" s="152" t="str">
        <f t="shared" si="205"/>
        <v/>
      </c>
    </row>
    <row r="472" spans="2:49" ht="15" thickBot="1" x14ac:dyDescent="0.35">
      <c r="B472" s="138" t="str">
        <f t="shared" si="182"/>
        <v/>
      </c>
      <c r="C472" s="146"/>
      <c r="D472" s="147"/>
      <c r="E472" s="140"/>
      <c r="F472" s="140"/>
      <c r="G472" s="139"/>
      <c r="H472" s="151"/>
      <c r="I472" s="139"/>
      <c r="J472" s="137"/>
      <c r="K472" s="139"/>
      <c r="L472" s="141"/>
      <c r="M472" s="133" t="str">
        <f t="shared" si="183"/>
        <v/>
      </c>
      <c r="N472" s="133" t="str">
        <f t="shared" si="184"/>
        <v/>
      </c>
      <c r="O472" s="133" t="str">
        <f t="shared" si="185"/>
        <v/>
      </c>
      <c r="P472" s="133" t="str">
        <f t="shared" si="186"/>
        <v/>
      </c>
      <c r="Q472" s="133" t="str">
        <f t="shared" si="187"/>
        <v/>
      </c>
      <c r="R472" s="133" t="str">
        <f t="shared" si="188"/>
        <v/>
      </c>
      <c r="S472" s="133" t="str">
        <f t="shared" si="189"/>
        <v/>
      </c>
      <c r="T472" s="133" t="str">
        <f>IFERROR(IF($U472="ERROR","ERROR",IF($N472="00",IF(J472="1-Rate","HH 1RATE",IF(J472="2-Rate","HH 2RATE","")),IFERROR(VLOOKUP(CONCATENATE(N472,Q472,O472,P472),Lookups!$A$2:$E$4557,5,0),VLOOKUP(CONCATENATE(N472,Q472,O472),Lookups!$A$2:$E$4557,5,0)))),"ERROR")</f>
        <v>ERROR</v>
      </c>
      <c r="U472" s="133" t="str">
        <f>IFERROR(IF(NOT($N472="00"),"",VLOOKUP(CONCATENATE(Q472,P472,LOOKUP(2,1/(Lookups!$I$2:$I$11&lt;=E472)/(Lookups!$J$2:$J$11&gt;=Tool!$C$14),Lookups!$K$2:$K$11)),'HH LLFs'!$A$2:$K$500,3,0)),"ERROR")</f>
        <v/>
      </c>
      <c r="V472" s="132">
        <f>Calcs!$I$2</f>
        <v>44377</v>
      </c>
      <c r="W472" s="132">
        <f>Calcs!$I$4</f>
        <v>44592</v>
      </c>
      <c r="X472" s="153" t="str">
        <f>IF(NOT(N472="00"),"",(VLOOKUP(CONCATENATE(Q472,P472,LOOKUP(2,1/(Lookups!$I$2:$I$11&lt;=Multisite!E472)/(Lookups!$J$2:$J$11&gt;=E472),Lookups!$K$2:$K$11)),'HH LLFs'!$A$2:$F$282,6,0)*365)/12)</f>
        <v/>
      </c>
      <c r="Y472" s="153">
        <f t="shared" si="190"/>
        <v>0</v>
      </c>
      <c r="Z472" s="153" t="str">
        <f t="shared" si="199"/>
        <v/>
      </c>
      <c r="AA472" s="153" t="str">
        <f t="shared" si="191"/>
        <v/>
      </c>
      <c r="AB472" s="153" t="str">
        <f t="shared" si="200"/>
        <v/>
      </c>
      <c r="AC472" s="153" t="str">
        <f t="shared" si="192"/>
        <v/>
      </c>
      <c r="AD472" s="153" t="str">
        <f t="shared" si="193"/>
        <v/>
      </c>
      <c r="AE472" s="153" t="str">
        <f t="shared" si="194"/>
        <v/>
      </c>
      <c r="AF472" s="155" t="e">
        <f>LOOKUP(2,1/(Lookups!$I$2:$I$11&lt;=E472)/(Lookups!$J$2:$J$11&gt;=E472),Lookups!$L$2:$L$11)</f>
        <v>#N/A</v>
      </c>
      <c r="AG472" s="142" t="str">
        <f t="shared" si="195"/>
        <v/>
      </c>
      <c r="AH472" s="142" t="str">
        <f t="shared" si="196"/>
        <v/>
      </c>
      <c r="AI472" s="143" t="b">
        <f t="shared" si="201"/>
        <v>0</v>
      </c>
      <c r="AJ472" s="143" t="str">
        <f t="shared" si="197"/>
        <v>Level 1</v>
      </c>
      <c r="AK472" s="142">
        <f t="shared" si="198"/>
        <v>0</v>
      </c>
      <c r="AL472" s="157" t="str">
        <f t="shared" si="206"/>
        <v/>
      </c>
      <c r="AM472" s="144" t="str">
        <f t="shared" si="207"/>
        <v>--FALSE-0</v>
      </c>
      <c r="AN472" s="158" t="str">
        <f t="shared" si="202"/>
        <v/>
      </c>
      <c r="AO472" s="145"/>
      <c r="AP472" s="159" t="str">
        <f>IF($AN472=FALSE,"",IFERROR(INDEX('Flat Rates'!$A$1:$M$3880,MATCH($AM472,'Flat Rates'!$A$1:$A$3880,0),MATCH("Standing Charge",'Flat Rates'!$A$1:$M$1,0))*100,""))</f>
        <v/>
      </c>
      <c r="AQ472" s="148" t="str">
        <f>IF($AN472=FALSE,"",IFERROR((IF(NOT(T472="Unrestricted"),"",INDEX('Flat Rates'!$A$1:$M$3880,MATCH($AM472,'Flat Rates'!$A$1:$A$3880,0),MATCH("Uni/Day Rate",'Flat Rates'!$A$1:$M$1,0)))*100)+H472,""))</f>
        <v/>
      </c>
      <c r="AR472" s="148" t="str">
        <f>IF($AN472=FALSE,"",IFERROR((IF(T472="Unrestricted","",INDEX('Flat Rates'!$A$1:$M$3880,MATCH($AM472,'Flat Rates'!$A$1:$A$3880,0),MATCH("Uni/Day Rate",'Flat Rates'!$A$1:$M$1,0)))*100)+H472,""))</f>
        <v/>
      </c>
      <c r="AS472" s="148" t="str">
        <f>IF($AN472=FALSE,"",IFERROR(IF(INDEX('Flat Rates'!$A$1:$M$3880,MATCH($AM472,'Flat Rates'!$A$1:$A$3880,0),MATCH("Night Unit Rate",'Flat Rates'!$A$1:$M$1,0))=0,"",((INDEX('Flat Rates'!$A$1:$M$3880,MATCH($AM472,'Flat Rates'!$A$1:$A$3880,0),MATCH("Night Unit Rate",'Flat Rates'!$A$1:$M$1,0)))*100)+H472),""))</f>
        <v/>
      </c>
      <c r="AT472" s="148" t="str">
        <f>IF($AN472=FALSE,"",IFERROR(IF(INDEX('Flat Rates'!$A$1:$M$3880,MATCH($AM472,'Flat Rates'!$A$1:$A$3880,0),MATCH("Evening and Weekend Rate",'Flat Rates'!$A$1:$M$1,0))=0,"",((INDEX('Flat Rates'!$A$1:$M$3880,MATCH($AM472,'Flat Rates'!$A$1:$A$3880,0),MATCH("Evening and Weekend Rate",'Flat Rates'!$A$1:$M$1,0)))*100)+H472),""))</f>
        <v/>
      </c>
      <c r="AU472" s="152" t="str">
        <f t="shared" si="203"/>
        <v/>
      </c>
      <c r="AV472" s="152" t="str">
        <f t="shared" si="204"/>
        <v/>
      </c>
      <c r="AW472" s="152" t="str">
        <f t="shared" si="205"/>
        <v/>
      </c>
    </row>
    <row r="473" spans="2:49" ht="15" thickBot="1" x14ac:dyDescent="0.35">
      <c r="B473" s="138" t="str">
        <f t="shared" si="182"/>
        <v/>
      </c>
      <c r="C473" s="137"/>
      <c r="D473" s="139"/>
      <c r="E473" s="140"/>
      <c r="F473" s="140"/>
      <c r="G473" s="139"/>
      <c r="H473" s="151"/>
      <c r="I473" s="139"/>
      <c r="J473" s="138"/>
      <c r="K473" s="139"/>
      <c r="L473" s="141"/>
      <c r="M473" s="133" t="str">
        <f t="shared" si="183"/>
        <v/>
      </c>
      <c r="N473" s="133" t="str">
        <f t="shared" si="184"/>
        <v/>
      </c>
      <c r="O473" s="133" t="str">
        <f t="shared" si="185"/>
        <v/>
      </c>
      <c r="P473" s="133" t="str">
        <f t="shared" si="186"/>
        <v/>
      </c>
      <c r="Q473" s="133" t="str">
        <f t="shared" si="187"/>
        <v/>
      </c>
      <c r="R473" s="133" t="str">
        <f t="shared" si="188"/>
        <v/>
      </c>
      <c r="S473" s="133" t="str">
        <f t="shared" si="189"/>
        <v/>
      </c>
      <c r="T473" s="133" t="str">
        <f>IFERROR(IF($U473="ERROR","ERROR",IF($N473="00",IF(J473="1-Rate","HH 1RATE",IF(J473="2-Rate","HH 2RATE","")),IFERROR(VLOOKUP(CONCATENATE(N473,Q473,O473,P473),Lookups!$A$2:$E$4557,5,0),VLOOKUP(CONCATENATE(N473,Q473,O473),Lookups!$A$2:$E$4557,5,0)))),"ERROR")</f>
        <v>ERROR</v>
      </c>
      <c r="U473" s="133" t="str">
        <f>IFERROR(IF(NOT($N473="00"),"",VLOOKUP(CONCATENATE(Q473,P473,LOOKUP(2,1/(Lookups!$I$2:$I$11&lt;=E473)/(Lookups!$J$2:$J$11&gt;=Tool!$C$14),Lookups!$K$2:$K$11)),'HH LLFs'!$A$2:$K$500,3,0)),"ERROR")</f>
        <v/>
      </c>
      <c r="V473" s="132">
        <f>Calcs!$I$2</f>
        <v>44377</v>
      </c>
      <c r="W473" s="132">
        <f>Calcs!$I$4</f>
        <v>44592</v>
      </c>
      <c r="X473" s="153" t="str">
        <f>IF(NOT(N473="00"),"",(VLOOKUP(CONCATENATE(Q473,P473,LOOKUP(2,1/(Lookups!$I$2:$I$11&lt;=Multisite!E473)/(Lookups!$J$2:$J$11&gt;=E473),Lookups!$K$2:$K$11)),'HH LLFs'!$A$2:$F$282,6,0)*365)/12)</f>
        <v/>
      </c>
      <c r="Y473" s="153">
        <f t="shared" si="190"/>
        <v>0</v>
      </c>
      <c r="Z473" s="153" t="str">
        <f t="shared" si="199"/>
        <v/>
      </c>
      <c r="AA473" s="153" t="str">
        <f t="shared" si="191"/>
        <v/>
      </c>
      <c r="AB473" s="153" t="str">
        <f t="shared" si="200"/>
        <v/>
      </c>
      <c r="AC473" s="153" t="str">
        <f t="shared" si="192"/>
        <v/>
      </c>
      <c r="AD473" s="153" t="str">
        <f t="shared" si="193"/>
        <v/>
      </c>
      <c r="AE473" s="153" t="str">
        <f t="shared" si="194"/>
        <v/>
      </c>
      <c r="AF473" s="155" t="e">
        <f>LOOKUP(2,1/(Lookups!$I$2:$I$11&lt;=E473)/(Lookups!$J$2:$J$11&gt;=E473),Lookups!$L$2:$L$11)</f>
        <v>#N/A</v>
      </c>
      <c r="AG473" s="142" t="str">
        <f t="shared" si="195"/>
        <v/>
      </c>
      <c r="AH473" s="142" t="str">
        <f t="shared" si="196"/>
        <v/>
      </c>
      <c r="AI473" s="143" t="b">
        <f t="shared" si="201"/>
        <v>0</v>
      </c>
      <c r="AJ473" s="143" t="str">
        <f t="shared" si="197"/>
        <v>Level 1</v>
      </c>
      <c r="AK473" s="142">
        <f t="shared" si="198"/>
        <v>0</v>
      </c>
      <c r="AL473" s="157" t="str">
        <f t="shared" si="206"/>
        <v/>
      </c>
      <c r="AM473" s="144" t="str">
        <f t="shared" si="207"/>
        <v>--FALSE-0</v>
      </c>
      <c r="AN473" s="158" t="str">
        <f t="shared" si="202"/>
        <v/>
      </c>
      <c r="AO473" s="145"/>
      <c r="AP473" s="159" t="str">
        <f>IF($AN473=FALSE,"",IFERROR(INDEX('Flat Rates'!$A$1:$M$3880,MATCH($AM473,'Flat Rates'!$A$1:$A$3880,0),MATCH("Standing Charge",'Flat Rates'!$A$1:$M$1,0))*100,""))</f>
        <v/>
      </c>
      <c r="AQ473" s="148" t="str">
        <f>IF($AN473=FALSE,"",IFERROR((IF(NOT(T473="Unrestricted"),"",INDEX('Flat Rates'!$A$1:$M$3880,MATCH($AM473,'Flat Rates'!$A$1:$A$3880,0),MATCH("Uni/Day Rate",'Flat Rates'!$A$1:$M$1,0)))*100)+H473,""))</f>
        <v/>
      </c>
      <c r="AR473" s="148" t="str">
        <f>IF($AN473=FALSE,"",IFERROR((IF(T473="Unrestricted","",INDEX('Flat Rates'!$A$1:$M$3880,MATCH($AM473,'Flat Rates'!$A$1:$A$3880,0),MATCH("Uni/Day Rate",'Flat Rates'!$A$1:$M$1,0)))*100)+H473,""))</f>
        <v/>
      </c>
      <c r="AS473" s="148" t="str">
        <f>IF($AN473=FALSE,"",IFERROR(IF(INDEX('Flat Rates'!$A$1:$M$3880,MATCH($AM473,'Flat Rates'!$A$1:$A$3880,0),MATCH("Night Unit Rate",'Flat Rates'!$A$1:$M$1,0))=0,"",((INDEX('Flat Rates'!$A$1:$M$3880,MATCH($AM473,'Flat Rates'!$A$1:$A$3880,0),MATCH("Night Unit Rate",'Flat Rates'!$A$1:$M$1,0)))*100)+H473),""))</f>
        <v/>
      </c>
      <c r="AT473" s="148" t="str">
        <f>IF($AN473=FALSE,"",IFERROR(IF(INDEX('Flat Rates'!$A$1:$M$3880,MATCH($AM473,'Flat Rates'!$A$1:$A$3880,0),MATCH("Evening and Weekend Rate",'Flat Rates'!$A$1:$M$1,0))=0,"",((INDEX('Flat Rates'!$A$1:$M$3880,MATCH($AM473,'Flat Rates'!$A$1:$A$3880,0),MATCH("Evening and Weekend Rate",'Flat Rates'!$A$1:$M$1,0)))*100)+H473),""))</f>
        <v/>
      </c>
      <c r="AU473" s="152" t="str">
        <f t="shared" si="203"/>
        <v/>
      </c>
      <c r="AV473" s="152" t="str">
        <f t="shared" si="204"/>
        <v/>
      </c>
      <c r="AW473" s="152" t="str">
        <f t="shared" si="205"/>
        <v/>
      </c>
    </row>
    <row r="474" spans="2:49" ht="15" thickBot="1" x14ac:dyDescent="0.35">
      <c r="B474" s="138" t="str">
        <f t="shared" si="182"/>
        <v/>
      </c>
      <c r="C474" s="146"/>
      <c r="D474" s="147"/>
      <c r="E474" s="140"/>
      <c r="F474" s="140"/>
      <c r="G474" s="139"/>
      <c r="H474" s="151"/>
      <c r="I474" s="139"/>
      <c r="J474" s="137"/>
      <c r="K474" s="139"/>
      <c r="L474" s="141"/>
      <c r="M474" s="133" t="str">
        <f t="shared" si="183"/>
        <v/>
      </c>
      <c r="N474" s="133" t="str">
        <f t="shared" si="184"/>
        <v/>
      </c>
      <c r="O474" s="133" t="str">
        <f t="shared" si="185"/>
        <v/>
      </c>
      <c r="P474" s="133" t="str">
        <f t="shared" si="186"/>
        <v/>
      </c>
      <c r="Q474" s="133" t="str">
        <f t="shared" si="187"/>
        <v/>
      </c>
      <c r="R474" s="133" t="str">
        <f t="shared" si="188"/>
        <v/>
      </c>
      <c r="S474" s="133" t="str">
        <f t="shared" si="189"/>
        <v/>
      </c>
      <c r="T474" s="133" t="str">
        <f>IFERROR(IF($U474="ERROR","ERROR",IF($N474="00",IF(J474="1-Rate","HH 1RATE",IF(J474="2-Rate","HH 2RATE","")),IFERROR(VLOOKUP(CONCATENATE(N474,Q474,O474,P474),Lookups!$A$2:$E$4557,5,0),VLOOKUP(CONCATENATE(N474,Q474,O474),Lookups!$A$2:$E$4557,5,0)))),"ERROR")</f>
        <v>ERROR</v>
      </c>
      <c r="U474" s="133" t="str">
        <f>IFERROR(IF(NOT($N474="00"),"",VLOOKUP(CONCATENATE(Q474,P474,LOOKUP(2,1/(Lookups!$I$2:$I$11&lt;=E474)/(Lookups!$J$2:$J$11&gt;=Tool!$C$14),Lookups!$K$2:$K$11)),'HH LLFs'!$A$2:$K$500,3,0)),"ERROR")</f>
        <v/>
      </c>
      <c r="V474" s="132">
        <f>Calcs!$I$2</f>
        <v>44377</v>
      </c>
      <c r="W474" s="132">
        <f>Calcs!$I$4</f>
        <v>44592</v>
      </c>
      <c r="X474" s="153" t="str">
        <f>IF(NOT(N474="00"),"",(VLOOKUP(CONCATENATE(Q474,P474,LOOKUP(2,1/(Lookups!$I$2:$I$11&lt;=Multisite!E474)/(Lookups!$J$2:$J$11&gt;=E474),Lookups!$K$2:$K$11)),'HH LLFs'!$A$2:$F$282,6,0)*365)/12)</f>
        <v/>
      </c>
      <c r="Y474" s="153">
        <f t="shared" si="190"/>
        <v>0</v>
      </c>
      <c r="Z474" s="153" t="str">
        <f t="shared" si="199"/>
        <v/>
      </c>
      <c r="AA474" s="153" t="str">
        <f t="shared" si="191"/>
        <v/>
      </c>
      <c r="AB474" s="153" t="str">
        <f t="shared" si="200"/>
        <v/>
      </c>
      <c r="AC474" s="153" t="str">
        <f t="shared" si="192"/>
        <v/>
      </c>
      <c r="AD474" s="153" t="str">
        <f t="shared" si="193"/>
        <v/>
      </c>
      <c r="AE474" s="153" t="str">
        <f t="shared" si="194"/>
        <v/>
      </c>
      <c r="AF474" s="155" t="e">
        <f>LOOKUP(2,1/(Lookups!$I$2:$I$11&lt;=E474)/(Lookups!$J$2:$J$11&gt;=E474),Lookups!$L$2:$L$11)</f>
        <v>#N/A</v>
      </c>
      <c r="AG474" s="142" t="str">
        <f t="shared" si="195"/>
        <v/>
      </c>
      <c r="AH474" s="142" t="str">
        <f t="shared" si="196"/>
        <v/>
      </c>
      <c r="AI474" s="143" t="b">
        <f t="shared" si="201"/>
        <v>0</v>
      </c>
      <c r="AJ474" s="143" t="str">
        <f t="shared" si="197"/>
        <v>Level 1</v>
      </c>
      <c r="AK474" s="142">
        <f t="shared" si="198"/>
        <v>0</v>
      </c>
      <c r="AL474" s="157" t="str">
        <f t="shared" si="206"/>
        <v/>
      </c>
      <c r="AM474" s="144" t="str">
        <f t="shared" si="207"/>
        <v>--FALSE-0</v>
      </c>
      <c r="AN474" s="158" t="str">
        <f t="shared" si="202"/>
        <v/>
      </c>
      <c r="AO474" s="145"/>
      <c r="AP474" s="159" t="str">
        <f>IF($AN474=FALSE,"",IFERROR(INDEX('Flat Rates'!$A$1:$M$3880,MATCH($AM474,'Flat Rates'!$A$1:$A$3880,0),MATCH("Standing Charge",'Flat Rates'!$A$1:$M$1,0))*100,""))</f>
        <v/>
      </c>
      <c r="AQ474" s="148" t="str">
        <f>IF($AN474=FALSE,"",IFERROR((IF(NOT(T474="Unrestricted"),"",INDEX('Flat Rates'!$A$1:$M$3880,MATCH($AM474,'Flat Rates'!$A$1:$A$3880,0),MATCH("Uni/Day Rate",'Flat Rates'!$A$1:$M$1,0)))*100)+H474,""))</f>
        <v/>
      </c>
      <c r="AR474" s="148" t="str">
        <f>IF($AN474=FALSE,"",IFERROR((IF(T474="Unrestricted","",INDEX('Flat Rates'!$A$1:$M$3880,MATCH($AM474,'Flat Rates'!$A$1:$A$3880,0),MATCH("Uni/Day Rate",'Flat Rates'!$A$1:$M$1,0)))*100)+H474,""))</f>
        <v/>
      </c>
      <c r="AS474" s="148" t="str">
        <f>IF($AN474=FALSE,"",IFERROR(IF(INDEX('Flat Rates'!$A$1:$M$3880,MATCH($AM474,'Flat Rates'!$A$1:$A$3880,0),MATCH("Night Unit Rate",'Flat Rates'!$A$1:$M$1,0))=0,"",((INDEX('Flat Rates'!$A$1:$M$3880,MATCH($AM474,'Flat Rates'!$A$1:$A$3880,0),MATCH("Night Unit Rate",'Flat Rates'!$A$1:$M$1,0)))*100)+H474),""))</f>
        <v/>
      </c>
      <c r="AT474" s="148" t="str">
        <f>IF($AN474=FALSE,"",IFERROR(IF(INDEX('Flat Rates'!$A$1:$M$3880,MATCH($AM474,'Flat Rates'!$A$1:$A$3880,0),MATCH("Evening and Weekend Rate",'Flat Rates'!$A$1:$M$1,0))=0,"",((INDEX('Flat Rates'!$A$1:$M$3880,MATCH($AM474,'Flat Rates'!$A$1:$A$3880,0),MATCH("Evening and Weekend Rate",'Flat Rates'!$A$1:$M$1,0)))*100)+H474),""))</f>
        <v/>
      </c>
      <c r="AU474" s="152" t="str">
        <f t="shared" si="203"/>
        <v/>
      </c>
      <c r="AV474" s="152" t="str">
        <f t="shared" si="204"/>
        <v/>
      </c>
      <c r="AW474" s="152" t="str">
        <f t="shared" si="205"/>
        <v/>
      </c>
    </row>
    <row r="475" spans="2:49" ht="15" thickBot="1" x14ac:dyDescent="0.35">
      <c r="B475" s="138" t="str">
        <f t="shared" si="182"/>
        <v/>
      </c>
      <c r="C475" s="137"/>
      <c r="D475" s="139"/>
      <c r="E475" s="140"/>
      <c r="F475" s="140"/>
      <c r="G475" s="139"/>
      <c r="H475" s="151"/>
      <c r="I475" s="139"/>
      <c r="J475" s="138"/>
      <c r="K475" s="139"/>
      <c r="L475" s="141"/>
      <c r="M475" s="133" t="str">
        <f t="shared" si="183"/>
        <v/>
      </c>
      <c r="N475" s="133" t="str">
        <f t="shared" si="184"/>
        <v/>
      </c>
      <c r="O475" s="133" t="str">
        <f t="shared" si="185"/>
        <v/>
      </c>
      <c r="P475" s="133" t="str">
        <f t="shared" si="186"/>
        <v/>
      </c>
      <c r="Q475" s="133" t="str">
        <f t="shared" si="187"/>
        <v/>
      </c>
      <c r="R475" s="133" t="str">
        <f t="shared" si="188"/>
        <v/>
      </c>
      <c r="S475" s="133" t="str">
        <f t="shared" si="189"/>
        <v/>
      </c>
      <c r="T475" s="133" t="str">
        <f>IFERROR(IF($U475="ERROR","ERROR",IF($N475="00",IF(J475="1-Rate","HH 1RATE",IF(J475="2-Rate","HH 2RATE","")),IFERROR(VLOOKUP(CONCATENATE(N475,Q475,O475,P475),Lookups!$A$2:$E$4557,5,0),VLOOKUP(CONCATENATE(N475,Q475,O475),Lookups!$A$2:$E$4557,5,0)))),"ERROR")</f>
        <v>ERROR</v>
      </c>
      <c r="U475" s="133" t="str">
        <f>IFERROR(IF(NOT($N475="00"),"",VLOOKUP(CONCATENATE(Q475,P475,LOOKUP(2,1/(Lookups!$I$2:$I$11&lt;=E475)/(Lookups!$J$2:$J$11&gt;=Tool!$C$14),Lookups!$K$2:$K$11)),'HH LLFs'!$A$2:$K$500,3,0)),"ERROR")</f>
        <v/>
      </c>
      <c r="V475" s="132">
        <f>Calcs!$I$2</f>
        <v>44377</v>
      </c>
      <c r="W475" s="132">
        <f>Calcs!$I$4</f>
        <v>44592</v>
      </c>
      <c r="X475" s="153" t="str">
        <f>IF(NOT(N475="00"),"",(VLOOKUP(CONCATENATE(Q475,P475,LOOKUP(2,1/(Lookups!$I$2:$I$11&lt;=Multisite!E475)/(Lookups!$J$2:$J$11&gt;=E475),Lookups!$K$2:$K$11)),'HH LLFs'!$A$2:$F$282,6,0)*365)/12)</f>
        <v/>
      </c>
      <c r="Y475" s="153">
        <f t="shared" si="190"/>
        <v>0</v>
      </c>
      <c r="Z475" s="153" t="str">
        <f t="shared" si="199"/>
        <v/>
      </c>
      <c r="AA475" s="153" t="str">
        <f t="shared" si="191"/>
        <v/>
      </c>
      <c r="AB475" s="153" t="str">
        <f t="shared" si="200"/>
        <v/>
      </c>
      <c r="AC475" s="153" t="str">
        <f t="shared" si="192"/>
        <v/>
      </c>
      <c r="AD475" s="153" t="str">
        <f t="shared" si="193"/>
        <v/>
      </c>
      <c r="AE475" s="153" t="str">
        <f t="shared" si="194"/>
        <v/>
      </c>
      <c r="AF475" s="155" t="e">
        <f>LOOKUP(2,1/(Lookups!$I$2:$I$11&lt;=E475)/(Lookups!$J$2:$J$11&gt;=E475),Lookups!$L$2:$L$11)</f>
        <v>#N/A</v>
      </c>
      <c r="AG475" s="142" t="str">
        <f t="shared" si="195"/>
        <v/>
      </c>
      <c r="AH475" s="142" t="str">
        <f t="shared" si="196"/>
        <v/>
      </c>
      <c r="AI475" s="143" t="b">
        <f t="shared" si="201"/>
        <v>0</v>
      </c>
      <c r="AJ475" s="143" t="str">
        <f t="shared" si="197"/>
        <v>Level 1</v>
      </c>
      <c r="AK475" s="142">
        <f t="shared" si="198"/>
        <v>0</v>
      </c>
      <c r="AL475" s="157" t="str">
        <f t="shared" si="206"/>
        <v/>
      </c>
      <c r="AM475" s="144" t="str">
        <f t="shared" si="207"/>
        <v>--FALSE-0</v>
      </c>
      <c r="AN475" s="158" t="str">
        <f t="shared" si="202"/>
        <v/>
      </c>
      <c r="AO475" s="145"/>
      <c r="AP475" s="159" t="str">
        <f>IF($AN475=FALSE,"",IFERROR(INDEX('Flat Rates'!$A$1:$M$3880,MATCH($AM475,'Flat Rates'!$A$1:$A$3880,0),MATCH("Standing Charge",'Flat Rates'!$A$1:$M$1,0))*100,""))</f>
        <v/>
      </c>
      <c r="AQ475" s="148" t="str">
        <f>IF($AN475=FALSE,"",IFERROR((IF(NOT(T475="Unrestricted"),"",INDEX('Flat Rates'!$A$1:$M$3880,MATCH($AM475,'Flat Rates'!$A$1:$A$3880,0),MATCH("Uni/Day Rate",'Flat Rates'!$A$1:$M$1,0)))*100)+H475,""))</f>
        <v/>
      </c>
      <c r="AR475" s="148" t="str">
        <f>IF($AN475=FALSE,"",IFERROR((IF(T475="Unrestricted","",INDEX('Flat Rates'!$A$1:$M$3880,MATCH($AM475,'Flat Rates'!$A$1:$A$3880,0),MATCH("Uni/Day Rate",'Flat Rates'!$A$1:$M$1,0)))*100)+H475,""))</f>
        <v/>
      </c>
      <c r="AS475" s="148" t="str">
        <f>IF($AN475=FALSE,"",IFERROR(IF(INDEX('Flat Rates'!$A$1:$M$3880,MATCH($AM475,'Flat Rates'!$A$1:$A$3880,0),MATCH("Night Unit Rate",'Flat Rates'!$A$1:$M$1,0))=0,"",((INDEX('Flat Rates'!$A$1:$M$3880,MATCH($AM475,'Flat Rates'!$A$1:$A$3880,0),MATCH("Night Unit Rate",'Flat Rates'!$A$1:$M$1,0)))*100)+H475),""))</f>
        <v/>
      </c>
      <c r="AT475" s="148" t="str">
        <f>IF($AN475=FALSE,"",IFERROR(IF(INDEX('Flat Rates'!$A$1:$M$3880,MATCH($AM475,'Flat Rates'!$A$1:$A$3880,0),MATCH("Evening and Weekend Rate",'Flat Rates'!$A$1:$M$1,0))=0,"",((INDEX('Flat Rates'!$A$1:$M$3880,MATCH($AM475,'Flat Rates'!$A$1:$A$3880,0),MATCH("Evening and Weekend Rate",'Flat Rates'!$A$1:$M$1,0)))*100)+H475),""))</f>
        <v/>
      </c>
      <c r="AU475" s="152" t="str">
        <f t="shared" si="203"/>
        <v/>
      </c>
      <c r="AV475" s="152" t="str">
        <f t="shared" si="204"/>
        <v/>
      </c>
      <c r="AW475" s="152" t="str">
        <f t="shared" si="205"/>
        <v/>
      </c>
    </row>
    <row r="476" spans="2:49" ht="15" thickBot="1" x14ac:dyDescent="0.35">
      <c r="B476" s="138" t="str">
        <f t="shared" si="182"/>
        <v/>
      </c>
      <c r="C476" s="146"/>
      <c r="D476" s="147"/>
      <c r="E476" s="140"/>
      <c r="F476" s="140"/>
      <c r="G476" s="139"/>
      <c r="H476" s="151"/>
      <c r="I476" s="139"/>
      <c r="J476" s="137"/>
      <c r="K476" s="139"/>
      <c r="L476" s="141"/>
      <c r="M476" s="133" t="str">
        <f t="shared" si="183"/>
        <v/>
      </c>
      <c r="N476" s="133" t="str">
        <f t="shared" si="184"/>
        <v/>
      </c>
      <c r="O476" s="133" t="str">
        <f t="shared" si="185"/>
        <v/>
      </c>
      <c r="P476" s="133" t="str">
        <f t="shared" si="186"/>
        <v/>
      </c>
      <c r="Q476" s="133" t="str">
        <f t="shared" si="187"/>
        <v/>
      </c>
      <c r="R476" s="133" t="str">
        <f t="shared" si="188"/>
        <v/>
      </c>
      <c r="S476" s="133" t="str">
        <f t="shared" si="189"/>
        <v/>
      </c>
      <c r="T476" s="133" t="str">
        <f>IFERROR(IF($U476="ERROR","ERROR",IF($N476="00",IF(J476="1-Rate","HH 1RATE",IF(J476="2-Rate","HH 2RATE","")),IFERROR(VLOOKUP(CONCATENATE(N476,Q476,O476,P476),Lookups!$A$2:$E$4557,5,0),VLOOKUP(CONCATENATE(N476,Q476,O476),Lookups!$A$2:$E$4557,5,0)))),"ERROR")</f>
        <v>ERROR</v>
      </c>
      <c r="U476" s="133" t="str">
        <f>IFERROR(IF(NOT($N476="00"),"",VLOOKUP(CONCATENATE(Q476,P476,LOOKUP(2,1/(Lookups!$I$2:$I$11&lt;=E476)/(Lookups!$J$2:$J$11&gt;=Tool!$C$14),Lookups!$K$2:$K$11)),'HH LLFs'!$A$2:$K$500,3,0)),"ERROR")</f>
        <v/>
      </c>
      <c r="V476" s="132">
        <f>Calcs!$I$2</f>
        <v>44377</v>
      </c>
      <c r="W476" s="132">
        <f>Calcs!$I$4</f>
        <v>44592</v>
      </c>
      <c r="X476" s="153" t="str">
        <f>IF(NOT(N476="00"),"",(VLOOKUP(CONCATENATE(Q476,P476,LOOKUP(2,1/(Lookups!$I$2:$I$11&lt;=Multisite!E476)/(Lookups!$J$2:$J$11&gt;=E476),Lookups!$K$2:$K$11)),'HH LLFs'!$A$2:$F$282,6,0)*365)/12)</f>
        <v/>
      </c>
      <c r="Y476" s="153">
        <f t="shared" si="190"/>
        <v>0</v>
      </c>
      <c r="Z476" s="153" t="str">
        <f t="shared" si="199"/>
        <v/>
      </c>
      <c r="AA476" s="153" t="str">
        <f t="shared" si="191"/>
        <v/>
      </c>
      <c r="AB476" s="153" t="str">
        <f t="shared" si="200"/>
        <v/>
      </c>
      <c r="AC476" s="153" t="str">
        <f t="shared" si="192"/>
        <v/>
      </c>
      <c r="AD476" s="153" t="str">
        <f t="shared" si="193"/>
        <v/>
      </c>
      <c r="AE476" s="153" t="str">
        <f t="shared" si="194"/>
        <v/>
      </c>
      <c r="AF476" s="155" t="e">
        <f>LOOKUP(2,1/(Lookups!$I$2:$I$11&lt;=E476)/(Lookups!$J$2:$J$11&gt;=E476),Lookups!$L$2:$L$11)</f>
        <v>#N/A</v>
      </c>
      <c r="AG476" s="142" t="str">
        <f t="shared" si="195"/>
        <v/>
      </c>
      <c r="AH476" s="142" t="str">
        <f t="shared" si="196"/>
        <v/>
      </c>
      <c r="AI476" s="143" t="b">
        <f t="shared" si="201"/>
        <v>0</v>
      </c>
      <c r="AJ476" s="143" t="str">
        <f t="shared" si="197"/>
        <v>Level 1</v>
      </c>
      <c r="AK476" s="142">
        <f t="shared" si="198"/>
        <v>0</v>
      </c>
      <c r="AL476" s="157" t="str">
        <f t="shared" si="206"/>
        <v/>
      </c>
      <c r="AM476" s="144" t="str">
        <f t="shared" si="207"/>
        <v>--FALSE-0</v>
      </c>
      <c r="AN476" s="158" t="str">
        <f t="shared" si="202"/>
        <v/>
      </c>
      <c r="AO476" s="145"/>
      <c r="AP476" s="159" t="str">
        <f>IF($AN476=FALSE,"",IFERROR(INDEX('Flat Rates'!$A$1:$M$3880,MATCH($AM476,'Flat Rates'!$A$1:$A$3880,0),MATCH("Standing Charge",'Flat Rates'!$A$1:$M$1,0))*100,""))</f>
        <v/>
      </c>
      <c r="AQ476" s="148" t="str">
        <f>IF($AN476=FALSE,"",IFERROR((IF(NOT(T476="Unrestricted"),"",INDEX('Flat Rates'!$A$1:$M$3880,MATCH($AM476,'Flat Rates'!$A$1:$A$3880,0),MATCH("Uni/Day Rate",'Flat Rates'!$A$1:$M$1,0)))*100)+H476,""))</f>
        <v/>
      </c>
      <c r="AR476" s="148" t="str">
        <f>IF($AN476=FALSE,"",IFERROR((IF(T476="Unrestricted","",INDEX('Flat Rates'!$A$1:$M$3880,MATCH($AM476,'Flat Rates'!$A$1:$A$3880,0),MATCH("Uni/Day Rate",'Flat Rates'!$A$1:$M$1,0)))*100)+H476,""))</f>
        <v/>
      </c>
      <c r="AS476" s="148" t="str">
        <f>IF($AN476=FALSE,"",IFERROR(IF(INDEX('Flat Rates'!$A$1:$M$3880,MATCH($AM476,'Flat Rates'!$A$1:$A$3880,0),MATCH("Night Unit Rate",'Flat Rates'!$A$1:$M$1,0))=0,"",((INDEX('Flat Rates'!$A$1:$M$3880,MATCH($AM476,'Flat Rates'!$A$1:$A$3880,0),MATCH("Night Unit Rate",'Flat Rates'!$A$1:$M$1,0)))*100)+H476),""))</f>
        <v/>
      </c>
      <c r="AT476" s="148" t="str">
        <f>IF($AN476=FALSE,"",IFERROR(IF(INDEX('Flat Rates'!$A$1:$M$3880,MATCH($AM476,'Flat Rates'!$A$1:$A$3880,0),MATCH("Evening and Weekend Rate",'Flat Rates'!$A$1:$M$1,0))=0,"",((INDEX('Flat Rates'!$A$1:$M$3880,MATCH($AM476,'Flat Rates'!$A$1:$A$3880,0),MATCH("Evening and Weekend Rate",'Flat Rates'!$A$1:$M$1,0)))*100)+H476),""))</f>
        <v/>
      </c>
      <c r="AU476" s="152" t="str">
        <f t="shared" si="203"/>
        <v/>
      </c>
      <c r="AV476" s="152" t="str">
        <f t="shared" si="204"/>
        <v/>
      </c>
      <c r="AW476" s="152" t="str">
        <f t="shared" si="205"/>
        <v/>
      </c>
    </row>
    <row r="477" spans="2:49" ht="15" thickBot="1" x14ac:dyDescent="0.35">
      <c r="B477" s="138" t="str">
        <f t="shared" si="182"/>
        <v/>
      </c>
      <c r="C477" s="137"/>
      <c r="D477" s="139"/>
      <c r="E477" s="140"/>
      <c r="F477" s="140"/>
      <c r="G477" s="139"/>
      <c r="H477" s="151"/>
      <c r="I477" s="139"/>
      <c r="J477" s="138"/>
      <c r="K477" s="139"/>
      <c r="L477" s="141"/>
      <c r="M477" s="133" t="str">
        <f t="shared" si="183"/>
        <v/>
      </c>
      <c r="N477" s="133" t="str">
        <f t="shared" si="184"/>
        <v/>
      </c>
      <c r="O477" s="133" t="str">
        <f t="shared" si="185"/>
        <v/>
      </c>
      <c r="P477" s="133" t="str">
        <f t="shared" si="186"/>
        <v/>
      </c>
      <c r="Q477" s="133" t="str">
        <f t="shared" si="187"/>
        <v/>
      </c>
      <c r="R477" s="133" t="str">
        <f t="shared" si="188"/>
        <v/>
      </c>
      <c r="S477" s="133" t="str">
        <f t="shared" si="189"/>
        <v/>
      </c>
      <c r="T477" s="133" t="str">
        <f>IFERROR(IF($U477="ERROR","ERROR",IF($N477="00",IF(J477="1-Rate","HH 1RATE",IF(J477="2-Rate","HH 2RATE","")),IFERROR(VLOOKUP(CONCATENATE(N477,Q477,O477,P477),Lookups!$A$2:$E$4557,5,0),VLOOKUP(CONCATENATE(N477,Q477,O477),Lookups!$A$2:$E$4557,5,0)))),"ERROR")</f>
        <v>ERROR</v>
      </c>
      <c r="U477" s="133" t="str">
        <f>IFERROR(IF(NOT($N477="00"),"",VLOOKUP(CONCATENATE(Q477,P477,LOOKUP(2,1/(Lookups!$I$2:$I$11&lt;=E477)/(Lookups!$J$2:$J$11&gt;=Tool!$C$14),Lookups!$K$2:$K$11)),'HH LLFs'!$A$2:$K$500,3,0)),"ERROR")</f>
        <v/>
      </c>
      <c r="V477" s="132">
        <f>Calcs!$I$2</f>
        <v>44377</v>
      </c>
      <c r="W477" s="132">
        <f>Calcs!$I$4</f>
        <v>44592</v>
      </c>
      <c r="X477" s="153" t="str">
        <f>IF(NOT(N477="00"),"",(VLOOKUP(CONCATENATE(Q477,P477,LOOKUP(2,1/(Lookups!$I$2:$I$11&lt;=Multisite!E477)/(Lookups!$J$2:$J$11&gt;=E477),Lookups!$K$2:$K$11)),'HH LLFs'!$A$2:$F$282,6,0)*365)/12)</f>
        <v/>
      </c>
      <c r="Y477" s="153">
        <f t="shared" si="190"/>
        <v>0</v>
      </c>
      <c r="Z477" s="153" t="str">
        <f t="shared" si="199"/>
        <v/>
      </c>
      <c r="AA477" s="153" t="str">
        <f t="shared" si="191"/>
        <v/>
      </c>
      <c r="AB477" s="153" t="str">
        <f t="shared" si="200"/>
        <v/>
      </c>
      <c r="AC477" s="153" t="str">
        <f t="shared" si="192"/>
        <v/>
      </c>
      <c r="AD477" s="153" t="str">
        <f t="shared" si="193"/>
        <v/>
      </c>
      <c r="AE477" s="153" t="str">
        <f t="shared" si="194"/>
        <v/>
      </c>
      <c r="AF477" s="155" t="e">
        <f>LOOKUP(2,1/(Lookups!$I$2:$I$11&lt;=E477)/(Lookups!$J$2:$J$11&gt;=E477),Lookups!$L$2:$L$11)</f>
        <v>#N/A</v>
      </c>
      <c r="AG477" s="142" t="str">
        <f t="shared" si="195"/>
        <v/>
      </c>
      <c r="AH477" s="142" t="str">
        <f t="shared" si="196"/>
        <v/>
      </c>
      <c r="AI477" s="143" t="b">
        <f t="shared" si="201"/>
        <v>0</v>
      </c>
      <c r="AJ477" s="143" t="str">
        <f t="shared" si="197"/>
        <v>Level 1</v>
      </c>
      <c r="AK477" s="142">
        <f t="shared" si="198"/>
        <v>0</v>
      </c>
      <c r="AL477" s="157" t="str">
        <f t="shared" si="206"/>
        <v/>
      </c>
      <c r="AM477" s="144" t="str">
        <f t="shared" si="207"/>
        <v>--FALSE-0</v>
      </c>
      <c r="AN477" s="158" t="str">
        <f t="shared" si="202"/>
        <v/>
      </c>
      <c r="AO477" s="145"/>
      <c r="AP477" s="159" t="str">
        <f>IF($AN477=FALSE,"",IFERROR(INDEX('Flat Rates'!$A$1:$M$3880,MATCH($AM477,'Flat Rates'!$A$1:$A$3880,0),MATCH("Standing Charge",'Flat Rates'!$A$1:$M$1,0))*100,""))</f>
        <v/>
      </c>
      <c r="AQ477" s="148" t="str">
        <f>IF($AN477=FALSE,"",IFERROR((IF(NOT(T477="Unrestricted"),"",INDEX('Flat Rates'!$A$1:$M$3880,MATCH($AM477,'Flat Rates'!$A$1:$A$3880,0),MATCH("Uni/Day Rate",'Flat Rates'!$A$1:$M$1,0)))*100)+H477,""))</f>
        <v/>
      </c>
      <c r="AR477" s="148" t="str">
        <f>IF($AN477=FALSE,"",IFERROR((IF(T477="Unrestricted","",INDEX('Flat Rates'!$A$1:$M$3880,MATCH($AM477,'Flat Rates'!$A$1:$A$3880,0),MATCH("Uni/Day Rate",'Flat Rates'!$A$1:$M$1,0)))*100)+H477,""))</f>
        <v/>
      </c>
      <c r="AS477" s="148" t="str">
        <f>IF($AN477=FALSE,"",IFERROR(IF(INDEX('Flat Rates'!$A$1:$M$3880,MATCH($AM477,'Flat Rates'!$A$1:$A$3880,0),MATCH("Night Unit Rate",'Flat Rates'!$A$1:$M$1,0))=0,"",((INDEX('Flat Rates'!$A$1:$M$3880,MATCH($AM477,'Flat Rates'!$A$1:$A$3880,0),MATCH("Night Unit Rate",'Flat Rates'!$A$1:$M$1,0)))*100)+H477),""))</f>
        <v/>
      </c>
      <c r="AT477" s="148" t="str">
        <f>IF($AN477=FALSE,"",IFERROR(IF(INDEX('Flat Rates'!$A$1:$M$3880,MATCH($AM477,'Flat Rates'!$A$1:$A$3880,0),MATCH("Evening and Weekend Rate",'Flat Rates'!$A$1:$M$1,0))=0,"",((INDEX('Flat Rates'!$A$1:$M$3880,MATCH($AM477,'Flat Rates'!$A$1:$A$3880,0),MATCH("Evening and Weekend Rate",'Flat Rates'!$A$1:$M$1,0)))*100)+H477),""))</f>
        <v/>
      </c>
      <c r="AU477" s="152" t="str">
        <f t="shared" si="203"/>
        <v/>
      </c>
      <c r="AV477" s="152" t="str">
        <f t="shared" si="204"/>
        <v/>
      </c>
      <c r="AW477" s="152" t="str">
        <f t="shared" si="205"/>
        <v/>
      </c>
    </row>
    <row r="478" spans="2:49" ht="15" thickBot="1" x14ac:dyDescent="0.35">
      <c r="B478" s="138" t="str">
        <f t="shared" si="182"/>
        <v/>
      </c>
      <c r="C478" s="146"/>
      <c r="D478" s="147"/>
      <c r="E478" s="140"/>
      <c r="F478" s="140"/>
      <c r="G478" s="139"/>
      <c r="H478" s="151"/>
      <c r="I478" s="139"/>
      <c r="J478" s="137"/>
      <c r="K478" s="139"/>
      <c r="L478" s="141"/>
      <c r="M478" s="133" t="str">
        <f t="shared" si="183"/>
        <v/>
      </c>
      <c r="N478" s="133" t="str">
        <f t="shared" si="184"/>
        <v/>
      </c>
      <c r="O478" s="133" t="str">
        <f t="shared" si="185"/>
        <v/>
      </c>
      <c r="P478" s="133" t="str">
        <f t="shared" si="186"/>
        <v/>
      </c>
      <c r="Q478" s="133" t="str">
        <f t="shared" si="187"/>
        <v/>
      </c>
      <c r="R478" s="133" t="str">
        <f t="shared" si="188"/>
        <v/>
      </c>
      <c r="S478" s="133" t="str">
        <f t="shared" si="189"/>
        <v/>
      </c>
      <c r="T478" s="133" t="str">
        <f>IFERROR(IF($U478="ERROR","ERROR",IF($N478="00",IF(J478="1-Rate","HH 1RATE",IF(J478="2-Rate","HH 2RATE","")),IFERROR(VLOOKUP(CONCATENATE(N478,Q478,O478,P478),Lookups!$A$2:$E$4557,5,0),VLOOKUP(CONCATENATE(N478,Q478,O478),Lookups!$A$2:$E$4557,5,0)))),"ERROR")</f>
        <v>ERROR</v>
      </c>
      <c r="U478" s="133" t="str">
        <f>IFERROR(IF(NOT($N478="00"),"",VLOOKUP(CONCATENATE(Q478,P478,LOOKUP(2,1/(Lookups!$I$2:$I$11&lt;=E478)/(Lookups!$J$2:$J$11&gt;=Tool!$C$14),Lookups!$K$2:$K$11)),'HH LLFs'!$A$2:$K$500,3,0)),"ERROR")</f>
        <v/>
      </c>
      <c r="V478" s="132">
        <f>Calcs!$I$2</f>
        <v>44377</v>
      </c>
      <c r="W478" s="132">
        <f>Calcs!$I$4</f>
        <v>44592</v>
      </c>
      <c r="X478" s="153" t="str">
        <f>IF(NOT(N478="00"),"",(VLOOKUP(CONCATENATE(Q478,P478,LOOKUP(2,1/(Lookups!$I$2:$I$11&lt;=Multisite!E478)/(Lookups!$J$2:$J$11&gt;=E478),Lookups!$K$2:$K$11)),'HH LLFs'!$A$2:$F$282,6,0)*365)/12)</f>
        <v/>
      </c>
      <c r="Y478" s="153">
        <f t="shared" si="190"/>
        <v>0</v>
      </c>
      <c r="Z478" s="153" t="str">
        <f t="shared" si="199"/>
        <v/>
      </c>
      <c r="AA478" s="153" t="str">
        <f t="shared" si="191"/>
        <v/>
      </c>
      <c r="AB478" s="153" t="str">
        <f t="shared" si="200"/>
        <v/>
      </c>
      <c r="AC478" s="153" t="str">
        <f t="shared" si="192"/>
        <v/>
      </c>
      <c r="AD478" s="153" t="str">
        <f t="shared" si="193"/>
        <v/>
      </c>
      <c r="AE478" s="153" t="str">
        <f t="shared" si="194"/>
        <v/>
      </c>
      <c r="AF478" s="155" t="e">
        <f>LOOKUP(2,1/(Lookups!$I$2:$I$11&lt;=E478)/(Lookups!$J$2:$J$11&gt;=E478),Lookups!$L$2:$L$11)</f>
        <v>#N/A</v>
      </c>
      <c r="AG478" s="142" t="str">
        <f t="shared" si="195"/>
        <v/>
      </c>
      <c r="AH478" s="142" t="str">
        <f t="shared" si="196"/>
        <v/>
      </c>
      <c r="AI478" s="143" t="b">
        <f t="shared" si="201"/>
        <v>0</v>
      </c>
      <c r="AJ478" s="143" t="str">
        <f t="shared" si="197"/>
        <v>Level 1</v>
      </c>
      <c r="AK478" s="142">
        <f t="shared" si="198"/>
        <v>0</v>
      </c>
      <c r="AL478" s="157" t="str">
        <f t="shared" si="206"/>
        <v/>
      </c>
      <c r="AM478" s="144" t="str">
        <f t="shared" si="207"/>
        <v>--FALSE-0</v>
      </c>
      <c r="AN478" s="158" t="str">
        <f t="shared" si="202"/>
        <v/>
      </c>
      <c r="AO478" s="145"/>
      <c r="AP478" s="159" t="str">
        <f>IF($AN478=FALSE,"",IFERROR(INDEX('Flat Rates'!$A$1:$M$3880,MATCH($AM478,'Flat Rates'!$A$1:$A$3880,0),MATCH("Standing Charge",'Flat Rates'!$A$1:$M$1,0))*100,""))</f>
        <v/>
      </c>
      <c r="AQ478" s="148" t="str">
        <f>IF($AN478=FALSE,"",IFERROR((IF(NOT(T478="Unrestricted"),"",INDEX('Flat Rates'!$A$1:$M$3880,MATCH($AM478,'Flat Rates'!$A$1:$A$3880,0),MATCH("Uni/Day Rate",'Flat Rates'!$A$1:$M$1,0)))*100)+H478,""))</f>
        <v/>
      </c>
      <c r="AR478" s="148" t="str">
        <f>IF($AN478=FALSE,"",IFERROR((IF(T478="Unrestricted","",INDEX('Flat Rates'!$A$1:$M$3880,MATCH($AM478,'Flat Rates'!$A$1:$A$3880,0),MATCH("Uni/Day Rate",'Flat Rates'!$A$1:$M$1,0)))*100)+H478,""))</f>
        <v/>
      </c>
      <c r="AS478" s="148" t="str">
        <f>IF($AN478=FALSE,"",IFERROR(IF(INDEX('Flat Rates'!$A$1:$M$3880,MATCH($AM478,'Flat Rates'!$A$1:$A$3880,0),MATCH("Night Unit Rate",'Flat Rates'!$A$1:$M$1,0))=0,"",((INDEX('Flat Rates'!$A$1:$M$3880,MATCH($AM478,'Flat Rates'!$A$1:$A$3880,0),MATCH("Night Unit Rate",'Flat Rates'!$A$1:$M$1,0)))*100)+H478),""))</f>
        <v/>
      </c>
      <c r="AT478" s="148" t="str">
        <f>IF($AN478=FALSE,"",IFERROR(IF(INDEX('Flat Rates'!$A$1:$M$3880,MATCH($AM478,'Flat Rates'!$A$1:$A$3880,0),MATCH("Evening and Weekend Rate",'Flat Rates'!$A$1:$M$1,0))=0,"",((INDEX('Flat Rates'!$A$1:$M$3880,MATCH($AM478,'Flat Rates'!$A$1:$A$3880,0),MATCH("Evening and Weekend Rate",'Flat Rates'!$A$1:$M$1,0)))*100)+H478),""))</f>
        <v/>
      </c>
      <c r="AU478" s="152" t="str">
        <f t="shared" si="203"/>
        <v/>
      </c>
      <c r="AV478" s="152" t="str">
        <f t="shared" si="204"/>
        <v/>
      </c>
      <c r="AW478" s="152" t="str">
        <f t="shared" si="205"/>
        <v/>
      </c>
    </row>
    <row r="479" spans="2:49" ht="15" thickBot="1" x14ac:dyDescent="0.35">
      <c r="B479" s="138" t="str">
        <f t="shared" si="182"/>
        <v/>
      </c>
      <c r="C479" s="137"/>
      <c r="D479" s="139"/>
      <c r="E479" s="140"/>
      <c r="F479" s="140"/>
      <c r="G479" s="139"/>
      <c r="H479" s="151"/>
      <c r="I479" s="139"/>
      <c r="J479" s="138"/>
      <c r="K479" s="139"/>
      <c r="L479" s="141"/>
      <c r="M479" s="133" t="str">
        <f t="shared" si="183"/>
        <v/>
      </c>
      <c r="N479" s="133" t="str">
        <f t="shared" si="184"/>
        <v/>
      </c>
      <c r="O479" s="133" t="str">
        <f t="shared" si="185"/>
        <v/>
      </c>
      <c r="P479" s="133" t="str">
        <f t="shared" si="186"/>
        <v/>
      </c>
      <c r="Q479" s="133" t="str">
        <f t="shared" si="187"/>
        <v/>
      </c>
      <c r="R479" s="133" t="str">
        <f t="shared" si="188"/>
        <v/>
      </c>
      <c r="S479" s="133" t="str">
        <f t="shared" si="189"/>
        <v/>
      </c>
      <c r="T479" s="133" t="str">
        <f>IFERROR(IF($U479="ERROR","ERROR",IF($N479="00",IF(J479="1-Rate","HH 1RATE",IF(J479="2-Rate","HH 2RATE","")),IFERROR(VLOOKUP(CONCATENATE(N479,Q479,O479,P479),Lookups!$A$2:$E$4557,5,0),VLOOKUP(CONCATENATE(N479,Q479,O479),Lookups!$A$2:$E$4557,5,0)))),"ERROR")</f>
        <v>ERROR</v>
      </c>
      <c r="U479" s="133" t="str">
        <f>IFERROR(IF(NOT($N479="00"),"",VLOOKUP(CONCATENATE(Q479,P479,LOOKUP(2,1/(Lookups!$I$2:$I$11&lt;=E479)/(Lookups!$J$2:$J$11&gt;=Tool!$C$14),Lookups!$K$2:$K$11)),'HH LLFs'!$A$2:$K$500,3,0)),"ERROR")</f>
        <v/>
      </c>
      <c r="V479" s="132">
        <f>Calcs!$I$2</f>
        <v>44377</v>
      </c>
      <c r="W479" s="132">
        <f>Calcs!$I$4</f>
        <v>44592</v>
      </c>
      <c r="X479" s="153" t="str">
        <f>IF(NOT(N479="00"),"",(VLOOKUP(CONCATENATE(Q479,P479,LOOKUP(2,1/(Lookups!$I$2:$I$11&lt;=Multisite!E479)/(Lookups!$J$2:$J$11&gt;=E479),Lookups!$K$2:$K$11)),'HH LLFs'!$A$2:$F$282,6,0)*365)/12)</f>
        <v/>
      </c>
      <c r="Y479" s="153">
        <f t="shared" si="190"/>
        <v>0</v>
      </c>
      <c r="Z479" s="153" t="str">
        <f t="shared" si="199"/>
        <v/>
      </c>
      <c r="AA479" s="153" t="str">
        <f t="shared" si="191"/>
        <v/>
      </c>
      <c r="AB479" s="153" t="str">
        <f t="shared" si="200"/>
        <v/>
      </c>
      <c r="AC479" s="153" t="str">
        <f t="shared" si="192"/>
        <v/>
      </c>
      <c r="AD479" s="153" t="str">
        <f t="shared" si="193"/>
        <v/>
      </c>
      <c r="AE479" s="153" t="str">
        <f t="shared" si="194"/>
        <v/>
      </c>
      <c r="AF479" s="155" t="e">
        <f>LOOKUP(2,1/(Lookups!$I$2:$I$11&lt;=E479)/(Lookups!$J$2:$J$11&gt;=E479),Lookups!$L$2:$L$11)</f>
        <v>#N/A</v>
      </c>
      <c r="AG479" s="142" t="str">
        <f t="shared" si="195"/>
        <v/>
      </c>
      <c r="AH479" s="142" t="str">
        <f t="shared" si="196"/>
        <v/>
      </c>
      <c r="AI479" s="143" t="b">
        <f t="shared" si="201"/>
        <v>0</v>
      </c>
      <c r="AJ479" s="143" t="str">
        <f t="shared" si="197"/>
        <v>Level 1</v>
      </c>
      <c r="AK479" s="142">
        <f t="shared" si="198"/>
        <v>0</v>
      </c>
      <c r="AL479" s="157" t="str">
        <f t="shared" si="206"/>
        <v/>
      </c>
      <c r="AM479" s="144" t="str">
        <f t="shared" si="207"/>
        <v>--FALSE-0</v>
      </c>
      <c r="AN479" s="158" t="str">
        <f t="shared" si="202"/>
        <v/>
      </c>
      <c r="AO479" s="145"/>
      <c r="AP479" s="159" t="str">
        <f>IF($AN479=FALSE,"",IFERROR(INDEX('Flat Rates'!$A$1:$M$3880,MATCH($AM479,'Flat Rates'!$A$1:$A$3880,0),MATCH("Standing Charge",'Flat Rates'!$A$1:$M$1,0))*100,""))</f>
        <v/>
      </c>
      <c r="AQ479" s="148" t="str">
        <f>IF($AN479=FALSE,"",IFERROR((IF(NOT(T479="Unrestricted"),"",INDEX('Flat Rates'!$A$1:$M$3880,MATCH($AM479,'Flat Rates'!$A$1:$A$3880,0),MATCH("Uni/Day Rate",'Flat Rates'!$A$1:$M$1,0)))*100)+H479,""))</f>
        <v/>
      </c>
      <c r="AR479" s="148" t="str">
        <f>IF($AN479=FALSE,"",IFERROR((IF(T479="Unrestricted","",INDEX('Flat Rates'!$A$1:$M$3880,MATCH($AM479,'Flat Rates'!$A$1:$A$3880,0),MATCH("Uni/Day Rate",'Flat Rates'!$A$1:$M$1,0)))*100)+H479,""))</f>
        <v/>
      </c>
      <c r="AS479" s="148" t="str">
        <f>IF($AN479=FALSE,"",IFERROR(IF(INDEX('Flat Rates'!$A$1:$M$3880,MATCH($AM479,'Flat Rates'!$A$1:$A$3880,0),MATCH("Night Unit Rate",'Flat Rates'!$A$1:$M$1,0))=0,"",((INDEX('Flat Rates'!$A$1:$M$3880,MATCH($AM479,'Flat Rates'!$A$1:$A$3880,0),MATCH("Night Unit Rate",'Flat Rates'!$A$1:$M$1,0)))*100)+H479),""))</f>
        <v/>
      </c>
      <c r="AT479" s="148" t="str">
        <f>IF($AN479=FALSE,"",IFERROR(IF(INDEX('Flat Rates'!$A$1:$M$3880,MATCH($AM479,'Flat Rates'!$A$1:$A$3880,0),MATCH("Evening and Weekend Rate",'Flat Rates'!$A$1:$M$1,0))=0,"",((INDEX('Flat Rates'!$A$1:$M$3880,MATCH($AM479,'Flat Rates'!$A$1:$A$3880,0),MATCH("Evening and Weekend Rate",'Flat Rates'!$A$1:$M$1,0)))*100)+H479),""))</f>
        <v/>
      </c>
      <c r="AU479" s="152" t="str">
        <f t="shared" si="203"/>
        <v/>
      </c>
      <c r="AV479" s="152" t="str">
        <f t="shared" si="204"/>
        <v/>
      </c>
      <c r="AW479" s="152" t="str">
        <f t="shared" si="205"/>
        <v/>
      </c>
    </row>
    <row r="480" spans="2:49" ht="15" thickBot="1" x14ac:dyDescent="0.35">
      <c r="B480" s="138" t="str">
        <f t="shared" si="182"/>
        <v/>
      </c>
      <c r="C480" s="146"/>
      <c r="D480" s="147"/>
      <c r="E480" s="140"/>
      <c r="F480" s="140"/>
      <c r="G480" s="139"/>
      <c r="H480" s="151"/>
      <c r="I480" s="139"/>
      <c r="J480" s="137"/>
      <c r="K480" s="139"/>
      <c r="L480" s="141"/>
      <c r="M480" s="133" t="str">
        <f t="shared" si="183"/>
        <v/>
      </c>
      <c r="N480" s="133" t="str">
        <f t="shared" si="184"/>
        <v/>
      </c>
      <c r="O480" s="133" t="str">
        <f t="shared" si="185"/>
        <v/>
      </c>
      <c r="P480" s="133" t="str">
        <f t="shared" si="186"/>
        <v/>
      </c>
      <c r="Q480" s="133" t="str">
        <f t="shared" si="187"/>
        <v/>
      </c>
      <c r="R480" s="133" t="str">
        <f t="shared" si="188"/>
        <v/>
      </c>
      <c r="S480" s="133" t="str">
        <f t="shared" si="189"/>
        <v/>
      </c>
      <c r="T480" s="133" t="str">
        <f>IFERROR(IF($U480="ERROR","ERROR",IF($N480="00",IF(J480="1-Rate","HH 1RATE",IF(J480="2-Rate","HH 2RATE","")),IFERROR(VLOOKUP(CONCATENATE(N480,Q480,O480,P480),Lookups!$A$2:$E$4557,5,0),VLOOKUP(CONCATENATE(N480,Q480,O480),Lookups!$A$2:$E$4557,5,0)))),"ERROR")</f>
        <v>ERROR</v>
      </c>
      <c r="U480" s="133" t="str">
        <f>IFERROR(IF(NOT($N480="00"),"",VLOOKUP(CONCATENATE(Q480,P480,LOOKUP(2,1/(Lookups!$I$2:$I$11&lt;=E480)/(Lookups!$J$2:$J$11&gt;=Tool!$C$14),Lookups!$K$2:$K$11)),'HH LLFs'!$A$2:$K$500,3,0)),"ERROR")</f>
        <v/>
      </c>
      <c r="V480" s="132">
        <f>Calcs!$I$2</f>
        <v>44377</v>
      </c>
      <c r="W480" s="132">
        <f>Calcs!$I$4</f>
        <v>44592</v>
      </c>
      <c r="X480" s="153" t="str">
        <f>IF(NOT(N480="00"),"",(VLOOKUP(CONCATENATE(Q480,P480,LOOKUP(2,1/(Lookups!$I$2:$I$11&lt;=Multisite!E480)/(Lookups!$J$2:$J$11&gt;=E480),Lookups!$K$2:$K$11)),'HH LLFs'!$A$2:$F$282,6,0)*365)/12)</f>
        <v/>
      </c>
      <c r="Y480" s="153">
        <f t="shared" si="190"/>
        <v>0</v>
      </c>
      <c r="Z480" s="153" t="str">
        <f t="shared" si="199"/>
        <v/>
      </c>
      <c r="AA480" s="153" t="str">
        <f t="shared" si="191"/>
        <v/>
      </c>
      <c r="AB480" s="153" t="str">
        <f t="shared" si="200"/>
        <v/>
      </c>
      <c r="AC480" s="153" t="str">
        <f t="shared" si="192"/>
        <v/>
      </c>
      <c r="AD480" s="153" t="str">
        <f t="shared" si="193"/>
        <v/>
      </c>
      <c r="AE480" s="153" t="str">
        <f t="shared" si="194"/>
        <v/>
      </c>
      <c r="AF480" s="155" t="e">
        <f>LOOKUP(2,1/(Lookups!$I$2:$I$11&lt;=E480)/(Lookups!$J$2:$J$11&gt;=E480),Lookups!$L$2:$L$11)</f>
        <v>#N/A</v>
      </c>
      <c r="AG480" s="142" t="str">
        <f t="shared" si="195"/>
        <v/>
      </c>
      <c r="AH480" s="142" t="str">
        <f t="shared" si="196"/>
        <v/>
      </c>
      <c r="AI480" s="143" t="b">
        <f t="shared" si="201"/>
        <v>0</v>
      </c>
      <c r="AJ480" s="143" t="str">
        <f t="shared" si="197"/>
        <v>Level 1</v>
      </c>
      <c r="AK480" s="142">
        <f t="shared" si="198"/>
        <v>0</v>
      </c>
      <c r="AL480" s="157" t="str">
        <f t="shared" si="206"/>
        <v/>
      </c>
      <c r="AM480" s="144" t="str">
        <f t="shared" si="207"/>
        <v>--FALSE-0</v>
      </c>
      <c r="AN480" s="158" t="str">
        <f t="shared" si="202"/>
        <v/>
      </c>
      <c r="AO480" s="145"/>
      <c r="AP480" s="159" t="str">
        <f>IF($AN480=FALSE,"",IFERROR(INDEX('Flat Rates'!$A$1:$M$3880,MATCH($AM480,'Flat Rates'!$A$1:$A$3880,0),MATCH("Standing Charge",'Flat Rates'!$A$1:$M$1,0))*100,""))</f>
        <v/>
      </c>
      <c r="AQ480" s="148" t="str">
        <f>IF($AN480=FALSE,"",IFERROR((IF(NOT(T480="Unrestricted"),"",INDEX('Flat Rates'!$A$1:$M$3880,MATCH($AM480,'Flat Rates'!$A$1:$A$3880,0),MATCH("Uni/Day Rate",'Flat Rates'!$A$1:$M$1,0)))*100)+H480,""))</f>
        <v/>
      </c>
      <c r="AR480" s="148" t="str">
        <f>IF($AN480=FALSE,"",IFERROR((IF(T480="Unrestricted","",INDEX('Flat Rates'!$A$1:$M$3880,MATCH($AM480,'Flat Rates'!$A$1:$A$3880,0),MATCH("Uni/Day Rate",'Flat Rates'!$A$1:$M$1,0)))*100)+H480,""))</f>
        <v/>
      </c>
      <c r="AS480" s="148" t="str">
        <f>IF($AN480=FALSE,"",IFERROR(IF(INDEX('Flat Rates'!$A$1:$M$3880,MATCH($AM480,'Flat Rates'!$A$1:$A$3880,0),MATCH("Night Unit Rate",'Flat Rates'!$A$1:$M$1,0))=0,"",((INDEX('Flat Rates'!$A$1:$M$3880,MATCH($AM480,'Flat Rates'!$A$1:$A$3880,0),MATCH("Night Unit Rate",'Flat Rates'!$A$1:$M$1,0)))*100)+H480),""))</f>
        <v/>
      </c>
      <c r="AT480" s="148" t="str">
        <f>IF($AN480=FALSE,"",IFERROR(IF(INDEX('Flat Rates'!$A$1:$M$3880,MATCH($AM480,'Flat Rates'!$A$1:$A$3880,0),MATCH("Evening and Weekend Rate",'Flat Rates'!$A$1:$M$1,0))=0,"",((INDEX('Flat Rates'!$A$1:$M$3880,MATCH($AM480,'Flat Rates'!$A$1:$A$3880,0),MATCH("Evening and Weekend Rate",'Flat Rates'!$A$1:$M$1,0)))*100)+H480),""))</f>
        <v/>
      </c>
      <c r="AU480" s="152" t="str">
        <f t="shared" si="203"/>
        <v/>
      </c>
      <c r="AV480" s="152" t="str">
        <f t="shared" si="204"/>
        <v/>
      </c>
      <c r="AW480" s="152" t="str">
        <f t="shared" si="205"/>
        <v/>
      </c>
    </row>
    <row r="481" spans="2:49" ht="15" thickBot="1" x14ac:dyDescent="0.35">
      <c r="B481" s="138" t="str">
        <f t="shared" si="182"/>
        <v/>
      </c>
      <c r="C481" s="137"/>
      <c r="D481" s="139"/>
      <c r="E481" s="140"/>
      <c r="F481" s="140"/>
      <c r="G481" s="139"/>
      <c r="H481" s="151"/>
      <c r="I481" s="139"/>
      <c r="J481" s="138"/>
      <c r="K481" s="139"/>
      <c r="L481" s="141"/>
      <c r="M481" s="133" t="str">
        <f t="shared" si="183"/>
        <v/>
      </c>
      <c r="N481" s="133" t="str">
        <f t="shared" si="184"/>
        <v/>
      </c>
      <c r="O481" s="133" t="str">
        <f t="shared" si="185"/>
        <v/>
      </c>
      <c r="P481" s="133" t="str">
        <f t="shared" si="186"/>
        <v/>
      </c>
      <c r="Q481" s="133" t="str">
        <f t="shared" si="187"/>
        <v/>
      </c>
      <c r="R481" s="133" t="str">
        <f t="shared" si="188"/>
        <v/>
      </c>
      <c r="S481" s="133" t="str">
        <f t="shared" si="189"/>
        <v/>
      </c>
      <c r="T481" s="133" t="str">
        <f>IFERROR(IF($U481="ERROR","ERROR",IF($N481="00",IF(J481="1-Rate","HH 1RATE",IF(J481="2-Rate","HH 2RATE","")),IFERROR(VLOOKUP(CONCATENATE(N481,Q481,O481,P481),Lookups!$A$2:$E$4557,5,0),VLOOKUP(CONCATENATE(N481,Q481,O481),Lookups!$A$2:$E$4557,5,0)))),"ERROR")</f>
        <v>ERROR</v>
      </c>
      <c r="U481" s="133" t="str">
        <f>IFERROR(IF(NOT($N481="00"),"",VLOOKUP(CONCATENATE(Q481,P481,LOOKUP(2,1/(Lookups!$I$2:$I$11&lt;=E481)/(Lookups!$J$2:$J$11&gt;=Tool!$C$14),Lookups!$K$2:$K$11)),'HH LLFs'!$A$2:$K$500,3,0)),"ERROR")</f>
        <v/>
      </c>
      <c r="V481" s="132">
        <f>Calcs!$I$2</f>
        <v>44377</v>
      </c>
      <c r="W481" s="132">
        <f>Calcs!$I$4</f>
        <v>44592</v>
      </c>
      <c r="X481" s="153" t="str">
        <f>IF(NOT(N481="00"),"",(VLOOKUP(CONCATENATE(Q481,P481,LOOKUP(2,1/(Lookups!$I$2:$I$11&lt;=Multisite!E481)/(Lookups!$J$2:$J$11&gt;=E481),Lookups!$K$2:$K$11)),'HH LLFs'!$A$2:$F$282,6,0)*365)/12)</f>
        <v/>
      </c>
      <c r="Y481" s="153">
        <f t="shared" si="190"/>
        <v>0</v>
      </c>
      <c r="Z481" s="153" t="str">
        <f t="shared" si="199"/>
        <v/>
      </c>
      <c r="AA481" s="153" t="str">
        <f t="shared" si="191"/>
        <v/>
      </c>
      <c r="AB481" s="153" t="str">
        <f t="shared" si="200"/>
        <v/>
      </c>
      <c r="AC481" s="153" t="str">
        <f t="shared" si="192"/>
        <v/>
      </c>
      <c r="AD481" s="153" t="str">
        <f t="shared" si="193"/>
        <v/>
      </c>
      <c r="AE481" s="153" t="str">
        <f t="shared" si="194"/>
        <v/>
      </c>
      <c r="AF481" s="155" t="e">
        <f>LOOKUP(2,1/(Lookups!$I$2:$I$11&lt;=E481)/(Lookups!$J$2:$J$11&gt;=E481),Lookups!$L$2:$L$11)</f>
        <v>#N/A</v>
      </c>
      <c r="AG481" s="142" t="str">
        <f t="shared" si="195"/>
        <v/>
      </c>
      <c r="AH481" s="142" t="str">
        <f t="shared" si="196"/>
        <v/>
      </c>
      <c r="AI481" s="143" t="b">
        <f t="shared" si="201"/>
        <v>0</v>
      </c>
      <c r="AJ481" s="143" t="str">
        <f t="shared" si="197"/>
        <v>Level 1</v>
      </c>
      <c r="AK481" s="142">
        <f t="shared" si="198"/>
        <v>0</v>
      </c>
      <c r="AL481" s="157" t="str">
        <f t="shared" si="206"/>
        <v/>
      </c>
      <c r="AM481" s="144" t="str">
        <f t="shared" si="207"/>
        <v>--FALSE-0</v>
      </c>
      <c r="AN481" s="158" t="str">
        <f t="shared" si="202"/>
        <v/>
      </c>
      <c r="AO481" s="145"/>
      <c r="AP481" s="159" t="str">
        <f>IF($AN481=FALSE,"",IFERROR(INDEX('Flat Rates'!$A$1:$M$3880,MATCH($AM481,'Flat Rates'!$A$1:$A$3880,0),MATCH("Standing Charge",'Flat Rates'!$A$1:$M$1,0))*100,""))</f>
        <v/>
      </c>
      <c r="AQ481" s="148" t="str">
        <f>IF($AN481=FALSE,"",IFERROR((IF(NOT(T481="Unrestricted"),"",INDEX('Flat Rates'!$A$1:$M$3880,MATCH($AM481,'Flat Rates'!$A$1:$A$3880,0),MATCH("Uni/Day Rate",'Flat Rates'!$A$1:$M$1,0)))*100)+H481,""))</f>
        <v/>
      </c>
      <c r="AR481" s="148" t="str">
        <f>IF($AN481=FALSE,"",IFERROR((IF(T481="Unrestricted","",INDEX('Flat Rates'!$A$1:$M$3880,MATCH($AM481,'Flat Rates'!$A$1:$A$3880,0),MATCH("Uni/Day Rate",'Flat Rates'!$A$1:$M$1,0)))*100)+H481,""))</f>
        <v/>
      </c>
      <c r="AS481" s="148" t="str">
        <f>IF($AN481=FALSE,"",IFERROR(IF(INDEX('Flat Rates'!$A$1:$M$3880,MATCH($AM481,'Flat Rates'!$A$1:$A$3880,0),MATCH("Night Unit Rate",'Flat Rates'!$A$1:$M$1,0))=0,"",((INDEX('Flat Rates'!$A$1:$M$3880,MATCH($AM481,'Flat Rates'!$A$1:$A$3880,0),MATCH("Night Unit Rate",'Flat Rates'!$A$1:$M$1,0)))*100)+H481),""))</f>
        <v/>
      </c>
      <c r="AT481" s="148" t="str">
        <f>IF($AN481=FALSE,"",IFERROR(IF(INDEX('Flat Rates'!$A$1:$M$3880,MATCH($AM481,'Flat Rates'!$A$1:$A$3880,0),MATCH("Evening and Weekend Rate",'Flat Rates'!$A$1:$M$1,0))=0,"",((INDEX('Flat Rates'!$A$1:$M$3880,MATCH($AM481,'Flat Rates'!$A$1:$A$3880,0),MATCH("Evening and Weekend Rate",'Flat Rates'!$A$1:$M$1,0)))*100)+H481),""))</f>
        <v/>
      </c>
      <c r="AU481" s="152" t="str">
        <f t="shared" si="203"/>
        <v/>
      </c>
      <c r="AV481" s="152" t="str">
        <f t="shared" si="204"/>
        <v/>
      </c>
      <c r="AW481" s="152" t="str">
        <f t="shared" si="205"/>
        <v/>
      </c>
    </row>
    <row r="482" spans="2:49" ht="15" thickBot="1" x14ac:dyDescent="0.35">
      <c r="B482" s="138" t="str">
        <f t="shared" si="182"/>
        <v/>
      </c>
      <c r="C482" s="146"/>
      <c r="D482" s="147"/>
      <c r="E482" s="140"/>
      <c r="F482" s="140"/>
      <c r="G482" s="139"/>
      <c r="H482" s="151"/>
      <c r="I482" s="139"/>
      <c r="J482" s="137"/>
      <c r="K482" s="139"/>
      <c r="L482" s="141"/>
      <c r="M482" s="133" t="str">
        <f t="shared" si="183"/>
        <v/>
      </c>
      <c r="N482" s="133" t="str">
        <f t="shared" si="184"/>
        <v/>
      </c>
      <c r="O482" s="133" t="str">
        <f t="shared" si="185"/>
        <v/>
      </c>
      <c r="P482" s="133" t="str">
        <f t="shared" si="186"/>
        <v/>
      </c>
      <c r="Q482" s="133" t="str">
        <f t="shared" si="187"/>
        <v/>
      </c>
      <c r="R482" s="133" t="str">
        <f t="shared" si="188"/>
        <v/>
      </c>
      <c r="S482" s="133" t="str">
        <f t="shared" si="189"/>
        <v/>
      </c>
      <c r="T482" s="133" t="str">
        <f>IFERROR(IF($U482="ERROR","ERROR",IF($N482="00",IF(J482="1-Rate","HH 1RATE",IF(J482="2-Rate","HH 2RATE","")),IFERROR(VLOOKUP(CONCATENATE(N482,Q482,O482,P482),Lookups!$A$2:$E$4557,5,0),VLOOKUP(CONCATENATE(N482,Q482,O482),Lookups!$A$2:$E$4557,5,0)))),"ERROR")</f>
        <v>ERROR</v>
      </c>
      <c r="U482" s="133" t="str">
        <f>IFERROR(IF(NOT($N482="00"),"",VLOOKUP(CONCATENATE(Q482,P482,LOOKUP(2,1/(Lookups!$I$2:$I$11&lt;=E482)/(Lookups!$J$2:$J$11&gt;=Tool!$C$14),Lookups!$K$2:$K$11)),'HH LLFs'!$A$2:$K$500,3,0)),"ERROR")</f>
        <v/>
      </c>
      <c r="V482" s="132">
        <f>Calcs!$I$2</f>
        <v>44377</v>
      </c>
      <c r="W482" s="132">
        <f>Calcs!$I$4</f>
        <v>44592</v>
      </c>
      <c r="X482" s="153" t="str">
        <f>IF(NOT(N482="00"),"",(VLOOKUP(CONCATENATE(Q482,P482,LOOKUP(2,1/(Lookups!$I$2:$I$11&lt;=Multisite!E482)/(Lookups!$J$2:$J$11&gt;=E482),Lookups!$K$2:$K$11)),'HH LLFs'!$A$2:$F$282,6,0)*365)/12)</f>
        <v/>
      </c>
      <c r="Y482" s="153">
        <f t="shared" si="190"/>
        <v>0</v>
      </c>
      <c r="Z482" s="153" t="str">
        <f t="shared" si="199"/>
        <v/>
      </c>
      <c r="AA482" s="153" t="str">
        <f t="shared" si="191"/>
        <v/>
      </c>
      <c r="AB482" s="153" t="str">
        <f t="shared" si="200"/>
        <v/>
      </c>
      <c r="AC482" s="153" t="str">
        <f t="shared" si="192"/>
        <v/>
      </c>
      <c r="AD482" s="153" t="str">
        <f t="shared" si="193"/>
        <v/>
      </c>
      <c r="AE482" s="153" t="str">
        <f t="shared" si="194"/>
        <v/>
      </c>
      <c r="AF482" s="155" t="e">
        <f>LOOKUP(2,1/(Lookups!$I$2:$I$11&lt;=E482)/(Lookups!$J$2:$J$11&gt;=E482),Lookups!$L$2:$L$11)</f>
        <v>#N/A</v>
      </c>
      <c r="AG482" s="142" t="str">
        <f t="shared" si="195"/>
        <v/>
      </c>
      <c r="AH482" s="142" t="str">
        <f t="shared" si="196"/>
        <v/>
      </c>
      <c r="AI482" s="143" t="b">
        <f t="shared" si="201"/>
        <v>0</v>
      </c>
      <c r="AJ482" s="143" t="str">
        <f t="shared" si="197"/>
        <v>Level 1</v>
      </c>
      <c r="AK482" s="142">
        <f t="shared" si="198"/>
        <v>0</v>
      </c>
      <c r="AL482" s="157" t="str">
        <f t="shared" si="206"/>
        <v/>
      </c>
      <c r="AM482" s="144" t="str">
        <f t="shared" si="207"/>
        <v>--FALSE-0</v>
      </c>
      <c r="AN482" s="158" t="str">
        <f t="shared" si="202"/>
        <v/>
      </c>
      <c r="AO482" s="145"/>
      <c r="AP482" s="159" t="str">
        <f>IF($AN482=FALSE,"",IFERROR(INDEX('Flat Rates'!$A$1:$M$3880,MATCH($AM482,'Flat Rates'!$A$1:$A$3880,0),MATCH("Standing Charge",'Flat Rates'!$A$1:$M$1,0))*100,""))</f>
        <v/>
      </c>
      <c r="AQ482" s="148" t="str">
        <f>IF($AN482=FALSE,"",IFERROR((IF(NOT(T482="Unrestricted"),"",INDEX('Flat Rates'!$A$1:$M$3880,MATCH($AM482,'Flat Rates'!$A$1:$A$3880,0),MATCH("Uni/Day Rate",'Flat Rates'!$A$1:$M$1,0)))*100)+H482,""))</f>
        <v/>
      </c>
      <c r="AR482" s="148" t="str">
        <f>IF($AN482=FALSE,"",IFERROR((IF(T482="Unrestricted","",INDEX('Flat Rates'!$A$1:$M$3880,MATCH($AM482,'Flat Rates'!$A$1:$A$3880,0),MATCH("Uni/Day Rate",'Flat Rates'!$A$1:$M$1,0)))*100)+H482,""))</f>
        <v/>
      </c>
      <c r="AS482" s="148" t="str">
        <f>IF($AN482=FALSE,"",IFERROR(IF(INDEX('Flat Rates'!$A$1:$M$3880,MATCH($AM482,'Flat Rates'!$A$1:$A$3880,0),MATCH("Night Unit Rate",'Flat Rates'!$A$1:$M$1,0))=0,"",((INDEX('Flat Rates'!$A$1:$M$3880,MATCH($AM482,'Flat Rates'!$A$1:$A$3880,0),MATCH("Night Unit Rate",'Flat Rates'!$A$1:$M$1,0)))*100)+H482),""))</f>
        <v/>
      </c>
      <c r="AT482" s="148" t="str">
        <f>IF($AN482=FALSE,"",IFERROR(IF(INDEX('Flat Rates'!$A$1:$M$3880,MATCH($AM482,'Flat Rates'!$A$1:$A$3880,0),MATCH("Evening and Weekend Rate",'Flat Rates'!$A$1:$M$1,0))=0,"",((INDEX('Flat Rates'!$A$1:$M$3880,MATCH($AM482,'Flat Rates'!$A$1:$A$3880,0),MATCH("Evening and Weekend Rate",'Flat Rates'!$A$1:$M$1,0)))*100)+H482),""))</f>
        <v/>
      </c>
      <c r="AU482" s="152" t="str">
        <f t="shared" si="203"/>
        <v/>
      </c>
      <c r="AV482" s="152" t="str">
        <f t="shared" si="204"/>
        <v/>
      </c>
      <c r="AW482" s="152" t="str">
        <f t="shared" si="205"/>
        <v/>
      </c>
    </row>
    <row r="483" spans="2:49" ht="15" thickBot="1" x14ac:dyDescent="0.35">
      <c r="B483" s="138" t="str">
        <f t="shared" si="182"/>
        <v/>
      </c>
      <c r="C483" s="137"/>
      <c r="D483" s="139"/>
      <c r="E483" s="140"/>
      <c r="F483" s="140"/>
      <c r="G483" s="139"/>
      <c r="H483" s="151"/>
      <c r="I483" s="139"/>
      <c r="J483" s="138"/>
      <c r="K483" s="139"/>
      <c r="L483" s="141"/>
      <c r="M483" s="133" t="str">
        <f t="shared" si="183"/>
        <v/>
      </c>
      <c r="N483" s="133" t="str">
        <f t="shared" si="184"/>
        <v/>
      </c>
      <c r="O483" s="133" t="str">
        <f t="shared" si="185"/>
        <v/>
      </c>
      <c r="P483" s="133" t="str">
        <f t="shared" si="186"/>
        <v/>
      </c>
      <c r="Q483" s="133" t="str">
        <f t="shared" si="187"/>
        <v/>
      </c>
      <c r="R483" s="133" t="str">
        <f t="shared" si="188"/>
        <v/>
      </c>
      <c r="S483" s="133" t="str">
        <f t="shared" si="189"/>
        <v/>
      </c>
      <c r="T483" s="133" t="str">
        <f>IFERROR(IF($U483="ERROR","ERROR",IF($N483="00",IF(J483="1-Rate","HH 1RATE",IF(J483="2-Rate","HH 2RATE","")),IFERROR(VLOOKUP(CONCATENATE(N483,Q483,O483,P483),Lookups!$A$2:$E$4557,5,0),VLOOKUP(CONCATENATE(N483,Q483,O483),Lookups!$A$2:$E$4557,5,0)))),"ERROR")</f>
        <v>ERROR</v>
      </c>
      <c r="U483" s="133" t="str">
        <f>IFERROR(IF(NOT($N483="00"),"",VLOOKUP(CONCATENATE(Q483,P483,LOOKUP(2,1/(Lookups!$I$2:$I$11&lt;=E483)/(Lookups!$J$2:$J$11&gt;=Tool!$C$14),Lookups!$K$2:$K$11)),'HH LLFs'!$A$2:$K$500,3,0)),"ERROR")</f>
        <v/>
      </c>
      <c r="V483" s="132">
        <f>Calcs!$I$2</f>
        <v>44377</v>
      </c>
      <c r="W483" s="132">
        <f>Calcs!$I$4</f>
        <v>44592</v>
      </c>
      <c r="X483" s="153" t="str">
        <f>IF(NOT(N483="00"),"",(VLOOKUP(CONCATENATE(Q483,P483,LOOKUP(2,1/(Lookups!$I$2:$I$11&lt;=Multisite!E483)/(Lookups!$J$2:$J$11&gt;=E483),Lookups!$K$2:$K$11)),'HH LLFs'!$A$2:$F$282,6,0)*365)/12)</f>
        <v/>
      </c>
      <c r="Y483" s="153">
        <f t="shared" si="190"/>
        <v>0</v>
      </c>
      <c r="Z483" s="153" t="str">
        <f t="shared" si="199"/>
        <v/>
      </c>
      <c r="AA483" s="153" t="str">
        <f t="shared" si="191"/>
        <v/>
      </c>
      <c r="AB483" s="153" t="str">
        <f t="shared" si="200"/>
        <v/>
      </c>
      <c r="AC483" s="153" t="str">
        <f t="shared" si="192"/>
        <v/>
      </c>
      <c r="AD483" s="153" t="str">
        <f t="shared" si="193"/>
        <v/>
      </c>
      <c r="AE483" s="153" t="str">
        <f t="shared" si="194"/>
        <v/>
      </c>
      <c r="AF483" s="155" t="e">
        <f>LOOKUP(2,1/(Lookups!$I$2:$I$11&lt;=E483)/(Lookups!$J$2:$J$11&gt;=E483),Lookups!$L$2:$L$11)</f>
        <v>#N/A</v>
      </c>
      <c r="AG483" s="142" t="str">
        <f t="shared" si="195"/>
        <v/>
      </c>
      <c r="AH483" s="142" t="str">
        <f t="shared" si="196"/>
        <v/>
      </c>
      <c r="AI483" s="143" t="b">
        <f t="shared" si="201"/>
        <v>0</v>
      </c>
      <c r="AJ483" s="143" t="str">
        <f t="shared" si="197"/>
        <v>Level 1</v>
      </c>
      <c r="AK483" s="142">
        <f t="shared" si="198"/>
        <v>0</v>
      </c>
      <c r="AL483" s="157" t="str">
        <f t="shared" si="206"/>
        <v/>
      </c>
      <c r="AM483" s="144" t="str">
        <f t="shared" si="207"/>
        <v>--FALSE-0</v>
      </c>
      <c r="AN483" s="158" t="str">
        <f t="shared" si="202"/>
        <v/>
      </c>
      <c r="AO483" s="145"/>
      <c r="AP483" s="159" t="str">
        <f>IF($AN483=FALSE,"",IFERROR(INDEX('Flat Rates'!$A$1:$M$3880,MATCH($AM483,'Flat Rates'!$A$1:$A$3880,0),MATCH("Standing Charge",'Flat Rates'!$A$1:$M$1,0))*100,""))</f>
        <v/>
      </c>
      <c r="AQ483" s="148" t="str">
        <f>IF($AN483=FALSE,"",IFERROR((IF(NOT(T483="Unrestricted"),"",INDEX('Flat Rates'!$A$1:$M$3880,MATCH($AM483,'Flat Rates'!$A$1:$A$3880,0),MATCH("Uni/Day Rate",'Flat Rates'!$A$1:$M$1,0)))*100)+H483,""))</f>
        <v/>
      </c>
      <c r="AR483" s="148" t="str">
        <f>IF($AN483=FALSE,"",IFERROR((IF(T483="Unrestricted","",INDEX('Flat Rates'!$A$1:$M$3880,MATCH($AM483,'Flat Rates'!$A$1:$A$3880,0),MATCH("Uni/Day Rate",'Flat Rates'!$A$1:$M$1,0)))*100)+H483,""))</f>
        <v/>
      </c>
      <c r="AS483" s="148" t="str">
        <f>IF($AN483=FALSE,"",IFERROR(IF(INDEX('Flat Rates'!$A$1:$M$3880,MATCH($AM483,'Flat Rates'!$A$1:$A$3880,0),MATCH("Night Unit Rate",'Flat Rates'!$A$1:$M$1,0))=0,"",((INDEX('Flat Rates'!$A$1:$M$3880,MATCH($AM483,'Flat Rates'!$A$1:$A$3880,0),MATCH("Night Unit Rate",'Flat Rates'!$A$1:$M$1,0)))*100)+H483),""))</f>
        <v/>
      </c>
      <c r="AT483" s="148" t="str">
        <f>IF($AN483=FALSE,"",IFERROR(IF(INDEX('Flat Rates'!$A$1:$M$3880,MATCH($AM483,'Flat Rates'!$A$1:$A$3880,0),MATCH("Evening and Weekend Rate",'Flat Rates'!$A$1:$M$1,0))=0,"",((INDEX('Flat Rates'!$A$1:$M$3880,MATCH($AM483,'Flat Rates'!$A$1:$A$3880,0),MATCH("Evening and Weekend Rate",'Flat Rates'!$A$1:$M$1,0)))*100)+H483),""))</f>
        <v/>
      </c>
      <c r="AU483" s="152" t="str">
        <f t="shared" si="203"/>
        <v/>
      </c>
      <c r="AV483" s="152" t="str">
        <f t="shared" si="204"/>
        <v/>
      </c>
      <c r="AW483" s="152" t="str">
        <f t="shared" si="205"/>
        <v/>
      </c>
    </row>
    <row r="484" spans="2:49" ht="15" thickBot="1" x14ac:dyDescent="0.35">
      <c r="B484" s="138" t="str">
        <f t="shared" si="182"/>
        <v/>
      </c>
      <c r="C484" s="146"/>
      <c r="D484" s="147"/>
      <c r="E484" s="140"/>
      <c r="F484" s="140"/>
      <c r="G484" s="139"/>
      <c r="H484" s="151"/>
      <c r="I484" s="139"/>
      <c r="J484" s="137"/>
      <c r="K484" s="139"/>
      <c r="L484" s="141"/>
      <c r="M484" s="133" t="str">
        <f t="shared" si="183"/>
        <v/>
      </c>
      <c r="N484" s="133" t="str">
        <f t="shared" si="184"/>
        <v/>
      </c>
      <c r="O484" s="133" t="str">
        <f t="shared" si="185"/>
        <v/>
      </c>
      <c r="P484" s="133" t="str">
        <f t="shared" si="186"/>
        <v/>
      </c>
      <c r="Q484" s="133" t="str">
        <f t="shared" si="187"/>
        <v/>
      </c>
      <c r="R484" s="133" t="str">
        <f t="shared" si="188"/>
        <v/>
      </c>
      <c r="S484" s="133" t="str">
        <f t="shared" si="189"/>
        <v/>
      </c>
      <c r="T484" s="133" t="str">
        <f>IFERROR(IF($U484="ERROR","ERROR",IF($N484="00",IF(J484="1-Rate","HH 1RATE",IF(J484="2-Rate","HH 2RATE","")),IFERROR(VLOOKUP(CONCATENATE(N484,Q484,O484,P484),Lookups!$A$2:$E$4557,5,0),VLOOKUP(CONCATENATE(N484,Q484,O484),Lookups!$A$2:$E$4557,5,0)))),"ERROR")</f>
        <v>ERROR</v>
      </c>
      <c r="U484" s="133" t="str">
        <f>IFERROR(IF(NOT($N484="00"),"",VLOOKUP(CONCATENATE(Q484,P484,LOOKUP(2,1/(Lookups!$I$2:$I$11&lt;=E484)/(Lookups!$J$2:$J$11&gt;=Tool!$C$14),Lookups!$K$2:$K$11)),'HH LLFs'!$A$2:$K$500,3,0)),"ERROR")</f>
        <v/>
      </c>
      <c r="V484" s="132">
        <f>Calcs!$I$2</f>
        <v>44377</v>
      </c>
      <c r="W484" s="132">
        <f>Calcs!$I$4</f>
        <v>44592</v>
      </c>
      <c r="X484" s="153" t="str">
        <f>IF(NOT(N484="00"),"",(VLOOKUP(CONCATENATE(Q484,P484,LOOKUP(2,1/(Lookups!$I$2:$I$11&lt;=Multisite!E484)/(Lookups!$J$2:$J$11&gt;=E484),Lookups!$K$2:$K$11)),'HH LLFs'!$A$2:$F$282,6,0)*365)/12)</f>
        <v/>
      </c>
      <c r="Y484" s="153">
        <f t="shared" si="190"/>
        <v>0</v>
      </c>
      <c r="Z484" s="153" t="str">
        <f t="shared" si="199"/>
        <v/>
      </c>
      <c r="AA484" s="153" t="str">
        <f t="shared" si="191"/>
        <v/>
      </c>
      <c r="AB484" s="153" t="str">
        <f t="shared" si="200"/>
        <v/>
      </c>
      <c r="AC484" s="153" t="str">
        <f t="shared" si="192"/>
        <v/>
      </c>
      <c r="AD484" s="153" t="str">
        <f t="shared" si="193"/>
        <v/>
      </c>
      <c r="AE484" s="153" t="str">
        <f t="shared" si="194"/>
        <v/>
      </c>
      <c r="AF484" s="155" t="e">
        <f>LOOKUP(2,1/(Lookups!$I$2:$I$11&lt;=E484)/(Lookups!$J$2:$J$11&gt;=E484),Lookups!$L$2:$L$11)</f>
        <v>#N/A</v>
      </c>
      <c r="AG484" s="142" t="str">
        <f t="shared" si="195"/>
        <v/>
      </c>
      <c r="AH484" s="142" t="str">
        <f t="shared" si="196"/>
        <v/>
      </c>
      <c r="AI484" s="143" t="b">
        <f t="shared" si="201"/>
        <v>0</v>
      </c>
      <c r="AJ484" s="143" t="str">
        <f t="shared" si="197"/>
        <v>Level 1</v>
      </c>
      <c r="AK484" s="142">
        <f t="shared" si="198"/>
        <v>0</v>
      </c>
      <c r="AL484" s="157" t="str">
        <f t="shared" si="206"/>
        <v/>
      </c>
      <c r="AM484" s="144" t="str">
        <f t="shared" si="207"/>
        <v>--FALSE-0</v>
      </c>
      <c r="AN484" s="158" t="str">
        <f t="shared" si="202"/>
        <v/>
      </c>
      <c r="AO484" s="145"/>
      <c r="AP484" s="159" t="str">
        <f>IF($AN484=FALSE,"",IFERROR(INDEX('Flat Rates'!$A$1:$M$3880,MATCH($AM484,'Flat Rates'!$A$1:$A$3880,0),MATCH("Standing Charge",'Flat Rates'!$A$1:$M$1,0))*100,""))</f>
        <v/>
      </c>
      <c r="AQ484" s="148" t="str">
        <f>IF($AN484=FALSE,"",IFERROR((IF(NOT(T484="Unrestricted"),"",INDEX('Flat Rates'!$A$1:$M$3880,MATCH($AM484,'Flat Rates'!$A$1:$A$3880,0),MATCH("Uni/Day Rate",'Flat Rates'!$A$1:$M$1,0)))*100)+H484,""))</f>
        <v/>
      </c>
      <c r="AR484" s="148" t="str">
        <f>IF($AN484=FALSE,"",IFERROR((IF(T484="Unrestricted","",INDEX('Flat Rates'!$A$1:$M$3880,MATCH($AM484,'Flat Rates'!$A$1:$A$3880,0),MATCH("Uni/Day Rate",'Flat Rates'!$A$1:$M$1,0)))*100)+H484,""))</f>
        <v/>
      </c>
      <c r="AS484" s="148" t="str">
        <f>IF($AN484=FALSE,"",IFERROR(IF(INDEX('Flat Rates'!$A$1:$M$3880,MATCH($AM484,'Flat Rates'!$A$1:$A$3880,0),MATCH("Night Unit Rate",'Flat Rates'!$A$1:$M$1,0))=0,"",((INDEX('Flat Rates'!$A$1:$M$3880,MATCH($AM484,'Flat Rates'!$A$1:$A$3880,0),MATCH("Night Unit Rate",'Flat Rates'!$A$1:$M$1,0)))*100)+H484),""))</f>
        <v/>
      </c>
      <c r="AT484" s="148" t="str">
        <f>IF($AN484=FALSE,"",IFERROR(IF(INDEX('Flat Rates'!$A$1:$M$3880,MATCH($AM484,'Flat Rates'!$A$1:$A$3880,0),MATCH("Evening and Weekend Rate",'Flat Rates'!$A$1:$M$1,0))=0,"",((INDEX('Flat Rates'!$A$1:$M$3880,MATCH($AM484,'Flat Rates'!$A$1:$A$3880,0),MATCH("Evening and Weekend Rate",'Flat Rates'!$A$1:$M$1,0)))*100)+H484),""))</f>
        <v/>
      </c>
      <c r="AU484" s="152" t="str">
        <f t="shared" si="203"/>
        <v/>
      </c>
      <c r="AV484" s="152" t="str">
        <f t="shared" si="204"/>
        <v/>
      </c>
      <c r="AW484" s="152" t="str">
        <f t="shared" si="205"/>
        <v/>
      </c>
    </row>
    <row r="485" spans="2:49" ht="15" thickBot="1" x14ac:dyDescent="0.35">
      <c r="B485" s="138" t="str">
        <f t="shared" si="182"/>
        <v/>
      </c>
      <c r="C485" s="137"/>
      <c r="D485" s="139"/>
      <c r="E485" s="140"/>
      <c r="F485" s="140"/>
      <c r="G485" s="139"/>
      <c r="H485" s="151"/>
      <c r="I485" s="139"/>
      <c r="J485" s="138"/>
      <c r="K485" s="139"/>
      <c r="L485" s="141"/>
      <c r="M485" s="133" t="str">
        <f t="shared" si="183"/>
        <v/>
      </c>
      <c r="N485" s="133" t="str">
        <f t="shared" si="184"/>
        <v/>
      </c>
      <c r="O485" s="133" t="str">
        <f t="shared" si="185"/>
        <v/>
      </c>
      <c r="P485" s="133" t="str">
        <f t="shared" si="186"/>
        <v/>
      </c>
      <c r="Q485" s="133" t="str">
        <f t="shared" si="187"/>
        <v/>
      </c>
      <c r="R485" s="133" t="str">
        <f t="shared" si="188"/>
        <v/>
      </c>
      <c r="S485" s="133" t="str">
        <f t="shared" si="189"/>
        <v/>
      </c>
      <c r="T485" s="133" t="str">
        <f>IFERROR(IF($U485="ERROR","ERROR",IF($N485="00",IF(J485="1-Rate","HH 1RATE",IF(J485="2-Rate","HH 2RATE","")),IFERROR(VLOOKUP(CONCATENATE(N485,Q485,O485,P485),Lookups!$A$2:$E$4557,5,0),VLOOKUP(CONCATENATE(N485,Q485,O485),Lookups!$A$2:$E$4557,5,0)))),"ERROR")</f>
        <v>ERROR</v>
      </c>
      <c r="U485" s="133" t="str">
        <f>IFERROR(IF(NOT($N485="00"),"",VLOOKUP(CONCATENATE(Q485,P485,LOOKUP(2,1/(Lookups!$I$2:$I$11&lt;=E485)/(Lookups!$J$2:$J$11&gt;=Tool!$C$14),Lookups!$K$2:$K$11)),'HH LLFs'!$A$2:$K$500,3,0)),"ERROR")</f>
        <v/>
      </c>
      <c r="V485" s="132">
        <f>Calcs!$I$2</f>
        <v>44377</v>
      </c>
      <c r="W485" s="132">
        <f>Calcs!$I$4</f>
        <v>44592</v>
      </c>
      <c r="X485" s="153" t="str">
        <f>IF(NOT(N485="00"),"",(VLOOKUP(CONCATENATE(Q485,P485,LOOKUP(2,1/(Lookups!$I$2:$I$11&lt;=Multisite!E485)/(Lookups!$J$2:$J$11&gt;=E485),Lookups!$K$2:$K$11)),'HH LLFs'!$A$2:$F$282,6,0)*365)/12)</f>
        <v/>
      </c>
      <c r="Y485" s="153">
        <f t="shared" si="190"/>
        <v>0</v>
      </c>
      <c r="Z485" s="153" t="str">
        <f t="shared" si="199"/>
        <v/>
      </c>
      <c r="AA485" s="153" t="str">
        <f t="shared" si="191"/>
        <v/>
      </c>
      <c r="AB485" s="153" t="str">
        <f t="shared" si="200"/>
        <v/>
      </c>
      <c r="AC485" s="153" t="str">
        <f t="shared" si="192"/>
        <v/>
      </c>
      <c r="AD485" s="153" t="str">
        <f t="shared" si="193"/>
        <v/>
      </c>
      <c r="AE485" s="153" t="str">
        <f t="shared" si="194"/>
        <v/>
      </c>
      <c r="AF485" s="155" t="e">
        <f>LOOKUP(2,1/(Lookups!$I$2:$I$11&lt;=E485)/(Lookups!$J$2:$J$11&gt;=E485),Lookups!$L$2:$L$11)</f>
        <v>#N/A</v>
      </c>
      <c r="AG485" s="142" t="str">
        <f t="shared" si="195"/>
        <v/>
      </c>
      <c r="AH485" s="142" t="str">
        <f t="shared" si="196"/>
        <v/>
      </c>
      <c r="AI485" s="143" t="b">
        <f t="shared" si="201"/>
        <v>0</v>
      </c>
      <c r="AJ485" s="143" t="str">
        <f t="shared" si="197"/>
        <v>Level 1</v>
      </c>
      <c r="AK485" s="142">
        <f t="shared" si="198"/>
        <v>0</v>
      </c>
      <c r="AL485" s="157" t="str">
        <f t="shared" si="206"/>
        <v/>
      </c>
      <c r="AM485" s="144" t="str">
        <f t="shared" si="207"/>
        <v>--FALSE-0</v>
      </c>
      <c r="AN485" s="158" t="str">
        <f t="shared" si="202"/>
        <v/>
      </c>
      <c r="AO485" s="145"/>
      <c r="AP485" s="159" t="str">
        <f>IF($AN485=FALSE,"",IFERROR(INDEX('Flat Rates'!$A$1:$M$3880,MATCH($AM485,'Flat Rates'!$A$1:$A$3880,0),MATCH("Standing Charge",'Flat Rates'!$A$1:$M$1,0))*100,""))</f>
        <v/>
      </c>
      <c r="AQ485" s="148" t="str">
        <f>IF($AN485=FALSE,"",IFERROR((IF(NOT(T485="Unrestricted"),"",INDEX('Flat Rates'!$A$1:$M$3880,MATCH($AM485,'Flat Rates'!$A$1:$A$3880,0),MATCH("Uni/Day Rate",'Flat Rates'!$A$1:$M$1,0)))*100)+H485,""))</f>
        <v/>
      </c>
      <c r="AR485" s="148" t="str">
        <f>IF($AN485=FALSE,"",IFERROR((IF(T485="Unrestricted","",INDEX('Flat Rates'!$A$1:$M$3880,MATCH($AM485,'Flat Rates'!$A$1:$A$3880,0),MATCH("Uni/Day Rate",'Flat Rates'!$A$1:$M$1,0)))*100)+H485,""))</f>
        <v/>
      </c>
      <c r="AS485" s="148" t="str">
        <f>IF($AN485=FALSE,"",IFERROR(IF(INDEX('Flat Rates'!$A$1:$M$3880,MATCH($AM485,'Flat Rates'!$A$1:$A$3880,0),MATCH("Night Unit Rate",'Flat Rates'!$A$1:$M$1,0))=0,"",((INDEX('Flat Rates'!$A$1:$M$3880,MATCH($AM485,'Flat Rates'!$A$1:$A$3880,0),MATCH("Night Unit Rate",'Flat Rates'!$A$1:$M$1,0)))*100)+H485),""))</f>
        <v/>
      </c>
      <c r="AT485" s="148" t="str">
        <f>IF($AN485=FALSE,"",IFERROR(IF(INDEX('Flat Rates'!$A$1:$M$3880,MATCH($AM485,'Flat Rates'!$A$1:$A$3880,0),MATCH("Evening and Weekend Rate",'Flat Rates'!$A$1:$M$1,0))=0,"",((INDEX('Flat Rates'!$A$1:$M$3880,MATCH($AM485,'Flat Rates'!$A$1:$A$3880,0),MATCH("Evening and Weekend Rate",'Flat Rates'!$A$1:$M$1,0)))*100)+H485),""))</f>
        <v/>
      </c>
      <c r="AU485" s="152" t="str">
        <f t="shared" si="203"/>
        <v/>
      </c>
      <c r="AV485" s="152" t="str">
        <f t="shared" si="204"/>
        <v/>
      </c>
      <c r="AW485" s="152" t="str">
        <f t="shared" si="205"/>
        <v/>
      </c>
    </row>
    <row r="486" spans="2:49" ht="15" thickBot="1" x14ac:dyDescent="0.35">
      <c r="B486" s="138" t="str">
        <f t="shared" si="182"/>
        <v/>
      </c>
      <c r="C486" s="146"/>
      <c r="D486" s="147"/>
      <c r="E486" s="140"/>
      <c r="F486" s="140"/>
      <c r="G486" s="139"/>
      <c r="H486" s="151"/>
      <c r="I486" s="139"/>
      <c r="J486" s="137"/>
      <c r="K486" s="139"/>
      <c r="L486" s="141"/>
      <c r="M486" s="133" t="str">
        <f t="shared" si="183"/>
        <v/>
      </c>
      <c r="N486" s="133" t="str">
        <f t="shared" si="184"/>
        <v/>
      </c>
      <c r="O486" s="133" t="str">
        <f t="shared" si="185"/>
        <v/>
      </c>
      <c r="P486" s="133" t="str">
        <f t="shared" si="186"/>
        <v/>
      </c>
      <c r="Q486" s="133" t="str">
        <f t="shared" si="187"/>
        <v/>
      </c>
      <c r="R486" s="133" t="str">
        <f t="shared" si="188"/>
        <v/>
      </c>
      <c r="S486" s="133" t="str">
        <f t="shared" si="189"/>
        <v/>
      </c>
      <c r="T486" s="133" t="str">
        <f>IFERROR(IF($U486="ERROR","ERROR",IF($N486="00",IF(J486="1-Rate","HH 1RATE",IF(J486="2-Rate","HH 2RATE","")),IFERROR(VLOOKUP(CONCATENATE(N486,Q486,O486,P486),Lookups!$A$2:$E$4557,5,0),VLOOKUP(CONCATENATE(N486,Q486,O486),Lookups!$A$2:$E$4557,5,0)))),"ERROR")</f>
        <v>ERROR</v>
      </c>
      <c r="U486" s="133" t="str">
        <f>IFERROR(IF(NOT($N486="00"),"",VLOOKUP(CONCATENATE(Q486,P486,LOOKUP(2,1/(Lookups!$I$2:$I$11&lt;=E486)/(Lookups!$J$2:$J$11&gt;=Tool!$C$14),Lookups!$K$2:$K$11)),'HH LLFs'!$A$2:$K$500,3,0)),"ERROR")</f>
        <v/>
      </c>
      <c r="V486" s="132">
        <f>Calcs!$I$2</f>
        <v>44377</v>
      </c>
      <c r="W486" s="132">
        <f>Calcs!$I$4</f>
        <v>44592</v>
      </c>
      <c r="X486" s="153" t="str">
        <f>IF(NOT(N486="00"),"",(VLOOKUP(CONCATENATE(Q486,P486,LOOKUP(2,1/(Lookups!$I$2:$I$11&lt;=Multisite!E486)/(Lookups!$J$2:$J$11&gt;=E486),Lookups!$K$2:$K$11)),'HH LLFs'!$A$2:$F$282,6,0)*365)/12)</f>
        <v/>
      </c>
      <c r="Y486" s="153">
        <f t="shared" si="190"/>
        <v>0</v>
      </c>
      <c r="Z486" s="153" t="str">
        <f t="shared" si="199"/>
        <v/>
      </c>
      <c r="AA486" s="153" t="str">
        <f t="shared" si="191"/>
        <v/>
      </c>
      <c r="AB486" s="153" t="str">
        <f t="shared" si="200"/>
        <v/>
      </c>
      <c r="AC486" s="153" t="str">
        <f t="shared" si="192"/>
        <v/>
      </c>
      <c r="AD486" s="153" t="str">
        <f t="shared" si="193"/>
        <v/>
      </c>
      <c r="AE486" s="153" t="str">
        <f t="shared" si="194"/>
        <v/>
      </c>
      <c r="AF486" s="155" t="e">
        <f>LOOKUP(2,1/(Lookups!$I$2:$I$11&lt;=E486)/(Lookups!$J$2:$J$11&gt;=E486),Lookups!$L$2:$L$11)</f>
        <v>#N/A</v>
      </c>
      <c r="AG486" s="142" t="str">
        <f t="shared" si="195"/>
        <v/>
      </c>
      <c r="AH486" s="142" t="str">
        <f t="shared" si="196"/>
        <v/>
      </c>
      <c r="AI486" s="143" t="b">
        <f t="shared" si="201"/>
        <v>0</v>
      </c>
      <c r="AJ486" s="143" t="str">
        <f t="shared" si="197"/>
        <v>Level 1</v>
      </c>
      <c r="AK486" s="142">
        <f t="shared" si="198"/>
        <v>0</v>
      </c>
      <c r="AL486" s="157" t="str">
        <f t="shared" si="206"/>
        <v/>
      </c>
      <c r="AM486" s="144" t="str">
        <f t="shared" si="207"/>
        <v>--FALSE-0</v>
      </c>
      <c r="AN486" s="158" t="str">
        <f t="shared" si="202"/>
        <v/>
      </c>
      <c r="AO486" s="145"/>
      <c r="AP486" s="159" t="str">
        <f>IF($AN486=FALSE,"",IFERROR(INDEX('Flat Rates'!$A$1:$M$3880,MATCH($AM486,'Flat Rates'!$A$1:$A$3880,0),MATCH("Standing Charge",'Flat Rates'!$A$1:$M$1,0))*100,""))</f>
        <v/>
      </c>
      <c r="AQ486" s="148" t="str">
        <f>IF($AN486=FALSE,"",IFERROR((IF(NOT(T486="Unrestricted"),"",INDEX('Flat Rates'!$A$1:$M$3880,MATCH($AM486,'Flat Rates'!$A$1:$A$3880,0),MATCH("Uni/Day Rate",'Flat Rates'!$A$1:$M$1,0)))*100)+H486,""))</f>
        <v/>
      </c>
      <c r="AR486" s="148" t="str">
        <f>IF($AN486=FALSE,"",IFERROR((IF(T486="Unrestricted","",INDEX('Flat Rates'!$A$1:$M$3880,MATCH($AM486,'Flat Rates'!$A$1:$A$3880,0),MATCH("Uni/Day Rate",'Flat Rates'!$A$1:$M$1,0)))*100)+H486,""))</f>
        <v/>
      </c>
      <c r="AS486" s="148" t="str">
        <f>IF($AN486=FALSE,"",IFERROR(IF(INDEX('Flat Rates'!$A$1:$M$3880,MATCH($AM486,'Flat Rates'!$A$1:$A$3880,0),MATCH("Night Unit Rate",'Flat Rates'!$A$1:$M$1,0))=0,"",((INDEX('Flat Rates'!$A$1:$M$3880,MATCH($AM486,'Flat Rates'!$A$1:$A$3880,0),MATCH("Night Unit Rate",'Flat Rates'!$A$1:$M$1,0)))*100)+H486),""))</f>
        <v/>
      </c>
      <c r="AT486" s="148" t="str">
        <f>IF($AN486=FALSE,"",IFERROR(IF(INDEX('Flat Rates'!$A$1:$M$3880,MATCH($AM486,'Flat Rates'!$A$1:$A$3880,0),MATCH("Evening and Weekend Rate",'Flat Rates'!$A$1:$M$1,0))=0,"",((INDEX('Flat Rates'!$A$1:$M$3880,MATCH($AM486,'Flat Rates'!$A$1:$A$3880,0),MATCH("Evening and Weekend Rate",'Flat Rates'!$A$1:$M$1,0)))*100)+H486),""))</f>
        <v/>
      </c>
      <c r="AU486" s="152" t="str">
        <f t="shared" si="203"/>
        <v/>
      </c>
      <c r="AV486" s="152" t="str">
        <f t="shared" si="204"/>
        <v/>
      </c>
      <c r="AW486" s="152" t="str">
        <f t="shared" si="205"/>
        <v/>
      </c>
    </row>
    <row r="487" spans="2:49" ht="15" thickBot="1" x14ac:dyDescent="0.35">
      <c r="B487" s="138" t="str">
        <f t="shared" si="182"/>
        <v/>
      </c>
      <c r="C487" s="137"/>
      <c r="D487" s="139"/>
      <c r="E487" s="140"/>
      <c r="F487" s="140"/>
      <c r="G487" s="139"/>
      <c r="H487" s="151"/>
      <c r="I487" s="139"/>
      <c r="J487" s="138"/>
      <c r="K487" s="139"/>
      <c r="L487" s="141"/>
      <c r="M487" s="133" t="str">
        <f t="shared" si="183"/>
        <v/>
      </c>
      <c r="N487" s="133" t="str">
        <f t="shared" si="184"/>
        <v/>
      </c>
      <c r="O487" s="133" t="str">
        <f t="shared" si="185"/>
        <v/>
      </c>
      <c r="P487" s="133" t="str">
        <f t="shared" si="186"/>
        <v/>
      </c>
      <c r="Q487" s="133" t="str">
        <f t="shared" si="187"/>
        <v/>
      </c>
      <c r="R487" s="133" t="str">
        <f t="shared" si="188"/>
        <v/>
      </c>
      <c r="S487" s="133" t="str">
        <f t="shared" si="189"/>
        <v/>
      </c>
      <c r="T487" s="133" t="str">
        <f>IFERROR(IF($U487="ERROR","ERROR",IF($N487="00",IF(J487="1-Rate","HH 1RATE",IF(J487="2-Rate","HH 2RATE","")),IFERROR(VLOOKUP(CONCATENATE(N487,Q487,O487,P487),Lookups!$A$2:$E$4557,5,0),VLOOKUP(CONCATENATE(N487,Q487,O487),Lookups!$A$2:$E$4557,5,0)))),"ERROR")</f>
        <v>ERROR</v>
      </c>
      <c r="U487" s="133" t="str">
        <f>IFERROR(IF(NOT($N487="00"),"",VLOOKUP(CONCATENATE(Q487,P487,LOOKUP(2,1/(Lookups!$I$2:$I$11&lt;=E487)/(Lookups!$J$2:$J$11&gt;=Tool!$C$14),Lookups!$K$2:$K$11)),'HH LLFs'!$A$2:$K$500,3,0)),"ERROR")</f>
        <v/>
      </c>
      <c r="V487" s="132">
        <f>Calcs!$I$2</f>
        <v>44377</v>
      </c>
      <c r="W487" s="132">
        <f>Calcs!$I$4</f>
        <v>44592</v>
      </c>
      <c r="X487" s="153" t="str">
        <f>IF(NOT(N487="00"),"",(VLOOKUP(CONCATENATE(Q487,P487,LOOKUP(2,1/(Lookups!$I$2:$I$11&lt;=Multisite!E487)/(Lookups!$J$2:$J$11&gt;=E487),Lookups!$K$2:$K$11)),'HH LLFs'!$A$2:$F$282,6,0)*365)/12)</f>
        <v/>
      </c>
      <c r="Y487" s="153">
        <f t="shared" si="190"/>
        <v>0</v>
      </c>
      <c r="Z487" s="153" t="str">
        <f t="shared" si="199"/>
        <v/>
      </c>
      <c r="AA487" s="153" t="str">
        <f t="shared" si="191"/>
        <v/>
      </c>
      <c r="AB487" s="153" t="str">
        <f t="shared" si="200"/>
        <v/>
      </c>
      <c r="AC487" s="153" t="str">
        <f t="shared" si="192"/>
        <v/>
      </c>
      <c r="AD487" s="153" t="str">
        <f t="shared" si="193"/>
        <v/>
      </c>
      <c r="AE487" s="153" t="str">
        <f t="shared" si="194"/>
        <v/>
      </c>
      <c r="AF487" s="155" t="e">
        <f>LOOKUP(2,1/(Lookups!$I$2:$I$11&lt;=E487)/(Lookups!$J$2:$J$11&gt;=E487),Lookups!$L$2:$L$11)</f>
        <v>#N/A</v>
      </c>
      <c r="AG487" s="142" t="str">
        <f t="shared" si="195"/>
        <v/>
      </c>
      <c r="AH487" s="142" t="str">
        <f t="shared" si="196"/>
        <v/>
      </c>
      <c r="AI487" s="143" t="b">
        <f t="shared" si="201"/>
        <v>0</v>
      </c>
      <c r="AJ487" s="143" t="str">
        <f t="shared" si="197"/>
        <v>Level 1</v>
      </c>
      <c r="AK487" s="142">
        <f t="shared" si="198"/>
        <v>0</v>
      </c>
      <c r="AL487" s="157" t="str">
        <f t="shared" si="206"/>
        <v/>
      </c>
      <c r="AM487" s="144" t="str">
        <f t="shared" si="207"/>
        <v>--FALSE-0</v>
      </c>
      <c r="AN487" s="158" t="str">
        <f t="shared" si="202"/>
        <v/>
      </c>
      <c r="AO487" s="145"/>
      <c r="AP487" s="159" t="str">
        <f>IF($AN487=FALSE,"",IFERROR(INDEX('Flat Rates'!$A$1:$M$3880,MATCH($AM487,'Flat Rates'!$A$1:$A$3880,0),MATCH("Standing Charge",'Flat Rates'!$A$1:$M$1,0))*100,""))</f>
        <v/>
      </c>
      <c r="AQ487" s="148" t="str">
        <f>IF($AN487=FALSE,"",IFERROR((IF(NOT(T487="Unrestricted"),"",INDEX('Flat Rates'!$A$1:$M$3880,MATCH($AM487,'Flat Rates'!$A$1:$A$3880,0),MATCH("Uni/Day Rate",'Flat Rates'!$A$1:$M$1,0)))*100)+H487,""))</f>
        <v/>
      </c>
      <c r="AR487" s="148" t="str">
        <f>IF($AN487=FALSE,"",IFERROR((IF(T487="Unrestricted","",INDEX('Flat Rates'!$A$1:$M$3880,MATCH($AM487,'Flat Rates'!$A$1:$A$3880,0),MATCH("Uni/Day Rate",'Flat Rates'!$A$1:$M$1,0)))*100)+H487,""))</f>
        <v/>
      </c>
      <c r="AS487" s="148" t="str">
        <f>IF($AN487=FALSE,"",IFERROR(IF(INDEX('Flat Rates'!$A$1:$M$3880,MATCH($AM487,'Flat Rates'!$A$1:$A$3880,0),MATCH("Night Unit Rate",'Flat Rates'!$A$1:$M$1,0))=0,"",((INDEX('Flat Rates'!$A$1:$M$3880,MATCH($AM487,'Flat Rates'!$A$1:$A$3880,0),MATCH("Night Unit Rate",'Flat Rates'!$A$1:$M$1,0)))*100)+H487),""))</f>
        <v/>
      </c>
      <c r="AT487" s="148" t="str">
        <f>IF($AN487=FALSE,"",IFERROR(IF(INDEX('Flat Rates'!$A$1:$M$3880,MATCH($AM487,'Flat Rates'!$A$1:$A$3880,0),MATCH("Evening and Weekend Rate",'Flat Rates'!$A$1:$M$1,0))=0,"",((INDEX('Flat Rates'!$A$1:$M$3880,MATCH($AM487,'Flat Rates'!$A$1:$A$3880,0),MATCH("Evening and Weekend Rate",'Flat Rates'!$A$1:$M$1,0)))*100)+H487),""))</f>
        <v/>
      </c>
      <c r="AU487" s="152" t="str">
        <f t="shared" si="203"/>
        <v/>
      </c>
      <c r="AV487" s="152" t="str">
        <f t="shared" si="204"/>
        <v/>
      </c>
      <c r="AW487" s="152" t="str">
        <f t="shared" si="205"/>
        <v/>
      </c>
    </row>
    <row r="488" spans="2:49" ht="15" thickBot="1" x14ac:dyDescent="0.35">
      <c r="B488" s="138" t="str">
        <f t="shared" si="182"/>
        <v/>
      </c>
      <c r="C488" s="146"/>
      <c r="D488" s="147"/>
      <c r="E488" s="140"/>
      <c r="F488" s="140"/>
      <c r="G488" s="139"/>
      <c r="H488" s="151"/>
      <c r="I488" s="139"/>
      <c r="J488" s="137"/>
      <c r="K488" s="139"/>
      <c r="L488" s="141"/>
      <c r="M488" s="133" t="str">
        <f t="shared" si="183"/>
        <v/>
      </c>
      <c r="N488" s="133" t="str">
        <f t="shared" si="184"/>
        <v/>
      </c>
      <c r="O488" s="133" t="str">
        <f t="shared" si="185"/>
        <v/>
      </c>
      <c r="P488" s="133" t="str">
        <f t="shared" si="186"/>
        <v/>
      </c>
      <c r="Q488" s="133" t="str">
        <f t="shared" si="187"/>
        <v/>
      </c>
      <c r="R488" s="133" t="str">
        <f t="shared" si="188"/>
        <v/>
      </c>
      <c r="S488" s="133" t="str">
        <f t="shared" si="189"/>
        <v/>
      </c>
      <c r="T488" s="133" t="str">
        <f>IFERROR(IF($U488="ERROR","ERROR",IF($N488="00",IF(J488="1-Rate","HH 1RATE",IF(J488="2-Rate","HH 2RATE","")),IFERROR(VLOOKUP(CONCATENATE(N488,Q488,O488,P488),Lookups!$A$2:$E$4557,5,0),VLOOKUP(CONCATENATE(N488,Q488,O488),Lookups!$A$2:$E$4557,5,0)))),"ERROR")</f>
        <v>ERROR</v>
      </c>
      <c r="U488" s="133" t="str">
        <f>IFERROR(IF(NOT($N488="00"),"",VLOOKUP(CONCATENATE(Q488,P488,LOOKUP(2,1/(Lookups!$I$2:$I$11&lt;=E488)/(Lookups!$J$2:$J$11&gt;=Tool!$C$14),Lookups!$K$2:$K$11)),'HH LLFs'!$A$2:$K$500,3,0)),"ERROR")</f>
        <v/>
      </c>
      <c r="V488" s="132">
        <f>Calcs!$I$2</f>
        <v>44377</v>
      </c>
      <c r="W488" s="132">
        <f>Calcs!$I$4</f>
        <v>44592</v>
      </c>
      <c r="X488" s="153" t="str">
        <f>IF(NOT(N488="00"),"",(VLOOKUP(CONCATENATE(Q488,P488,LOOKUP(2,1/(Lookups!$I$2:$I$11&lt;=Multisite!E488)/(Lookups!$J$2:$J$11&gt;=E488),Lookups!$K$2:$K$11)),'HH LLFs'!$A$2:$F$282,6,0)*365)/12)</f>
        <v/>
      </c>
      <c r="Y488" s="153">
        <f t="shared" si="190"/>
        <v>0</v>
      </c>
      <c r="Z488" s="153" t="str">
        <f t="shared" si="199"/>
        <v/>
      </c>
      <c r="AA488" s="153" t="str">
        <f t="shared" si="191"/>
        <v/>
      </c>
      <c r="AB488" s="153" t="str">
        <f t="shared" si="200"/>
        <v/>
      </c>
      <c r="AC488" s="153" t="str">
        <f t="shared" si="192"/>
        <v/>
      </c>
      <c r="AD488" s="153" t="str">
        <f t="shared" si="193"/>
        <v/>
      </c>
      <c r="AE488" s="153" t="str">
        <f t="shared" si="194"/>
        <v/>
      </c>
      <c r="AF488" s="155" t="e">
        <f>LOOKUP(2,1/(Lookups!$I$2:$I$11&lt;=E488)/(Lookups!$J$2:$J$11&gt;=E488),Lookups!$L$2:$L$11)</f>
        <v>#N/A</v>
      </c>
      <c r="AG488" s="142" t="str">
        <f t="shared" si="195"/>
        <v/>
      </c>
      <c r="AH488" s="142" t="str">
        <f t="shared" si="196"/>
        <v/>
      </c>
      <c r="AI488" s="143" t="b">
        <f t="shared" si="201"/>
        <v>0</v>
      </c>
      <c r="AJ488" s="143" t="str">
        <f t="shared" si="197"/>
        <v>Level 1</v>
      </c>
      <c r="AK488" s="142">
        <f t="shared" si="198"/>
        <v>0</v>
      </c>
      <c r="AL488" s="157" t="str">
        <f t="shared" si="206"/>
        <v/>
      </c>
      <c r="AM488" s="144" t="str">
        <f t="shared" si="207"/>
        <v>--FALSE-0</v>
      </c>
      <c r="AN488" s="158" t="str">
        <f t="shared" si="202"/>
        <v/>
      </c>
      <c r="AO488" s="145"/>
      <c r="AP488" s="159" t="str">
        <f>IF($AN488=FALSE,"",IFERROR(INDEX('Flat Rates'!$A$1:$M$3880,MATCH($AM488,'Flat Rates'!$A$1:$A$3880,0),MATCH("Standing Charge",'Flat Rates'!$A$1:$M$1,0))*100,""))</f>
        <v/>
      </c>
      <c r="AQ488" s="148" t="str">
        <f>IF($AN488=FALSE,"",IFERROR((IF(NOT(T488="Unrestricted"),"",INDEX('Flat Rates'!$A$1:$M$3880,MATCH($AM488,'Flat Rates'!$A$1:$A$3880,0),MATCH("Uni/Day Rate",'Flat Rates'!$A$1:$M$1,0)))*100)+H488,""))</f>
        <v/>
      </c>
      <c r="AR488" s="148" t="str">
        <f>IF($AN488=FALSE,"",IFERROR((IF(T488="Unrestricted","",INDEX('Flat Rates'!$A$1:$M$3880,MATCH($AM488,'Flat Rates'!$A$1:$A$3880,0),MATCH("Uni/Day Rate",'Flat Rates'!$A$1:$M$1,0)))*100)+H488,""))</f>
        <v/>
      </c>
      <c r="AS488" s="148" t="str">
        <f>IF($AN488=FALSE,"",IFERROR(IF(INDEX('Flat Rates'!$A$1:$M$3880,MATCH($AM488,'Flat Rates'!$A$1:$A$3880,0),MATCH("Night Unit Rate",'Flat Rates'!$A$1:$M$1,0))=0,"",((INDEX('Flat Rates'!$A$1:$M$3880,MATCH($AM488,'Flat Rates'!$A$1:$A$3880,0),MATCH("Night Unit Rate",'Flat Rates'!$A$1:$M$1,0)))*100)+H488),""))</f>
        <v/>
      </c>
      <c r="AT488" s="148" t="str">
        <f>IF($AN488=FALSE,"",IFERROR(IF(INDEX('Flat Rates'!$A$1:$M$3880,MATCH($AM488,'Flat Rates'!$A$1:$A$3880,0),MATCH("Evening and Weekend Rate",'Flat Rates'!$A$1:$M$1,0))=0,"",((INDEX('Flat Rates'!$A$1:$M$3880,MATCH($AM488,'Flat Rates'!$A$1:$A$3880,0),MATCH("Evening and Weekend Rate",'Flat Rates'!$A$1:$M$1,0)))*100)+H488),""))</f>
        <v/>
      </c>
      <c r="AU488" s="152" t="str">
        <f t="shared" si="203"/>
        <v/>
      </c>
      <c r="AV488" s="152" t="str">
        <f t="shared" si="204"/>
        <v/>
      </c>
      <c r="AW488" s="152" t="str">
        <f t="shared" si="205"/>
        <v/>
      </c>
    </row>
    <row r="489" spans="2:49" ht="15" thickBot="1" x14ac:dyDescent="0.35">
      <c r="B489" s="138" t="str">
        <f t="shared" si="182"/>
        <v/>
      </c>
      <c r="C489" s="137"/>
      <c r="D489" s="139"/>
      <c r="E489" s="140"/>
      <c r="F489" s="140"/>
      <c r="G489" s="139"/>
      <c r="H489" s="151"/>
      <c r="I489" s="139"/>
      <c r="J489" s="138"/>
      <c r="K489" s="139"/>
      <c r="L489" s="141"/>
      <c r="M489" s="133" t="str">
        <f t="shared" si="183"/>
        <v/>
      </c>
      <c r="N489" s="133" t="str">
        <f t="shared" si="184"/>
        <v/>
      </c>
      <c r="O489" s="133" t="str">
        <f t="shared" si="185"/>
        <v/>
      </c>
      <c r="P489" s="133" t="str">
        <f t="shared" si="186"/>
        <v/>
      </c>
      <c r="Q489" s="133" t="str">
        <f t="shared" si="187"/>
        <v/>
      </c>
      <c r="R489" s="133" t="str">
        <f t="shared" si="188"/>
        <v/>
      </c>
      <c r="S489" s="133" t="str">
        <f t="shared" si="189"/>
        <v/>
      </c>
      <c r="T489" s="133" t="str">
        <f>IFERROR(IF($U489="ERROR","ERROR",IF($N489="00",IF(J489="1-Rate","HH 1RATE",IF(J489="2-Rate","HH 2RATE","")),IFERROR(VLOOKUP(CONCATENATE(N489,Q489,O489,P489),Lookups!$A$2:$E$4557,5,0),VLOOKUP(CONCATENATE(N489,Q489,O489),Lookups!$A$2:$E$4557,5,0)))),"ERROR")</f>
        <v>ERROR</v>
      </c>
      <c r="U489" s="133" t="str">
        <f>IFERROR(IF(NOT($N489="00"),"",VLOOKUP(CONCATENATE(Q489,P489,LOOKUP(2,1/(Lookups!$I$2:$I$11&lt;=E489)/(Lookups!$J$2:$J$11&gt;=Tool!$C$14),Lookups!$K$2:$K$11)),'HH LLFs'!$A$2:$K$500,3,0)),"ERROR")</f>
        <v/>
      </c>
      <c r="V489" s="132">
        <f>Calcs!$I$2</f>
        <v>44377</v>
      </c>
      <c r="W489" s="132">
        <f>Calcs!$I$4</f>
        <v>44592</v>
      </c>
      <c r="X489" s="153" t="str">
        <f>IF(NOT(N489="00"),"",(VLOOKUP(CONCATENATE(Q489,P489,LOOKUP(2,1/(Lookups!$I$2:$I$11&lt;=Multisite!E489)/(Lookups!$J$2:$J$11&gt;=E489),Lookups!$K$2:$K$11)),'HH LLFs'!$A$2:$F$282,6,0)*365)/12)</f>
        <v/>
      </c>
      <c r="Y489" s="153">
        <f t="shared" si="190"/>
        <v>0</v>
      </c>
      <c r="Z489" s="153" t="str">
        <f t="shared" si="199"/>
        <v/>
      </c>
      <c r="AA489" s="153" t="str">
        <f t="shared" si="191"/>
        <v/>
      </c>
      <c r="AB489" s="153" t="str">
        <f t="shared" si="200"/>
        <v/>
      </c>
      <c r="AC489" s="153" t="str">
        <f t="shared" si="192"/>
        <v/>
      </c>
      <c r="AD489" s="153" t="str">
        <f t="shared" si="193"/>
        <v/>
      </c>
      <c r="AE489" s="153" t="str">
        <f t="shared" si="194"/>
        <v/>
      </c>
      <c r="AF489" s="155" t="e">
        <f>LOOKUP(2,1/(Lookups!$I$2:$I$11&lt;=E489)/(Lookups!$J$2:$J$11&gt;=E489),Lookups!$L$2:$L$11)</f>
        <v>#N/A</v>
      </c>
      <c r="AG489" s="142" t="str">
        <f t="shared" si="195"/>
        <v/>
      </c>
      <c r="AH489" s="142" t="str">
        <f t="shared" si="196"/>
        <v/>
      </c>
      <c r="AI489" s="143" t="b">
        <f t="shared" si="201"/>
        <v>0</v>
      </c>
      <c r="AJ489" s="143" t="str">
        <f t="shared" si="197"/>
        <v>Level 1</v>
      </c>
      <c r="AK489" s="142">
        <f t="shared" si="198"/>
        <v>0</v>
      </c>
      <c r="AL489" s="157" t="str">
        <f t="shared" si="206"/>
        <v/>
      </c>
      <c r="AM489" s="144" t="str">
        <f t="shared" si="207"/>
        <v>--FALSE-0</v>
      </c>
      <c r="AN489" s="158" t="str">
        <f t="shared" si="202"/>
        <v/>
      </c>
      <c r="AO489" s="145"/>
      <c r="AP489" s="159" t="str">
        <f>IF($AN489=FALSE,"",IFERROR(INDEX('Flat Rates'!$A$1:$M$3880,MATCH($AM489,'Flat Rates'!$A$1:$A$3880,0),MATCH("Standing Charge",'Flat Rates'!$A$1:$M$1,0))*100,""))</f>
        <v/>
      </c>
      <c r="AQ489" s="148" t="str">
        <f>IF($AN489=FALSE,"",IFERROR((IF(NOT(T489="Unrestricted"),"",INDEX('Flat Rates'!$A$1:$M$3880,MATCH($AM489,'Flat Rates'!$A$1:$A$3880,0),MATCH("Uni/Day Rate",'Flat Rates'!$A$1:$M$1,0)))*100)+H489,""))</f>
        <v/>
      </c>
      <c r="AR489" s="148" t="str">
        <f>IF($AN489=FALSE,"",IFERROR((IF(T489="Unrestricted","",INDEX('Flat Rates'!$A$1:$M$3880,MATCH($AM489,'Flat Rates'!$A$1:$A$3880,0),MATCH("Uni/Day Rate",'Flat Rates'!$A$1:$M$1,0)))*100)+H489,""))</f>
        <v/>
      </c>
      <c r="AS489" s="148" t="str">
        <f>IF($AN489=FALSE,"",IFERROR(IF(INDEX('Flat Rates'!$A$1:$M$3880,MATCH($AM489,'Flat Rates'!$A$1:$A$3880,0),MATCH("Night Unit Rate",'Flat Rates'!$A$1:$M$1,0))=0,"",((INDEX('Flat Rates'!$A$1:$M$3880,MATCH($AM489,'Flat Rates'!$A$1:$A$3880,0),MATCH("Night Unit Rate",'Flat Rates'!$A$1:$M$1,0)))*100)+H489),""))</f>
        <v/>
      </c>
      <c r="AT489" s="148" t="str">
        <f>IF($AN489=FALSE,"",IFERROR(IF(INDEX('Flat Rates'!$A$1:$M$3880,MATCH($AM489,'Flat Rates'!$A$1:$A$3880,0),MATCH("Evening and Weekend Rate",'Flat Rates'!$A$1:$M$1,0))=0,"",((INDEX('Flat Rates'!$A$1:$M$3880,MATCH($AM489,'Flat Rates'!$A$1:$A$3880,0),MATCH("Evening and Weekend Rate",'Flat Rates'!$A$1:$M$1,0)))*100)+H489),""))</f>
        <v/>
      </c>
      <c r="AU489" s="152" t="str">
        <f t="shared" si="203"/>
        <v/>
      </c>
      <c r="AV489" s="152" t="str">
        <f t="shared" si="204"/>
        <v/>
      </c>
      <c r="AW489" s="152" t="str">
        <f t="shared" si="205"/>
        <v/>
      </c>
    </row>
    <row r="490" spans="2:49" ht="15" thickBot="1" x14ac:dyDescent="0.35">
      <c r="B490" s="138" t="str">
        <f t="shared" si="182"/>
        <v/>
      </c>
      <c r="C490" s="146"/>
      <c r="D490" s="147"/>
      <c r="E490" s="140"/>
      <c r="F490" s="140"/>
      <c r="G490" s="139"/>
      <c r="H490" s="151"/>
      <c r="I490" s="139"/>
      <c r="J490" s="137"/>
      <c r="K490" s="139"/>
      <c r="L490" s="141"/>
      <c r="M490" s="133" t="str">
        <f t="shared" si="183"/>
        <v/>
      </c>
      <c r="N490" s="133" t="str">
        <f t="shared" si="184"/>
        <v/>
      </c>
      <c r="O490" s="133" t="str">
        <f t="shared" si="185"/>
        <v/>
      </c>
      <c r="P490" s="133" t="str">
        <f t="shared" si="186"/>
        <v/>
      </c>
      <c r="Q490" s="133" t="str">
        <f t="shared" si="187"/>
        <v/>
      </c>
      <c r="R490" s="133" t="str">
        <f t="shared" si="188"/>
        <v/>
      </c>
      <c r="S490" s="133" t="str">
        <f t="shared" si="189"/>
        <v/>
      </c>
      <c r="T490" s="133" t="str">
        <f>IFERROR(IF($U490="ERROR","ERROR",IF($N490="00",IF(J490="1-Rate","HH 1RATE",IF(J490="2-Rate","HH 2RATE","")),IFERROR(VLOOKUP(CONCATENATE(N490,Q490,O490,P490),Lookups!$A$2:$E$4557,5,0),VLOOKUP(CONCATENATE(N490,Q490,O490),Lookups!$A$2:$E$4557,5,0)))),"ERROR")</f>
        <v>ERROR</v>
      </c>
      <c r="U490" s="133" t="str">
        <f>IFERROR(IF(NOT($N490="00"),"",VLOOKUP(CONCATENATE(Q490,P490,LOOKUP(2,1/(Lookups!$I$2:$I$11&lt;=E490)/(Lookups!$J$2:$J$11&gt;=Tool!$C$14),Lookups!$K$2:$K$11)),'HH LLFs'!$A$2:$K$500,3,0)),"ERROR")</f>
        <v/>
      </c>
      <c r="V490" s="132">
        <f>Calcs!$I$2</f>
        <v>44377</v>
      </c>
      <c r="W490" s="132">
        <f>Calcs!$I$4</f>
        <v>44592</v>
      </c>
      <c r="X490" s="153" t="str">
        <f>IF(NOT(N490="00"),"",(VLOOKUP(CONCATENATE(Q490,P490,LOOKUP(2,1/(Lookups!$I$2:$I$11&lt;=Multisite!E490)/(Lookups!$J$2:$J$11&gt;=E490),Lookups!$K$2:$K$11)),'HH LLFs'!$A$2:$F$282,6,0)*365)/12)</f>
        <v/>
      </c>
      <c r="Y490" s="153">
        <f t="shared" si="190"/>
        <v>0</v>
      </c>
      <c r="Z490" s="153" t="str">
        <f t="shared" si="199"/>
        <v/>
      </c>
      <c r="AA490" s="153" t="str">
        <f t="shared" si="191"/>
        <v/>
      </c>
      <c r="AB490" s="153" t="str">
        <f t="shared" si="200"/>
        <v/>
      </c>
      <c r="AC490" s="153" t="str">
        <f t="shared" si="192"/>
        <v/>
      </c>
      <c r="AD490" s="153" t="str">
        <f t="shared" si="193"/>
        <v/>
      </c>
      <c r="AE490" s="153" t="str">
        <f t="shared" si="194"/>
        <v/>
      </c>
      <c r="AF490" s="155" t="e">
        <f>LOOKUP(2,1/(Lookups!$I$2:$I$11&lt;=E490)/(Lookups!$J$2:$J$11&gt;=E490),Lookups!$L$2:$L$11)</f>
        <v>#N/A</v>
      </c>
      <c r="AG490" s="142" t="str">
        <f t="shared" si="195"/>
        <v/>
      </c>
      <c r="AH490" s="142" t="str">
        <f t="shared" si="196"/>
        <v/>
      </c>
      <c r="AI490" s="143" t="b">
        <f t="shared" si="201"/>
        <v>0</v>
      </c>
      <c r="AJ490" s="143" t="str">
        <f t="shared" si="197"/>
        <v>Level 1</v>
      </c>
      <c r="AK490" s="142">
        <f t="shared" si="198"/>
        <v>0</v>
      </c>
      <c r="AL490" s="157" t="str">
        <f t="shared" si="206"/>
        <v/>
      </c>
      <c r="AM490" s="144" t="str">
        <f t="shared" si="207"/>
        <v>--FALSE-0</v>
      </c>
      <c r="AN490" s="158" t="str">
        <f t="shared" si="202"/>
        <v/>
      </c>
      <c r="AO490" s="145"/>
      <c r="AP490" s="159" t="str">
        <f>IF($AN490=FALSE,"",IFERROR(INDEX('Flat Rates'!$A$1:$M$3880,MATCH($AM490,'Flat Rates'!$A$1:$A$3880,0),MATCH("Standing Charge",'Flat Rates'!$A$1:$M$1,0))*100,""))</f>
        <v/>
      </c>
      <c r="AQ490" s="148" t="str">
        <f>IF($AN490=FALSE,"",IFERROR((IF(NOT(T490="Unrestricted"),"",INDEX('Flat Rates'!$A$1:$M$3880,MATCH($AM490,'Flat Rates'!$A$1:$A$3880,0),MATCH("Uni/Day Rate",'Flat Rates'!$A$1:$M$1,0)))*100)+H490,""))</f>
        <v/>
      </c>
      <c r="AR490" s="148" t="str">
        <f>IF($AN490=FALSE,"",IFERROR((IF(T490="Unrestricted","",INDEX('Flat Rates'!$A$1:$M$3880,MATCH($AM490,'Flat Rates'!$A$1:$A$3880,0),MATCH("Uni/Day Rate",'Flat Rates'!$A$1:$M$1,0)))*100)+H490,""))</f>
        <v/>
      </c>
      <c r="AS490" s="148" t="str">
        <f>IF($AN490=FALSE,"",IFERROR(IF(INDEX('Flat Rates'!$A$1:$M$3880,MATCH($AM490,'Flat Rates'!$A$1:$A$3880,0),MATCH("Night Unit Rate",'Flat Rates'!$A$1:$M$1,0))=0,"",((INDEX('Flat Rates'!$A$1:$M$3880,MATCH($AM490,'Flat Rates'!$A$1:$A$3880,0),MATCH("Night Unit Rate",'Flat Rates'!$A$1:$M$1,0)))*100)+H490),""))</f>
        <v/>
      </c>
      <c r="AT490" s="148" t="str">
        <f>IF($AN490=FALSE,"",IFERROR(IF(INDEX('Flat Rates'!$A$1:$M$3880,MATCH($AM490,'Flat Rates'!$A$1:$A$3880,0),MATCH("Evening and Weekend Rate",'Flat Rates'!$A$1:$M$1,0))=0,"",((INDEX('Flat Rates'!$A$1:$M$3880,MATCH($AM490,'Flat Rates'!$A$1:$A$3880,0),MATCH("Evening and Weekend Rate",'Flat Rates'!$A$1:$M$1,0)))*100)+H490),""))</f>
        <v/>
      </c>
      <c r="AU490" s="152" t="str">
        <f t="shared" si="203"/>
        <v/>
      </c>
      <c r="AV490" s="152" t="str">
        <f t="shared" si="204"/>
        <v/>
      </c>
      <c r="AW490" s="152" t="str">
        <f t="shared" si="205"/>
        <v/>
      </c>
    </row>
    <row r="491" spans="2:49" ht="15" thickBot="1" x14ac:dyDescent="0.35">
      <c r="B491" s="138" t="str">
        <f t="shared" si="182"/>
        <v/>
      </c>
      <c r="C491" s="137"/>
      <c r="D491" s="139"/>
      <c r="E491" s="140"/>
      <c r="F491" s="140"/>
      <c r="G491" s="139"/>
      <c r="H491" s="151"/>
      <c r="I491" s="139"/>
      <c r="J491" s="138"/>
      <c r="K491" s="139"/>
      <c r="L491" s="141"/>
      <c r="M491" s="133" t="str">
        <f t="shared" si="183"/>
        <v/>
      </c>
      <c r="N491" s="133" t="str">
        <f t="shared" si="184"/>
        <v/>
      </c>
      <c r="O491" s="133" t="str">
        <f t="shared" si="185"/>
        <v/>
      </c>
      <c r="P491" s="133" t="str">
        <f t="shared" si="186"/>
        <v/>
      </c>
      <c r="Q491" s="133" t="str">
        <f t="shared" si="187"/>
        <v/>
      </c>
      <c r="R491" s="133" t="str">
        <f t="shared" si="188"/>
        <v/>
      </c>
      <c r="S491" s="133" t="str">
        <f t="shared" si="189"/>
        <v/>
      </c>
      <c r="T491" s="133" t="str">
        <f>IFERROR(IF($U491="ERROR","ERROR",IF($N491="00",IF(J491="1-Rate","HH 1RATE",IF(J491="2-Rate","HH 2RATE","")),IFERROR(VLOOKUP(CONCATENATE(N491,Q491,O491,P491),Lookups!$A$2:$E$4557,5,0),VLOOKUP(CONCATENATE(N491,Q491,O491),Lookups!$A$2:$E$4557,5,0)))),"ERROR")</f>
        <v>ERROR</v>
      </c>
      <c r="U491" s="133" t="str">
        <f>IFERROR(IF(NOT($N491="00"),"",VLOOKUP(CONCATENATE(Q491,P491,LOOKUP(2,1/(Lookups!$I$2:$I$11&lt;=E491)/(Lookups!$J$2:$J$11&gt;=Tool!$C$14),Lookups!$K$2:$K$11)),'HH LLFs'!$A$2:$K$500,3,0)),"ERROR")</f>
        <v/>
      </c>
      <c r="V491" s="132">
        <f>Calcs!$I$2</f>
        <v>44377</v>
      </c>
      <c r="W491" s="132">
        <f>Calcs!$I$4</f>
        <v>44592</v>
      </c>
      <c r="X491" s="153" t="str">
        <f>IF(NOT(N491="00"),"",(VLOOKUP(CONCATENATE(Q491,P491,LOOKUP(2,1/(Lookups!$I$2:$I$11&lt;=Multisite!E491)/(Lookups!$J$2:$J$11&gt;=E491),Lookups!$K$2:$K$11)),'HH LLFs'!$A$2:$F$282,6,0)*365)/12)</f>
        <v/>
      </c>
      <c r="Y491" s="153">
        <f t="shared" si="190"/>
        <v>0</v>
      </c>
      <c r="Z491" s="153" t="str">
        <f t="shared" si="199"/>
        <v/>
      </c>
      <c r="AA491" s="153" t="str">
        <f t="shared" si="191"/>
        <v/>
      </c>
      <c r="AB491" s="153" t="str">
        <f t="shared" si="200"/>
        <v/>
      </c>
      <c r="AC491" s="153" t="str">
        <f t="shared" si="192"/>
        <v/>
      </c>
      <c r="AD491" s="153" t="str">
        <f t="shared" si="193"/>
        <v/>
      </c>
      <c r="AE491" s="153" t="str">
        <f t="shared" si="194"/>
        <v/>
      </c>
      <c r="AF491" s="155" t="e">
        <f>LOOKUP(2,1/(Lookups!$I$2:$I$11&lt;=E491)/(Lookups!$J$2:$J$11&gt;=E491),Lookups!$L$2:$L$11)</f>
        <v>#N/A</v>
      </c>
      <c r="AG491" s="142" t="str">
        <f t="shared" si="195"/>
        <v/>
      </c>
      <c r="AH491" s="142" t="str">
        <f t="shared" si="196"/>
        <v/>
      </c>
      <c r="AI491" s="143" t="b">
        <f t="shared" si="201"/>
        <v>0</v>
      </c>
      <c r="AJ491" s="143" t="str">
        <f t="shared" si="197"/>
        <v>Level 1</v>
      </c>
      <c r="AK491" s="142">
        <f t="shared" si="198"/>
        <v>0</v>
      </c>
      <c r="AL491" s="157" t="str">
        <f t="shared" si="206"/>
        <v/>
      </c>
      <c r="AM491" s="144" t="str">
        <f t="shared" si="207"/>
        <v>--FALSE-0</v>
      </c>
      <c r="AN491" s="158" t="str">
        <f t="shared" si="202"/>
        <v/>
      </c>
      <c r="AO491" s="145"/>
      <c r="AP491" s="159" t="str">
        <f>IF($AN491=FALSE,"",IFERROR(INDEX('Flat Rates'!$A$1:$M$3880,MATCH($AM491,'Flat Rates'!$A$1:$A$3880,0),MATCH("Standing Charge",'Flat Rates'!$A$1:$M$1,0))*100,""))</f>
        <v/>
      </c>
      <c r="AQ491" s="148" t="str">
        <f>IF($AN491=FALSE,"",IFERROR((IF(NOT(T491="Unrestricted"),"",INDEX('Flat Rates'!$A$1:$M$3880,MATCH($AM491,'Flat Rates'!$A$1:$A$3880,0),MATCH("Uni/Day Rate",'Flat Rates'!$A$1:$M$1,0)))*100)+H491,""))</f>
        <v/>
      </c>
      <c r="AR491" s="148" t="str">
        <f>IF($AN491=FALSE,"",IFERROR((IF(T491="Unrestricted","",INDEX('Flat Rates'!$A$1:$M$3880,MATCH($AM491,'Flat Rates'!$A$1:$A$3880,0),MATCH("Uni/Day Rate",'Flat Rates'!$A$1:$M$1,0)))*100)+H491,""))</f>
        <v/>
      </c>
      <c r="AS491" s="148" t="str">
        <f>IF($AN491=FALSE,"",IFERROR(IF(INDEX('Flat Rates'!$A$1:$M$3880,MATCH($AM491,'Flat Rates'!$A$1:$A$3880,0),MATCH("Night Unit Rate",'Flat Rates'!$A$1:$M$1,0))=0,"",((INDEX('Flat Rates'!$A$1:$M$3880,MATCH($AM491,'Flat Rates'!$A$1:$A$3880,0),MATCH("Night Unit Rate",'Flat Rates'!$A$1:$M$1,0)))*100)+H491),""))</f>
        <v/>
      </c>
      <c r="AT491" s="148" t="str">
        <f>IF($AN491=FALSE,"",IFERROR(IF(INDEX('Flat Rates'!$A$1:$M$3880,MATCH($AM491,'Flat Rates'!$A$1:$A$3880,0),MATCH("Evening and Weekend Rate",'Flat Rates'!$A$1:$M$1,0))=0,"",((INDEX('Flat Rates'!$A$1:$M$3880,MATCH($AM491,'Flat Rates'!$A$1:$A$3880,0),MATCH("Evening and Weekend Rate",'Flat Rates'!$A$1:$M$1,0)))*100)+H491),""))</f>
        <v/>
      </c>
      <c r="AU491" s="152" t="str">
        <f t="shared" si="203"/>
        <v/>
      </c>
      <c r="AV491" s="152" t="str">
        <f t="shared" si="204"/>
        <v/>
      </c>
      <c r="AW491" s="152" t="str">
        <f t="shared" si="205"/>
        <v/>
      </c>
    </row>
    <row r="492" spans="2:49" ht="15" thickBot="1" x14ac:dyDescent="0.35">
      <c r="B492" s="138" t="str">
        <f t="shared" si="182"/>
        <v/>
      </c>
      <c r="C492" s="146"/>
      <c r="D492" s="147"/>
      <c r="E492" s="140"/>
      <c r="F492" s="140"/>
      <c r="G492" s="139"/>
      <c r="H492" s="151"/>
      <c r="I492" s="139"/>
      <c r="J492" s="137"/>
      <c r="K492" s="139"/>
      <c r="L492" s="141"/>
      <c r="M492" s="133" t="str">
        <f t="shared" si="183"/>
        <v/>
      </c>
      <c r="N492" s="133" t="str">
        <f t="shared" si="184"/>
        <v/>
      </c>
      <c r="O492" s="133" t="str">
        <f t="shared" si="185"/>
        <v/>
      </c>
      <c r="P492" s="133" t="str">
        <f t="shared" si="186"/>
        <v/>
      </c>
      <c r="Q492" s="133" t="str">
        <f t="shared" si="187"/>
        <v/>
      </c>
      <c r="R492" s="133" t="str">
        <f t="shared" si="188"/>
        <v/>
      </c>
      <c r="S492" s="133" t="str">
        <f t="shared" si="189"/>
        <v/>
      </c>
      <c r="T492" s="133" t="str">
        <f>IFERROR(IF($U492="ERROR","ERROR",IF($N492="00",IF(J492="1-Rate","HH 1RATE",IF(J492="2-Rate","HH 2RATE","")),IFERROR(VLOOKUP(CONCATENATE(N492,Q492,O492,P492),Lookups!$A$2:$E$4557,5,0),VLOOKUP(CONCATENATE(N492,Q492,O492),Lookups!$A$2:$E$4557,5,0)))),"ERROR")</f>
        <v>ERROR</v>
      </c>
      <c r="U492" s="133" t="str">
        <f>IFERROR(IF(NOT($N492="00"),"",VLOOKUP(CONCATENATE(Q492,P492,LOOKUP(2,1/(Lookups!$I$2:$I$11&lt;=E492)/(Lookups!$J$2:$J$11&gt;=Tool!$C$14),Lookups!$K$2:$K$11)),'HH LLFs'!$A$2:$K$500,3,0)),"ERROR")</f>
        <v/>
      </c>
      <c r="V492" s="132">
        <f>Calcs!$I$2</f>
        <v>44377</v>
      </c>
      <c r="W492" s="132">
        <f>Calcs!$I$4</f>
        <v>44592</v>
      </c>
      <c r="X492" s="153" t="str">
        <f>IF(NOT(N492="00"),"",(VLOOKUP(CONCATENATE(Q492,P492,LOOKUP(2,1/(Lookups!$I$2:$I$11&lt;=Multisite!E492)/(Lookups!$J$2:$J$11&gt;=E492),Lookups!$K$2:$K$11)),'HH LLFs'!$A$2:$F$282,6,0)*365)/12)</f>
        <v/>
      </c>
      <c r="Y492" s="153">
        <f t="shared" si="190"/>
        <v>0</v>
      </c>
      <c r="Z492" s="153" t="str">
        <f t="shared" si="199"/>
        <v/>
      </c>
      <c r="AA492" s="153" t="str">
        <f t="shared" si="191"/>
        <v/>
      </c>
      <c r="AB492" s="153" t="str">
        <f t="shared" si="200"/>
        <v/>
      </c>
      <c r="AC492" s="153" t="str">
        <f t="shared" si="192"/>
        <v/>
      </c>
      <c r="AD492" s="153" t="str">
        <f t="shared" si="193"/>
        <v/>
      </c>
      <c r="AE492" s="153" t="str">
        <f t="shared" si="194"/>
        <v/>
      </c>
      <c r="AF492" s="155" t="e">
        <f>LOOKUP(2,1/(Lookups!$I$2:$I$11&lt;=E492)/(Lookups!$J$2:$J$11&gt;=E492),Lookups!$L$2:$L$11)</f>
        <v>#N/A</v>
      </c>
      <c r="AG492" s="142" t="str">
        <f t="shared" si="195"/>
        <v/>
      </c>
      <c r="AH492" s="142" t="str">
        <f t="shared" si="196"/>
        <v/>
      </c>
      <c r="AI492" s="143" t="b">
        <f t="shared" si="201"/>
        <v>0</v>
      </c>
      <c r="AJ492" s="143" t="str">
        <f t="shared" si="197"/>
        <v>Level 1</v>
      </c>
      <c r="AK492" s="142">
        <f t="shared" si="198"/>
        <v>0</v>
      </c>
      <c r="AL492" s="157" t="str">
        <f t="shared" si="206"/>
        <v/>
      </c>
      <c r="AM492" s="144" t="str">
        <f t="shared" si="207"/>
        <v>--FALSE-0</v>
      </c>
      <c r="AN492" s="158" t="str">
        <f t="shared" si="202"/>
        <v/>
      </c>
      <c r="AO492" s="145"/>
      <c r="AP492" s="159" t="str">
        <f>IF($AN492=FALSE,"",IFERROR(INDEX('Flat Rates'!$A$1:$M$3880,MATCH($AM492,'Flat Rates'!$A$1:$A$3880,0),MATCH("Standing Charge",'Flat Rates'!$A$1:$M$1,0))*100,""))</f>
        <v/>
      </c>
      <c r="AQ492" s="148" t="str">
        <f>IF($AN492=FALSE,"",IFERROR((IF(NOT(T492="Unrestricted"),"",INDEX('Flat Rates'!$A$1:$M$3880,MATCH($AM492,'Flat Rates'!$A$1:$A$3880,0),MATCH("Uni/Day Rate",'Flat Rates'!$A$1:$M$1,0)))*100)+H492,""))</f>
        <v/>
      </c>
      <c r="AR492" s="148" t="str">
        <f>IF($AN492=FALSE,"",IFERROR((IF(T492="Unrestricted","",INDEX('Flat Rates'!$A$1:$M$3880,MATCH($AM492,'Flat Rates'!$A$1:$A$3880,0),MATCH("Uni/Day Rate",'Flat Rates'!$A$1:$M$1,0)))*100)+H492,""))</f>
        <v/>
      </c>
      <c r="AS492" s="148" t="str">
        <f>IF($AN492=FALSE,"",IFERROR(IF(INDEX('Flat Rates'!$A$1:$M$3880,MATCH($AM492,'Flat Rates'!$A$1:$A$3880,0),MATCH("Night Unit Rate",'Flat Rates'!$A$1:$M$1,0))=0,"",((INDEX('Flat Rates'!$A$1:$M$3880,MATCH($AM492,'Flat Rates'!$A$1:$A$3880,0),MATCH("Night Unit Rate",'Flat Rates'!$A$1:$M$1,0)))*100)+H492),""))</f>
        <v/>
      </c>
      <c r="AT492" s="148" t="str">
        <f>IF($AN492=FALSE,"",IFERROR(IF(INDEX('Flat Rates'!$A$1:$M$3880,MATCH($AM492,'Flat Rates'!$A$1:$A$3880,0),MATCH("Evening and Weekend Rate",'Flat Rates'!$A$1:$M$1,0))=0,"",((INDEX('Flat Rates'!$A$1:$M$3880,MATCH($AM492,'Flat Rates'!$A$1:$A$3880,0),MATCH("Evening and Weekend Rate",'Flat Rates'!$A$1:$M$1,0)))*100)+H492),""))</f>
        <v/>
      </c>
      <c r="AU492" s="152" t="str">
        <f t="shared" si="203"/>
        <v/>
      </c>
      <c r="AV492" s="152" t="str">
        <f t="shared" si="204"/>
        <v/>
      </c>
      <c r="AW492" s="152" t="str">
        <f t="shared" si="205"/>
        <v/>
      </c>
    </row>
    <row r="493" spans="2:49" ht="15" thickBot="1" x14ac:dyDescent="0.35">
      <c r="B493" s="138" t="str">
        <f t="shared" si="182"/>
        <v/>
      </c>
      <c r="C493" s="137"/>
      <c r="D493" s="139"/>
      <c r="E493" s="140"/>
      <c r="F493" s="140"/>
      <c r="G493" s="139"/>
      <c r="H493" s="151"/>
      <c r="I493" s="139"/>
      <c r="J493" s="138"/>
      <c r="K493" s="139"/>
      <c r="L493" s="141"/>
      <c r="M493" s="133" t="str">
        <f t="shared" si="183"/>
        <v/>
      </c>
      <c r="N493" s="133" t="str">
        <f t="shared" si="184"/>
        <v/>
      </c>
      <c r="O493" s="133" t="str">
        <f t="shared" si="185"/>
        <v/>
      </c>
      <c r="P493" s="133" t="str">
        <f t="shared" si="186"/>
        <v/>
      </c>
      <c r="Q493" s="133" t="str">
        <f t="shared" si="187"/>
        <v/>
      </c>
      <c r="R493" s="133" t="str">
        <f t="shared" si="188"/>
        <v/>
      </c>
      <c r="S493" s="133" t="str">
        <f t="shared" si="189"/>
        <v/>
      </c>
      <c r="T493" s="133" t="str">
        <f>IFERROR(IF($U493="ERROR","ERROR",IF($N493="00",IF(J493="1-Rate","HH 1RATE",IF(J493="2-Rate","HH 2RATE","")),IFERROR(VLOOKUP(CONCATENATE(N493,Q493,O493,P493),Lookups!$A$2:$E$4557,5,0),VLOOKUP(CONCATENATE(N493,Q493,O493),Lookups!$A$2:$E$4557,5,0)))),"ERROR")</f>
        <v>ERROR</v>
      </c>
      <c r="U493" s="133" t="str">
        <f>IFERROR(IF(NOT($N493="00"),"",VLOOKUP(CONCATENATE(Q493,P493,LOOKUP(2,1/(Lookups!$I$2:$I$11&lt;=E493)/(Lookups!$J$2:$J$11&gt;=Tool!$C$14),Lookups!$K$2:$K$11)),'HH LLFs'!$A$2:$K$500,3,0)),"ERROR")</f>
        <v/>
      </c>
      <c r="V493" s="132">
        <f>Calcs!$I$2</f>
        <v>44377</v>
      </c>
      <c r="W493" s="132">
        <f>Calcs!$I$4</f>
        <v>44592</v>
      </c>
      <c r="X493" s="153" t="str">
        <f>IF(NOT(N493="00"),"",(VLOOKUP(CONCATENATE(Q493,P493,LOOKUP(2,1/(Lookups!$I$2:$I$11&lt;=Multisite!E493)/(Lookups!$J$2:$J$11&gt;=E493),Lookups!$K$2:$K$11)),'HH LLFs'!$A$2:$F$282,6,0)*365)/12)</f>
        <v/>
      </c>
      <c r="Y493" s="153">
        <f t="shared" si="190"/>
        <v>0</v>
      </c>
      <c r="Z493" s="153" t="str">
        <f t="shared" si="199"/>
        <v/>
      </c>
      <c r="AA493" s="153" t="str">
        <f t="shared" si="191"/>
        <v/>
      </c>
      <c r="AB493" s="153" t="str">
        <f t="shared" si="200"/>
        <v/>
      </c>
      <c r="AC493" s="153" t="str">
        <f t="shared" si="192"/>
        <v/>
      </c>
      <c r="AD493" s="153" t="str">
        <f t="shared" si="193"/>
        <v/>
      </c>
      <c r="AE493" s="153" t="str">
        <f t="shared" si="194"/>
        <v/>
      </c>
      <c r="AF493" s="155" t="e">
        <f>LOOKUP(2,1/(Lookups!$I$2:$I$11&lt;=E493)/(Lookups!$J$2:$J$11&gt;=E493),Lookups!$L$2:$L$11)</f>
        <v>#N/A</v>
      </c>
      <c r="AG493" s="142" t="str">
        <f t="shared" si="195"/>
        <v/>
      </c>
      <c r="AH493" s="142" t="str">
        <f t="shared" si="196"/>
        <v/>
      </c>
      <c r="AI493" s="143" t="b">
        <f t="shared" si="201"/>
        <v>0</v>
      </c>
      <c r="AJ493" s="143" t="str">
        <f t="shared" si="197"/>
        <v>Level 1</v>
      </c>
      <c r="AK493" s="142">
        <f t="shared" si="198"/>
        <v>0</v>
      </c>
      <c r="AL493" s="157" t="str">
        <f t="shared" si="206"/>
        <v/>
      </c>
      <c r="AM493" s="144" t="str">
        <f t="shared" si="207"/>
        <v>--FALSE-0</v>
      </c>
      <c r="AN493" s="158" t="str">
        <f t="shared" si="202"/>
        <v/>
      </c>
      <c r="AO493" s="145"/>
      <c r="AP493" s="159" t="str">
        <f>IF($AN493=FALSE,"",IFERROR(INDEX('Flat Rates'!$A$1:$M$3880,MATCH($AM493,'Flat Rates'!$A$1:$A$3880,0),MATCH("Standing Charge",'Flat Rates'!$A$1:$M$1,0))*100,""))</f>
        <v/>
      </c>
      <c r="AQ493" s="148" t="str">
        <f>IF($AN493=FALSE,"",IFERROR((IF(NOT(T493="Unrestricted"),"",INDEX('Flat Rates'!$A$1:$M$3880,MATCH($AM493,'Flat Rates'!$A$1:$A$3880,0),MATCH("Uni/Day Rate",'Flat Rates'!$A$1:$M$1,0)))*100)+H493,""))</f>
        <v/>
      </c>
      <c r="AR493" s="148" t="str">
        <f>IF($AN493=FALSE,"",IFERROR((IF(T493="Unrestricted","",INDEX('Flat Rates'!$A$1:$M$3880,MATCH($AM493,'Flat Rates'!$A$1:$A$3880,0),MATCH("Uni/Day Rate",'Flat Rates'!$A$1:$M$1,0)))*100)+H493,""))</f>
        <v/>
      </c>
      <c r="AS493" s="148" t="str">
        <f>IF($AN493=FALSE,"",IFERROR(IF(INDEX('Flat Rates'!$A$1:$M$3880,MATCH($AM493,'Flat Rates'!$A$1:$A$3880,0),MATCH("Night Unit Rate",'Flat Rates'!$A$1:$M$1,0))=0,"",((INDEX('Flat Rates'!$A$1:$M$3880,MATCH($AM493,'Flat Rates'!$A$1:$A$3880,0),MATCH("Night Unit Rate",'Flat Rates'!$A$1:$M$1,0)))*100)+H493),""))</f>
        <v/>
      </c>
      <c r="AT493" s="148" t="str">
        <f>IF($AN493=FALSE,"",IFERROR(IF(INDEX('Flat Rates'!$A$1:$M$3880,MATCH($AM493,'Flat Rates'!$A$1:$A$3880,0),MATCH("Evening and Weekend Rate",'Flat Rates'!$A$1:$M$1,0))=0,"",((INDEX('Flat Rates'!$A$1:$M$3880,MATCH($AM493,'Flat Rates'!$A$1:$A$3880,0),MATCH("Evening and Weekend Rate",'Flat Rates'!$A$1:$M$1,0)))*100)+H493),""))</f>
        <v/>
      </c>
      <c r="AU493" s="152" t="str">
        <f t="shared" si="203"/>
        <v/>
      </c>
      <c r="AV493" s="152" t="str">
        <f t="shared" si="204"/>
        <v/>
      </c>
      <c r="AW493" s="152" t="str">
        <f t="shared" si="205"/>
        <v/>
      </c>
    </row>
    <row r="494" spans="2:49" ht="15" thickBot="1" x14ac:dyDescent="0.35">
      <c r="B494" s="138" t="str">
        <f t="shared" si="182"/>
        <v/>
      </c>
      <c r="C494" s="146"/>
      <c r="D494" s="147"/>
      <c r="E494" s="140"/>
      <c r="F494" s="140"/>
      <c r="G494" s="139"/>
      <c r="H494" s="151"/>
      <c r="I494" s="139"/>
      <c r="J494" s="137"/>
      <c r="K494" s="139"/>
      <c r="L494" s="141"/>
      <c r="M494" s="133" t="str">
        <f t="shared" si="183"/>
        <v/>
      </c>
      <c r="N494" s="133" t="str">
        <f t="shared" si="184"/>
        <v/>
      </c>
      <c r="O494" s="133" t="str">
        <f t="shared" si="185"/>
        <v/>
      </c>
      <c r="P494" s="133" t="str">
        <f t="shared" si="186"/>
        <v/>
      </c>
      <c r="Q494" s="133" t="str">
        <f t="shared" si="187"/>
        <v/>
      </c>
      <c r="R494" s="133" t="str">
        <f t="shared" si="188"/>
        <v/>
      </c>
      <c r="S494" s="133" t="str">
        <f t="shared" si="189"/>
        <v/>
      </c>
      <c r="T494" s="133" t="str">
        <f>IFERROR(IF($U494="ERROR","ERROR",IF($N494="00",IF(J494="1-Rate","HH 1RATE",IF(J494="2-Rate","HH 2RATE","")),IFERROR(VLOOKUP(CONCATENATE(N494,Q494,O494,P494),Lookups!$A$2:$E$4557,5,0),VLOOKUP(CONCATENATE(N494,Q494,O494),Lookups!$A$2:$E$4557,5,0)))),"ERROR")</f>
        <v>ERROR</v>
      </c>
      <c r="U494" s="133" t="str">
        <f>IFERROR(IF(NOT($N494="00"),"",VLOOKUP(CONCATENATE(Q494,P494,LOOKUP(2,1/(Lookups!$I$2:$I$11&lt;=E494)/(Lookups!$J$2:$J$11&gt;=Tool!$C$14),Lookups!$K$2:$K$11)),'HH LLFs'!$A$2:$K$500,3,0)),"ERROR")</f>
        <v/>
      </c>
      <c r="V494" s="132">
        <f>Calcs!$I$2</f>
        <v>44377</v>
      </c>
      <c r="W494" s="132">
        <f>Calcs!$I$4</f>
        <v>44592</v>
      </c>
      <c r="X494" s="153" t="str">
        <f>IF(NOT(N494="00"),"",(VLOOKUP(CONCATENATE(Q494,P494,LOOKUP(2,1/(Lookups!$I$2:$I$11&lt;=Multisite!E494)/(Lookups!$J$2:$J$11&gt;=E494),Lookups!$K$2:$K$11)),'HH LLFs'!$A$2:$F$282,6,0)*365)/12)</f>
        <v/>
      </c>
      <c r="Y494" s="153">
        <f t="shared" si="190"/>
        <v>0</v>
      </c>
      <c r="Z494" s="153" t="str">
        <f t="shared" si="199"/>
        <v/>
      </c>
      <c r="AA494" s="153" t="str">
        <f t="shared" si="191"/>
        <v/>
      </c>
      <c r="AB494" s="153" t="str">
        <f t="shared" si="200"/>
        <v/>
      </c>
      <c r="AC494" s="153" t="str">
        <f t="shared" si="192"/>
        <v/>
      </c>
      <c r="AD494" s="153" t="str">
        <f t="shared" si="193"/>
        <v/>
      </c>
      <c r="AE494" s="153" t="str">
        <f t="shared" si="194"/>
        <v/>
      </c>
      <c r="AF494" s="155" t="e">
        <f>LOOKUP(2,1/(Lookups!$I$2:$I$11&lt;=E494)/(Lookups!$J$2:$J$11&gt;=E494),Lookups!$L$2:$L$11)</f>
        <v>#N/A</v>
      </c>
      <c r="AG494" s="142" t="str">
        <f t="shared" si="195"/>
        <v/>
      </c>
      <c r="AH494" s="142" t="str">
        <f t="shared" si="196"/>
        <v/>
      </c>
      <c r="AI494" s="143" t="b">
        <f t="shared" si="201"/>
        <v>0</v>
      </c>
      <c r="AJ494" s="143" t="str">
        <f t="shared" si="197"/>
        <v>Level 1</v>
      </c>
      <c r="AK494" s="142">
        <f t="shared" si="198"/>
        <v>0</v>
      </c>
      <c r="AL494" s="157" t="str">
        <f t="shared" si="206"/>
        <v/>
      </c>
      <c r="AM494" s="144" t="str">
        <f t="shared" si="207"/>
        <v>--FALSE-0</v>
      </c>
      <c r="AN494" s="158" t="str">
        <f t="shared" si="202"/>
        <v/>
      </c>
      <c r="AO494" s="145"/>
      <c r="AP494" s="159" t="str">
        <f>IF($AN494=FALSE,"",IFERROR(INDEX('Flat Rates'!$A$1:$M$3880,MATCH($AM494,'Flat Rates'!$A$1:$A$3880,0),MATCH("Standing Charge",'Flat Rates'!$A$1:$M$1,0))*100,""))</f>
        <v/>
      </c>
      <c r="AQ494" s="148" t="str">
        <f>IF($AN494=FALSE,"",IFERROR((IF(NOT(T494="Unrestricted"),"",INDEX('Flat Rates'!$A$1:$M$3880,MATCH($AM494,'Flat Rates'!$A$1:$A$3880,0),MATCH("Uni/Day Rate",'Flat Rates'!$A$1:$M$1,0)))*100)+H494,""))</f>
        <v/>
      </c>
      <c r="AR494" s="148" t="str">
        <f>IF($AN494=FALSE,"",IFERROR((IF(T494="Unrestricted","",INDEX('Flat Rates'!$A$1:$M$3880,MATCH($AM494,'Flat Rates'!$A$1:$A$3880,0),MATCH("Uni/Day Rate",'Flat Rates'!$A$1:$M$1,0)))*100)+H494,""))</f>
        <v/>
      </c>
      <c r="AS494" s="148" t="str">
        <f>IF($AN494=FALSE,"",IFERROR(IF(INDEX('Flat Rates'!$A$1:$M$3880,MATCH($AM494,'Flat Rates'!$A$1:$A$3880,0),MATCH("Night Unit Rate",'Flat Rates'!$A$1:$M$1,0))=0,"",((INDEX('Flat Rates'!$A$1:$M$3880,MATCH($AM494,'Flat Rates'!$A$1:$A$3880,0),MATCH("Night Unit Rate",'Flat Rates'!$A$1:$M$1,0)))*100)+H494),""))</f>
        <v/>
      </c>
      <c r="AT494" s="148" t="str">
        <f>IF($AN494=FALSE,"",IFERROR(IF(INDEX('Flat Rates'!$A$1:$M$3880,MATCH($AM494,'Flat Rates'!$A$1:$A$3880,0),MATCH("Evening and Weekend Rate",'Flat Rates'!$A$1:$M$1,0))=0,"",((INDEX('Flat Rates'!$A$1:$M$3880,MATCH($AM494,'Flat Rates'!$A$1:$A$3880,0),MATCH("Evening and Weekend Rate",'Flat Rates'!$A$1:$M$1,0)))*100)+H494),""))</f>
        <v/>
      </c>
      <c r="AU494" s="152" t="str">
        <f t="shared" si="203"/>
        <v/>
      </c>
      <c r="AV494" s="152" t="str">
        <f t="shared" si="204"/>
        <v/>
      </c>
      <c r="AW494" s="152" t="str">
        <f t="shared" si="205"/>
        <v/>
      </c>
    </row>
    <row r="495" spans="2:49" ht="15" thickBot="1" x14ac:dyDescent="0.35">
      <c r="B495" s="138" t="str">
        <f t="shared" si="182"/>
        <v/>
      </c>
      <c r="C495" s="137"/>
      <c r="D495" s="139"/>
      <c r="E495" s="140"/>
      <c r="F495" s="140"/>
      <c r="G495" s="139"/>
      <c r="H495" s="151"/>
      <c r="I495" s="139"/>
      <c r="J495" s="138"/>
      <c r="K495" s="139"/>
      <c r="L495" s="141"/>
      <c r="M495" s="133" t="str">
        <f t="shared" si="183"/>
        <v/>
      </c>
      <c r="N495" s="133" t="str">
        <f t="shared" si="184"/>
        <v/>
      </c>
      <c r="O495" s="133" t="str">
        <f t="shared" si="185"/>
        <v/>
      </c>
      <c r="P495" s="133" t="str">
        <f t="shared" si="186"/>
        <v/>
      </c>
      <c r="Q495" s="133" t="str">
        <f t="shared" si="187"/>
        <v/>
      </c>
      <c r="R495" s="133" t="str">
        <f t="shared" si="188"/>
        <v/>
      </c>
      <c r="S495" s="133" t="str">
        <f t="shared" si="189"/>
        <v/>
      </c>
      <c r="T495" s="133" t="str">
        <f>IFERROR(IF($U495="ERROR","ERROR",IF($N495="00",IF(J495="1-Rate","HH 1RATE",IF(J495="2-Rate","HH 2RATE","")),IFERROR(VLOOKUP(CONCATENATE(N495,Q495,O495,P495),Lookups!$A$2:$E$4557,5,0),VLOOKUP(CONCATENATE(N495,Q495,O495),Lookups!$A$2:$E$4557,5,0)))),"ERROR")</f>
        <v>ERROR</v>
      </c>
      <c r="U495" s="133" t="str">
        <f>IFERROR(IF(NOT($N495="00"),"",VLOOKUP(CONCATENATE(Q495,P495,LOOKUP(2,1/(Lookups!$I$2:$I$11&lt;=E495)/(Lookups!$J$2:$J$11&gt;=Tool!$C$14),Lookups!$K$2:$K$11)),'HH LLFs'!$A$2:$K$500,3,0)),"ERROR")</f>
        <v/>
      </c>
      <c r="V495" s="132">
        <f>Calcs!$I$2</f>
        <v>44377</v>
      </c>
      <c r="W495" s="132">
        <f>Calcs!$I$4</f>
        <v>44592</v>
      </c>
      <c r="X495" s="153" t="str">
        <f>IF(NOT(N495="00"),"",(VLOOKUP(CONCATENATE(Q495,P495,LOOKUP(2,1/(Lookups!$I$2:$I$11&lt;=Multisite!E495)/(Lookups!$J$2:$J$11&gt;=E495),Lookups!$K$2:$K$11)),'HH LLFs'!$A$2:$F$282,6,0)*365)/12)</f>
        <v/>
      </c>
      <c r="Y495" s="153">
        <f t="shared" si="190"/>
        <v>0</v>
      </c>
      <c r="Z495" s="153" t="str">
        <f t="shared" si="199"/>
        <v/>
      </c>
      <c r="AA495" s="153" t="str">
        <f t="shared" si="191"/>
        <v/>
      </c>
      <c r="AB495" s="153" t="str">
        <f t="shared" si="200"/>
        <v/>
      </c>
      <c r="AC495" s="153" t="str">
        <f t="shared" si="192"/>
        <v/>
      </c>
      <c r="AD495" s="153" t="str">
        <f t="shared" si="193"/>
        <v/>
      </c>
      <c r="AE495" s="153" t="str">
        <f t="shared" si="194"/>
        <v/>
      </c>
      <c r="AF495" s="155" t="e">
        <f>LOOKUP(2,1/(Lookups!$I$2:$I$11&lt;=E495)/(Lookups!$J$2:$J$11&gt;=E495),Lookups!$L$2:$L$11)</f>
        <v>#N/A</v>
      </c>
      <c r="AG495" s="142" t="str">
        <f t="shared" si="195"/>
        <v/>
      </c>
      <c r="AH495" s="142" t="str">
        <f t="shared" si="196"/>
        <v/>
      </c>
      <c r="AI495" s="143" t="b">
        <f t="shared" si="201"/>
        <v>0</v>
      </c>
      <c r="AJ495" s="143" t="str">
        <f t="shared" si="197"/>
        <v>Level 1</v>
      </c>
      <c r="AK495" s="142">
        <f t="shared" si="198"/>
        <v>0</v>
      </c>
      <c r="AL495" s="157" t="str">
        <f t="shared" si="206"/>
        <v/>
      </c>
      <c r="AM495" s="144" t="str">
        <f t="shared" si="207"/>
        <v>--FALSE-0</v>
      </c>
      <c r="AN495" s="158" t="str">
        <f t="shared" si="202"/>
        <v/>
      </c>
      <c r="AO495" s="145"/>
      <c r="AP495" s="159" t="str">
        <f>IF($AN495=FALSE,"",IFERROR(INDEX('Flat Rates'!$A$1:$M$3880,MATCH($AM495,'Flat Rates'!$A$1:$A$3880,0),MATCH("Standing Charge",'Flat Rates'!$A$1:$M$1,0))*100,""))</f>
        <v/>
      </c>
      <c r="AQ495" s="148" t="str">
        <f>IF($AN495=FALSE,"",IFERROR((IF(NOT(T495="Unrestricted"),"",INDEX('Flat Rates'!$A$1:$M$3880,MATCH($AM495,'Flat Rates'!$A$1:$A$3880,0),MATCH("Uni/Day Rate",'Flat Rates'!$A$1:$M$1,0)))*100)+H495,""))</f>
        <v/>
      </c>
      <c r="AR495" s="148" t="str">
        <f>IF($AN495=FALSE,"",IFERROR((IF(T495="Unrestricted","",INDEX('Flat Rates'!$A$1:$M$3880,MATCH($AM495,'Flat Rates'!$A$1:$A$3880,0),MATCH("Uni/Day Rate",'Flat Rates'!$A$1:$M$1,0)))*100)+H495,""))</f>
        <v/>
      </c>
      <c r="AS495" s="148" t="str">
        <f>IF($AN495=FALSE,"",IFERROR(IF(INDEX('Flat Rates'!$A$1:$M$3880,MATCH($AM495,'Flat Rates'!$A$1:$A$3880,0),MATCH("Night Unit Rate",'Flat Rates'!$A$1:$M$1,0))=0,"",((INDEX('Flat Rates'!$A$1:$M$3880,MATCH($AM495,'Flat Rates'!$A$1:$A$3880,0),MATCH("Night Unit Rate",'Flat Rates'!$A$1:$M$1,0)))*100)+H495),""))</f>
        <v/>
      </c>
      <c r="AT495" s="148" t="str">
        <f>IF($AN495=FALSE,"",IFERROR(IF(INDEX('Flat Rates'!$A$1:$M$3880,MATCH($AM495,'Flat Rates'!$A$1:$A$3880,0),MATCH("Evening and Weekend Rate",'Flat Rates'!$A$1:$M$1,0))=0,"",((INDEX('Flat Rates'!$A$1:$M$3880,MATCH($AM495,'Flat Rates'!$A$1:$A$3880,0),MATCH("Evening and Weekend Rate",'Flat Rates'!$A$1:$M$1,0)))*100)+H495),""))</f>
        <v/>
      </c>
      <c r="AU495" s="152" t="str">
        <f t="shared" si="203"/>
        <v/>
      </c>
      <c r="AV495" s="152" t="str">
        <f t="shared" si="204"/>
        <v/>
      </c>
      <c r="AW495" s="152" t="str">
        <f t="shared" si="205"/>
        <v/>
      </c>
    </row>
    <row r="496" spans="2:49" ht="15" thickBot="1" x14ac:dyDescent="0.35">
      <c r="B496" s="138" t="str">
        <f t="shared" si="182"/>
        <v/>
      </c>
      <c r="C496" s="146"/>
      <c r="D496" s="147"/>
      <c r="E496" s="140"/>
      <c r="F496" s="140"/>
      <c r="G496" s="139"/>
      <c r="H496" s="151"/>
      <c r="I496" s="139"/>
      <c r="J496" s="137"/>
      <c r="K496" s="139"/>
      <c r="L496" s="141"/>
      <c r="M496" s="133" t="str">
        <f t="shared" si="183"/>
        <v/>
      </c>
      <c r="N496" s="133" t="str">
        <f t="shared" si="184"/>
        <v/>
      </c>
      <c r="O496" s="133" t="str">
        <f t="shared" si="185"/>
        <v/>
      </c>
      <c r="P496" s="133" t="str">
        <f t="shared" si="186"/>
        <v/>
      </c>
      <c r="Q496" s="133" t="str">
        <f t="shared" si="187"/>
        <v/>
      </c>
      <c r="R496" s="133" t="str">
        <f t="shared" si="188"/>
        <v/>
      </c>
      <c r="S496" s="133" t="str">
        <f t="shared" si="189"/>
        <v/>
      </c>
      <c r="T496" s="133" t="str">
        <f>IFERROR(IF($U496="ERROR","ERROR",IF($N496="00",IF(J496="1-Rate","HH 1RATE",IF(J496="2-Rate","HH 2RATE","")),IFERROR(VLOOKUP(CONCATENATE(N496,Q496,O496,P496),Lookups!$A$2:$E$4557,5,0),VLOOKUP(CONCATENATE(N496,Q496,O496),Lookups!$A$2:$E$4557,5,0)))),"ERROR")</f>
        <v>ERROR</v>
      </c>
      <c r="U496" s="133" t="str">
        <f>IFERROR(IF(NOT($N496="00"),"",VLOOKUP(CONCATENATE(Q496,P496,LOOKUP(2,1/(Lookups!$I$2:$I$11&lt;=E496)/(Lookups!$J$2:$J$11&gt;=Tool!$C$14),Lookups!$K$2:$K$11)),'HH LLFs'!$A$2:$K$500,3,0)),"ERROR")</f>
        <v/>
      </c>
      <c r="V496" s="132">
        <f>Calcs!$I$2</f>
        <v>44377</v>
      </c>
      <c r="W496" s="132">
        <f>Calcs!$I$4</f>
        <v>44592</v>
      </c>
      <c r="X496" s="153" t="str">
        <f>IF(NOT(N496="00"),"",(VLOOKUP(CONCATENATE(Q496,P496,LOOKUP(2,1/(Lookups!$I$2:$I$11&lt;=Multisite!E496)/(Lookups!$J$2:$J$11&gt;=E496),Lookups!$K$2:$K$11)),'HH LLFs'!$A$2:$F$282,6,0)*365)/12)</f>
        <v/>
      </c>
      <c r="Y496" s="153">
        <f t="shared" si="190"/>
        <v>0</v>
      </c>
      <c r="Z496" s="153" t="str">
        <f t="shared" si="199"/>
        <v/>
      </c>
      <c r="AA496" s="153" t="str">
        <f t="shared" si="191"/>
        <v/>
      </c>
      <c r="AB496" s="153" t="str">
        <f t="shared" si="200"/>
        <v/>
      </c>
      <c r="AC496" s="153" t="str">
        <f t="shared" si="192"/>
        <v/>
      </c>
      <c r="AD496" s="153" t="str">
        <f t="shared" si="193"/>
        <v/>
      </c>
      <c r="AE496" s="153" t="str">
        <f t="shared" si="194"/>
        <v/>
      </c>
      <c r="AF496" s="155" t="e">
        <f>LOOKUP(2,1/(Lookups!$I$2:$I$11&lt;=E496)/(Lookups!$J$2:$J$11&gt;=E496),Lookups!$L$2:$L$11)</f>
        <v>#N/A</v>
      </c>
      <c r="AG496" s="142" t="str">
        <f t="shared" si="195"/>
        <v/>
      </c>
      <c r="AH496" s="142" t="str">
        <f t="shared" si="196"/>
        <v/>
      </c>
      <c r="AI496" s="143" t="b">
        <f t="shared" si="201"/>
        <v>0</v>
      </c>
      <c r="AJ496" s="143" t="str">
        <f t="shared" si="197"/>
        <v>Level 1</v>
      </c>
      <c r="AK496" s="142">
        <f t="shared" si="198"/>
        <v>0</v>
      </c>
      <c r="AL496" s="157" t="str">
        <f t="shared" si="206"/>
        <v/>
      </c>
      <c r="AM496" s="144" t="str">
        <f t="shared" si="207"/>
        <v>--FALSE-0</v>
      </c>
      <c r="AN496" s="158" t="str">
        <f t="shared" si="202"/>
        <v/>
      </c>
      <c r="AO496" s="145"/>
      <c r="AP496" s="159" t="str">
        <f>IF($AN496=FALSE,"",IFERROR(INDEX('Flat Rates'!$A$1:$M$3880,MATCH($AM496,'Flat Rates'!$A$1:$A$3880,0),MATCH("Standing Charge",'Flat Rates'!$A$1:$M$1,0))*100,""))</f>
        <v/>
      </c>
      <c r="AQ496" s="148" t="str">
        <f>IF($AN496=FALSE,"",IFERROR((IF(NOT(T496="Unrestricted"),"",INDEX('Flat Rates'!$A$1:$M$3880,MATCH($AM496,'Flat Rates'!$A$1:$A$3880,0),MATCH("Uni/Day Rate",'Flat Rates'!$A$1:$M$1,0)))*100)+H496,""))</f>
        <v/>
      </c>
      <c r="AR496" s="148" t="str">
        <f>IF($AN496=FALSE,"",IFERROR((IF(T496="Unrestricted","",INDEX('Flat Rates'!$A$1:$M$3880,MATCH($AM496,'Flat Rates'!$A$1:$A$3880,0),MATCH("Uni/Day Rate",'Flat Rates'!$A$1:$M$1,0)))*100)+H496,""))</f>
        <v/>
      </c>
      <c r="AS496" s="148" t="str">
        <f>IF($AN496=FALSE,"",IFERROR(IF(INDEX('Flat Rates'!$A$1:$M$3880,MATCH($AM496,'Flat Rates'!$A$1:$A$3880,0),MATCH("Night Unit Rate",'Flat Rates'!$A$1:$M$1,0))=0,"",((INDEX('Flat Rates'!$A$1:$M$3880,MATCH($AM496,'Flat Rates'!$A$1:$A$3880,0),MATCH("Night Unit Rate",'Flat Rates'!$A$1:$M$1,0)))*100)+H496),""))</f>
        <v/>
      </c>
      <c r="AT496" s="148" t="str">
        <f>IF($AN496=FALSE,"",IFERROR(IF(INDEX('Flat Rates'!$A$1:$M$3880,MATCH($AM496,'Flat Rates'!$A$1:$A$3880,0),MATCH("Evening and Weekend Rate",'Flat Rates'!$A$1:$M$1,0))=0,"",((INDEX('Flat Rates'!$A$1:$M$3880,MATCH($AM496,'Flat Rates'!$A$1:$A$3880,0),MATCH("Evening and Weekend Rate",'Flat Rates'!$A$1:$M$1,0)))*100)+H496),""))</f>
        <v/>
      </c>
      <c r="AU496" s="152" t="str">
        <f t="shared" si="203"/>
        <v/>
      </c>
      <c r="AV496" s="152" t="str">
        <f t="shared" si="204"/>
        <v/>
      </c>
      <c r="AW496" s="152" t="str">
        <f t="shared" si="205"/>
        <v/>
      </c>
    </row>
    <row r="497" spans="2:49" ht="15" thickBot="1" x14ac:dyDescent="0.35">
      <c r="B497" s="138" t="str">
        <f t="shared" si="182"/>
        <v/>
      </c>
      <c r="C497" s="137"/>
      <c r="D497" s="139"/>
      <c r="E497" s="140"/>
      <c r="F497" s="140"/>
      <c r="G497" s="139"/>
      <c r="H497" s="151"/>
      <c r="I497" s="139"/>
      <c r="J497" s="138"/>
      <c r="K497" s="139"/>
      <c r="L497" s="141"/>
      <c r="M497" s="133" t="str">
        <f t="shared" si="183"/>
        <v/>
      </c>
      <c r="N497" s="133" t="str">
        <f t="shared" si="184"/>
        <v/>
      </c>
      <c r="O497" s="133" t="str">
        <f t="shared" si="185"/>
        <v/>
      </c>
      <c r="P497" s="133" t="str">
        <f t="shared" si="186"/>
        <v/>
      </c>
      <c r="Q497" s="133" t="str">
        <f t="shared" si="187"/>
        <v/>
      </c>
      <c r="R497" s="133" t="str">
        <f t="shared" si="188"/>
        <v/>
      </c>
      <c r="S497" s="133" t="str">
        <f t="shared" si="189"/>
        <v/>
      </c>
      <c r="T497" s="133" t="str">
        <f>IFERROR(IF($U497="ERROR","ERROR",IF($N497="00",IF(J497="1-Rate","HH 1RATE",IF(J497="2-Rate","HH 2RATE","")),IFERROR(VLOOKUP(CONCATENATE(N497,Q497,O497,P497),Lookups!$A$2:$E$4557,5,0),VLOOKUP(CONCATENATE(N497,Q497,O497),Lookups!$A$2:$E$4557,5,0)))),"ERROR")</f>
        <v>ERROR</v>
      </c>
      <c r="U497" s="133" t="str">
        <f>IFERROR(IF(NOT($N497="00"),"",VLOOKUP(CONCATENATE(Q497,P497,LOOKUP(2,1/(Lookups!$I$2:$I$11&lt;=E497)/(Lookups!$J$2:$J$11&gt;=Tool!$C$14),Lookups!$K$2:$K$11)),'HH LLFs'!$A$2:$K$500,3,0)),"ERROR")</f>
        <v/>
      </c>
      <c r="V497" s="132">
        <f>Calcs!$I$2</f>
        <v>44377</v>
      </c>
      <c r="W497" s="132">
        <f>Calcs!$I$4</f>
        <v>44592</v>
      </c>
      <c r="X497" s="153" t="str">
        <f>IF(NOT(N497="00"),"",(VLOOKUP(CONCATENATE(Q497,P497,LOOKUP(2,1/(Lookups!$I$2:$I$11&lt;=Multisite!E497)/(Lookups!$J$2:$J$11&gt;=E497),Lookups!$K$2:$K$11)),'HH LLFs'!$A$2:$F$282,6,0)*365)/12)</f>
        <v/>
      </c>
      <c r="Y497" s="153">
        <f t="shared" si="190"/>
        <v>0</v>
      </c>
      <c r="Z497" s="153" t="str">
        <f t="shared" si="199"/>
        <v/>
      </c>
      <c r="AA497" s="153" t="str">
        <f t="shared" si="191"/>
        <v/>
      </c>
      <c r="AB497" s="153" t="str">
        <f t="shared" si="200"/>
        <v/>
      </c>
      <c r="AC497" s="153" t="str">
        <f t="shared" si="192"/>
        <v/>
      </c>
      <c r="AD497" s="153" t="str">
        <f t="shared" si="193"/>
        <v/>
      </c>
      <c r="AE497" s="153" t="str">
        <f t="shared" si="194"/>
        <v/>
      </c>
      <c r="AF497" s="155" t="e">
        <f>LOOKUP(2,1/(Lookups!$I$2:$I$11&lt;=E497)/(Lookups!$J$2:$J$11&gt;=E497),Lookups!$L$2:$L$11)</f>
        <v>#N/A</v>
      </c>
      <c r="AG497" s="142" t="str">
        <f t="shared" si="195"/>
        <v/>
      </c>
      <c r="AH497" s="142" t="str">
        <f t="shared" si="196"/>
        <v/>
      </c>
      <c r="AI497" s="143" t="b">
        <f t="shared" si="201"/>
        <v>0</v>
      </c>
      <c r="AJ497" s="143" t="str">
        <f t="shared" si="197"/>
        <v>Level 1</v>
      </c>
      <c r="AK497" s="142">
        <f t="shared" si="198"/>
        <v>0</v>
      </c>
      <c r="AL497" s="157" t="str">
        <f t="shared" si="206"/>
        <v/>
      </c>
      <c r="AM497" s="144" t="str">
        <f t="shared" si="207"/>
        <v>--FALSE-0</v>
      </c>
      <c r="AN497" s="158" t="str">
        <f t="shared" si="202"/>
        <v/>
      </c>
      <c r="AO497" s="145"/>
      <c r="AP497" s="159" t="str">
        <f>IF($AN497=FALSE,"",IFERROR(INDEX('Flat Rates'!$A$1:$M$3880,MATCH($AM497,'Flat Rates'!$A$1:$A$3880,0),MATCH("Standing Charge",'Flat Rates'!$A$1:$M$1,0))*100,""))</f>
        <v/>
      </c>
      <c r="AQ497" s="148" t="str">
        <f>IF($AN497=FALSE,"",IFERROR((IF(NOT(T497="Unrestricted"),"",INDEX('Flat Rates'!$A$1:$M$3880,MATCH($AM497,'Flat Rates'!$A$1:$A$3880,0),MATCH("Uni/Day Rate",'Flat Rates'!$A$1:$M$1,0)))*100)+H497,""))</f>
        <v/>
      </c>
      <c r="AR497" s="148" t="str">
        <f>IF($AN497=FALSE,"",IFERROR((IF(T497="Unrestricted","",INDEX('Flat Rates'!$A$1:$M$3880,MATCH($AM497,'Flat Rates'!$A$1:$A$3880,0),MATCH("Uni/Day Rate",'Flat Rates'!$A$1:$M$1,0)))*100)+H497,""))</f>
        <v/>
      </c>
      <c r="AS497" s="148" t="str">
        <f>IF($AN497=FALSE,"",IFERROR(IF(INDEX('Flat Rates'!$A$1:$M$3880,MATCH($AM497,'Flat Rates'!$A$1:$A$3880,0),MATCH("Night Unit Rate",'Flat Rates'!$A$1:$M$1,0))=0,"",((INDEX('Flat Rates'!$A$1:$M$3880,MATCH($AM497,'Flat Rates'!$A$1:$A$3880,0),MATCH("Night Unit Rate",'Flat Rates'!$A$1:$M$1,0)))*100)+H497),""))</f>
        <v/>
      </c>
      <c r="AT497" s="148" t="str">
        <f>IF($AN497=FALSE,"",IFERROR(IF(INDEX('Flat Rates'!$A$1:$M$3880,MATCH($AM497,'Flat Rates'!$A$1:$A$3880,0),MATCH("Evening and Weekend Rate",'Flat Rates'!$A$1:$M$1,0))=0,"",((INDEX('Flat Rates'!$A$1:$M$3880,MATCH($AM497,'Flat Rates'!$A$1:$A$3880,0),MATCH("Evening and Weekend Rate",'Flat Rates'!$A$1:$M$1,0)))*100)+H497),""))</f>
        <v/>
      </c>
      <c r="AU497" s="152" t="str">
        <f t="shared" si="203"/>
        <v/>
      </c>
      <c r="AV497" s="152" t="str">
        <f t="shared" si="204"/>
        <v/>
      </c>
      <c r="AW497" s="152" t="str">
        <f t="shared" si="205"/>
        <v/>
      </c>
    </row>
    <row r="498" spans="2:49" ht="15" thickBot="1" x14ac:dyDescent="0.35">
      <c r="B498" s="138" t="str">
        <f t="shared" si="182"/>
        <v/>
      </c>
      <c r="C498" s="146"/>
      <c r="D498" s="147"/>
      <c r="E498" s="140"/>
      <c r="F498" s="140"/>
      <c r="G498" s="139"/>
      <c r="H498" s="151"/>
      <c r="I498" s="139"/>
      <c r="J498" s="137"/>
      <c r="K498" s="139"/>
      <c r="L498" s="141"/>
      <c r="M498" s="133" t="str">
        <f t="shared" si="183"/>
        <v/>
      </c>
      <c r="N498" s="133" t="str">
        <f t="shared" si="184"/>
        <v/>
      </c>
      <c r="O498" s="133" t="str">
        <f t="shared" si="185"/>
        <v/>
      </c>
      <c r="P498" s="133" t="str">
        <f t="shared" si="186"/>
        <v/>
      </c>
      <c r="Q498" s="133" t="str">
        <f t="shared" si="187"/>
        <v/>
      </c>
      <c r="R498" s="133" t="str">
        <f t="shared" si="188"/>
        <v/>
      </c>
      <c r="S498" s="133" t="str">
        <f t="shared" si="189"/>
        <v/>
      </c>
      <c r="T498" s="133" t="str">
        <f>IFERROR(IF($U498="ERROR","ERROR",IF($N498="00",IF(J498="1-Rate","HH 1RATE",IF(J498="2-Rate","HH 2RATE","")),IFERROR(VLOOKUP(CONCATENATE(N498,Q498,O498,P498),Lookups!$A$2:$E$4557,5,0),VLOOKUP(CONCATENATE(N498,Q498,O498),Lookups!$A$2:$E$4557,5,0)))),"ERROR")</f>
        <v>ERROR</v>
      </c>
      <c r="U498" s="133" t="str">
        <f>IFERROR(IF(NOT($N498="00"),"",VLOOKUP(CONCATENATE(Q498,P498,LOOKUP(2,1/(Lookups!$I$2:$I$11&lt;=E498)/(Lookups!$J$2:$J$11&gt;=Tool!$C$14),Lookups!$K$2:$K$11)),'HH LLFs'!$A$2:$K$500,3,0)),"ERROR")</f>
        <v/>
      </c>
      <c r="V498" s="132">
        <f>Calcs!$I$2</f>
        <v>44377</v>
      </c>
      <c r="W498" s="132">
        <f>Calcs!$I$4</f>
        <v>44592</v>
      </c>
      <c r="X498" s="153" t="str">
        <f>IF(NOT(N498="00"),"",(VLOOKUP(CONCATENATE(Q498,P498,LOOKUP(2,1/(Lookups!$I$2:$I$11&lt;=Multisite!E498)/(Lookups!$J$2:$J$11&gt;=E498),Lookups!$K$2:$K$11)),'HH LLFs'!$A$2:$F$282,6,0)*365)/12)</f>
        <v/>
      </c>
      <c r="Y498" s="153">
        <f t="shared" si="190"/>
        <v>0</v>
      </c>
      <c r="Z498" s="153" t="str">
        <f t="shared" si="199"/>
        <v/>
      </c>
      <c r="AA498" s="153" t="str">
        <f t="shared" si="191"/>
        <v/>
      </c>
      <c r="AB498" s="153" t="str">
        <f t="shared" si="200"/>
        <v/>
      </c>
      <c r="AC498" s="153" t="str">
        <f t="shared" si="192"/>
        <v/>
      </c>
      <c r="AD498" s="153" t="str">
        <f t="shared" si="193"/>
        <v/>
      </c>
      <c r="AE498" s="153" t="str">
        <f t="shared" si="194"/>
        <v/>
      </c>
      <c r="AF498" s="155" t="e">
        <f>LOOKUP(2,1/(Lookups!$I$2:$I$11&lt;=E498)/(Lookups!$J$2:$J$11&gt;=E498),Lookups!$L$2:$L$11)</f>
        <v>#N/A</v>
      </c>
      <c r="AG498" s="142" t="str">
        <f t="shared" si="195"/>
        <v/>
      </c>
      <c r="AH498" s="142" t="str">
        <f t="shared" si="196"/>
        <v/>
      </c>
      <c r="AI498" s="143" t="b">
        <f t="shared" si="201"/>
        <v>0</v>
      </c>
      <c r="AJ498" s="143" t="str">
        <f t="shared" si="197"/>
        <v>Level 1</v>
      </c>
      <c r="AK498" s="142">
        <f t="shared" si="198"/>
        <v>0</v>
      </c>
      <c r="AL498" s="157" t="str">
        <f t="shared" si="206"/>
        <v/>
      </c>
      <c r="AM498" s="144" t="str">
        <f t="shared" si="207"/>
        <v>--FALSE-0</v>
      </c>
      <c r="AN498" s="158" t="str">
        <f t="shared" si="202"/>
        <v/>
      </c>
      <c r="AO498" s="145"/>
      <c r="AP498" s="159" t="str">
        <f>IF($AN498=FALSE,"",IFERROR(INDEX('Flat Rates'!$A$1:$M$3880,MATCH($AM498,'Flat Rates'!$A$1:$A$3880,0),MATCH("Standing Charge",'Flat Rates'!$A$1:$M$1,0))*100,""))</f>
        <v/>
      </c>
      <c r="AQ498" s="148" t="str">
        <f>IF($AN498=FALSE,"",IFERROR((IF(NOT(T498="Unrestricted"),"",INDEX('Flat Rates'!$A$1:$M$3880,MATCH($AM498,'Flat Rates'!$A$1:$A$3880,0),MATCH("Uni/Day Rate",'Flat Rates'!$A$1:$M$1,0)))*100)+H498,""))</f>
        <v/>
      </c>
      <c r="AR498" s="148" t="str">
        <f>IF($AN498=FALSE,"",IFERROR((IF(T498="Unrestricted","",INDEX('Flat Rates'!$A$1:$M$3880,MATCH($AM498,'Flat Rates'!$A$1:$A$3880,0),MATCH("Uni/Day Rate",'Flat Rates'!$A$1:$M$1,0)))*100)+H498,""))</f>
        <v/>
      </c>
      <c r="AS498" s="148" t="str">
        <f>IF($AN498=FALSE,"",IFERROR(IF(INDEX('Flat Rates'!$A$1:$M$3880,MATCH($AM498,'Flat Rates'!$A$1:$A$3880,0),MATCH("Night Unit Rate",'Flat Rates'!$A$1:$M$1,0))=0,"",((INDEX('Flat Rates'!$A$1:$M$3880,MATCH($AM498,'Flat Rates'!$A$1:$A$3880,0),MATCH("Night Unit Rate",'Flat Rates'!$A$1:$M$1,0)))*100)+H498),""))</f>
        <v/>
      </c>
      <c r="AT498" s="148" t="str">
        <f>IF($AN498=FALSE,"",IFERROR(IF(INDEX('Flat Rates'!$A$1:$M$3880,MATCH($AM498,'Flat Rates'!$A$1:$A$3880,0),MATCH("Evening and Weekend Rate",'Flat Rates'!$A$1:$M$1,0))=0,"",((INDEX('Flat Rates'!$A$1:$M$3880,MATCH($AM498,'Flat Rates'!$A$1:$A$3880,0),MATCH("Evening and Weekend Rate",'Flat Rates'!$A$1:$M$1,0)))*100)+H498),""))</f>
        <v/>
      </c>
      <c r="AU498" s="152" t="str">
        <f t="shared" si="203"/>
        <v/>
      </c>
      <c r="AV498" s="152" t="str">
        <f t="shared" si="204"/>
        <v/>
      </c>
      <c r="AW498" s="152" t="str">
        <f t="shared" si="205"/>
        <v/>
      </c>
    </row>
    <row r="499" spans="2:49" ht="15" thickBot="1" x14ac:dyDescent="0.35">
      <c r="B499" s="138" t="str">
        <f t="shared" si="182"/>
        <v/>
      </c>
      <c r="C499" s="137"/>
      <c r="D499" s="139"/>
      <c r="E499" s="140"/>
      <c r="F499" s="140"/>
      <c r="G499" s="139"/>
      <c r="H499" s="151"/>
      <c r="I499" s="139"/>
      <c r="J499" s="138"/>
      <c r="K499" s="139"/>
      <c r="L499" s="141"/>
      <c r="M499" s="133" t="str">
        <f t="shared" si="183"/>
        <v/>
      </c>
      <c r="N499" s="133" t="str">
        <f t="shared" si="184"/>
        <v/>
      </c>
      <c r="O499" s="133" t="str">
        <f t="shared" si="185"/>
        <v/>
      </c>
      <c r="P499" s="133" t="str">
        <f t="shared" si="186"/>
        <v/>
      </c>
      <c r="Q499" s="133" t="str">
        <f t="shared" si="187"/>
        <v/>
      </c>
      <c r="R499" s="133" t="str">
        <f t="shared" si="188"/>
        <v/>
      </c>
      <c r="S499" s="133" t="str">
        <f t="shared" si="189"/>
        <v/>
      </c>
      <c r="T499" s="133" t="str">
        <f>IFERROR(IF($U499="ERROR","ERROR",IF($N499="00",IF(J499="1-Rate","HH 1RATE",IF(J499="2-Rate","HH 2RATE","")),IFERROR(VLOOKUP(CONCATENATE(N499,Q499,O499,P499),Lookups!$A$2:$E$4557,5,0),VLOOKUP(CONCATENATE(N499,Q499,O499),Lookups!$A$2:$E$4557,5,0)))),"ERROR")</f>
        <v>ERROR</v>
      </c>
      <c r="U499" s="133" t="str">
        <f>IFERROR(IF(NOT($N499="00"),"",VLOOKUP(CONCATENATE(Q499,P499,LOOKUP(2,1/(Lookups!$I$2:$I$11&lt;=E499)/(Lookups!$J$2:$J$11&gt;=Tool!$C$14),Lookups!$K$2:$K$11)),'HH LLFs'!$A$2:$K$500,3,0)),"ERROR")</f>
        <v/>
      </c>
      <c r="V499" s="132">
        <f>Calcs!$I$2</f>
        <v>44377</v>
      </c>
      <c r="W499" s="132">
        <f>Calcs!$I$4</f>
        <v>44592</v>
      </c>
      <c r="X499" s="153" t="str">
        <f>IF(NOT(N499="00"),"",(VLOOKUP(CONCATENATE(Q499,P499,LOOKUP(2,1/(Lookups!$I$2:$I$11&lt;=Multisite!E499)/(Lookups!$J$2:$J$11&gt;=E499),Lookups!$K$2:$K$11)),'HH LLFs'!$A$2:$F$282,6,0)*365)/12)</f>
        <v/>
      </c>
      <c r="Y499" s="153">
        <f t="shared" si="190"/>
        <v>0</v>
      </c>
      <c r="Z499" s="153" t="str">
        <f t="shared" si="199"/>
        <v/>
      </c>
      <c r="AA499" s="153" t="str">
        <f t="shared" si="191"/>
        <v/>
      </c>
      <c r="AB499" s="153" t="str">
        <f t="shared" si="200"/>
        <v/>
      </c>
      <c r="AC499" s="153" t="str">
        <f t="shared" si="192"/>
        <v/>
      </c>
      <c r="AD499" s="153" t="str">
        <f t="shared" si="193"/>
        <v/>
      </c>
      <c r="AE499" s="153" t="str">
        <f t="shared" si="194"/>
        <v/>
      </c>
      <c r="AF499" s="155" t="e">
        <f>LOOKUP(2,1/(Lookups!$I$2:$I$11&lt;=E499)/(Lookups!$J$2:$J$11&gt;=E499),Lookups!$L$2:$L$11)</f>
        <v>#N/A</v>
      </c>
      <c r="AG499" s="142" t="str">
        <f t="shared" si="195"/>
        <v/>
      </c>
      <c r="AH499" s="142" t="str">
        <f t="shared" si="196"/>
        <v/>
      </c>
      <c r="AI499" s="143" t="b">
        <f t="shared" si="201"/>
        <v>0</v>
      </c>
      <c r="AJ499" s="143" t="str">
        <f t="shared" si="197"/>
        <v>Level 1</v>
      </c>
      <c r="AK499" s="142">
        <f t="shared" si="198"/>
        <v>0</v>
      </c>
      <c r="AL499" s="157" t="str">
        <f t="shared" si="206"/>
        <v/>
      </c>
      <c r="AM499" s="144" t="str">
        <f t="shared" si="207"/>
        <v>--FALSE-0</v>
      </c>
      <c r="AN499" s="158" t="str">
        <f t="shared" si="202"/>
        <v/>
      </c>
      <c r="AO499" s="145"/>
      <c r="AP499" s="159" t="str">
        <f>IF($AN499=FALSE,"",IFERROR(INDEX('Flat Rates'!$A$1:$M$3880,MATCH($AM499,'Flat Rates'!$A$1:$A$3880,0),MATCH("Standing Charge",'Flat Rates'!$A$1:$M$1,0))*100,""))</f>
        <v/>
      </c>
      <c r="AQ499" s="148" t="str">
        <f>IF($AN499=FALSE,"",IFERROR((IF(NOT(T499="Unrestricted"),"",INDEX('Flat Rates'!$A$1:$M$3880,MATCH($AM499,'Flat Rates'!$A$1:$A$3880,0),MATCH("Uni/Day Rate",'Flat Rates'!$A$1:$M$1,0)))*100)+H499,""))</f>
        <v/>
      </c>
      <c r="AR499" s="148" t="str">
        <f>IF($AN499=FALSE,"",IFERROR((IF(T499="Unrestricted","",INDEX('Flat Rates'!$A$1:$M$3880,MATCH($AM499,'Flat Rates'!$A$1:$A$3880,0),MATCH("Uni/Day Rate",'Flat Rates'!$A$1:$M$1,0)))*100)+H499,""))</f>
        <v/>
      </c>
      <c r="AS499" s="148" t="str">
        <f>IF($AN499=FALSE,"",IFERROR(IF(INDEX('Flat Rates'!$A$1:$M$3880,MATCH($AM499,'Flat Rates'!$A$1:$A$3880,0),MATCH("Night Unit Rate",'Flat Rates'!$A$1:$M$1,0))=0,"",((INDEX('Flat Rates'!$A$1:$M$3880,MATCH($AM499,'Flat Rates'!$A$1:$A$3880,0),MATCH("Night Unit Rate",'Flat Rates'!$A$1:$M$1,0)))*100)+H499),""))</f>
        <v/>
      </c>
      <c r="AT499" s="148" t="str">
        <f>IF($AN499=FALSE,"",IFERROR(IF(INDEX('Flat Rates'!$A$1:$M$3880,MATCH($AM499,'Flat Rates'!$A$1:$A$3880,0),MATCH("Evening and Weekend Rate",'Flat Rates'!$A$1:$M$1,0))=0,"",((INDEX('Flat Rates'!$A$1:$M$3880,MATCH($AM499,'Flat Rates'!$A$1:$A$3880,0),MATCH("Evening and Weekend Rate",'Flat Rates'!$A$1:$M$1,0)))*100)+H499),""))</f>
        <v/>
      </c>
      <c r="AU499" s="152" t="str">
        <f t="shared" si="203"/>
        <v/>
      </c>
      <c r="AV499" s="152" t="str">
        <f t="shared" si="204"/>
        <v/>
      </c>
      <c r="AW499" s="152" t="str">
        <f t="shared" si="205"/>
        <v/>
      </c>
    </row>
    <row r="500" spans="2:49" ht="15" thickBot="1" x14ac:dyDescent="0.35">
      <c r="B500" s="138" t="str">
        <f t="shared" si="182"/>
        <v/>
      </c>
      <c r="C500" s="146"/>
      <c r="D500" s="147"/>
      <c r="E500" s="140"/>
      <c r="F500" s="140"/>
      <c r="G500" s="139"/>
      <c r="H500" s="151"/>
      <c r="I500" s="139"/>
      <c r="J500" s="137"/>
      <c r="K500" s="139"/>
      <c r="L500" s="141"/>
      <c r="M500" s="133" t="str">
        <f t="shared" si="183"/>
        <v/>
      </c>
      <c r="N500" s="133" t="str">
        <f t="shared" si="184"/>
        <v/>
      </c>
      <c r="O500" s="133" t="str">
        <f t="shared" si="185"/>
        <v/>
      </c>
      <c r="P500" s="133" t="str">
        <f t="shared" si="186"/>
        <v/>
      </c>
      <c r="Q500" s="133" t="str">
        <f t="shared" si="187"/>
        <v/>
      </c>
      <c r="R500" s="133" t="str">
        <f t="shared" si="188"/>
        <v/>
      </c>
      <c r="S500" s="133" t="str">
        <f t="shared" si="189"/>
        <v/>
      </c>
      <c r="T500" s="133" t="str">
        <f>IFERROR(IF($U500="ERROR","ERROR",IF($N500="00",IF(J500="1-Rate","HH 1RATE",IF(J500="2-Rate","HH 2RATE","")),IFERROR(VLOOKUP(CONCATENATE(N500,Q500,O500,P500),Lookups!$A$2:$E$4557,5,0),VLOOKUP(CONCATENATE(N500,Q500,O500),Lookups!$A$2:$E$4557,5,0)))),"ERROR")</f>
        <v>ERROR</v>
      </c>
      <c r="U500" s="133" t="str">
        <f>IFERROR(IF(NOT($N500="00"),"",VLOOKUP(CONCATENATE(Q500,P500,LOOKUP(2,1/(Lookups!$I$2:$I$11&lt;=E500)/(Lookups!$J$2:$J$11&gt;=Tool!$C$14),Lookups!$K$2:$K$11)),'HH LLFs'!$A$2:$K$500,3,0)),"ERROR")</f>
        <v/>
      </c>
      <c r="V500" s="132">
        <f>Calcs!$I$2</f>
        <v>44377</v>
      </c>
      <c r="W500" s="132">
        <f>Calcs!$I$4</f>
        <v>44592</v>
      </c>
      <c r="X500" s="153" t="str">
        <f>IF(NOT(N500="00"),"",(VLOOKUP(CONCATENATE(Q500,P500,LOOKUP(2,1/(Lookups!$I$2:$I$11&lt;=Multisite!E500)/(Lookups!$J$2:$J$11&gt;=E500),Lookups!$K$2:$K$11)),'HH LLFs'!$A$2:$F$282,6,0)*365)/12)</f>
        <v/>
      </c>
      <c r="Y500" s="153">
        <f t="shared" si="190"/>
        <v>0</v>
      </c>
      <c r="Z500" s="153" t="str">
        <f t="shared" si="199"/>
        <v/>
      </c>
      <c r="AA500" s="153" t="str">
        <f t="shared" si="191"/>
        <v/>
      </c>
      <c r="AB500" s="153" t="str">
        <f t="shared" si="200"/>
        <v/>
      </c>
      <c r="AC500" s="153" t="str">
        <f t="shared" si="192"/>
        <v/>
      </c>
      <c r="AD500" s="153" t="str">
        <f t="shared" si="193"/>
        <v/>
      </c>
      <c r="AE500" s="153" t="str">
        <f t="shared" si="194"/>
        <v/>
      </c>
      <c r="AF500" s="155" t="e">
        <f>LOOKUP(2,1/(Lookups!$I$2:$I$11&lt;=E500)/(Lookups!$J$2:$J$11&gt;=E500),Lookups!$L$2:$L$11)</f>
        <v>#N/A</v>
      </c>
      <c r="AG500" s="142" t="str">
        <f t="shared" si="195"/>
        <v/>
      </c>
      <c r="AH500" s="142" t="str">
        <f t="shared" si="196"/>
        <v/>
      </c>
      <c r="AI500" s="143" t="b">
        <f t="shared" si="201"/>
        <v>0</v>
      </c>
      <c r="AJ500" s="143" t="str">
        <f t="shared" si="197"/>
        <v>Level 1</v>
      </c>
      <c r="AK500" s="142">
        <f t="shared" si="198"/>
        <v>0</v>
      </c>
      <c r="AL500" s="157" t="str">
        <f t="shared" si="206"/>
        <v/>
      </c>
      <c r="AM500" s="144" t="str">
        <f t="shared" si="207"/>
        <v>--FALSE-0</v>
      </c>
      <c r="AN500" s="158" t="str">
        <f t="shared" si="202"/>
        <v/>
      </c>
      <c r="AO500" s="145"/>
      <c r="AP500" s="159" t="str">
        <f>IF($AN500=FALSE,"",IFERROR(INDEX('Flat Rates'!$A$1:$M$3880,MATCH($AM500,'Flat Rates'!$A$1:$A$3880,0),MATCH("Standing Charge",'Flat Rates'!$A$1:$M$1,0))*100,""))</f>
        <v/>
      </c>
      <c r="AQ500" s="148" t="str">
        <f>IF($AN500=FALSE,"",IFERROR((IF(NOT(T500="Unrestricted"),"",INDEX('Flat Rates'!$A$1:$M$3880,MATCH($AM500,'Flat Rates'!$A$1:$A$3880,0),MATCH("Uni/Day Rate",'Flat Rates'!$A$1:$M$1,0)))*100)+H500,""))</f>
        <v/>
      </c>
      <c r="AR500" s="148" t="str">
        <f>IF($AN500=FALSE,"",IFERROR((IF(T500="Unrestricted","",INDEX('Flat Rates'!$A$1:$M$3880,MATCH($AM500,'Flat Rates'!$A$1:$A$3880,0),MATCH("Uni/Day Rate",'Flat Rates'!$A$1:$M$1,0)))*100)+H500,""))</f>
        <v/>
      </c>
      <c r="AS500" s="148" t="str">
        <f>IF($AN500=FALSE,"",IFERROR(IF(INDEX('Flat Rates'!$A$1:$M$3880,MATCH($AM500,'Flat Rates'!$A$1:$A$3880,0),MATCH("Night Unit Rate",'Flat Rates'!$A$1:$M$1,0))=0,"",((INDEX('Flat Rates'!$A$1:$M$3880,MATCH($AM500,'Flat Rates'!$A$1:$A$3880,0),MATCH("Night Unit Rate",'Flat Rates'!$A$1:$M$1,0)))*100)+H500),""))</f>
        <v/>
      </c>
      <c r="AT500" s="148" t="str">
        <f>IF($AN500=FALSE,"",IFERROR(IF(INDEX('Flat Rates'!$A$1:$M$3880,MATCH($AM500,'Flat Rates'!$A$1:$A$3880,0),MATCH("Evening and Weekend Rate",'Flat Rates'!$A$1:$M$1,0))=0,"",((INDEX('Flat Rates'!$A$1:$M$3880,MATCH($AM500,'Flat Rates'!$A$1:$A$3880,0),MATCH("Evening and Weekend Rate",'Flat Rates'!$A$1:$M$1,0)))*100)+H500),""))</f>
        <v/>
      </c>
      <c r="AU500" s="152" t="str">
        <f t="shared" si="203"/>
        <v/>
      </c>
      <c r="AV500" s="152" t="str">
        <f t="shared" si="204"/>
        <v/>
      </c>
      <c r="AW500" s="152" t="str">
        <f t="shared" si="205"/>
        <v/>
      </c>
    </row>
    <row r="501" spans="2:49" ht="15" thickBot="1" x14ac:dyDescent="0.35">
      <c r="B501" s="138" t="str">
        <f t="shared" si="182"/>
        <v/>
      </c>
      <c r="C501" s="137"/>
      <c r="D501" s="139"/>
      <c r="E501" s="140"/>
      <c r="F501" s="140"/>
      <c r="G501" s="139"/>
      <c r="H501" s="151"/>
      <c r="I501" s="139"/>
      <c r="J501" s="138"/>
      <c r="K501" s="139"/>
      <c r="L501" s="141"/>
      <c r="M501" s="133" t="str">
        <f t="shared" si="183"/>
        <v/>
      </c>
      <c r="N501" s="133" t="str">
        <f t="shared" si="184"/>
        <v/>
      </c>
      <c r="O501" s="133" t="str">
        <f t="shared" si="185"/>
        <v/>
      </c>
      <c r="P501" s="133" t="str">
        <f t="shared" si="186"/>
        <v/>
      </c>
      <c r="Q501" s="133" t="str">
        <f t="shared" si="187"/>
        <v/>
      </c>
      <c r="R501" s="133" t="str">
        <f t="shared" si="188"/>
        <v/>
      </c>
      <c r="S501" s="133" t="str">
        <f t="shared" si="189"/>
        <v/>
      </c>
      <c r="T501" s="133" t="str">
        <f>IFERROR(IF($U501="ERROR","ERROR",IF($N501="00",IF(J501="1-Rate","HH 1RATE",IF(J501="2-Rate","HH 2RATE","")),IFERROR(VLOOKUP(CONCATENATE(N501,Q501,O501,P501),Lookups!$A$2:$E$4557,5,0),VLOOKUP(CONCATENATE(N501,Q501,O501),Lookups!$A$2:$E$4557,5,0)))),"ERROR")</f>
        <v>ERROR</v>
      </c>
      <c r="U501" s="133" t="str">
        <f>IFERROR(IF(NOT($N501="00"),"",VLOOKUP(CONCATENATE(Q501,P501,LOOKUP(2,1/(Lookups!$I$2:$I$11&lt;=E501)/(Lookups!$J$2:$J$11&gt;=Tool!$C$14),Lookups!$K$2:$K$11)),'HH LLFs'!$A$2:$K$500,3,0)),"ERROR")</f>
        <v/>
      </c>
      <c r="V501" s="132">
        <f>Calcs!$I$2</f>
        <v>44377</v>
      </c>
      <c r="W501" s="132">
        <f>Calcs!$I$4</f>
        <v>44592</v>
      </c>
      <c r="X501" s="153" t="str">
        <f>IF(NOT(N501="00"),"",(VLOOKUP(CONCATENATE(Q501,P501,LOOKUP(2,1/(Lookups!$I$2:$I$11&lt;=Multisite!E501)/(Lookups!$J$2:$J$11&gt;=E501),Lookups!$K$2:$K$11)),'HH LLFs'!$A$2:$F$282,6,0)*365)/12)</f>
        <v/>
      </c>
      <c r="Y501" s="153">
        <f t="shared" si="190"/>
        <v>0</v>
      </c>
      <c r="Z501" s="153" t="str">
        <f t="shared" si="199"/>
        <v/>
      </c>
      <c r="AA501" s="153" t="str">
        <f t="shared" si="191"/>
        <v/>
      </c>
      <c r="AB501" s="153" t="str">
        <f t="shared" si="200"/>
        <v/>
      </c>
      <c r="AC501" s="153" t="str">
        <f t="shared" si="192"/>
        <v/>
      </c>
      <c r="AD501" s="153" t="str">
        <f t="shared" si="193"/>
        <v/>
      </c>
      <c r="AE501" s="153" t="str">
        <f t="shared" si="194"/>
        <v/>
      </c>
      <c r="AF501" s="155" t="e">
        <f>LOOKUP(2,1/(Lookups!$I$2:$I$11&lt;=E501)/(Lookups!$J$2:$J$11&gt;=E501),Lookups!$L$2:$L$11)</f>
        <v>#N/A</v>
      </c>
      <c r="AG501" s="142" t="str">
        <f t="shared" si="195"/>
        <v/>
      </c>
      <c r="AH501" s="142" t="str">
        <f t="shared" si="196"/>
        <v/>
      </c>
      <c r="AI501" s="143" t="b">
        <f t="shared" si="201"/>
        <v>0</v>
      </c>
      <c r="AJ501" s="143" t="str">
        <f t="shared" si="197"/>
        <v>Level 1</v>
      </c>
      <c r="AK501" s="142">
        <f t="shared" si="198"/>
        <v>0</v>
      </c>
      <c r="AL501" s="157" t="str">
        <f t="shared" si="206"/>
        <v/>
      </c>
      <c r="AM501" s="144" t="str">
        <f t="shared" si="207"/>
        <v>--FALSE-0</v>
      </c>
      <c r="AN501" s="158" t="str">
        <f t="shared" si="202"/>
        <v/>
      </c>
      <c r="AO501" s="145"/>
      <c r="AP501" s="159" t="str">
        <f>IF($AN501=FALSE,"",IFERROR(INDEX('Flat Rates'!$A$1:$M$3880,MATCH($AM501,'Flat Rates'!$A$1:$A$3880,0),MATCH("Standing Charge",'Flat Rates'!$A$1:$M$1,0))*100,""))</f>
        <v/>
      </c>
      <c r="AQ501" s="148" t="str">
        <f>IF($AN501=FALSE,"",IFERROR((IF(NOT(T501="Unrestricted"),"",INDEX('Flat Rates'!$A$1:$M$3880,MATCH($AM501,'Flat Rates'!$A$1:$A$3880,0),MATCH("Uni/Day Rate",'Flat Rates'!$A$1:$M$1,0)))*100)+H501,""))</f>
        <v/>
      </c>
      <c r="AR501" s="148" t="str">
        <f>IF($AN501=FALSE,"",IFERROR((IF(T501="Unrestricted","",INDEX('Flat Rates'!$A$1:$M$3880,MATCH($AM501,'Flat Rates'!$A$1:$A$3880,0),MATCH("Uni/Day Rate",'Flat Rates'!$A$1:$M$1,0)))*100)+H501,""))</f>
        <v/>
      </c>
      <c r="AS501" s="148" t="str">
        <f>IF($AN501=FALSE,"",IFERROR(IF(INDEX('Flat Rates'!$A$1:$M$3880,MATCH($AM501,'Flat Rates'!$A$1:$A$3880,0),MATCH("Night Unit Rate",'Flat Rates'!$A$1:$M$1,0))=0,"",((INDEX('Flat Rates'!$A$1:$M$3880,MATCH($AM501,'Flat Rates'!$A$1:$A$3880,0),MATCH("Night Unit Rate",'Flat Rates'!$A$1:$M$1,0)))*100)+H501),""))</f>
        <v/>
      </c>
      <c r="AT501" s="148" t="str">
        <f>IF($AN501=FALSE,"",IFERROR(IF(INDEX('Flat Rates'!$A$1:$M$3880,MATCH($AM501,'Flat Rates'!$A$1:$A$3880,0),MATCH("Evening and Weekend Rate",'Flat Rates'!$A$1:$M$1,0))=0,"",((INDEX('Flat Rates'!$A$1:$M$3880,MATCH($AM501,'Flat Rates'!$A$1:$A$3880,0),MATCH("Evening and Weekend Rate",'Flat Rates'!$A$1:$M$1,0)))*100)+H501),""))</f>
        <v/>
      </c>
      <c r="AU501" s="152" t="str">
        <f t="shared" si="203"/>
        <v/>
      </c>
      <c r="AV501" s="152" t="str">
        <f t="shared" si="204"/>
        <v/>
      </c>
      <c r="AW501" s="152" t="str">
        <f t="shared" si="205"/>
        <v/>
      </c>
    </row>
    <row r="502" spans="2:49" ht="15" thickBot="1" x14ac:dyDescent="0.35">
      <c r="B502" s="138" t="str">
        <f t="shared" si="182"/>
        <v/>
      </c>
      <c r="C502" s="146"/>
      <c r="D502" s="147"/>
      <c r="E502" s="140"/>
      <c r="F502" s="140"/>
      <c r="G502" s="139"/>
      <c r="H502" s="151"/>
      <c r="I502" s="139"/>
      <c r="J502" s="137"/>
      <c r="K502" s="139"/>
      <c r="L502" s="141"/>
      <c r="M502" s="133" t="str">
        <f t="shared" si="183"/>
        <v/>
      </c>
      <c r="N502" s="133" t="str">
        <f t="shared" si="184"/>
        <v/>
      </c>
      <c r="O502" s="133" t="str">
        <f t="shared" si="185"/>
        <v/>
      </c>
      <c r="P502" s="133" t="str">
        <f t="shared" si="186"/>
        <v/>
      </c>
      <c r="Q502" s="133" t="str">
        <f t="shared" si="187"/>
        <v/>
      </c>
      <c r="R502" s="133" t="str">
        <f t="shared" si="188"/>
        <v/>
      </c>
      <c r="S502" s="133" t="str">
        <f t="shared" si="189"/>
        <v/>
      </c>
      <c r="T502" s="133" t="str">
        <f>IFERROR(IF($U502="ERROR","ERROR",IF($N502="00",IF(J502="1-Rate","HH 1RATE",IF(J502="2-Rate","HH 2RATE","")),IFERROR(VLOOKUP(CONCATENATE(N502,Q502,O502,P502),Lookups!$A$2:$E$4557,5,0),VLOOKUP(CONCATENATE(N502,Q502,O502),Lookups!$A$2:$E$4557,5,0)))),"ERROR")</f>
        <v>ERROR</v>
      </c>
      <c r="U502" s="133" t="str">
        <f>IFERROR(IF(NOT($N502="00"),"",VLOOKUP(CONCATENATE(Q502,P502,LOOKUP(2,1/(Lookups!$I$2:$I$11&lt;=E502)/(Lookups!$J$2:$J$11&gt;=Tool!$C$14),Lookups!$K$2:$K$11)),'HH LLFs'!$A$2:$K$500,3,0)),"ERROR")</f>
        <v/>
      </c>
      <c r="V502" s="132">
        <f>Calcs!$I$2</f>
        <v>44377</v>
      </c>
      <c r="W502" s="132">
        <f>Calcs!$I$4</f>
        <v>44592</v>
      </c>
      <c r="X502" s="153" t="str">
        <f>IF(NOT(N502="00"),"",(VLOOKUP(CONCATENATE(Q502,P502,LOOKUP(2,1/(Lookups!$I$2:$I$11&lt;=Multisite!E502)/(Lookups!$J$2:$J$11&gt;=E502),Lookups!$K$2:$K$11)),'HH LLFs'!$A$2:$F$282,6,0)*365)/12)</f>
        <v/>
      </c>
      <c r="Y502" s="153">
        <f t="shared" si="190"/>
        <v>0</v>
      </c>
      <c r="Z502" s="153" t="str">
        <f t="shared" si="199"/>
        <v/>
      </c>
      <c r="AA502" s="153" t="str">
        <f t="shared" si="191"/>
        <v/>
      </c>
      <c r="AB502" s="153" t="str">
        <f t="shared" si="200"/>
        <v/>
      </c>
      <c r="AC502" s="153" t="str">
        <f t="shared" si="192"/>
        <v/>
      </c>
      <c r="AD502" s="153" t="str">
        <f t="shared" si="193"/>
        <v/>
      </c>
      <c r="AE502" s="153" t="str">
        <f t="shared" si="194"/>
        <v/>
      </c>
      <c r="AF502" s="155" t="e">
        <f>LOOKUP(2,1/(Lookups!$I$2:$I$11&lt;=E502)/(Lookups!$J$2:$J$11&gt;=E502),Lookups!$L$2:$L$11)</f>
        <v>#N/A</v>
      </c>
      <c r="AG502" s="142" t="str">
        <f t="shared" si="195"/>
        <v/>
      </c>
      <c r="AH502" s="142" t="str">
        <f t="shared" si="196"/>
        <v/>
      </c>
      <c r="AI502" s="143" t="b">
        <f t="shared" si="201"/>
        <v>0</v>
      </c>
      <c r="AJ502" s="143" t="str">
        <f t="shared" si="197"/>
        <v>Level 1</v>
      </c>
      <c r="AK502" s="142">
        <f t="shared" si="198"/>
        <v>0</v>
      </c>
      <c r="AL502" s="157" t="str">
        <f t="shared" si="206"/>
        <v/>
      </c>
      <c r="AM502" s="144" t="str">
        <f t="shared" si="207"/>
        <v>--FALSE-0</v>
      </c>
      <c r="AN502" s="158" t="str">
        <f t="shared" si="202"/>
        <v/>
      </c>
      <c r="AO502" s="145"/>
      <c r="AP502" s="159" t="str">
        <f>IF($AN502=FALSE,"",IFERROR(INDEX('Flat Rates'!$A$1:$M$3880,MATCH($AM502,'Flat Rates'!$A$1:$A$3880,0),MATCH("Standing Charge",'Flat Rates'!$A$1:$M$1,0))*100,""))</f>
        <v/>
      </c>
      <c r="AQ502" s="148" t="str">
        <f>IF($AN502=FALSE,"",IFERROR((IF(NOT(T502="Unrestricted"),"",INDEX('Flat Rates'!$A$1:$M$3880,MATCH($AM502,'Flat Rates'!$A$1:$A$3880,0),MATCH("Uni/Day Rate",'Flat Rates'!$A$1:$M$1,0)))*100)+H502,""))</f>
        <v/>
      </c>
      <c r="AR502" s="148" t="str">
        <f>IF($AN502=FALSE,"",IFERROR((IF(T502="Unrestricted","",INDEX('Flat Rates'!$A$1:$M$3880,MATCH($AM502,'Flat Rates'!$A$1:$A$3880,0),MATCH("Uni/Day Rate",'Flat Rates'!$A$1:$M$1,0)))*100)+H502,""))</f>
        <v/>
      </c>
      <c r="AS502" s="148" t="str">
        <f>IF($AN502=FALSE,"",IFERROR(IF(INDEX('Flat Rates'!$A$1:$M$3880,MATCH($AM502,'Flat Rates'!$A$1:$A$3880,0),MATCH("Night Unit Rate",'Flat Rates'!$A$1:$M$1,0))=0,"",((INDEX('Flat Rates'!$A$1:$M$3880,MATCH($AM502,'Flat Rates'!$A$1:$A$3880,0),MATCH("Night Unit Rate",'Flat Rates'!$A$1:$M$1,0)))*100)+H502),""))</f>
        <v/>
      </c>
      <c r="AT502" s="148" t="str">
        <f>IF($AN502=FALSE,"",IFERROR(IF(INDEX('Flat Rates'!$A$1:$M$3880,MATCH($AM502,'Flat Rates'!$A$1:$A$3880,0),MATCH("Evening and Weekend Rate",'Flat Rates'!$A$1:$M$1,0))=0,"",((INDEX('Flat Rates'!$A$1:$M$3880,MATCH($AM502,'Flat Rates'!$A$1:$A$3880,0),MATCH("Evening and Weekend Rate",'Flat Rates'!$A$1:$M$1,0)))*100)+H502),""))</f>
        <v/>
      </c>
      <c r="AU502" s="152" t="str">
        <f t="shared" si="203"/>
        <v/>
      </c>
      <c r="AV502" s="152" t="str">
        <f t="shared" si="204"/>
        <v/>
      </c>
      <c r="AW502" s="152" t="str">
        <f t="shared" si="205"/>
        <v/>
      </c>
    </row>
    <row r="503" spans="2:49" ht="15" thickBot="1" x14ac:dyDescent="0.35">
      <c r="B503" s="138" t="str">
        <f t="shared" si="182"/>
        <v/>
      </c>
      <c r="C503" s="137"/>
      <c r="D503" s="139"/>
      <c r="E503" s="140"/>
      <c r="F503" s="140"/>
      <c r="G503" s="139"/>
      <c r="H503" s="151"/>
      <c r="I503" s="139"/>
      <c r="J503" s="138"/>
      <c r="K503" s="139"/>
      <c r="L503" s="141"/>
      <c r="M503" s="133" t="str">
        <f t="shared" si="183"/>
        <v/>
      </c>
      <c r="N503" s="133" t="str">
        <f t="shared" si="184"/>
        <v/>
      </c>
      <c r="O503" s="133" t="str">
        <f t="shared" si="185"/>
        <v/>
      </c>
      <c r="P503" s="133" t="str">
        <f t="shared" si="186"/>
        <v/>
      </c>
      <c r="Q503" s="133" t="str">
        <f t="shared" si="187"/>
        <v/>
      </c>
      <c r="R503" s="133" t="str">
        <f t="shared" si="188"/>
        <v/>
      </c>
      <c r="S503" s="133" t="str">
        <f t="shared" si="189"/>
        <v/>
      </c>
      <c r="T503" s="133" t="str">
        <f>IFERROR(IF($U503="ERROR","ERROR",IF($N503="00",IF(J503="1-Rate","HH 1RATE",IF(J503="2-Rate","HH 2RATE","")),IFERROR(VLOOKUP(CONCATENATE(N503,Q503,O503,P503),Lookups!$A$2:$E$4557,5,0),VLOOKUP(CONCATENATE(N503,Q503,O503),Lookups!$A$2:$E$4557,5,0)))),"ERROR")</f>
        <v>ERROR</v>
      </c>
      <c r="U503" s="133" t="str">
        <f>IFERROR(IF(NOT($N503="00"),"",VLOOKUP(CONCATENATE(Q503,P503,LOOKUP(2,1/(Lookups!$I$2:$I$11&lt;=E503)/(Lookups!$J$2:$J$11&gt;=Tool!$C$14),Lookups!$K$2:$K$11)),'HH LLFs'!$A$2:$K$500,3,0)),"ERROR")</f>
        <v/>
      </c>
      <c r="V503" s="132">
        <f>Calcs!$I$2</f>
        <v>44377</v>
      </c>
      <c r="W503" s="132">
        <f>Calcs!$I$4</f>
        <v>44592</v>
      </c>
      <c r="X503" s="153" t="str">
        <f>IF(NOT(N503="00"),"",(VLOOKUP(CONCATENATE(Q503,P503,LOOKUP(2,1/(Lookups!$I$2:$I$11&lt;=Multisite!E503)/(Lookups!$J$2:$J$11&gt;=E503),Lookups!$K$2:$K$11)),'HH LLFs'!$A$2:$F$282,6,0)*365)/12)</f>
        <v/>
      </c>
      <c r="Y503" s="153">
        <f t="shared" si="190"/>
        <v>0</v>
      </c>
      <c r="Z503" s="153" t="str">
        <f t="shared" si="199"/>
        <v/>
      </c>
      <c r="AA503" s="153" t="str">
        <f t="shared" si="191"/>
        <v/>
      </c>
      <c r="AB503" s="153" t="str">
        <f t="shared" si="200"/>
        <v/>
      </c>
      <c r="AC503" s="153" t="str">
        <f t="shared" si="192"/>
        <v/>
      </c>
      <c r="AD503" s="153" t="str">
        <f t="shared" si="193"/>
        <v/>
      </c>
      <c r="AE503" s="153" t="str">
        <f t="shared" si="194"/>
        <v/>
      </c>
      <c r="AF503" s="155" t="e">
        <f>LOOKUP(2,1/(Lookups!$I$2:$I$11&lt;=E503)/(Lookups!$J$2:$J$11&gt;=E503),Lookups!$L$2:$L$11)</f>
        <v>#N/A</v>
      </c>
      <c r="AG503" s="142" t="str">
        <f t="shared" si="195"/>
        <v/>
      </c>
      <c r="AH503" s="142" t="str">
        <f t="shared" si="196"/>
        <v/>
      </c>
      <c r="AI503" s="143" t="b">
        <f t="shared" si="201"/>
        <v>0</v>
      </c>
      <c r="AJ503" s="143" t="str">
        <f t="shared" si="197"/>
        <v>Level 1</v>
      </c>
      <c r="AK503" s="142">
        <f t="shared" si="198"/>
        <v>0</v>
      </c>
      <c r="AL503" s="157" t="str">
        <f t="shared" si="206"/>
        <v/>
      </c>
      <c r="AM503" s="144" t="str">
        <f t="shared" si="207"/>
        <v>--FALSE-0</v>
      </c>
      <c r="AN503" s="158" t="str">
        <f t="shared" si="202"/>
        <v/>
      </c>
      <c r="AO503" s="145"/>
      <c r="AP503" s="159" t="str">
        <f>IF($AN503=FALSE,"",IFERROR(INDEX('Flat Rates'!$A$1:$M$3880,MATCH($AM503,'Flat Rates'!$A$1:$A$3880,0),MATCH("Standing Charge",'Flat Rates'!$A$1:$M$1,0))*100,""))</f>
        <v/>
      </c>
      <c r="AQ503" s="148" t="str">
        <f>IF($AN503=FALSE,"",IFERROR((IF(NOT(T503="Unrestricted"),"",INDEX('Flat Rates'!$A$1:$M$3880,MATCH($AM503,'Flat Rates'!$A$1:$A$3880,0),MATCH("Uni/Day Rate",'Flat Rates'!$A$1:$M$1,0)))*100)+H503,""))</f>
        <v/>
      </c>
      <c r="AR503" s="148" t="str">
        <f>IF($AN503=FALSE,"",IFERROR((IF(T503="Unrestricted","",INDEX('Flat Rates'!$A$1:$M$3880,MATCH($AM503,'Flat Rates'!$A$1:$A$3880,0),MATCH("Uni/Day Rate",'Flat Rates'!$A$1:$M$1,0)))*100)+H503,""))</f>
        <v/>
      </c>
      <c r="AS503" s="148" t="str">
        <f>IF($AN503=FALSE,"",IFERROR(IF(INDEX('Flat Rates'!$A$1:$M$3880,MATCH($AM503,'Flat Rates'!$A$1:$A$3880,0),MATCH("Night Unit Rate",'Flat Rates'!$A$1:$M$1,0))=0,"",((INDEX('Flat Rates'!$A$1:$M$3880,MATCH($AM503,'Flat Rates'!$A$1:$A$3880,0),MATCH("Night Unit Rate",'Flat Rates'!$A$1:$M$1,0)))*100)+H503),""))</f>
        <v/>
      </c>
      <c r="AT503" s="148" t="str">
        <f>IF($AN503=FALSE,"",IFERROR(IF(INDEX('Flat Rates'!$A$1:$M$3880,MATCH($AM503,'Flat Rates'!$A$1:$A$3880,0),MATCH("Evening and Weekend Rate",'Flat Rates'!$A$1:$M$1,0))=0,"",((INDEX('Flat Rates'!$A$1:$M$3880,MATCH($AM503,'Flat Rates'!$A$1:$A$3880,0),MATCH("Evening and Weekend Rate",'Flat Rates'!$A$1:$M$1,0)))*100)+H503),""))</f>
        <v/>
      </c>
      <c r="AU503" s="152" t="str">
        <f t="shared" si="203"/>
        <v/>
      </c>
      <c r="AV503" s="152" t="str">
        <f t="shared" si="204"/>
        <v/>
      </c>
      <c r="AW503" s="152" t="str">
        <f t="shared" si="205"/>
        <v/>
      </c>
    </row>
    <row r="504" spans="2:49" ht="15" thickBot="1" x14ac:dyDescent="0.35">
      <c r="B504" s="138" t="str">
        <f t="shared" si="182"/>
        <v/>
      </c>
      <c r="C504" s="146"/>
      <c r="D504" s="147"/>
      <c r="E504" s="140"/>
      <c r="F504" s="140"/>
      <c r="G504" s="139"/>
      <c r="H504" s="151"/>
      <c r="I504" s="139"/>
      <c r="J504" s="137"/>
      <c r="K504" s="139"/>
      <c r="L504" s="141"/>
      <c r="M504" s="133" t="str">
        <f t="shared" si="183"/>
        <v/>
      </c>
      <c r="N504" s="133" t="str">
        <f t="shared" si="184"/>
        <v/>
      </c>
      <c r="O504" s="133" t="str">
        <f t="shared" si="185"/>
        <v/>
      </c>
      <c r="P504" s="133" t="str">
        <f t="shared" si="186"/>
        <v/>
      </c>
      <c r="Q504" s="133" t="str">
        <f t="shared" si="187"/>
        <v/>
      </c>
      <c r="R504" s="133" t="str">
        <f t="shared" si="188"/>
        <v/>
      </c>
      <c r="S504" s="133" t="str">
        <f t="shared" si="189"/>
        <v/>
      </c>
      <c r="T504" s="133" t="str">
        <f>IFERROR(IF($U504="ERROR","ERROR",IF($N504="00",IF(J504="1-Rate","HH 1RATE",IF(J504="2-Rate","HH 2RATE","")),IFERROR(VLOOKUP(CONCATENATE(N504,Q504,O504,P504),Lookups!$A$2:$E$4557,5,0),VLOOKUP(CONCATENATE(N504,Q504,O504),Lookups!$A$2:$E$4557,5,0)))),"ERROR")</f>
        <v>ERROR</v>
      </c>
      <c r="U504" s="133" t="str">
        <f>IFERROR(IF(NOT($N504="00"),"",VLOOKUP(CONCATENATE(Q504,P504,LOOKUP(2,1/(Lookups!$I$2:$I$11&lt;=E504)/(Lookups!$J$2:$J$11&gt;=Tool!$C$14),Lookups!$K$2:$K$11)),'HH LLFs'!$A$2:$K$500,3,0)),"ERROR")</f>
        <v/>
      </c>
      <c r="V504" s="132">
        <f>Calcs!$I$2</f>
        <v>44377</v>
      </c>
      <c r="W504" s="132">
        <f>Calcs!$I$4</f>
        <v>44592</v>
      </c>
      <c r="X504" s="153" t="str">
        <f>IF(NOT(N504="00"),"",(VLOOKUP(CONCATENATE(Q504,P504,LOOKUP(2,1/(Lookups!$I$2:$I$11&lt;=Multisite!E504)/(Lookups!$J$2:$J$11&gt;=E504),Lookups!$K$2:$K$11)),'HH LLFs'!$A$2:$F$282,6,0)*365)/12)</f>
        <v/>
      </c>
      <c r="Y504" s="153">
        <f t="shared" si="190"/>
        <v>0</v>
      </c>
      <c r="Z504" s="153" t="str">
        <f t="shared" si="199"/>
        <v/>
      </c>
      <c r="AA504" s="153" t="str">
        <f t="shared" si="191"/>
        <v/>
      </c>
      <c r="AB504" s="153" t="str">
        <f t="shared" si="200"/>
        <v/>
      </c>
      <c r="AC504" s="153" t="str">
        <f t="shared" si="192"/>
        <v/>
      </c>
      <c r="AD504" s="153" t="str">
        <f t="shared" si="193"/>
        <v/>
      </c>
      <c r="AE504" s="153" t="str">
        <f t="shared" si="194"/>
        <v/>
      </c>
      <c r="AF504" s="155" t="e">
        <f>LOOKUP(2,1/(Lookups!$I$2:$I$11&lt;=E504)/(Lookups!$J$2:$J$11&gt;=E504),Lookups!$L$2:$L$11)</f>
        <v>#N/A</v>
      </c>
      <c r="AG504" s="142" t="str">
        <f t="shared" si="195"/>
        <v/>
      </c>
      <c r="AH504" s="142" t="str">
        <f t="shared" si="196"/>
        <v/>
      </c>
      <c r="AI504" s="143" t="b">
        <f t="shared" si="201"/>
        <v>0</v>
      </c>
      <c r="AJ504" s="143" t="str">
        <f t="shared" si="197"/>
        <v>Level 1</v>
      </c>
      <c r="AK504" s="142">
        <f t="shared" si="198"/>
        <v>0</v>
      </c>
      <c r="AL504" s="157" t="str">
        <f t="shared" si="206"/>
        <v/>
      </c>
      <c r="AM504" s="144" t="str">
        <f t="shared" si="207"/>
        <v>--FALSE-0</v>
      </c>
      <c r="AN504" s="158" t="str">
        <f t="shared" si="202"/>
        <v/>
      </c>
      <c r="AO504" s="145"/>
      <c r="AP504" s="159" t="str">
        <f>IF($AN504=FALSE,"",IFERROR(INDEX('Flat Rates'!$A$1:$M$3880,MATCH($AM504,'Flat Rates'!$A$1:$A$3880,0),MATCH("Standing Charge",'Flat Rates'!$A$1:$M$1,0))*100,""))</f>
        <v/>
      </c>
      <c r="AQ504" s="148" t="str">
        <f>IF($AN504=FALSE,"",IFERROR((IF(NOT(T504="Unrestricted"),"",INDEX('Flat Rates'!$A$1:$M$3880,MATCH($AM504,'Flat Rates'!$A$1:$A$3880,0),MATCH("Uni/Day Rate",'Flat Rates'!$A$1:$M$1,0)))*100)+H504,""))</f>
        <v/>
      </c>
      <c r="AR504" s="148" t="str">
        <f>IF($AN504=FALSE,"",IFERROR((IF(T504="Unrestricted","",INDEX('Flat Rates'!$A$1:$M$3880,MATCH($AM504,'Flat Rates'!$A$1:$A$3880,0),MATCH("Uni/Day Rate",'Flat Rates'!$A$1:$M$1,0)))*100)+H504,""))</f>
        <v/>
      </c>
      <c r="AS504" s="148" t="str">
        <f>IF($AN504=FALSE,"",IFERROR(IF(INDEX('Flat Rates'!$A$1:$M$3880,MATCH($AM504,'Flat Rates'!$A$1:$A$3880,0),MATCH("Night Unit Rate",'Flat Rates'!$A$1:$M$1,0))=0,"",((INDEX('Flat Rates'!$A$1:$M$3880,MATCH($AM504,'Flat Rates'!$A$1:$A$3880,0),MATCH("Night Unit Rate",'Flat Rates'!$A$1:$M$1,0)))*100)+H504),""))</f>
        <v/>
      </c>
      <c r="AT504" s="148" t="str">
        <f>IF($AN504=FALSE,"",IFERROR(IF(INDEX('Flat Rates'!$A$1:$M$3880,MATCH($AM504,'Flat Rates'!$A$1:$A$3880,0),MATCH("Evening and Weekend Rate",'Flat Rates'!$A$1:$M$1,0))=0,"",((INDEX('Flat Rates'!$A$1:$M$3880,MATCH($AM504,'Flat Rates'!$A$1:$A$3880,0),MATCH("Evening and Weekend Rate",'Flat Rates'!$A$1:$M$1,0)))*100)+H504),""))</f>
        <v/>
      </c>
      <c r="AU504" s="152" t="str">
        <f t="shared" si="203"/>
        <v/>
      </c>
      <c r="AV504" s="152" t="str">
        <f t="shared" si="204"/>
        <v/>
      </c>
      <c r="AW504" s="152" t="str">
        <f t="shared" si="205"/>
        <v/>
      </c>
    </row>
    <row r="505" spans="2:49" ht="15" thickBot="1" x14ac:dyDescent="0.35">
      <c r="B505" s="138" t="str">
        <f t="shared" si="182"/>
        <v/>
      </c>
      <c r="C505" s="137"/>
      <c r="D505" s="139"/>
      <c r="E505" s="140"/>
      <c r="F505" s="140"/>
      <c r="G505" s="139"/>
      <c r="H505" s="151"/>
      <c r="I505" s="139"/>
      <c r="J505" s="138"/>
      <c r="K505" s="139"/>
      <c r="L505" s="141"/>
      <c r="M505" s="133" t="str">
        <f t="shared" si="183"/>
        <v/>
      </c>
      <c r="N505" s="133" t="str">
        <f t="shared" si="184"/>
        <v/>
      </c>
      <c r="O505" s="133" t="str">
        <f t="shared" si="185"/>
        <v/>
      </c>
      <c r="P505" s="133" t="str">
        <f t="shared" si="186"/>
        <v/>
      </c>
      <c r="Q505" s="133" t="str">
        <f t="shared" si="187"/>
        <v/>
      </c>
      <c r="R505" s="133" t="str">
        <f t="shared" si="188"/>
        <v/>
      </c>
      <c r="S505" s="133" t="str">
        <f t="shared" si="189"/>
        <v/>
      </c>
      <c r="T505" s="133" t="str">
        <f>IFERROR(IF($U505="ERROR","ERROR",IF($N505="00",IF(J505="1-Rate","HH 1RATE",IF(J505="2-Rate","HH 2RATE","")),IFERROR(VLOOKUP(CONCATENATE(N505,Q505,O505,P505),Lookups!$A$2:$E$4557,5,0),VLOOKUP(CONCATENATE(N505,Q505,O505),Lookups!$A$2:$E$4557,5,0)))),"ERROR")</f>
        <v>ERROR</v>
      </c>
      <c r="U505" s="133" t="str">
        <f>IFERROR(IF(NOT($N505="00"),"",VLOOKUP(CONCATENATE(Q505,P505,LOOKUP(2,1/(Lookups!$I$2:$I$11&lt;=E505)/(Lookups!$J$2:$J$11&gt;=Tool!$C$14),Lookups!$K$2:$K$11)),'HH LLFs'!$A$2:$K$500,3,0)),"ERROR")</f>
        <v/>
      </c>
      <c r="V505" s="132">
        <f>Calcs!$I$2</f>
        <v>44377</v>
      </c>
      <c r="W505" s="132">
        <f>Calcs!$I$4</f>
        <v>44592</v>
      </c>
      <c r="X505" s="153" t="str">
        <f>IF(NOT(N505="00"),"",(VLOOKUP(CONCATENATE(Q505,P505,LOOKUP(2,1/(Lookups!$I$2:$I$11&lt;=Multisite!E505)/(Lookups!$J$2:$J$11&gt;=E505),Lookups!$K$2:$K$11)),'HH LLFs'!$A$2:$F$282,6,0)*365)/12)</f>
        <v/>
      </c>
      <c r="Y505" s="153">
        <f t="shared" si="190"/>
        <v>0</v>
      </c>
      <c r="Z505" s="153" t="str">
        <f t="shared" si="199"/>
        <v/>
      </c>
      <c r="AA505" s="153" t="str">
        <f t="shared" si="191"/>
        <v/>
      </c>
      <c r="AB505" s="153" t="str">
        <f t="shared" si="200"/>
        <v/>
      </c>
      <c r="AC505" s="153" t="str">
        <f t="shared" si="192"/>
        <v/>
      </c>
      <c r="AD505" s="153" t="str">
        <f t="shared" si="193"/>
        <v/>
      </c>
      <c r="AE505" s="153" t="str">
        <f t="shared" si="194"/>
        <v/>
      </c>
      <c r="AF505" s="155" t="e">
        <f>LOOKUP(2,1/(Lookups!$I$2:$I$11&lt;=E505)/(Lookups!$J$2:$J$11&gt;=E505),Lookups!$L$2:$L$11)</f>
        <v>#N/A</v>
      </c>
      <c r="AG505" s="142" t="str">
        <f t="shared" si="195"/>
        <v/>
      </c>
      <c r="AH505" s="142" t="str">
        <f t="shared" si="196"/>
        <v/>
      </c>
      <c r="AI505" s="143" t="b">
        <f t="shared" si="201"/>
        <v>0</v>
      </c>
      <c r="AJ505" s="143" t="str">
        <f t="shared" si="197"/>
        <v>Level 1</v>
      </c>
      <c r="AK505" s="142">
        <f t="shared" si="198"/>
        <v>0</v>
      </c>
      <c r="AL505" s="157" t="str">
        <f t="shared" si="206"/>
        <v/>
      </c>
      <c r="AM505" s="144" t="str">
        <f t="shared" si="207"/>
        <v>--FALSE-0</v>
      </c>
      <c r="AN505" s="158" t="str">
        <f t="shared" si="202"/>
        <v/>
      </c>
      <c r="AO505" s="145"/>
      <c r="AP505" s="159" t="str">
        <f>IF($AN505=FALSE,"",IFERROR(INDEX('Flat Rates'!$A$1:$M$3880,MATCH($AM505,'Flat Rates'!$A$1:$A$3880,0),MATCH("Standing Charge",'Flat Rates'!$A$1:$M$1,0))*100,""))</f>
        <v/>
      </c>
      <c r="AQ505" s="148" t="str">
        <f>IF($AN505=FALSE,"",IFERROR((IF(NOT(T505="Unrestricted"),"",INDEX('Flat Rates'!$A$1:$M$3880,MATCH($AM505,'Flat Rates'!$A$1:$A$3880,0),MATCH("Uni/Day Rate",'Flat Rates'!$A$1:$M$1,0)))*100)+H505,""))</f>
        <v/>
      </c>
      <c r="AR505" s="148" t="str">
        <f>IF($AN505=FALSE,"",IFERROR((IF(T505="Unrestricted","",INDEX('Flat Rates'!$A$1:$M$3880,MATCH($AM505,'Flat Rates'!$A$1:$A$3880,0),MATCH("Uni/Day Rate",'Flat Rates'!$A$1:$M$1,0)))*100)+H505,""))</f>
        <v/>
      </c>
      <c r="AS505" s="148" t="str">
        <f>IF($AN505=FALSE,"",IFERROR(IF(INDEX('Flat Rates'!$A$1:$M$3880,MATCH($AM505,'Flat Rates'!$A$1:$A$3880,0),MATCH("Night Unit Rate",'Flat Rates'!$A$1:$M$1,0))=0,"",((INDEX('Flat Rates'!$A$1:$M$3880,MATCH($AM505,'Flat Rates'!$A$1:$A$3880,0),MATCH("Night Unit Rate",'Flat Rates'!$A$1:$M$1,0)))*100)+H505),""))</f>
        <v/>
      </c>
      <c r="AT505" s="148" t="str">
        <f>IF($AN505=FALSE,"",IFERROR(IF(INDEX('Flat Rates'!$A$1:$M$3880,MATCH($AM505,'Flat Rates'!$A$1:$A$3880,0),MATCH("Evening and Weekend Rate",'Flat Rates'!$A$1:$M$1,0))=0,"",((INDEX('Flat Rates'!$A$1:$M$3880,MATCH($AM505,'Flat Rates'!$A$1:$A$3880,0),MATCH("Evening and Weekend Rate",'Flat Rates'!$A$1:$M$1,0)))*100)+H505),""))</f>
        <v/>
      </c>
      <c r="AU505" s="152" t="str">
        <f t="shared" si="203"/>
        <v/>
      </c>
      <c r="AV505" s="152" t="str">
        <f t="shared" si="204"/>
        <v/>
      </c>
      <c r="AW505" s="152" t="str">
        <f t="shared" si="205"/>
        <v/>
      </c>
    </row>
    <row r="506" spans="2:49" ht="15" thickBot="1" x14ac:dyDescent="0.35">
      <c r="B506" s="138" t="str">
        <f t="shared" si="182"/>
        <v/>
      </c>
      <c r="C506" s="146"/>
      <c r="D506" s="147"/>
      <c r="E506" s="140"/>
      <c r="F506" s="140"/>
      <c r="G506" s="139"/>
      <c r="H506" s="151"/>
      <c r="I506" s="139"/>
      <c r="J506" s="137"/>
      <c r="K506" s="139"/>
      <c r="L506" s="141"/>
      <c r="M506" s="133" t="str">
        <f t="shared" si="183"/>
        <v/>
      </c>
      <c r="N506" s="133" t="str">
        <f t="shared" si="184"/>
        <v/>
      </c>
      <c r="O506" s="133" t="str">
        <f t="shared" si="185"/>
        <v/>
      </c>
      <c r="P506" s="133" t="str">
        <f t="shared" si="186"/>
        <v/>
      </c>
      <c r="Q506" s="133" t="str">
        <f t="shared" si="187"/>
        <v/>
      </c>
      <c r="R506" s="133" t="str">
        <f t="shared" si="188"/>
        <v/>
      </c>
      <c r="S506" s="133" t="str">
        <f t="shared" si="189"/>
        <v/>
      </c>
      <c r="T506" s="133" t="str">
        <f>IFERROR(IF($U506="ERROR","ERROR",IF($N506="00",IF(J506="1-Rate","HH 1RATE",IF(J506="2-Rate","HH 2RATE","")),IFERROR(VLOOKUP(CONCATENATE(N506,Q506,O506,P506),Lookups!$A$2:$E$4557,5,0),VLOOKUP(CONCATENATE(N506,Q506,O506),Lookups!$A$2:$E$4557,5,0)))),"ERROR")</f>
        <v>ERROR</v>
      </c>
      <c r="U506" s="133" t="str">
        <f>IFERROR(IF(NOT($N506="00"),"",VLOOKUP(CONCATENATE(Q506,P506,LOOKUP(2,1/(Lookups!$I$2:$I$11&lt;=E506)/(Lookups!$J$2:$J$11&gt;=Tool!$C$14),Lookups!$K$2:$K$11)),'HH LLFs'!$A$2:$K$500,3,0)),"ERROR")</f>
        <v/>
      </c>
      <c r="V506" s="132">
        <f>Calcs!$I$2</f>
        <v>44377</v>
      </c>
      <c r="W506" s="132">
        <f>Calcs!$I$4</f>
        <v>44592</v>
      </c>
      <c r="X506" s="153" t="str">
        <f>IF(NOT(N506="00"),"",(VLOOKUP(CONCATENATE(Q506,P506,LOOKUP(2,1/(Lookups!$I$2:$I$11&lt;=Multisite!E506)/(Lookups!$J$2:$J$11&gt;=E506),Lookups!$K$2:$K$11)),'HH LLFs'!$A$2:$F$282,6,0)*365)/12)</f>
        <v/>
      </c>
      <c r="Y506" s="153">
        <f t="shared" si="190"/>
        <v>0</v>
      </c>
      <c r="Z506" s="153" t="str">
        <f t="shared" si="199"/>
        <v/>
      </c>
      <c r="AA506" s="153" t="str">
        <f t="shared" si="191"/>
        <v/>
      </c>
      <c r="AB506" s="153" t="str">
        <f t="shared" si="200"/>
        <v/>
      </c>
      <c r="AC506" s="153" t="str">
        <f t="shared" si="192"/>
        <v/>
      </c>
      <c r="AD506" s="153" t="str">
        <f t="shared" si="193"/>
        <v/>
      </c>
      <c r="AE506" s="153" t="str">
        <f t="shared" si="194"/>
        <v/>
      </c>
      <c r="AF506" s="155" t="e">
        <f>LOOKUP(2,1/(Lookups!$I$2:$I$11&lt;=E506)/(Lookups!$J$2:$J$11&gt;=E506),Lookups!$L$2:$L$11)</f>
        <v>#N/A</v>
      </c>
      <c r="AG506" s="142" t="str">
        <f t="shared" si="195"/>
        <v/>
      </c>
      <c r="AH506" s="142" t="str">
        <f t="shared" si="196"/>
        <v/>
      </c>
      <c r="AI506" s="143" t="b">
        <f t="shared" si="201"/>
        <v>0</v>
      </c>
      <c r="AJ506" s="143" t="str">
        <f t="shared" si="197"/>
        <v>Level 1</v>
      </c>
      <c r="AK506" s="142">
        <f t="shared" si="198"/>
        <v>0</v>
      </c>
      <c r="AL506" s="157" t="str">
        <f t="shared" si="206"/>
        <v/>
      </c>
      <c r="AM506" s="144" t="str">
        <f t="shared" si="207"/>
        <v>--FALSE-0</v>
      </c>
      <c r="AN506" s="158" t="str">
        <f t="shared" si="202"/>
        <v/>
      </c>
      <c r="AO506" s="145"/>
      <c r="AP506" s="159" t="str">
        <f>IF($AN506=FALSE,"",IFERROR(INDEX('Flat Rates'!$A$1:$M$3880,MATCH($AM506,'Flat Rates'!$A$1:$A$3880,0),MATCH("Standing Charge",'Flat Rates'!$A$1:$M$1,0))*100,""))</f>
        <v/>
      </c>
      <c r="AQ506" s="148" t="str">
        <f>IF($AN506=FALSE,"",IFERROR((IF(NOT(T506="Unrestricted"),"",INDEX('Flat Rates'!$A$1:$M$3880,MATCH($AM506,'Flat Rates'!$A$1:$A$3880,0),MATCH("Uni/Day Rate",'Flat Rates'!$A$1:$M$1,0)))*100)+H506,""))</f>
        <v/>
      </c>
      <c r="AR506" s="148" t="str">
        <f>IF($AN506=FALSE,"",IFERROR((IF(T506="Unrestricted","",INDEX('Flat Rates'!$A$1:$M$3880,MATCH($AM506,'Flat Rates'!$A$1:$A$3880,0),MATCH("Uni/Day Rate",'Flat Rates'!$A$1:$M$1,0)))*100)+H506,""))</f>
        <v/>
      </c>
      <c r="AS506" s="148" t="str">
        <f>IF($AN506=FALSE,"",IFERROR(IF(INDEX('Flat Rates'!$A$1:$M$3880,MATCH($AM506,'Flat Rates'!$A$1:$A$3880,0),MATCH("Night Unit Rate",'Flat Rates'!$A$1:$M$1,0))=0,"",((INDEX('Flat Rates'!$A$1:$M$3880,MATCH($AM506,'Flat Rates'!$A$1:$A$3880,0),MATCH("Night Unit Rate",'Flat Rates'!$A$1:$M$1,0)))*100)+H506),""))</f>
        <v/>
      </c>
      <c r="AT506" s="148" t="str">
        <f>IF($AN506=FALSE,"",IFERROR(IF(INDEX('Flat Rates'!$A$1:$M$3880,MATCH($AM506,'Flat Rates'!$A$1:$A$3880,0),MATCH("Evening and Weekend Rate",'Flat Rates'!$A$1:$M$1,0))=0,"",((INDEX('Flat Rates'!$A$1:$M$3880,MATCH($AM506,'Flat Rates'!$A$1:$A$3880,0),MATCH("Evening and Weekend Rate",'Flat Rates'!$A$1:$M$1,0)))*100)+H506),""))</f>
        <v/>
      </c>
      <c r="AU506" s="152" t="str">
        <f t="shared" si="203"/>
        <v/>
      </c>
      <c r="AV506" s="152" t="str">
        <f t="shared" si="204"/>
        <v/>
      </c>
      <c r="AW506" s="152" t="str">
        <f t="shared" si="205"/>
        <v/>
      </c>
    </row>
    <row r="507" spans="2:49" ht="15" thickBot="1" x14ac:dyDescent="0.35">
      <c r="B507" s="138" t="str">
        <f t="shared" si="182"/>
        <v/>
      </c>
      <c r="C507" s="137"/>
      <c r="D507" s="139"/>
      <c r="E507" s="140"/>
      <c r="F507" s="140"/>
      <c r="G507" s="139"/>
      <c r="H507" s="151"/>
      <c r="I507" s="139"/>
      <c r="J507" s="138"/>
      <c r="K507" s="139"/>
      <c r="L507" s="141"/>
      <c r="M507" s="133" t="str">
        <f t="shared" si="183"/>
        <v/>
      </c>
      <c r="N507" s="133" t="str">
        <f t="shared" si="184"/>
        <v/>
      </c>
      <c r="O507" s="133" t="str">
        <f t="shared" si="185"/>
        <v/>
      </c>
      <c r="P507" s="133" t="str">
        <f t="shared" si="186"/>
        <v/>
      </c>
      <c r="Q507" s="133" t="str">
        <f t="shared" si="187"/>
        <v/>
      </c>
      <c r="R507" s="133" t="str">
        <f t="shared" si="188"/>
        <v/>
      </c>
      <c r="S507" s="133" t="str">
        <f t="shared" si="189"/>
        <v/>
      </c>
      <c r="T507" s="133" t="str">
        <f>IFERROR(IF($U507="ERROR","ERROR",IF($N507="00",IF(J507="1-Rate","HH 1RATE",IF(J507="2-Rate","HH 2RATE","")),IFERROR(VLOOKUP(CONCATENATE(N507,Q507,O507,P507),Lookups!$A$2:$E$4557,5,0),VLOOKUP(CONCATENATE(N507,Q507,O507),Lookups!$A$2:$E$4557,5,0)))),"ERROR")</f>
        <v>ERROR</v>
      </c>
      <c r="U507" s="133" t="str">
        <f>IFERROR(IF(NOT($N507="00"),"",VLOOKUP(CONCATENATE(Q507,P507,LOOKUP(2,1/(Lookups!$I$2:$I$11&lt;=E507)/(Lookups!$J$2:$J$11&gt;=Tool!$C$14),Lookups!$K$2:$K$11)),'HH LLFs'!$A$2:$K$500,3,0)),"ERROR")</f>
        <v/>
      </c>
      <c r="V507" s="132">
        <f>Calcs!$I$2</f>
        <v>44377</v>
      </c>
      <c r="W507" s="132">
        <f>Calcs!$I$4</f>
        <v>44592</v>
      </c>
      <c r="X507" s="153" t="str">
        <f>IF(NOT(N507="00"),"",(VLOOKUP(CONCATENATE(Q507,P507,LOOKUP(2,1/(Lookups!$I$2:$I$11&lt;=Multisite!E507)/(Lookups!$J$2:$J$11&gt;=E507),Lookups!$K$2:$K$11)),'HH LLFs'!$A$2:$F$282,6,0)*365)/12)</f>
        <v/>
      </c>
      <c r="Y507" s="153">
        <f t="shared" si="190"/>
        <v>0</v>
      </c>
      <c r="Z507" s="153" t="str">
        <f t="shared" si="199"/>
        <v/>
      </c>
      <c r="AA507" s="153" t="str">
        <f t="shared" si="191"/>
        <v/>
      </c>
      <c r="AB507" s="153" t="str">
        <f t="shared" si="200"/>
        <v/>
      </c>
      <c r="AC507" s="153" t="str">
        <f t="shared" si="192"/>
        <v/>
      </c>
      <c r="AD507" s="153" t="str">
        <f t="shared" si="193"/>
        <v/>
      </c>
      <c r="AE507" s="153" t="str">
        <f t="shared" si="194"/>
        <v/>
      </c>
      <c r="AF507" s="155" t="e">
        <f>LOOKUP(2,1/(Lookups!$I$2:$I$11&lt;=E507)/(Lookups!$J$2:$J$11&gt;=E507),Lookups!$L$2:$L$11)</f>
        <v>#N/A</v>
      </c>
      <c r="AG507" s="142" t="str">
        <f t="shared" si="195"/>
        <v/>
      </c>
      <c r="AH507" s="142" t="str">
        <f t="shared" si="196"/>
        <v/>
      </c>
      <c r="AI507" s="143" t="b">
        <f t="shared" si="201"/>
        <v>0</v>
      </c>
      <c r="AJ507" s="143" t="str">
        <f t="shared" si="197"/>
        <v>Level 1</v>
      </c>
      <c r="AK507" s="142">
        <f t="shared" si="198"/>
        <v>0</v>
      </c>
      <c r="AL507" s="157" t="str">
        <f t="shared" si="206"/>
        <v/>
      </c>
      <c r="AM507" s="144" t="str">
        <f t="shared" si="207"/>
        <v>--FALSE-0</v>
      </c>
      <c r="AN507" s="158" t="str">
        <f t="shared" si="202"/>
        <v/>
      </c>
      <c r="AO507" s="145"/>
      <c r="AP507" s="159" t="str">
        <f>IF($AN507=FALSE,"",IFERROR(INDEX('Flat Rates'!$A$1:$M$3880,MATCH($AM507,'Flat Rates'!$A$1:$A$3880,0),MATCH("Standing Charge",'Flat Rates'!$A$1:$M$1,0))*100,""))</f>
        <v/>
      </c>
      <c r="AQ507" s="148" t="str">
        <f>IF($AN507=FALSE,"",IFERROR((IF(NOT(T507="Unrestricted"),"",INDEX('Flat Rates'!$A$1:$M$3880,MATCH($AM507,'Flat Rates'!$A$1:$A$3880,0),MATCH("Uni/Day Rate",'Flat Rates'!$A$1:$M$1,0)))*100)+H507,""))</f>
        <v/>
      </c>
      <c r="AR507" s="148" t="str">
        <f>IF($AN507=FALSE,"",IFERROR((IF(T507="Unrestricted","",INDEX('Flat Rates'!$A$1:$M$3880,MATCH($AM507,'Flat Rates'!$A$1:$A$3880,0),MATCH("Uni/Day Rate",'Flat Rates'!$A$1:$M$1,0)))*100)+H507,""))</f>
        <v/>
      </c>
      <c r="AS507" s="148" t="str">
        <f>IF($AN507=FALSE,"",IFERROR(IF(INDEX('Flat Rates'!$A$1:$M$3880,MATCH($AM507,'Flat Rates'!$A$1:$A$3880,0),MATCH("Night Unit Rate",'Flat Rates'!$A$1:$M$1,0))=0,"",((INDEX('Flat Rates'!$A$1:$M$3880,MATCH($AM507,'Flat Rates'!$A$1:$A$3880,0),MATCH("Night Unit Rate",'Flat Rates'!$A$1:$M$1,0)))*100)+H507),""))</f>
        <v/>
      </c>
      <c r="AT507" s="148" t="str">
        <f>IF($AN507=FALSE,"",IFERROR(IF(INDEX('Flat Rates'!$A$1:$M$3880,MATCH($AM507,'Flat Rates'!$A$1:$A$3880,0),MATCH("Evening and Weekend Rate",'Flat Rates'!$A$1:$M$1,0))=0,"",((INDEX('Flat Rates'!$A$1:$M$3880,MATCH($AM507,'Flat Rates'!$A$1:$A$3880,0),MATCH("Evening and Weekend Rate",'Flat Rates'!$A$1:$M$1,0)))*100)+H507),""))</f>
        <v/>
      </c>
      <c r="AU507" s="152" t="str">
        <f t="shared" si="203"/>
        <v/>
      </c>
      <c r="AV507" s="152" t="str">
        <f t="shared" si="204"/>
        <v/>
      </c>
      <c r="AW507" s="152" t="str">
        <f t="shared" si="205"/>
        <v/>
      </c>
    </row>
    <row r="508" spans="2:49" ht="15" thickBot="1" x14ac:dyDescent="0.35">
      <c r="B508" s="138" t="str">
        <f t="shared" si="182"/>
        <v/>
      </c>
      <c r="C508" s="146"/>
      <c r="D508" s="147"/>
      <c r="E508" s="140"/>
      <c r="F508" s="140"/>
      <c r="G508" s="139"/>
      <c r="H508" s="151"/>
      <c r="I508" s="139"/>
      <c r="J508" s="137"/>
      <c r="K508" s="139"/>
      <c r="L508" s="141"/>
      <c r="M508" s="133" t="str">
        <f t="shared" si="183"/>
        <v/>
      </c>
      <c r="N508" s="133" t="str">
        <f t="shared" si="184"/>
        <v/>
      </c>
      <c r="O508" s="133" t="str">
        <f t="shared" si="185"/>
        <v/>
      </c>
      <c r="P508" s="133" t="str">
        <f t="shared" si="186"/>
        <v/>
      </c>
      <c r="Q508" s="133" t="str">
        <f t="shared" si="187"/>
        <v/>
      </c>
      <c r="R508" s="133" t="str">
        <f t="shared" si="188"/>
        <v/>
      </c>
      <c r="S508" s="133" t="str">
        <f t="shared" si="189"/>
        <v/>
      </c>
      <c r="T508" s="133" t="str">
        <f>IFERROR(IF($U508="ERROR","ERROR",IF($N508="00",IF(J508="1-Rate","HH 1RATE",IF(J508="2-Rate","HH 2RATE","")),IFERROR(VLOOKUP(CONCATENATE(N508,Q508,O508,P508),Lookups!$A$2:$E$4557,5,0),VLOOKUP(CONCATENATE(N508,Q508,O508),Lookups!$A$2:$E$4557,5,0)))),"ERROR")</f>
        <v>ERROR</v>
      </c>
      <c r="U508" s="133" t="str">
        <f>IFERROR(IF(NOT($N508="00"),"",VLOOKUP(CONCATENATE(Q508,P508,LOOKUP(2,1/(Lookups!$I$2:$I$11&lt;=E508)/(Lookups!$J$2:$J$11&gt;=Tool!$C$14),Lookups!$K$2:$K$11)),'HH LLFs'!$A$2:$K$500,3,0)),"ERROR")</f>
        <v/>
      </c>
      <c r="V508" s="132">
        <f>Calcs!$I$2</f>
        <v>44377</v>
      </c>
      <c r="W508" s="132">
        <f>Calcs!$I$4</f>
        <v>44592</v>
      </c>
      <c r="X508" s="153" t="str">
        <f>IF(NOT(N508="00"),"",(VLOOKUP(CONCATENATE(Q508,P508,LOOKUP(2,1/(Lookups!$I$2:$I$11&lt;=Multisite!E508)/(Lookups!$J$2:$J$11&gt;=E508),Lookups!$K$2:$K$11)),'HH LLFs'!$A$2:$F$282,6,0)*365)/12)</f>
        <v/>
      </c>
      <c r="Y508" s="153">
        <f t="shared" si="190"/>
        <v>0</v>
      </c>
      <c r="Z508" s="153" t="str">
        <f t="shared" si="199"/>
        <v/>
      </c>
      <c r="AA508" s="153" t="str">
        <f t="shared" si="191"/>
        <v/>
      </c>
      <c r="AB508" s="153" t="str">
        <f t="shared" si="200"/>
        <v/>
      </c>
      <c r="AC508" s="153" t="str">
        <f t="shared" si="192"/>
        <v/>
      </c>
      <c r="AD508" s="153" t="str">
        <f t="shared" si="193"/>
        <v/>
      </c>
      <c r="AE508" s="153" t="str">
        <f t="shared" si="194"/>
        <v/>
      </c>
      <c r="AF508" s="155" t="e">
        <f>LOOKUP(2,1/(Lookups!$I$2:$I$11&lt;=E508)/(Lookups!$J$2:$J$11&gt;=E508),Lookups!$L$2:$L$11)</f>
        <v>#N/A</v>
      </c>
      <c r="AG508" s="142" t="str">
        <f t="shared" si="195"/>
        <v/>
      </c>
      <c r="AH508" s="142" t="str">
        <f t="shared" si="196"/>
        <v/>
      </c>
      <c r="AI508" s="143" t="b">
        <f t="shared" si="201"/>
        <v>0</v>
      </c>
      <c r="AJ508" s="143" t="str">
        <f t="shared" si="197"/>
        <v>Level 1</v>
      </c>
      <c r="AK508" s="142">
        <f t="shared" si="198"/>
        <v>0</v>
      </c>
      <c r="AL508" s="157" t="str">
        <f t="shared" si="206"/>
        <v/>
      </c>
      <c r="AM508" s="144" t="str">
        <f t="shared" si="207"/>
        <v>--FALSE-0</v>
      </c>
      <c r="AN508" s="158" t="str">
        <f t="shared" si="202"/>
        <v/>
      </c>
      <c r="AO508" s="145"/>
      <c r="AP508" s="159" t="str">
        <f>IF($AN508=FALSE,"",IFERROR(INDEX('Flat Rates'!$A$1:$M$3880,MATCH($AM508,'Flat Rates'!$A$1:$A$3880,0),MATCH("Standing Charge",'Flat Rates'!$A$1:$M$1,0))*100,""))</f>
        <v/>
      </c>
      <c r="AQ508" s="148" t="str">
        <f>IF($AN508=FALSE,"",IFERROR((IF(NOT(T508="Unrestricted"),"",INDEX('Flat Rates'!$A$1:$M$3880,MATCH($AM508,'Flat Rates'!$A$1:$A$3880,0),MATCH("Uni/Day Rate",'Flat Rates'!$A$1:$M$1,0)))*100)+H508,""))</f>
        <v/>
      </c>
      <c r="AR508" s="148" t="str">
        <f>IF($AN508=FALSE,"",IFERROR((IF(T508="Unrestricted","",INDEX('Flat Rates'!$A$1:$M$3880,MATCH($AM508,'Flat Rates'!$A$1:$A$3880,0),MATCH("Uni/Day Rate",'Flat Rates'!$A$1:$M$1,0)))*100)+H508,""))</f>
        <v/>
      </c>
      <c r="AS508" s="148" t="str">
        <f>IF($AN508=FALSE,"",IFERROR(IF(INDEX('Flat Rates'!$A$1:$M$3880,MATCH($AM508,'Flat Rates'!$A$1:$A$3880,0),MATCH("Night Unit Rate",'Flat Rates'!$A$1:$M$1,0))=0,"",((INDEX('Flat Rates'!$A$1:$M$3880,MATCH($AM508,'Flat Rates'!$A$1:$A$3880,0),MATCH("Night Unit Rate",'Flat Rates'!$A$1:$M$1,0)))*100)+H508),""))</f>
        <v/>
      </c>
      <c r="AT508" s="148" t="str">
        <f>IF($AN508=FALSE,"",IFERROR(IF(INDEX('Flat Rates'!$A$1:$M$3880,MATCH($AM508,'Flat Rates'!$A$1:$A$3880,0),MATCH("Evening and Weekend Rate",'Flat Rates'!$A$1:$M$1,0))=0,"",((INDEX('Flat Rates'!$A$1:$M$3880,MATCH($AM508,'Flat Rates'!$A$1:$A$3880,0),MATCH("Evening and Weekend Rate",'Flat Rates'!$A$1:$M$1,0)))*100)+H508),""))</f>
        <v/>
      </c>
      <c r="AU508" s="152" t="str">
        <f t="shared" si="203"/>
        <v/>
      </c>
      <c r="AV508" s="152" t="str">
        <f t="shared" si="204"/>
        <v/>
      </c>
      <c r="AW508" s="152" t="str">
        <f t="shared" si="205"/>
        <v/>
      </c>
    </row>
    <row r="509" spans="2:49" ht="15" thickBot="1" x14ac:dyDescent="0.35">
      <c r="B509" s="138" t="str">
        <f t="shared" si="182"/>
        <v/>
      </c>
      <c r="C509" s="137"/>
      <c r="D509" s="139"/>
      <c r="E509" s="140"/>
      <c r="F509" s="140"/>
      <c r="G509" s="139"/>
      <c r="H509" s="151"/>
      <c r="I509" s="139"/>
      <c r="J509" s="138"/>
      <c r="K509" s="139"/>
      <c r="L509" s="141"/>
      <c r="M509" s="133" t="str">
        <f t="shared" si="183"/>
        <v/>
      </c>
      <c r="N509" s="133" t="str">
        <f t="shared" si="184"/>
        <v/>
      </c>
      <c r="O509" s="133" t="str">
        <f t="shared" si="185"/>
        <v/>
      </c>
      <c r="P509" s="133" t="str">
        <f t="shared" si="186"/>
        <v/>
      </c>
      <c r="Q509" s="133" t="str">
        <f t="shared" si="187"/>
        <v/>
      </c>
      <c r="R509" s="133" t="str">
        <f t="shared" si="188"/>
        <v/>
      </c>
      <c r="S509" s="133" t="str">
        <f t="shared" si="189"/>
        <v/>
      </c>
      <c r="T509" s="133" t="str">
        <f>IFERROR(IF($U509="ERROR","ERROR",IF($N509="00",IF(J509="1-Rate","HH 1RATE",IF(J509="2-Rate","HH 2RATE","")),IFERROR(VLOOKUP(CONCATENATE(N509,Q509,O509,P509),Lookups!$A$2:$E$4557,5,0),VLOOKUP(CONCATENATE(N509,Q509,O509),Lookups!$A$2:$E$4557,5,0)))),"ERROR")</f>
        <v>ERROR</v>
      </c>
      <c r="U509" s="133" t="str">
        <f>IFERROR(IF(NOT($N509="00"),"",VLOOKUP(CONCATENATE(Q509,P509,LOOKUP(2,1/(Lookups!$I$2:$I$11&lt;=E509)/(Lookups!$J$2:$J$11&gt;=Tool!$C$14),Lookups!$K$2:$K$11)),'HH LLFs'!$A$2:$K$500,3,0)),"ERROR")</f>
        <v/>
      </c>
      <c r="V509" s="132">
        <f>Calcs!$I$2</f>
        <v>44377</v>
      </c>
      <c r="W509" s="132">
        <f>Calcs!$I$4</f>
        <v>44592</v>
      </c>
      <c r="X509" s="153" t="str">
        <f>IF(NOT(N509="00"),"",(VLOOKUP(CONCATENATE(Q509,P509,LOOKUP(2,1/(Lookups!$I$2:$I$11&lt;=Multisite!E509)/(Lookups!$J$2:$J$11&gt;=E509),Lookups!$K$2:$K$11)),'HH LLFs'!$A$2:$F$282,6,0)*365)/12)</f>
        <v/>
      </c>
      <c r="Y509" s="153">
        <f t="shared" si="190"/>
        <v>0</v>
      </c>
      <c r="Z509" s="153" t="str">
        <f t="shared" si="199"/>
        <v/>
      </c>
      <c r="AA509" s="153" t="str">
        <f t="shared" si="191"/>
        <v/>
      </c>
      <c r="AB509" s="153" t="str">
        <f t="shared" si="200"/>
        <v/>
      </c>
      <c r="AC509" s="153" t="str">
        <f t="shared" si="192"/>
        <v/>
      </c>
      <c r="AD509" s="153" t="str">
        <f t="shared" si="193"/>
        <v/>
      </c>
      <c r="AE509" s="153" t="str">
        <f t="shared" si="194"/>
        <v/>
      </c>
      <c r="AF509" s="155" t="e">
        <f>LOOKUP(2,1/(Lookups!$I$2:$I$11&lt;=E509)/(Lookups!$J$2:$J$11&gt;=E509),Lookups!$L$2:$L$11)</f>
        <v>#N/A</v>
      </c>
      <c r="AG509" s="142" t="str">
        <f t="shared" si="195"/>
        <v/>
      </c>
      <c r="AH509" s="142" t="str">
        <f t="shared" si="196"/>
        <v/>
      </c>
      <c r="AI509" s="143" t="b">
        <f t="shared" si="201"/>
        <v>0</v>
      </c>
      <c r="AJ509" s="143" t="str">
        <f t="shared" si="197"/>
        <v>Level 1</v>
      </c>
      <c r="AK509" s="142">
        <f t="shared" si="198"/>
        <v>0</v>
      </c>
      <c r="AL509" s="157" t="str">
        <f t="shared" si="206"/>
        <v/>
      </c>
      <c r="AM509" s="144" t="str">
        <f t="shared" si="207"/>
        <v>--FALSE-0</v>
      </c>
      <c r="AN509" s="158" t="str">
        <f t="shared" si="202"/>
        <v/>
      </c>
      <c r="AO509" s="145"/>
      <c r="AP509" s="159" t="str">
        <f>IF($AN509=FALSE,"",IFERROR(INDEX('Flat Rates'!$A$1:$M$3880,MATCH($AM509,'Flat Rates'!$A$1:$A$3880,0),MATCH("Standing Charge",'Flat Rates'!$A$1:$M$1,0))*100,""))</f>
        <v/>
      </c>
      <c r="AQ509" s="148" t="str">
        <f>IF($AN509=FALSE,"",IFERROR((IF(NOT(T509="Unrestricted"),"",INDEX('Flat Rates'!$A$1:$M$3880,MATCH($AM509,'Flat Rates'!$A$1:$A$3880,0),MATCH("Uni/Day Rate",'Flat Rates'!$A$1:$M$1,0)))*100)+H509,""))</f>
        <v/>
      </c>
      <c r="AR509" s="148" t="str">
        <f>IF($AN509=FALSE,"",IFERROR((IF(T509="Unrestricted","",INDEX('Flat Rates'!$A$1:$M$3880,MATCH($AM509,'Flat Rates'!$A$1:$A$3880,0),MATCH("Uni/Day Rate",'Flat Rates'!$A$1:$M$1,0)))*100)+H509,""))</f>
        <v/>
      </c>
      <c r="AS509" s="148" t="str">
        <f>IF($AN509=FALSE,"",IFERROR(IF(INDEX('Flat Rates'!$A$1:$M$3880,MATCH($AM509,'Flat Rates'!$A$1:$A$3880,0),MATCH("Night Unit Rate",'Flat Rates'!$A$1:$M$1,0))=0,"",((INDEX('Flat Rates'!$A$1:$M$3880,MATCH($AM509,'Flat Rates'!$A$1:$A$3880,0),MATCH("Night Unit Rate",'Flat Rates'!$A$1:$M$1,0)))*100)+H509),""))</f>
        <v/>
      </c>
      <c r="AT509" s="148" t="str">
        <f>IF($AN509=FALSE,"",IFERROR(IF(INDEX('Flat Rates'!$A$1:$M$3880,MATCH($AM509,'Flat Rates'!$A$1:$A$3880,0),MATCH("Evening and Weekend Rate",'Flat Rates'!$A$1:$M$1,0))=0,"",((INDEX('Flat Rates'!$A$1:$M$3880,MATCH($AM509,'Flat Rates'!$A$1:$A$3880,0),MATCH("Evening and Weekend Rate",'Flat Rates'!$A$1:$M$1,0)))*100)+H509),""))</f>
        <v/>
      </c>
      <c r="AU509" s="152" t="str">
        <f t="shared" si="203"/>
        <v/>
      </c>
      <c r="AV509" s="152" t="str">
        <f t="shared" si="204"/>
        <v/>
      </c>
      <c r="AW509" s="152" t="str">
        <f t="shared" si="205"/>
        <v/>
      </c>
    </row>
    <row r="510" spans="2:49" ht="15" thickBot="1" x14ac:dyDescent="0.35">
      <c r="B510" s="138" t="str">
        <f t="shared" si="182"/>
        <v/>
      </c>
      <c r="C510" s="146"/>
      <c r="D510" s="147"/>
      <c r="E510" s="140"/>
      <c r="F510" s="140"/>
      <c r="G510" s="139"/>
      <c r="H510" s="151"/>
      <c r="I510" s="139"/>
      <c r="J510" s="137"/>
      <c r="K510" s="139"/>
      <c r="L510" s="141"/>
      <c r="M510" s="133" t="str">
        <f t="shared" si="183"/>
        <v/>
      </c>
      <c r="N510" s="133" t="str">
        <f t="shared" si="184"/>
        <v/>
      </c>
      <c r="O510" s="133" t="str">
        <f t="shared" si="185"/>
        <v/>
      </c>
      <c r="P510" s="133" t="str">
        <f t="shared" si="186"/>
        <v/>
      </c>
      <c r="Q510" s="133" t="str">
        <f t="shared" si="187"/>
        <v/>
      </c>
      <c r="R510" s="133" t="str">
        <f t="shared" si="188"/>
        <v/>
      </c>
      <c r="S510" s="133" t="str">
        <f t="shared" si="189"/>
        <v/>
      </c>
      <c r="T510" s="133" t="str">
        <f>IFERROR(IF($U510="ERROR","ERROR",IF($N510="00",IF(J510="1-Rate","HH 1RATE",IF(J510="2-Rate","HH 2RATE","")),IFERROR(VLOOKUP(CONCATENATE(N510,Q510,O510,P510),Lookups!$A$2:$E$4557,5,0),VLOOKUP(CONCATENATE(N510,Q510,O510),Lookups!$A$2:$E$4557,5,0)))),"ERROR")</f>
        <v>ERROR</v>
      </c>
      <c r="U510" s="133" t="str">
        <f>IFERROR(IF(NOT($N510="00"),"",VLOOKUP(CONCATENATE(Q510,P510,LOOKUP(2,1/(Lookups!$I$2:$I$11&lt;=E510)/(Lookups!$J$2:$J$11&gt;=Tool!$C$14),Lookups!$K$2:$K$11)),'HH LLFs'!$A$2:$K$500,3,0)),"ERROR")</f>
        <v/>
      </c>
      <c r="V510" s="132">
        <f>Calcs!$I$2</f>
        <v>44377</v>
      </c>
      <c r="W510" s="132">
        <f>Calcs!$I$4</f>
        <v>44592</v>
      </c>
      <c r="X510" s="153" t="str">
        <f>IF(NOT(N510="00"),"",(VLOOKUP(CONCATENATE(Q510,P510,LOOKUP(2,1/(Lookups!$I$2:$I$11&lt;=Multisite!E510)/(Lookups!$J$2:$J$11&gt;=E510),Lookups!$K$2:$K$11)),'HH LLFs'!$A$2:$F$282,6,0)*365)/12)</f>
        <v/>
      </c>
      <c r="Y510" s="153">
        <f t="shared" si="190"/>
        <v>0</v>
      </c>
      <c r="Z510" s="153" t="str">
        <f t="shared" si="199"/>
        <v/>
      </c>
      <c r="AA510" s="153" t="str">
        <f t="shared" si="191"/>
        <v/>
      </c>
      <c r="AB510" s="153" t="str">
        <f t="shared" si="200"/>
        <v/>
      </c>
      <c r="AC510" s="153" t="str">
        <f t="shared" si="192"/>
        <v/>
      </c>
      <c r="AD510" s="153" t="str">
        <f t="shared" si="193"/>
        <v/>
      </c>
      <c r="AE510" s="153" t="str">
        <f t="shared" si="194"/>
        <v/>
      </c>
      <c r="AF510" s="155" t="e">
        <f>LOOKUP(2,1/(Lookups!$I$2:$I$11&lt;=E510)/(Lookups!$J$2:$J$11&gt;=E510),Lookups!$L$2:$L$11)</f>
        <v>#N/A</v>
      </c>
      <c r="AG510" s="142" t="str">
        <f t="shared" si="195"/>
        <v/>
      </c>
      <c r="AH510" s="142" t="str">
        <f t="shared" si="196"/>
        <v/>
      </c>
      <c r="AI510" s="143" t="b">
        <f t="shared" si="201"/>
        <v>0</v>
      </c>
      <c r="AJ510" s="143" t="str">
        <f t="shared" si="197"/>
        <v>Level 1</v>
      </c>
      <c r="AK510" s="142">
        <f t="shared" si="198"/>
        <v>0</v>
      </c>
      <c r="AL510" s="157" t="str">
        <f t="shared" si="206"/>
        <v/>
      </c>
      <c r="AM510" s="144" t="str">
        <f t="shared" si="207"/>
        <v>--FALSE-0</v>
      </c>
      <c r="AN510" s="158" t="str">
        <f t="shared" si="202"/>
        <v/>
      </c>
      <c r="AO510" s="145"/>
      <c r="AP510" s="159" t="str">
        <f>IF($AN510=FALSE,"",IFERROR(INDEX('Flat Rates'!$A$1:$M$3880,MATCH($AM510,'Flat Rates'!$A$1:$A$3880,0),MATCH("Standing Charge",'Flat Rates'!$A$1:$M$1,0))*100,""))</f>
        <v/>
      </c>
      <c r="AQ510" s="148" t="str">
        <f>IF($AN510=FALSE,"",IFERROR((IF(NOT(T510="Unrestricted"),"",INDEX('Flat Rates'!$A$1:$M$3880,MATCH($AM510,'Flat Rates'!$A$1:$A$3880,0),MATCH("Uni/Day Rate",'Flat Rates'!$A$1:$M$1,0)))*100)+H510,""))</f>
        <v/>
      </c>
      <c r="AR510" s="148" t="str">
        <f>IF($AN510=FALSE,"",IFERROR((IF(T510="Unrestricted","",INDEX('Flat Rates'!$A$1:$M$3880,MATCH($AM510,'Flat Rates'!$A$1:$A$3880,0),MATCH("Uni/Day Rate",'Flat Rates'!$A$1:$M$1,0)))*100)+H510,""))</f>
        <v/>
      </c>
      <c r="AS510" s="148" t="str">
        <f>IF($AN510=FALSE,"",IFERROR(IF(INDEX('Flat Rates'!$A$1:$M$3880,MATCH($AM510,'Flat Rates'!$A$1:$A$3880,0),MATCH("Night Unit Rate",'Flat Rates'!$A$1:$M$1,0))=0,"",((INDEX('Flat Rates'!$A$1:$M$3880,MATCH($AM510,'Flat Rates'!$A$1:$A$3880,0),MATCH("Night Unit Rate",'Flat Rates'!$A$1:$M$1,0)))*100)+H510),""))</f>
        <v/>
      </c>
      <c r="AT510" s="148" t="str">
        <f>IF($AN510=FALSE,"",IFERROR(IF(INDEX('Flat Rates'!$A$1:$M$3880,MATCH($AM510,'Flat Rates'!$A$1:$A$3880,0),MATCH("Evening and Weekend Rate",'Flat Rates'!$A$1:$M$1,0))=0,"",((INDEX('Flat Rates'!$A$1:$M$3880,MATCH($AM510,'Flat Rates'!$A$1:$A$3880,0),MATCH("Evening and Weekend Rate",'Flat Rates'!$A$1:$M$1,0)))*100)+H510),""))</f>
        <v/>
      </c>
      <c r="AU510" s="152" t="str">
        <f t="shared" si="203"/>
        <v/>
      </c>
      <c r="AV510" s="152" t="str">
        <f t="shared" si="204"/>
        <v/>
      </c>
      <c r="AW510" s="152" t="str">
        <f t="shared" si="205"/>
        <v/>
      </c>
    </row>
    <row r="511" spans="2:49" ht="15" thickBot="1" x14ac:dyDescent="0.35">
      <c r="B511" s="138" t="str">
        <f t="shared" si="182"/>
        <v/>
      </c>
      <c r="C511" s="137"/>
      <c r="D511" s="139"/>
      <c r="E511" s="140"/>
      <c r="F511" s="140"/>
      <c r="G511" s="139"/>
      <c r="H511" s="151"/>
      <c r="I511" s="139"/>
      <c r="J511" s="138"/>
      <c r="K511" s="139"/>
      <c r="L511" s="141"/>
      <c r="M511" s="133" t="str">
        <f t="shared" si="183"/>
        <v/>
      </c>
      <c r="N511" s="133" t="str">
        <f t="shared" si="184"/>
        <v/>
      </c>
      <c r="O511" s="133" t="str">
        <f t="shared" si="185"/>
        <v/>
      </c>
      <c r="P511" s="133" t="str">
        <f t="shared" si="186"/>
        <v/>
      </c>
      <c r="Q511" s="133" t="str">
        <f t="shared" si="187"/>
        <v/>
      </c>
      <c r="R511" s="133" t="str">
        <f t="shared" si="188"/>
        <v/>
      </c>
      <c r="S511" s="133" t="str">
        <f t="shared" si="189"/>
        <v/>
      </c>
      <c r="T511" s="133" t="str">
        <f>IFERROR(IF($U511="ERROR","ERROR",IF($N511="00",IF(J511="1-Rate","HH 1RATE",IF(J511="2-Rate","HH 2RATE","")),IFERROR(VLOOKUP(CONCATENATE(N511,Q511,O511,P511),Lookups!$A$2:$E$4557,5,0),VLOOKUP(CONCATENATE(N511,Q511,O511),Lookups!$A$2:$E$4557,5,0)))),"ERROR")</f>
        <v>ERROR</v>
      </c>
      <c r="U511" s="133" t="str">
        <f>IFERROR(IF(NOT($N511="00"),"",VLOOKUP(CONCATENATE(Q511,P511,LOOKUP(2,1/(Lookups!$I$2:$I$11&lt;=E511)/(Lookups!$J$2:$J$11&gt;=Tool!$C$14),Lookups!$K$2:$K$11)),'HH LLFs'!$A$2:$K$500,3,0)),"ERROR")</f>
        <v/>
      </c>
      <c r="V511" s="132">
        <f>Calcs!$I$2</f>
        <v>44377</v>
      </c>
      <c r="W511" s="132">
        <f>Calcs!$I$4</f>
        <v>44592</v>
      </c>
      <c r="X511" s="153" t="str">
        <f>IF(NOT(N511="00"),"",(VLOOKUP(CONCATENATE(Q511,P511,LOOKUP(2,1/(Lookups!$I$2:$I$11&lt;=Multisite!E511)/(Lookups!$J$2:$J$11&gt;=E511),Lookups!$K$2:$K$11)),'HH LLFs'!$A$2:$F$282,6,0)*365)/12)</f>
        <v/>
      </c>
      <c r="Y511" s="153">
        <f t="shared" si="190"/>
        <v>0</v>
      </c>
      <c r="Z511" s="153" t="str">
        <f t="shared" si="199"/>
        <v/>
      </c>
      <c r="AA511" s="153" t="str">
        <f t="shared" si="191"/>
        <v/>
      </c>
      <c r="AB511" s="153" t="str">
        <f t="shared" si="200"/>
        <v/>
      </c>
      <c r="AC511" s="153" t="str">
        <f t="shared" si="192"/>
        <v/>
      </c>
      <c r="AD511" s="153" t="str">
        <f t="shared" si="193"/>
        <v/>
      </c>
      <c r="AE511" s="153" t="str">
        <f t="shared" si="194"/>
        <v/>
      </c>
      <c r="AF511" s="155" t="e">
        <f>LOOKUP(2,1/(Lookups!$I$2:$I$11&lt;=E511)/(Lookups!$J$2:$J$11&gt;=E511),Lookups!$L$2:$L$11)</f>
        <v>#N/A</v>
      </c>
      <c r="AG511" s="142" t="str">
        <f t="shared" si="195"/>
        <v/>
      </c>
      <c r="AH511" s="142" t="str">
        <f t="shared" si="196"/>
        <v/>
      </c>
      <c r="AI511" s="143" t="b">
        <f t="shared" si="201"/>
        <v>0</v>
      </c>
      <c r="AJ511" s="143" t="str">
        <f t="shared" si="197"/>
        <v>Level 1</v>
      </c>
      <c r="AK511" s="142">
        <f t="shared" si="198"/>
        <v>0</v>
      </c>
      <c r="AL511" s="157" t="str">
        <f t="shared" si="206"/>
        <v/>
      </c>
      <c r="AM511" s="144" t="str">
        <f t="shared" si="207"/>
        <v>--FALSE-0</v>
      </c>
      <c r="AN511" s="158" t="str">
        <f t="shared" si="202"/>
        <v/>
      </c>
      <c r="AO511" s="145"/>
      <c r="AP511" s="159" t="str">
        <f>IF($AN511=FALSE,"",IFERROR(INDEX('Flat Rates'!$A$1:$M$3880,MATCH($AM511,'Flat Rates'!$A$1:$A$3880,0),MATCH("Standing Charge",'Flat Rates'!$A$1:$M$1,0))*100,""))</f>
        <v/>
      </c>
      <c r="AQ511" s="148" t="str">
        <f>IF($AN511=FALSE,"",IFERROR((IF(NOT(T511="Unrestricted"),"",INDEX('Flat Rates'!$A$1:$M$3880,MATCH($AM511,'Flat Rates'!$A$1:$A$3880,0),MATCH("Uni/Day Rate",'Flat Rates'!$A$1:$M$1,0)))*100)+H511,""))</f>
        <v/>
      </c>
      <c r="AR511" s="148" t="str">
        <f>IF($AN511=FALSE,"",IFERROR((IF(T511="Unrestricted","",INDEX('Flat Rates'!$A$1:$M$3880,MATCH($AM511,'Flat Rates'!$A$1:$A$3880,0),MATCH("Uni/Day Rate",'Flat Rates'!$A$1:$M$1,0)))*100)+H511,""))</f>
        <v/>
      </c>
      <c r="AS511" s="148" t="str">
        <f>IF($AN511=FALSE,"",IFERROR(IF(INDEX('Flat Rates'!$A$1:$M$3880,MATCH($AM511,'Flat Rates'!$A$1:$A$3880,0),MATCH("Night Unit Rate",'Flat Rates'!$A$1:$M$1,0))=0,"",((INDEX('Flat Rates'!$A$1:$M$3880,MATCH($AM511,'Flat Rates'!$A$1:$A$3880,0),MATCH("Night Unit Rate",'Flat Rates'!$A$1:$M$1,0)))*100)+H511),""))</f>
        <v/>
      </c>
      <c r="AT511" s="148" t="str">
        <f>IF($AN511=FALSE,"",IFERROR(IF(INDEX('Flat Rates'!$A$1:$M$3880,MATCH($AM511,'Flat Rates'!$A$1:$A$3880,0),MATCH("Evening and Weekend Rate",'Flat Rates'!$A$1:$M$1,0))=0,"",((INDEX('Flat Rates'!$A$1:$M$3880,MATCH($AM511,'Flat Rates'!$A$1:$A$3880,0),MATCH("Evening and Weekend Rate",'Flat Rates'!$A$1:$M$1,0)))*100)+H511),""))</f>
        <v/>
      </c>
      <c r="AU511" s="152" t="str">
        <f t="shared" si="203"/>
        <v/>
      </c>
      <c r="AV511" s="152" t="str">
        <f t="shared" si="204"/>
        <v/>
      </c>
      <c r="AW511" s="152" t="str">
        <f t="shared" si="205"/>
        <v/>
      </c>
    </row>
    <row r="512" spans="2:49" ht="15" thickBot="1" x14ac:dyDescent="0.35">
      <c r="B512" s="138" t="str">
        <f t="shared" si="182"/>
        <v/>
      </c>
      <c r="C512" s="146"/>
      <c r="D512" s="147"/>
      <c r="E512" s="140"/>
      <c r="F512" s="140"/>
      <c r="G512" s="139"/>
      <c r="H512" s="151"/>
      <c r="I512" s="139"/>
      <c r="J512" s="137"/>
      <c r="K512" s="139"/>
      <c r="L512" s="141"/>
      <c r="M512" s="133" t="str">
        <f t="shared" si="183"/>
        <v/>
      </c>
      <c r="N512" s="133" t="str">
        <f t="shared" si="184"/>
        <v/>
      </c>
      <c r="O512" s="133" t="str">
        <f t="shared" si="185"/>
        <v/>
      </c>
      <c r="P512" s="133" t="str">
        <f t="shared" si="186"/>
        <v/>
      </c>
      <c r="Q512" s="133" t="str">
        <f t="shared" si="187"/>
        <v/>
      </c>
      <c r="R512" s="133" t="str">
        <f t="shared" si="188"/>
        <v/>
      </c>
      <c r="S512" s="133" t="str">
        <f t="shared" si="189"/>
        <v/>
      </c>
      <c r="T512" s="133" t="str">
        <f>IFERROR(IF($U512="ERROR","ERROR",IF($N512="00",IF(J512="1-Rate","HH 1RATE",IF(J512="2-Rate","HH 2RATE","")),IFERROR(VLOOKUP(CONCATENATE(N512,Q512,O512,P512),Lookups!$A$2:$E$4557,5,0),VLOOKUP(CONCATENATE(N512,Q512,O512),Lookups!$A$2:$E$4557,5,0)))),"ERROR")</f>
        <v>ERROR</v>
      </c>
      <c r="U512" s="133" t="str">
        <f>IFERROR(IF(NOT($N512="00"),"",VLOOKUP(CONCATENATE(Q512,P512,LOOKUP(2,1/(Lookups!$I$2:$I$11&lt;=E512)/(Lookups!$J$2:$J$11&gt;=Tool!$C$14),Lookups!$K$2:$K$11)),'HH LLFs'!$A$2:$K$500,3,0)),"ERROR")</f>
        <v/>
      </c>
      <c r="V512" s="132">
        <f>Calcs!$I$2</f>
        <v>44377</v>
      </c>
      <c r="W512" s="132">
        <f>Calcs!$I$4</f>
        <v>44592</v>
      </c>
      <c r="X512" s="153" t="str">
        <f>IF(NOT(N512="00"),"",(VLOOKUP(CONCATENATE(Q512,P512,LOOKUP(2,1/(Lookups!$I$2:$I$11&lt;=Multisite!E512)/(Lookups!$J$2:$J$11&gt;=E512),Lookups!$K$2:$K$11)),'HH LLFs'!$A$2:$F$282,6,0)*365)/12)</f>
        <v/>
      </c>
      <c r="Y512" s="153">
        <f t="shared" si="190"/>
        <v>0</v>
      </c>
      <c r="Z512" s="153" t="str">
        <f t="shared" si="199"/>
        <v/>
      </c>
      <c r="AA512" s="153" t="str">
        <f t="shared" si="191"/>
        <v/>
      </c>
      <c r="AB512" s="153" t="str">
        <f t="shared" si="200"/>
        <v/>
      </c>
      <c r="AC512" s="153" t="str">
        <f t="shared" si="192"/>
        <v/>
      </c>
      <c r="AD512" s="153" t="str">
        <f t="shared" si="193"/>
        <v/>
      </c>
      <c r="AE512" s="153" t="str">
        <f t="shared" si="194"/>
        <v/>
      </c>
      <c r="AF512" s="155" t="e">
        <f>LOOKUP(2,1/(Lookups!$I$2:$I$11&lt;=E512)/(Lookups!$J$2:$J$11&gt;=E512),Lookups!$L$2:$L$11)</f>
        <v>#N/A</v>
      </c>
      <c r="AG512" s="142" t="str">
        <f t="shared" si="195"/>
        <v/>
      </c>
      <c r="AH512" s="142" t="str">
        <f t="shared" si="196"/>
        <v/>
      </c>
      <c r="AI512" s="143" t="b">
        <f t="shared" si="201"/>
        <v>0</v>
      </c>
      <c r="AJ512" s="143" t="str">
        <f t="shared" si="197"/>
        <v>Level 1</v>
      </c>
      <c r="AK512" s="142">
        <f t="shared" si="198"/>
        <v>0</v>
      </c>
      <c r="AL512" s="157" t="str">
        <f t="shared" si="206"/>
        <v/>
      </c>
      <c r="AM512" s="144" t="str">
        <f t="shared" si="207"/>
        <v>--FALSE-0</v>
      </c>
      <c r="AN512" s="158" t="str">
        <f t="shared" si="202"/>
        <v/>
      </c>
      <c r="AO512" s="145"/>
      <c r="AP512" s="159" t="str">
        <f>IF($AN512=FALSE,"",IFERROR(INDEX('Flat Rates'!$A$1:$M$3880,MATCH($AM512,'Flat Rates'!$A$1:$A$3880,0),MATCH("Standing Charge",'Flat Rates'!$A$1:$M$1,0))*100,""))</f>
        <v/>
      </c>
      <c r="AQ512" s="148" t="str">
        <f>IF($AN512=FALSE,"",IFERROR((IF(NOT(T512="Unrestricted"),"",INDEX('Flat Rates'!$A$1:$M$3880,MATCH($AM512,'Flat Rates'!$A$1:$A$3880,0),MATCH("Uni/Day Rate",'Flat Rates'!$A$1:$M$1,0)))*100)+H512,""))</f>
        <v/>
      </c>
      <c r="AR512" s="148" t="str">
        <f>IF($AN512=FALSE,"",IFERROR((IF(T512="Unrestricted","",INDEX('Flat Rates'!$A$1:$M$3880,MATCH($AM512,'Flat Rates'!$A$1:$A$3880,0),MATCH("Uni/Day Rate",'Flat Rates'!$A$1:$M$1,0)))*100)+H512,""))</f>
        <v/>
      </c>
      <c r="AS512" s="148" t="str">
        <f>IF($AN512=FALSE,"",IFERROR(IF(INDEX('Flat Rates'!$A$1:$M$3880,MATCH($AM512,'Flat Rates'!$A$1:$A$3880,0),MATCH("Night Unit Rate",'Flat Rates'!$A$1:$M$1,0))=0,"",((INDEX('Flat Rates'!$A$1:$M$3880,MATCH($AM512,'Flat Rates'!$A$1:$A$3880,0),MATCH("Night Unit Rate",'Flat Rates'!$A$1:$M$1,0)))*100)+H512),""))</f>
        <v/>
      </c>
      <c r="AT512" s="148" t="str">
        <f>IF($AN512=FALSE,"",IFERROR(IF(INDEX('Flat Rates'!$A$1:$M$3880,MATCH($AM512,'Flat Rates'!$A$1:$A$3880,0),MATCH("Evening and Weekend Rate",'Flat Rates'!$A$1:$M$1,0))=0,"",((INDEX('Flat Rates'!$A$1:$M$3880,MATCH($AM512,'Flat Rates'!$A$1:$A$3880,0),MATCH("Evening and Weekend Rate",'Flat Rates'!$A$1:$M$1,0)))*100)+H512),""))</f>
        <v/>
      </c>
      <c r="AU512" s="152" t="str">
        <f t="shared" si="203"/>
        <v/>
      </c>
      <c r="AV512" s="152" t="str">
        <f t="shared" si="204"/>
        <v/>
      </c>
      <c r="AW512" s="152" t="str">
        <f t="shared" si="205"/>
        <v/>
      </c>
    </row>
    <row r="513" spans="2:49" ht="15" thickBot="1" x14ac:dyDescent="0.35">
      <c r="B513" s="138" t="str">
        <f t="shared" si="182"/>
        <v/>
      </c>
      <c r="C513" s="137"/>
      <c r="D513" s="139"/>
      <c r="E513" s="140"/>
      <c r="F513" s="140"/>
      <c r="G513" s="139"/>
      <c r="H513" s="151"/>
      <c r="I513" s="139"/>
      <c r="J513" s="138"/>
      <c r="K513" s="139"/>
      <c r="L513" s="141"/>
      <c r="M513" s="133" t="str">
        <f t="shared" si="183"/>
        <v/>
      </c>
      <c r="N513" s="133" t="str">
        <f t="shared" si="184"/>
        <v/>
      </c>
      <c r="O513" s="133" t="str">
        <f t="shared" si="185"/>
        <v/>
      </c>
      <c r="P513" s="133" t="str">
        <f t="shared" si="186"/>
        <v/>
      </c>
      <c r="Q513" s="133" t="str">
        <f t="shared" si="187"/>
        <v/>
      </c>
      <c r="R513" s="133" t="str">
        <f t="shared" si="188"/>
        <v/>
      </c>
      <c r="S513" s="133" t="str">
        <f t="shared" si="189"/>
        <v/>
      </c>
      <c r="T513" s="133" t="str">
        <f>IFERROR(IF($U513="ERROR","ERROR",IF($N513="00",IF(J513="1-Rate","HH 1RATE",IF(J513="2-Rate","HH 2RATE","")),IFERROR(VLOOKUP(CONCATENATE(N513,Q513,O513,P513),Lookups!$A$2:$E$4557,5,0),VLOOKUP(CONCATENATE(N513,Q513,O513),Lookups!$A$2:$E$4557,5,0)))),"ERROR")</f>
        <v>ERROR</v>
      </c>
      <c r="U513" s="133" t="str">
        <f>IFERROR(IF(NOT($N513="00"),"",VLOOKUP(CONCATENATE(Q513,P513,LOOKUP(2,1/(Lookups!$I$2:$I$11&lt;=E513)/(Lookups!$J$2:$J$11&gt;=Tool!$C$14),Lookups!$K$2:$K$11)),'HH LLFs'!$A$2:$K$500,3,0)),"ERROR")</f>
        <v/>
      </c>
      <c r="V513" s="132">
        <f>Calcs!$I$2</f>
        <v>44377</v>
      </c>
      <c r="W513" s="132">
        <f>Calcs!$I$4</f>
        <v>44592</v>
      </c>
      <c r="X513" s="153" t="str">
        <f>IF(NOT(N513="00"),"",(VLOOKUP(CONCATENATE(Q513,P513,LOOKUP(2,1/(Lookups!$I$2:$I$11&lt;=Multisite!E513)/(Lookups!$J$2:$J$11&gt;=E513),Lookups!$K$2:$K$11)),'HH LLFs'!$A$2:$F$282,6,0)*365)/12)</f>
        <v/>
      </c>
      <c r="Y513" s="153">
        <f t="shared" si="190"/>
        <v>0</v>
      </c>
      <c r="Z513" s="153" t="str">
        <f t="shared" si="199"/>
        <v/>
      </c>
      <c r="AA513" s="153" t="str">
        <f t="shared" si="191"/>
        <v/>
      </c>
      <c r="AB513" s="153" t="str">
        <f t="shared" si="200"/>
        <v/>
      </c>
      <c r="AC513" s="153" t="str">
        <f t="shared" si="192"/>
        <v/>
      </c>
      <c r="AD513" s="153" t="str">
        <f t="shared" si="193"/>
        <v/>
      </c>
      <c r="AE513" s="153" t="str">
        <f t="shared" si="194"/>
        <v/>
      </c>
      <c r="AF513" s="155" t="e">
        <f>LOOKUP(2,1/(Lookups!$I$2:$I$11&lt;=E513)/(Lookups!$J$2:$J$11&gt;=E513),Lookups!$L$2:$L$11)</f>
        <v>#N/A</v>
      </c>
      <c r="AG513" s="142" t="str">
        <f t="shared" si="195"/>
        <v/>
      </c>
      <c r="AH513" s="142" t="str">
        <f t="shared" si="196"/>
        <v/>
      </c>
      <c r="AI513" s="143" t="b">
        <f t="shared" si="201"/>
        <v>0</v>
      </c>
      <c r="AJ513" s="143" t="str">
        <f t="shared" si="197"/>
        <v>Level 1</v>
      </c>
      <c r="AK513" s="142">
        <f t="shared" si="198"/>
        <v>0</v>
      </c>
      <c r="AL513" s="157" t="str">
        <f t="shared" si="206"/>
        <v/>
      </c>
      <c r="AM513" s="144" t="str">
        <f t="shared" si="207"/>
        <v>--FALSE-0</v>
      </c>
      <c r="AN513" s="158" t="str">
        <f t="shared" si="202"/>
        <v/>
      </c>
      <c r="AO513" s="145"/>
      <c r="AP513" s="159" t="str">
        <f>IF($AN513=FALSE,"",IFERROR(INDEX('Flat Rates'!$A$1:$M$3880,MATCH($AM513,'Flat Rates'!$A$1:$A$3880,0),MATCH("Standing Charge",'Flat Rates'!$A$1:$M$1,0))*100,""))</f>
        <v/>
      </c>
      <c r="AQ513" s="148" t="str">
        <f>IF($AN513=FALSE,"",IFERROR((IF(NOT(T513="Unrestricted"),"",INDEX('Flat Rates'!$A$1:$M$3880,MATCH($AM513,'Flat Rates'!$A$1:$A$3880,0),MATCH("Uni/Day Rate",'Flat Rates'!$A$1:$M$1,0)))*100)+H513,""))</f>
        <v/>
      </c>
      <c r="AR513" s="148" t="str">
        <f>IF($AN513=FALSE,"",IFERROR((IF(T513="Unrestricted","",INDEX('Flat Rates'!$A$1:$M$3880,MATCH($AM513,'Flat Rates'!$A$1:$A$3880,0),MATCH("Uni/Day Rate",'Flat Rates'!$A$1:$M$1,0)))*100)+H513,""))</f>
        <v/>
      </c>
      <c r="AS513" s="148" t="str">
        <f>IF($AN513=FALSE,"",IFERROR(IF(INDEX('Flat Rates'!$A$1:$M$3880,MATCH($AM513,'Flat Rates'!$A$1:$A$3880,0),MATCH("Night Unit Rate",'Flat Rates'!$A$1:$M$1,0))=0,"",((INDEX('Flat Rates'!$A$1:$M$3880,MATCH($AM513,'Flat Rates'!$A$1:$A$3880,0),MATCH("Night Unit Rate",'Flat Rates'!$A$1:$M$1,0)))*100)+H513),""))</f>
        <v/>
      </c>
      <c r="AT513" s="148" t="str">
        <f>IF($AN513=FALSE,"",IFERROR(IF(INDEX('Flat Rates'!$A$1:$M$3880,MATCH($AM513,'Flat Rates'!$A$1:$A$3880,0),MATCH("Evening and Weekend Rate",'Flat Rates'!$A$1:$M$1,0))=0,"",((INDEX('Flat Rates'!$A$1:$M$3880,MATCH($AM513,'Flat Rates'!$A$1:$A$3880,0),MATCH("Evening and Weekend Rate",'Flat Rates'!$A$1:$M$1,0)))*100)+H513),""))</f>
        <v/>
      </c>
      <c r="AU513" s="152" t="str">
        <f t="shared" si="203"/>
        <v/>
      </c>
      <c r="AV513" s="152" t="str">
        <f t="shared" si="204"/>
        <v/>
      </c>
      <c r="AW513" s="152" t="str">
        <f t="shared" si="205"/>
        <v/>
      </c>
    </row>
    <row r="514" spans="2:49" ht="15" thickBot="1" x14ac:dyDescent="0.35">
      <c r="B514" s="138" t="str">
        <f t="shared" si="182"/>
        <v/>
      </c>
      <c r="C514" s="146"/>
      <c r="D514" s="147"/>
      <c r="E514" s="140"/>
      <c r="F514" s="140"/>
      <c r="G514" s="139"/>
      <c r="H514" s="151"/>
      <c r="I514" s="139"/>
      <c r="J514" s="137"/>
      <c r="K514" s="139"/>
      <c r="L514" s="141"/>
      <c r="M514" s="133" t="str">
        <f t="shared" si="183"/>
        <v/>
      </c>
      <c r="N514" s="133" t="str">
        <f t="shared" si="184"/>
        <v/>
      </c>
      <c r="O514" s="133" t="str">
        <f t="shared" si="185"/>
        <v/>
      </c>
      <c r="P514" s="133" t="str">
        <f t="shared" si="186"/>
        <v/>
      </c>
      <c r="Q514" s="133" t="str">
        <f t="shared" si="187"/>
        <v/>
      </c>
      <c r="R514" s="133" t="str">
        <f t="shared" si="188"/>
        <v/>
      </c>
      <c r="S514" s="133" t="str">
        <f t="shared" si="189"/>
        <v/>
      </c>
      <c r="T514" s="133" t="str">
        <f>IFERROR(IF($U514="ERROR","ERROR",IF($N514="00",IF(J514="1-Rate","HH 1RATE",IF(J514="2-Rate","HH 2RATE","")),IFERROR(VLOOKUP(CONCATENATE(N514,Q514,O514,P514),Lookups!$A$2:$E$4557,5,0),VLOOKUP(CONCATENATE(N514,Q514,O514),Lookups!$A$2:$E$4557,5,0)))),"ERROR")</f>
        <v>ERROR</v>
      </c>
      <c r="U514" s="133" t="str">
        <f>IFERROR(IF(NOT($N514="00"),"",VLOOKUP(CONCATENATE(Q514,P514,LOOKUP(2,1/(Lookups!$I$2:$I$11&lt;=E514)/(Lookups!$J$2:$J$11&gt;=Tool!$C$14),Lookups!$K$2:$K$11)),'HH LLFs'!$A$2:$K$500,3,0)),"ERROR")</f>
        <v/>
      </c>
      <c r="V514" s="132">
        <f>Calcs!$I$2</f>
        <v>44377</v>
      </c>
      <c r="W514" s="132">
        <f>Calcs!$I$4</f>
        <v>44592</v>
      </c>
      <c r="X514" s="153" t="str">
        <f>IF(NOT(N514="00"),"",(VLOOKUP(CONCATENATE(Q514,P514,LOOKUP(2,1/(Lookups!$I$2:$I$11&lt;=Multisite!E514)/(Lookups!$J$2:$J$11&gt;=E514),Lookups!$K$2:$K$11)),'HH LLFs'!$A$2:$F$282,6,0)*365)/12)</f>
        <v/>
      </c>
      <c r="Y514" s="153">
        <f t="shared" si="190"/>
        <v>0</v>
      </c>
      <c r="Z514" s="153" t="str">
        <f t="shared" si="199"/>
        <v/>
      </c>
      <c r="AA514" s="153" t="str">
        <f t="shared" si="191"/>
        <v/>
      </c>
      <c r="AB514" s="153" t="str">
        <f t="shared" si="200"/>
        <v/>
      </c>
      <c r="AC514" s="153" t="str">
        <f t="shared" si="192"/>
        <v/>
      </c>
      <c r="AD514" s="153" t="str">
        <f t="shared" si="193"/>
        <v/>
      </c>
      <c r="AE514" s="153" t="str">
        <f t="shared" si="194"/>
        <v/>
      </c>
      <c r="AF514" s="155" t="e">
        <f>LOOKUP(2,1/(Lookups!$I$2:$I$11&lt;=E514)/(Lookups!$J$2:$J$11&gt;=E514),Lookups!$L$2:$L$11)</f>
        <v>#N/A</v>
      </c>
      <c r="AG514" s="142" t="str">
        <f t="shared" si="195"/>
        <v/>
      </c>
      <c r="AH514" s="142" t="str">
        <f t="shared" si="196"/>
        <v/>
      </c>
      <c r="AI514" s="143" t="b">
        <f t="shared" si="201"/>
        <v>0</v>
      </c>
      <c r="AJ514" s="143" t="str">
        <f t="shared" si="197"/>
        <v>Level 1</v>
      </c>
      <c r="AK514" s="142">
        <f t="shared" si="198"/>
        <v>0</v>
      </c>
      <c r="AL514" s="157" t="str">
        <f t="shared" si="206"/>
        <v/>
      </c>
      <c r="AM514" s="144" t="str">
        <f t="shared" si="207"/>
        <v>--FALSE-0</v>
      </c>
      <c r="AN514" s="158" t="str">
        <f t="shared" si="202"/>
        <v/>
      </c>
      <c r="AO514" s="145"/>
      <c r="AP514" s="159" t="str">
        <f>IF($AN514=FALSE,"",IFERROR(INDEX('Flat Rates'!$A$1:$M$3880,MATCH($AM514,'Flat Rates'!$A$1:$A$3880,0),MATCH("Standing Charge",'Flat Rates'!$A$1:$M$1,0))*100,""))</f>
        <v/>
      </c>
      <c r="AQ514" s="148" t="str">
        <f>IF($AN514=FALSE,"",IFERROR((IF(NOT(T514="Unrestricted"),"",INDEX('Flat Rates'!$A$1:$M$3880,MATCH($AM514,'Flat Rates'!$A$1:$A$3880,0),MATCH("Uni/Day Rate",'Flat Rates'!$A$1:$M$1,0)))*100)+H514,""))</f>
        <v/>
      </c>
      <c r="AR514" s="148" t="str">
        <f>IF($AN514=FALSE,"",IFERROR((IF(T514="Unrestricted","",INDEX('Flat Rates'!$A$1:$M$3880,MATCH($AM514,'Flat Rates'!$A$1:$A$3880,0),MATCH("Uni/Day Rate",'Flat Rates'!$A$1:$M$1,0)))*100)+H514,""))</f>
        <v/>
      </c>
      <c r="AS514" s="148" t="str">
        <f>IF($AN514=FALSE,"",IFERROR(IF(INDEX('Flat Rates'!$A$1:$M$3880,MATCH($AM514,'Flat Rates'!$A$1:$A$3880,0),MATCH("Night Unit Rate",'Flat Rates'!$A$1:$M$1,0))=0,"",((INDEX('Flat Rates'!$A$1:$M$3880,MATCH($AM514,'Flat Rates'!$A$1:$A$3880,0),MATCH("Night Unit Rate",'Flat Rates'!$A$1:$M$1,0)))*100)+H514),""))</f>
        <v/>
      </c>
      <c r="AT514" s="148" t="str">
        <f>IF($AN514=FALSE,"",IFERROR(IF(INDEX('Flat Rates'!$A$1:$M$3880,MATCH($AM514,'Flat Rates'!$A$1:$A$3880,0),MATCH("Evening and Weekend Rate",'Flat Rates'!$A$1:$M$1,0))=0,"",((INDEX('Flat Rates'!$A$1:$M$3880,MATCH($AM514,'Flat Rates'!$A$1:$A$3880,0),MATCH("Evening and Weekend Rate",'Flat Rates'!$A$1:$M$1,0)))*100)+H514),""))</f>
        <v/>
      </c>
      <c r="AU514" s="152" t="str">
        <f t="shared" si="203"/>
        <v/>
      </c>
      <c r="AV514" s="152" t="str">
        <f t="shared" si="204"/>
        <v/>
      </c>
      <c r="AW514" s="152" t="str">
        <f t="shared" si="205"/>
        <v/>
      </c>
    </row>
    <row r="515" spans="2:49" ht="15" thickBot="1" x14ac:dyDescent="0.35">
      <c r="B515" s="138" t="str">
        <f t="shared" si="182"/>
        <v/>
      </c>
      <c r="C515" s="137"/>
      <c r="D515" s="139"/>
      <c r="E515" s="140"/>
      <c r="F515" s="140"/>
      <c r="G515" s="139"/>
      <c r="H515" s="151"/>
      <c r="I515" s="139"/>
      <c r="J515" s="138"/>
      <c r="K515" s="139"/>
      <c r="L515" s="141"/>
      <c r="M515" s="133" t="str">
        <f t="shared" si="183"/>
        <v/>
      </c>
      <c r="N515" s="133" t="str">
        <f t="shared" si="184"/>
        <v/>
      </c>
      <c r="O515" s="133" t="str">
        <f t="shared" si="185"/>
        <v/>
      </c>
      <c r="P515" s="133" t="str">
        <f t="shared" si="186"/>
        <v/>
      </c>
      <c r="Q515" s="133" t="str">
        <f t="shared" si="187"/>
        <v/>
      </c>
      <c r="R515" s="133" t="str">
        <f t="shared" si="188"/>
        <v/>
      </c>
      <c r="S515" s="133" t="str">
        <f t="shared" si="189"/>
        <v/>
      </c>
      <c r="T515" s="133" t="str">
        <f>IFERROR(IF($U515="ERROR","ERROR",IF($N515="00",IF(J515="1-Rate","HH 1RATE",IF(J515="2-Rate","HH 2RATE","")),IFERROR(VLOOKUP(CONCATENATE(N515,Q515,O515,P515),Lookups!$A$2:$E$4557,5,0),VLOOKUP(CONCATENATE(N515,Q515,O515),Lookups!$A$2:$E$4557,5,0)))),"ERROR")</f>
        <v>ERROR</v>
      </c>
      <c r="U515" s="133" t="str">
        <f>IFERROR(IF(NOT($N515="00"),"",VLOOKUP(CONCATENATE(Q515,P515,LOOKUP(2,1/(Lookups!$I$2:$I$11&lt;=E515)/(Lookups!$J$2:$J$11&gt;=Tool!$C$14),Lookups!$K$2:$K$11)),'HH LLFs'!$A$2:$K$500,3,0)),"ERROR")</f>
        <v/>
      </c>
      <c r="V515" s="132">
        <f>Calcs!$I$2</f>
        <v>44377</v>
      </c>
      <c r="W515" s="132">
        <f>Calcs!$I$4</f>
        <v>44592</v>
      </c>
      <c r="X515" s="153" t="str">
        <f>IF(NOT(N515="00"),"",(VLOOKUP(CONCATENATE(Q515,P515,LOOKUP(2,1/(Lookups!$I$2:$I$11&lt;=Multisite!E515)/(Lookups!$J$2:$J$11&gt;=E515),Lookups!$K$2:$K$11)),'HH LLFs'!$A$2:$F$282,6,0)*365)/12)</f>
        <v/>
      </c>
      <c r="Y515" s="153">
        <f t="shared" si="190"/>
        <v>0</v>
      </c>
      <c r="Z515" s="153" t="str">
        <f t="shared" si="199"/>
        <v/>
      </c>
      <c r="AA515" s="153" t="str">
        <f t="shared" si="191"/>
        <v/>
      </c>
      <c r="AB515" s="153" t="str">
        <f t="shared" si="200"/>
        <v/>
      </c>
      <c r="AC515" s="153" t="str">
        <f t="shared" si="192"/>
        <v/>
      </c>
      <c r="AD515" s="153" t="str">
        <f t="shared" si="193"/>
        <v/>
      </c>
      <c r="AE515" s="153" t="str">
        <f t="shared" si="194"/>
        <v/>
      </c>
      <c r="AF515" s="155" t="e">
        <f>LOOKUP(2,1/(Lookups!$I$2:$I$11&lt;=E515)/(Lookups!$J$2:$J$11&gt;=E515),Lookups!$L$2:$L$11)</f>
        <v>#N/A</v>
      </c>
      <c r="AG515" s="142" t="str">
        <f t="shared" si="195"/>
        <v/>
      </c>
      <c r="AH515" s="142" t="str">
        <f t="shared" si="196"/>
        <v/>
      </c>
      <c r="AI515" s="143" t="b">
        <f t="shared" si="201"/>
        <v>0</v>
      </c>
      <c r="AJ515" s="143" t="str">
        <f t="shared" si="197"/>
        <v>Level 1</v>
      </c>
      <c r="AK515" s="142">
        <f t="shared" si="198"/>
        <v>0</v>
      </c>
      <c r="AL515" s="157" t="str">
        <f t="shared" si="206"/>
        <v/>
      </c>
      <c r="AM515" s="144" t="str">
        <f t="shared" si="207"/>
        <v>--FALSE-0</v>
      </c>
      <c r="AN515" s="158" t="str">
        <f t="shared" si="202"/>
        <v/>
      </c>
      <c r="AO515" s="145"/>
      <c r="AP515" s="159" t="str">
        <f>IF($AN515=FALSE,"",IFERROR(INDEX('Flat Rates'!$A$1:$M$3880,MATCH($AM515,'Flat Rates'!$A$1:$A$3880,0),MATCH("Standing Charge",'Flat Rates'!$A$1:$M$1,0))*100,""))</f>
        <v/>
      </c>
      <c r="AQ515" s="148" t="str">
        <f>IF($AN515=FALSE,"",IFERROR((IF(NOT(T515="Unrestricted"),"",INDEX('Flat Rates'!$A$1:$M$3880,MATCH($AM515,'Flat Rates'!$A$1:$A$3880,0),MATCH("Uni/Day Rate",'Flat Rates'!$A$1:$M$1,0)))*100)+H515,""))</f>
        <v/>
      </c>
      <c r="AR515" s="148" t="str">
        <f>IF($AN515=FALSE,"",IFERROR((IF(T515="Unrestricted","",INDEX('Flat Rates'!$A$1:$M$3880,MATCH($AM515,'Flat Rates'!$A$1:$A$3880,0),MATCH("Uni/Day Rate",'Flat Rates'!$A$1:$M$1,0)))*100)+H515,""))</f>
        <v/>
      </c>
      <c r="AS515" s="148" t="str">
        <f>IF($AN515=FALSE,"",IFERROR(IF(INDEX('Flat Rates'!$A$1:$M$3880,MATCH($AM515,'Flat Rates'!$A$1:$A$3880,0),MATCH("Night Unit Rate",'Flat Rates'!$A$1:$M$1,0))=0,"",((INDEX('Flat Rates'!$A$1:$M$3880,MATCH($AM515,'Flat Rates'!$A$1:$A$3880,0),MATCH("Night Unit Rate",'Flat Rates'!$A$1:$M$1,0)))*100)+H515),""))</f>
        <v/>
      </c>
      <c r="AT515" s="148" t="str">
        <f>IF($AN515=FALSE,"",IFERROR(IF(INDEX('Flat Rates'!$A$1:$M$3880,MATCH($AM515,'Flat Rates'!$A$1:$A$3880,0),MATCH("Evening and Weekend Rate",'Flat Rates'!$A$1:$M$1,0))=0,"",((INDEX('Flat Rates'!$A$1:$M$3880,MATCH($AM515,'Flat Rates'!$A$1:$A$3880,0),MATCH("Evening and Weekend Rate",'Flat Rates'!$A$1:$M$1,0)))*100)+H515),""))</f>
        <v/>
      </c>
      <c r="AU515" s="152" t="str">
        <f t="shared" si="203"/>
        <v/>
      </c>
      <c r="AV515" s="152" t="str">
        <f t="shared" si="204"/>
        <v/>
      </c>
      <c r="AW515" s="152" t="str">
        <f t="shared" si="205"/>
        <v/>
      </c>
    </row>
    <row r="516" spans="2:49" ht="15" thickBot="1" x14ac:dyDescent="0.35">
      <c r="B516" s="138" t="str">
        <f t="shared" si="182"/>
        <v/>
      </c>
      <c r="C516" s="146"/>
      <c r="D516" s="147"/>
      <c r="E516" s="140"/>
      <c r="F516" s="140"/>
      <c r="G516" s="139"/>
      <c r="H516" s="151"/>
      <c r="I516" s="139"/>
      <c r="J516" s="137"/>
      <c r="K516" s="139"/>
      <c r="L516" s="141"/>
      <c r="M516" s="133" t="str">
        <f t="shared" si="183"/>
        <v/>
      </c>
      <c r="N516" s="133" t="str">
        <f t="shared" si="184"/>
        <v/>
      </c>
      <c r="O516" s="133" t="str">
        <f t="shared" si="185"/>
        <v/>
      </c>
      <c r="P516" s="133" t="str">
        <f t="shared" si="186"/>
        <v/>
      </c>
      <c r="Q516" s="133" t="str">
        <f t="shared" si="187"/>
        <v/>
      </c>
      <c r="R516" s="133" t="str">
        <f t="shared" si="188"/>
        <v/>
      </c>
      <c r="S516" s="133" t="str">
        <f t="shared" si="189"/>
        <v/>
      </c>
      <c r="T516" s="133" t="str">
        <f>IFERROR(IF($U516="ERROR","ERROR",IF($N516="00",IF(J516="1-Rate","HH 1RATE",IF(J516="2-Rate","HH 2RATE","")),IFERROR(VLOOKUP(CONCATENATE(N516,Q516,O516,P516),Lookups!$A$2:$E$4557,5,0),VLOOKUP(CONCATENATE(N516,Q516,O516),Lookups!$A$2:$E$4557,5,0)))),"ERROR")</f>
        <v>ERROR</v>
      </c>
      <c r="U516" s="133" t="str">
        <f>IFERROR(IF(NOT($N516="00"),"",VLOOKUP(CONCATENATE(Q516,P516,LOOKUP(2,1/(Lookups!$I$2:$I$11&lt;=E516)/(Lookups!$J$2:$J$11&gt;=Tool!$C$14),Lookups!$K$2:$K$11)),'HH LLFs'!$A$2:$K$500,3,0)),"ERROR")</f>
        <v/>
      </c>
      <c r="V516" s="132">
        <f>Calcs!$I$2</f>
        <v>44377</v>
      </c>
      <c r="W516" s="132">
        <f>Calcs!$I$4</f>
        <v>44592</v>
      </c>
      <c r="X516" s="153" t="str">
        <f>IF(NOT(N516="00"),"",(VLOOKUP(CONCATENATE(Q516,P516,LOOKUP(2,1/(Lookups!$I$2:$I$11&lt;=Multisite!E516)/(Lookups!$J$2:$J$11&gt;=E516),Lookups!$K$2:$K$11)),'HH LLFs'!$A$2:$F$282,6,0)*365)/12)</f>
        <v/>
      </c>
      <c r="Y516" s="153">
        <f t="shared" si="190"/>
        <v>0</v>
      </c>
      <c r="Z516" s="153" t="str">
        <f t="shared" si="199"/>
        <v/>
      </c>
      <c r="AA516" s="153" t="str">
        <f t="shared" si="191"/>
        <v/>
      </c>
      <c r="AB516" s="153" t="str">
        <f t="shared" si="200"/>
        <v/>
      </c>
      <c r="AC516" s="153" t="str">
        <f t="shared" si="192"/>
        <v/>
      </c>
      <c r="AD516" s="153" t="str">
        <f t="shared" si="193"/>
        <v/>
      </c>
      <c r="AE516" s="153" t="str">
        <f t="shared" si="194"/>
        <v/>
      </c>
      <c r="AF516" s="155" t="e">
        <f>LOOKUP(2,1/(Lookups!$I$2:$I$11&lt;=E516)/(Lookups!$J$2:$J$11&gt;=E516),Lookups!$L$2:$L$11)</f>
        <v>#N/A</v>
      </c>
      <c r="AG516" s="142" t="str">
        <f t="shared" si="195"/>
        <v/>
      </c>
      <c r="AH516" s="142" t="str">
        <f t="shared" si="196"/>
        <v/>
      </c>
      <c r="AI516" s="143" t="b">
        <f t="shared" si="201"/>
        <v>0</v>
      </c>
      <c r="AJ516" s="143" t="str">
        <f t="shared" si="197"/>
        <v>Level 1</v>
      </c>
      <c r="AK516" s="142">
        <f t="shared" si="198"/>
        <v>0</v>
      </c>
      <c r="AL516" s="157" t="str">
        <f t="shared" si="206"/>
        <v/>
      </c>
      <c r="AM516" s="144" t="str">
        <f t="shared" si="207"/>
        <v>--FALSE-0</v>
      </c>
      <c r="AN516" s="158" t="str">
        <f t="shared" si="202"/>
        <v/>
      </c>
      <c r="AO516" s="145"/>
      <c r="AP516" s="159" t="str">
        <f>IF($AN516=FALSE,"",IFERROR(INDEX('Flat Rates'!$A$1:$M$3880,MATCH($AM516,'Flat Rates'!$A$1:$A$3880,0),MATCH("Standing Charge",'Flat Rates'!$A$1:$M$1,0))*100,""))</f>
        <v/>
      </c>
      <c r="AQ516" s="148" t="str">
        <f>IF($AN516=FALSE,"",IFERROR((IF(NOT(T516="Unrestricted"),"",INDEX('Flat Rates'!$A$1:$M$3880,MATCH($AM516,'Flat Rates'!$A$1:$A$3880,0),MATCH("Uni/Day Rate",'Flat Rates'!$A$1:$M$1,0)))*100)+H516,""))</f>
        <v/>
      </c>
      <c r="AR516" s="148" t="str">
        <f>IF($AN516=FALSE,"",IFERROR((IF(T516="Unrestricted","",INDEX('Flat Rates'!$A$1:$M$3880,MATCH($AM516,'Flat Rates'!$A$1:$A$3880,0),MATCH("Uni/Day Rate",'Flat Rates'!$A$1:$M$1,0)))*100)+H516,""))</f>
        <v/>
      </c>
      <c r="AS516" s="148" t="str">
        <f>IF($AN516=FALSE,"",IFERROR(IF(INDEX('Flat Rates'!$A$1:$M$3880,MATCH($AM516,'Flat Rates'!$A$1:$A$3880,0),MATCH("Night Unit Rate",'Flat Rates'!$A$1:$M$1,0))=0,"",((INDEX('Flat Rates'!$A$1:$M$3880,MATCH($AM516,'Flat Rates'!$A$1:$A$3880,0),MATCH("Night Unit Rate",'Flat Rates'!$A$1:$M$1,0)))*100)+H516),""))</f>
        <v/>
      </c>
      <c r="AT516" s="148" t="str">
        <f>IF($AN516=FALSE,"",IFERROR(IF(INDEX('Flat Rates'!$A$1:$M$3880,MATCH($AM516,'Flat Rates'!$A$1:$A$3880,0),MATCH("Evening and Weekend Rate",'Flat Rates'!$A$1:$M$1,0))=0,"",((INDEX('Flat Rates'!$A$1:$M$3880,MATCH($AM516,'Flat Rates'!$A$1:$A$3880,0),MATCH("Evening and Weekend Rate",'Flat Rates'!$A$1:$M$1,0)))*100)+H516),""))</f>
        <v/>
      </c>
      <c r="AU516" s="152" t="str">
        <f t="shared" si="203"/>
        <v/>
      </c>
      <c r="AV516" s="152" t="str">
        <f t="shared" si="204"/>
        <v/>
      </c>
      <c r="AW516" s="152" t="str">
        <f t="shared" si="205"/>
        <v/>
      </c>
    </row>
    <row r="517" spans="2:49" ht="15" thickBot="1" x14ac:dyDescent="0.35">
      <c r="B517" s="138" t="str">
        <f t="shared" si="182"/>
        <v/>
      </c>
      <c r="C517" s="137"/>
      <c r="D517" s="139"/>
      <c r="E517" s="140"/>
      <c r="F517" s="140"/>
      <c r="G517" s="139"/>
      <c r="H517" s="151"/>
      <c r="I517" s="139"/>
      <c r="J517" s="138"/>
      <c r="K517" s="139"/>
      <c r="L517" s="141"/>
      <c r="M517" s="133" t="str">
        <f t="shared" si="183"/>
        <v/>
      </c>
      <c r="N517" s="133" t="str">
        <f t="shared" si="184"/>
        <v/>
      </c>
      <c r="O517" s="133" t="str">
        <f t="shared" si="185"/>
        <v/>
      </c>
      <c r="P517" s="133" t="str">
        <f t="shared" si="186"/>
        <v/>
      </c>
      <c r="Q517" s="133" t="str">
        <f t="shared" si="187"/>
        <v/>
      </c>
      <c r="R517" s="133" t="str">
        <f t="shared" si="188"/>
        <v/>
      </c>
      <c r="S517" s="133" t="str">
        <f t="shared" si="189"/>
        <v/>
      </c>
      <c r="T517" s="133" t="str">
        <f>IFERROR(IF($U517="ERROR","ERROR",IF($N517="00",IF(J517="1-Rate","HH 1RATE",IF(J517="2-Rate","HH 2RATE","")),IFERROR(VLOOKUP(CONCATENATE(N517,Q517,O517,P517),Lookups!$A$2:$E$4557,5,0),VLOOKUP(CONCATENATE(N517,Q517,O517),Lookups!$A$2:$E$4557,5,0)))),"ERROR")</f>
        <v>ERROR</v>
      </c>
      <c r="U517" s="133" t="str">
        <f>IFERROR(IF(NOT($N517="00"),"",VLOOKUP(CONCATENATE(Q517,P517,LOOKUP(2,1/(Lookups!$I$2:$I$11&lt;=E517)/(Lookups!$J$2:$J$11&gt;=Tool!$C$14),Lookups!$K$2:$K$11)),'HH LLFs'!$A$2:$K$500,3,0)),"ERROR")</f>
        <v/>
      </c>
      <c r="V517" s="132">
        <f>Calcs!$I$2</f>
        <v>44377</v>
      </c>
      <c r="W517" s="132">
        <f>Calcs!$I$4</f>
        <v>44592</v>
      </c>
      <c r="X517" s="153" t="str">
        <f>IF(NOT(N517="00"),"",(VLOOKUP(CONCATENATE(Q517,P517,LOOKUP(2,1/(Lookups!$I$2:$I$11&lt;=Multisite!E517)/(Lookups!$J$2:$J$11&gt;=E517),Lookups!$K$2:$K$11)),'HH LLFs'!$A$2:$F$282,6,0)*365)/12)</f>
        <v/>
      </c>
      <c r="Y517" s="153">
        <f t="shared" si="190"/>
        <v>0</v>
      </c>
      <c r="Z517" s="153" t="str">
        <f t="shared" si="199"/>
        <v/>
      </c>
      <c r="AA517" s="153" t="str">
        <f t="shared" si="191"/>
        <v/>
      </c>
      <c r="AB517" s="153" t="str">
        <f t="shared" si="200"/>
        <v/>
      </c>
      <c r="AC517" s="153" t="str">
        <f t="shared" si="192"/>
        <v/>
      </c>
      <c r="AD517" s="153" t="str">
        <f t="shared" si="193"/>
        <v/>
      </c>
      <c r="AE517" s="153" t="str">
        <f t="shared" si="194"/>
        <v/>
      </c>
      <c r="AF517" s="155" t="e">
        <f>LOOKUP(2,1/(Lookups!$I$2:$I$11&lt;=E517)/(Lookups!$J$2:$J$11&gt;=E517),Lookups!$L$2:$L$11)</f>
        <v>#N/A</v>
      </c>
      <c r="AG517" s="142" t="str">
        <f t="shared" si="195"/>
        <v/>
      </c>
      <c r="AH517" s="142" t="str">
        <f t="shared" si="196"/>
        <v/>
      </c>
      <c r="AI517" s="143" t="b">
        <f t="shared" si="201"/>
        <v>0</v>
      </c>
      <c r="AJ517" s="143" t="str">
        <f t="shared" si="197"/>
        <v>Level 1</v>
      </c>
      <c r="AK517" s="142">
        <f t="shared" si="198"/>
        <v>0</v>
      </c>
      <c r="AL517" s="157" t="str">
        <f t="shared" si="206"/>
        <v/>
      </c>
      <c r="AM517" s="144" t="str">
        <f t="shared" si="207"/>
        <v>--FALSE-0</v>
      </c>
      <c r="AN517" s="158" t="str">
        <f t="shared" si="202"/>
        <v/>
      </c>
      <c r="AO517" s="145"/>
      <c r="AP517" s="159" t="str">
        <f>IF($AN517=FALSE,"",IFERROR(INDEX('Flat Rates'!$A$1:$M$3880,MATCH($AM517,'Flat Rates'!$A$1:$A$3880,0),MATCH("Standing Charge",'Flat Rates'!$A$1:$M$1,0))*100,""))</f>
        <v/>
      </c>
      <c r="AQ517" s="148" t="str">
        <f>IF($AN517=FALSE,"",IFERROR((IF(NOT(T517="Unrestricted"),"",INDEX('Flat Rates'!$A$1:$M$3880,MATCH($AM517,'Flat Rates'!$A$1:$A$3880,0),MATCH("Uni/Day Rate",'Flat Rates'!$A$1:$M$1,0)))*100)+H517,""))</f>
        <v/>
      </c>
      <c r="AR517" s="148" t="str">
        <f>IF($AN517=FALSE,"",IFERROR((IF(T517="Unrestricted","",INDEX('Flat Rates'!$A$1:$M$3880,MATCH($AM517,'Flat Rates'!$A$1:$A$3880,0),MATCH("Uni/Day Rate",'Flat Rates'!$A$1:$M$1,0)))*100)+H517,""))</f>
        <v/>
      </c>
      <c r="AS517" s="148" t="str">
        <f>IF($AN517=FALSE,"",IFERROR(IF(INDEX('Flat Rates'!$A$1:$M$3880,MATCH($AM517,'Flat Rates'!$A$1:$A$3880,0),MATCH("Night Unit Rate",'Flat Rates'!$A$1:$M$1,0))=0,"",((INDEX('Flat Rates'!$A$1:$M$3880,MATCH($AM517,'Flat Rates'!$A$1:$A$3880,0),MATCH("Night Unit Rate",'Flat Rates'!$A$1:$M$1,0)))*100)+H517),""))</f>
        <v/>
      </c>
      <c r="AT517" s="148" t="str">
        <f>IF($AN517=FALSE,"",IFERROR(IF(INDEX('Flat Rates'!$A$1:$M$3880,MATCH($AM517,'Flat Rates'!$A$1:$A$3880,0),MATCH("Evening and Weekend Rate",'Flat Rates'!$A$1:$M$1,0))=0,"",((INDEX('Flat Rates'!$A$1:$M$3880,MATCH($AM517,'Flat Rates'!$A$1:$A$3880,0),MATCH("Evening and Weekend Rate",'Flat Rates'!$A$1:$M$1,0)))*100)+H517),""))</f>
        <v/>
      </c>
      <c r="AU517" s="152" t="str">
        <f t="shared" si="203"/>
        <v/>
      </c>
      <c r="AV517" s="152" t="str">
        <f t="shared" si="204"/>
        <v/>
      </c>
      <c r="AW517" s="152" t="str">
        <f t="shared" si="205"/>
        <v/>
      </c>
    </row>
    <row r="518" spans="2:49" ht="15" thickBot="1" x14ac:dyDescent="0.35">
      <c r="B518" s="138" t="str">
        <f t="shared" si="182"/>
        <v/>
      </c>
      <c r="C518" s="146"/>
      <c r="D518" s="147"/>
      <c r="E518" s="140"/>
      <c r="F518" s="140"/>
      <c r="G518" s="139"/>
      <c r="H518" s="151"/>
      <c r="I518" s="139"/>
      <c r="J518" s="137"/>
      <c r="K518" s="139"/>
      <c r="L518" s="141"/>
      <c r="M518" s="133" t="str">
        <f t="shared" si="183"/>
        <v/>
      </c>
      <c r="N518" s="133" t="str">
        <f t="shared" si="184"/>
        <v/>
      </c>
      <c r="O518" s="133" t="str">
        <f t="shared" si="185"/>
        <v/>
      </c>
      <c r="P518" s="133" t="str">
        <f t="shared" si="186"/>
        <v/>
      </c>
      <c r="Q518" s="133" t="str">
        <f t="shared" si="187"/>
        <v/>
      </c>
      <c r="R518" s="133" t="str">
        <f t="shared" si="188"/>
        <v/>
      </c>
      <c r="S518" s="133" t="str">
        <f t="shared" si="189"/>
        <v/>
      </c>
      <c r="T518" s="133" t="str">
        <f>IFERROR(IF($U518="ERROR","ERROR",IF($N518="00",IF(J518="1-Rate","HH 1RATE",IF(J518="2-Rate","HH 2RATE","")),IFERROR(VLOOKUP(CONCATENATE(N518,Q518,O518,P518),Lookups!$A$2:$E$4557,5,0),VLOOKUP(CONCATENATE(N518,Q518,O518),Lookups!$A$2:$E$4557,5,0)))),"ERROR")</f>
        <v>ERROR</v>
      </c>
      <c r="U518" s="133" t="str">
        <f>IFERROR(IF(NOT($N518="00"),"",VLOOKUP(CONCATENATE(Q518,P518,LOOKUP(2,1/(Lookups!$I$2:$I$11&lt;=E518)/(Lookups!$J$2:$J$11&gt;=Tool!$C$14),Lookups!$K$2:$K$11)),'HH LLFs'!$A$2:$K$500,3,0)),"ERROR")</f>
        <v/>
      </c>
      <c r="V518" s="132">
        <f>Calcs!$I$2</f>
        <v>44377</v>
      </c>
      <c r="W518" s="132">
        <f>Calcs!$I$4</f>
        <v>44592</v>
      </c>
      <c r="X518" s="153" t="str">
        <f>IF(NOT(N518="00"),"",(VLOOKUP(CONCATENATE(Q518,P518,LOOKUP(2,1/(Lookups!$I$2:$I$11&lt;=Multisite!E518)/(Lookups!$J$2:$J$11&gt;=E518),Lookups!$K$2:$K$11)),'HH LLFs'!$A$2:$F$282,6,0)*365)/12)</f>
        <v/>
      </c>
      <c r="Y518" s="153">
        <f t="shared" si="190"/>
        <v>0</v>
      </c>
      <c r="Z518" s="153" t="str">
        <f t="shared" si="199"/>
        <v/>
      </c>
      <c r="AA518" s="153" t="str">
        <f t="shared" si="191"/>
        <v/>
      </c>
      <c r="AB518" s="153" t="str">
        <f t="shared" si="200"/>
        <v/>
      </c>
      <c r="AC518" s="153" t="str">
        <f t="shared" si="192"/>
        <v/>
      </c>
      <c r="AD518" s="153" t="str">
        <f t="shared" si="193"/>
        <v/>
      </c>
      <c r="AE518" s="153" t="str">
        <f t="shared" si="194"/>
        <v/>
      </c>
      <c r="AF518" s="155" t="e">
        <f>LOOKUP(2,1/(Lookups!$I$2:$I$11&lt;=E518)/(Lookups!$J$2:$J$11&gt;=E518),Lookups!$L$2:$L$11)</f>
        <v>#N/A</v>
      </c>
      <c r="AG518" s="142" t="str">
        <f t="shared" si="195"/>
        <v/>
      </c>
      <c r="AH518" s="142" t="str">
        <f t="shared" si="196"/>
        <v/>
      </c>
      <c r="AI518" s="143" t="b">
        <f t="shared" si="201"/>
        <v>0</v>
      </c>
      <c r="AJ518" s="143" t="str">
        <f t="shared" si="197"/>
        <v>Level 1</v>
      </c>
      <c r="AK518" s="142">
        <f t="shared" si="198"/>
        <v>0</v>
      </c>
      <c r="AL518" s="157" t="str">
        <f t="shared" si="206"/>
        <v/>
      </c>
      <c r="AM518" s="144" t="str">
        <f t="shared" si="207"/>
        <v>--FALSE-0</v>
      </c>
      <c r="AN518" s="158" t="str">
        <f t="shared" si="202"/>
        <v/>
      </c>
      <c r="AO518" s="145"/>
      <c r="AP518" s="159" t="str">
        <f>IF($AN518=FALSE,"",IFERROR(INDEX('Flat Rates'!$A$1:$M$3880,MATCH($AM518,'Flat Rates'!$A$1:$A$3880,0),MATCH("Standing Charge",'Flat Rates'!$A$1:$M$1,0))*100,""))</f>
        <v/>
      </c>
      <c r="AQ518" s="148" t="str">
        <f>IF($AN518=FALSE,"",IFERROR((IF(NOT(T518="Unrestricted"),"",INDEX('Flat Rates'!$A$1:$M$3880,MATCH($AM518,'Flat Rates'!$A$1:$A$3880,0),MATCH("Uni/Day Rate",'Flat Rates'!$A$1:$M$1,0)))*100)+H518,""))</f>
        <v/>
      </c>
      <c r="AR518" s="148" t="str">
        <f>IF($AN518=FALSE,"",IFERROR((IF(T518="Unrestricted","",INDEX('Flat Rates'!$A$1:$M$3880,MATCH($AM518,'Flat Rates'!$A$1:$A$3880,0),MATCH("Uni/Day Rate",'Flat Rates'!$A$1:$M$1,0)))*100)+H518,""))</f>
        <v/>
      </c>
      <c r="AS518" s="148" t="str">
        <f>IF($AN518=FALSE,"",IFERROR(IF(INDEX('Flat Rates'!$A$1:$M$3880,MATCH($AM518,'Flat Rates'!$A$1:$A$3880,0),MATCH("Night Unit Rate",'Flat Rates'!$A$1:$M$1,0))=0,"",((INDEX('Flat Rates'!$A$1:$M$3880,MATCH($AM518,'Flat Rates'!$A$1:$A$3880,0),MATCH("Night Unit Rate",'Flat Rates'!$A$1:$M$1,0)))*100)+H518),""))</f>
        <v/>
      </c>
      <c r="AT518" s="148" t="str">
        <f>IF($AN518=FALSE,"",IFERROR(IF(INDEX('Flat Rates'!$A$1:$M$3880,MATCH($AM518,'Flat Rates'!$A$1:$A$3880,0),MATCH("Evening and Weekend Rate",'Flat Rates'!$A$1:$M$1,0))=0,"",((INDEX('Flat Rates'!$A$1:$M$3880,MATCH($AM518,'Flat Rates'!$A$1:$A$3880,0),MATCH("Evening and Weekend Rate",'Flat Rates'!$A$1:$M$1,0)))*100)+H518),""))</f>
        <v/>
      </c>
      <c r="AU518" s="152" t="str">
        <f t="shared" si="203"/>
        <v/>
      </c>
      <c r="AV518" s="152" t="str">
        <f t="shared" si="204"/>
        <v/>
      </c>
      <c r="AW518" s="152" t="str">
        <f t="shared" si="205"/>
        <v/>
      </c>
    </row>
  </sheetData>
  <protectedRanges>
    <protectedRange sqref="G19:I518" name="Range1_1_5_1"/>
    <protectedRange sqref="J19:L518" name="Range1_1_5_3"/>
  </protectedRanges>
  <phoneticPr fontId="23" type="noConversion"/>
  <dataValidations count="2">
    <dataValidation type="list" allowBlank="1" showInputMessage="1" showErrorMessage="1" sqref="J19:J518" xr:uid="{00000000-0002-0000-0100-000000000000}">
      <formula1>"1-Rate,2-Rate"</formula1>
    </dataValidation>
    <dataValidation type="list" allowBlank="1" showInputMessage="1" showErrorMessage="1" sqref="G19:G518" xr:uid="{B4BD3635-A021-432D-8236-EBF24E21D111}">
      <formula1>INDIRECT(F19)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2000000}">
          <x14:formula1>
            <xm:f>Dropdowns!$F$1:$F$21</xm:f>
          </x14:formula1>
          <xm:sqref>H19:H518</xm:sqref>
        </x14:dataValidation>
        <x14:dataValidation type="list" allowBlank="1" showInputMessage="1" showErrorMessage="1" xr:uid="{7A40951A-C2EA-44B2-BE7E-CC9D072C9D6A}">
          <x14:formula1>
            <xm:f>Dropdowns!$A$1:$C$1</xm:f>
          </x14:formula1>
          <xm:sqref>F19:F518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N37"/>
  <sheetViews>
    <sheetView showGridLines="0" showRowColHeaders="0" tabSelected="1" zoomScale="85" zoomScaleNormal="85" workbookViewId="0">
      <selection activeCell="G28" sqref="G28:G30"/>
    </sheetView>
  </sheetViews>
  <sheetFormatPr defaultColWidth="0" defaultRowHeight="14.4" zeroHeight="1" x14ac:dyDescent="0.3"/>
  <cols>
    <col min="1" max="1" width="9.109375" customWidth="1"/>
    <col min="2" max="2" width="18.33203125" customWidth="1"/>
    <col min="3" max="5" width="9.6640625" customWidth="1"/>
    <col min="6" max="6" width="9.109375" customWidth="1"/>
    <col min="7" max="11" width="20.6640625" customWidth="1"/>
    <col min="12" max="12" width="9.109375" customWidth="1"/>
    <col min="13" max="14" width="20.109375" hidden="1" customWidth="1"/>
    <col min="15" max="16384" width="9.109375" hidden="1"/>
  </cols>
  <sheetData>
    <row r="1" spans="1:12" x14ac:dyDescent="0.3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x14ac:dyDescent="0.3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5.75" customHeight="1" x14ac:dyDescent="0.3">
      <c r="A4" s="12"/>
      <c r="B4" s="12"/>
      <c r="C4" s="15"/>
      <c r="D4" s="15"/>
      <c r="E4" s="15"/>
      <c r="F4" s="12"/>
      <c r="H4" s="12"/>
      <c r="I4" s="12"/>
      <c r="J4" s="12"/>
      <c r="K4" s="12"/>
      <c r="L4" s="12"/>
    </row>
    <row r="5" spans="1:12" x14ac:dyDescent="0.3">
      <c r="A5" s="12"/>
      <c r="B5" s="12"/>
      <c r="C5" s="12"/>
      <c r="D5" s="12"/>
      <c r="E5" s="12"/>
      <c r="F5" s="12"/>
      <c r="H5" s="12"/>
      <c r="I5" s="12"/>
      <c r="J5" s="12"/>
      <c r="K5" s="12"/>
      <c r="L5" s="12"/>
    </row>
    <row r="6" spans="1:12" x14ac:dyDescent="0.3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x14ac:dyDescent="0.3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2" x14ac:dyDescent="0.3">
      <c r="A8" s="12"/>
      <c r="B8" s="161" t="s">
        <v>670</v>
      </c>
      <c r="C8" s="193" t="s">
        <v>825</v>
      </c>
      <c r="D8" s="193"/>
      <c r="E8" s="193"/>
      <c r="F8" s="12"/>
      <c r="G8" s="12"/>
      <c r="H8" s="12"/>
      <c r="I8" s="12"/>
      <c r="J8" s="12"/>
      <c r="K8" s="12"/>
      <c r="L8" s="12"/>
    </row>
    <row r="9" spans="1:12" ht="25.8" x14ac:dyDescent="0.5">
      <c r="A9" s="12"/>
      <c r="B9" s="22" t="s">
        <v>824</v>
      </c>
      <c r="C9" s="12"/>
      <c r="D9" s="12"/>
      <c r="E9" s="12"/>
      <c r="F9" s="12"/>
      <c r="G9" s="160" t="s">
        <v>823</v>
      </c>
      <c r="H9" s="12"/>
      <c r="I9" s="12"/>
      <c r="J9" s="12"/>
      <c r="K9" s="12"/>
      <c r="L9" s="12"/>
    </row>
    <row r="10" spans="1:12" x14ac:dyDescent="0.3">
      <c r="A10" s="12"/>
      <c r="B10" s="111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x14ac:dyDescent="0.3">
      <c r="A11" s="12"/>
      <c r="B11" s="194" t="s">
        <v>118</v>
      </c>
      <c r="C11" s="115"/>
      <c r="D11" s="116"/>
      <c r="E11" s="116"/>
      <c r="F11" s="12"/>
      <c r="G11" s="181" t="s">
        <v>83</v>
      </c>
      <c r="H11" s="181" t="s">
        <v>133</v>
      </c>
      <c r="I11" s="181" t="s">
        <v>134</v>
      </c>
      <c r="J11" s="181" t="s">
        <v>135</v>
      </c>
      <c r="K11" s="181" t="s">
        <v>136</v>
      </c>
      <c r="L11" s="12"/>
    </row>
    <row r="12" spans="1:12" ht="15.75" customHeight="1" x14ac:dyDescent="0.3">
      <c r="A12" s="12"/>
      <c r="B12" s="195"/>
      <c r="C12" s="117"/>
      <c r="D12" s="115"/>
      <c r="E12" s="115"/>
      <c r="F12" s="12"/>
      <c r="G12" s="181"/>
      <c r="H12" s="181"/>
      <c r="I12" s="181"/>
      <c r="J12" s="181"/>
      <c r="K12" s="181"/>
      <c r="L12" s="12"/>
    </row>
    <row r="13" spans="1:12" ht="15" customHeight="1" x14ac:dyDescent="0.3">
      <c r="A13" s="12"/>
      <c r="B13" s="114"/>
      <c r="C13" s="118"/>
      <c r="D13" s="118"/>
      <c r="E13" s="118"/>
      <c r="F13" s="12"/>
      <c r="G13" s="184" t="str">
        <f>Calcs!B23</f>
        <v/>
      </c>
      <c r="H13" s="184" t="str">
        <f>Calcs!C23</f>
        <v/>
      </c>
      <c r="I13" s="184" t="str">
        <f>Calcs!D23</f>
        <v/>
      </c>
      <c r="J13" s="184" t="str">
        <f>Calcs!E23</f>
        <v/>
      </c>
      <c r="K13" s="184" t="str">
        <f>IF(Calcs!F23=0,"",Calcs!F23)</f>
        <v/>
      </c>
      <c r="L13" s="12"/>
    </row>
    <row r="14" spans="1:12" ht="15" customHeight="1" x14ac:dyDescent="0.3">
      <c r="A14" s="12"/>
      <c r="B14" s="162" t="s">
        <v>59</v>
      </c>
      <c r="C14" s="196"/>
      <c r="D14" s="196"/>
      <c r="E14" s="196"/>
      <c r="F14" s="12"/>
      <c r="G14" s="190"/>
      <c r="H14" s="190"/>
      <c r="I14" s="190"/>
      <c r="J14" s="190"/>
      <c r="K14" s="190"/>
      <c r="L14" s="12"/>
    </row>
    <row r="15" spans="1:12" x14ac:dyDescent="0.3">
      <c r="A15" s="12"/>
      <c r="B15" s="12"/>
      <c r="C15" s="112"/>
      <c r="D15" s="112"/>
      <c r="E15" s="112"/>
      <c r="F15" s="12"/>
      <c r="G15" s="21"/>
      <c r="H15" s="18"/>
      <c r="I15" s="18"/>
      <c r="J15" s="18"/>
      <c r="K15" s="18"/>
      <c r="L15" s="12"/>
    </row>
    <row r="16" spans="1:12" x14ac:dyDescent="0.3">
      <c r="A16" s="12"/>
      <c r="B16" s="162" t="s">
        <v>66</v>
      </c>
      <c r="C16" s="192"/>
      <c r="D16" s="192"/>
      <c r="E16" s="192"/>
      <c r="F16" s="12"/>
      <c r="G16" s="181" t="s">
        <v>99</v>
      </c>
      <c r="H16" s="181" t="s">
        <v>97</v>
      </c>
      <c r="I16" s="28"/>
      <c r="J16" s="23"/>
      <c r="K16" s="24"/>
      <c r="L16" s="12"/>
    </row>
    <row r="17" spans="1:12" x14ac:dyDescent="0.3">
      <c r="A17" s="12"/>
      <c r="B17" s="17"/>
      <c r="C17" s="112"/>
      <c r="D17" s="112"/>
      <c r="E17" s="112"/>
      <c r="F17" s="12"/>
      <c r="G17" s="181"/>
      <c r="H17" s="181"/>
      <c r="I17" s="12"/>
      <c r="J17" s="32"/>
      <c r="K17" s="25"/>
      <c r="L17" s="12"/>
    </row>
    <row r="18" spans="1:12" ht="15" customHeight="1" x14ac:dyDescent="0.3">
      <c r="A18" s="12"/>
      <c r="B18" s="162" t="s">
        <v>10</v>
      </c>
      <c r="C18" s="192"/>
      <c r="D18" s="192"/>
      <c r="E18" s="192"/>
      <c r="F18" s="12"/>
      <c r="G18" s="184" t="str">
        <f>IF($C$11="","",IF(MPAN!B3="00",Calcs!B43,"N/A"))</f>
        <v/>
      </c>
      <c r="H18" s="182" t="str">
        <f>IF($C$11="","",IF(MPAN!$B$3="00",Calcs!$C$43,"N/A"))</f>
        <v/>
      </c>
      <c r="I18" s="12"/>
      <c r="J18" s="26"/>
      <c r="K18" s="27"/>
      <c r="L18" s="12"/>
    </row>
    <row r="19" spans="1:12" ht="15.75" customHeight="1" x14ac:dyDescent="0.3">
      <c r="A19" s="12"/>
      <c r="B19" s="17"/>
      <c r="C19" s="112"/>
      <c r="D19" s="112"/>
      <c r="E19" s="112"/>
      <c r="F19" s="12"/>
      <c r="G19" s="184"/>
      <c r="H19" s="183"/>
      <c r="I19" s="12"/>
      <c r="K19" s="29"/>
      <c r="L19" s="12"/>
    </row>
    <row r="20" spans="1:12" x14ac:dyDescent="0.3">
      <c r="A20" s="12"/>
      <c r="B20" s="162" t="s">
        <v>1</v>
      </c>
      <c r="C20" s="197"/>
      <c r="D20" s="197"/>
      <c r="E20" s="197"/>
      <c r="F20" s="12"/>
      <c r="G20" s="12"/>
      <c r="H20" s="12"/>
      <c r="I20" s="12"/>
      <c r="J20" s="18"/>
      <c r="K20" s="12"/>
      <c r="L20" s="12"/>
    </row>
    <row r="21" spans="1:12" x14ac:dyDescent="0.3">
      <c r="A21" s="12"/>
      <c r="B21" s="17"/>
      <c r="C21" s="112"/>
      <c r="D21" s="112"/>
      <c r="E21" s="112"/>
      <c r="F21" s="12"/>
      <c r="G21" s="185" t="s">
        <v>40</v>
      </c>
      <c r="H21" s="18"/>
      <c r="I21" s="187" t="s">
        <v>64</v>
      </c>
      <c r="J21" s="12"/>
      <c r="K21" s="12"/>
      <c r="L21" s="12"/>
    </row>
    <row r="22" spans="1:12" x14ac:dyDescent="0.3">
      <c r="A22" s="12"/>
      <c r="B22" s="162" t="s">
        <v>61</v>
      </c>
      <c r="C22" s="191"/>
      <c r="D22" s="191"/>
      <c r="E22" s="191"/>
      <c r="F22" s="12"/>
      <c r="G22" s="186"/>
      <c r="H22" s="12"/>
      <c r="I22" s="187"/>
      <c r="J22" s="12"/>
      <c r="K22" s="12"/>
      <c r="L22" s="12"/>
    </row>
    <row r="23" spans="1:12" ht="15" customHeight="1" x14ac:dyDescent="0.3">
      <c r="A23" s="12"/>
      <c r="B23" s="17"/>
      <c r="C23" s="112"/>
      <c r="D23" s="112"/>
      <c r="E23" s="112"/>
      <c r="F23" s="12"/>
      <c r="G23" s="189" t="str">
        <f>Calcs!G28</f>
        <v/>
      </c>
      <c r="H23" s="12"/>
      <c r="I23" s="182" t="str">
        <f>Calcs!$H$28</f>
        <v/>
      </c>
      <c r="J23" s="12"/>
      <c r="K23" s="12"/>
      <c r="L23" s="12"/>
    </row>
    <row r="24" spans="1:12" ht="15" customHeight="1" x14ac:dyDescent="0.3">
      <c r="A24" s="12"/>
      <c r="B24" s="162" t="s">
        <v>688</v>
      </c>
      <c r="C24" s="191"/>
      <c r="D24" s="191"/>
      <c r="E24" s="191"/>
      <c r="F24" s="12"/>
      <c r="G24" s="189"/>
      <c r="H24" s="12"/>
      <c r="I24" s="182"/>
      <c r="J24" s="12"/>
      <c r="K24" s="12"/>
      <c r="L24" s="12"/>
    </row>
    <row r="25" spans="1:12" ht="15" customHeight="1" x14ac:dyDescent="0.3">
      <c r="A25" s="12"/>
      <c r="B25" s="17"/>
      <c r="C25" s="112"/>
      <c r="D25" s="112"/>
      <c r="E25" s="112"/>
      <c r="F25" s="12"/>
      <c r="G25" s="125"/>
      <c r="I25" s="125"/>
      <c r="J25" s="12"/>
      <c r="K25" s="12"/>
      <c r="L25" s="12"/>
    </row>
    <row r="26" spans="1:12" ht="15" customHeight="1" x14ac:dyDescent="0.3">
      <c r="A26" s="12"/>
      <c r="B26" s="162" t="s">
        <v>96</v>
      </c>
      <c r="C26" s="192"/>
      <c r="D26" s="192"/>
      <c r="E26" s="192"/>
      <c r="F26" s="12"/>
      <c r="G26" s="123"/>
      <c r="H26" s="12"/>
      <c r="I26" s="124"/>
      <c r="J26" s="12"/>
      <c r="K26" s="12"/>
      <c r="L26" s="12"/>
    </row>
    <row r="27" spans="1:12" x14ac:dyDescent="0.3">
      <c r="A27" s="12"/>
      <c r="B27" s="19"/>
      <c r="C27" s="12"/>
      <c r="D27" s="12"/>
      <c r="E27" s="12"/>
      <c r="F27" s="12"/>
      <c r="H27" s="12"/>
      <c r="I27" s="12"/>
      <c r="J27" s="12"/>
      <c r="K27" s="12"/>
      <c r="L27" s="12"/>
    </row>
    <row r="28" spans="1:12" ht="15" customHeight="1" x14ac:dyDescent="0.3">
      <c r="A28" s="12"/>
      <c r="B28" s="20"/>
      <c r="C28" s="12"/>
      <c r="D28" s="12"/>
      <c r="E28" s="12"/>
      <c r="F28" s="12"/>
      <c r="G28" s="187" t="s">
        <v>58</v>
      </c>
      <c r="H28" s="188" t="str">
        <f ca="1">IFERROR(IF(AND(ISNA(OFFSET(Errors!B2,MATCH(TRUE,Errors!$C$3:$C$49,0),0)),NOT($C$16="Acquisition"),$C$14&lt;(TODAY()+90)),"Please note you may not be able to Renew as the contract starts in less than 90 days. Please contact Sales Support for clarification.",OFFSET(Errors!B2,MATCH(TRUE,Errors!$C$3:$C$49,0),0)),CONCATENATE(IF(NOT(MPAN!$B$3="00"),"kVa input is only required on Profile 00 accounts. ",""),IF(AND($C$16="Acquisition",$C$22&gt;2),"",""),IF(MPAN!$B$14="YES","","")))</f>
        <v>Please enter the Profile Class</v>
      </c>
      <c r="I28" s="188"/>
      <c r="J28" s="188"/>
      <c r="K28" s="188"/>
      <c r="L28" s="12"/>
    </row>
    <row r="29" spans="1:12" x14ac:dyDescent="0.3">
      <c r="A29" s="12"/>
      <c r="B29" s="21"/>
      <c r="C29" s="12"/>
      <c r="D29" s="12"/>
      <c r="E29" s="12"/>
      <c r="F29" s="12"/>
      <c r="G29" s="187"/>
      <c r="H29" s="188"/>
      <c r="I29" s="188"/>
      <c r="J29" s="188"/>
      <c r="K29" s="188"/>
      <c r="L29" s="12"/>
    </row>
    <row r="30" spans="1:12" x14ac:dyDescent="0.3">
      <c r="A30" s="12"/>
      <c r="B30" s="21"/>
      <c r="C30" s="12"/>
      <c r="D30" s="12"/>
      <c r="E30" s="12"/>
      <c r="F30" s="12"/>
      <c r="G30" s="187"/>
      <c r="H30" s="188"/>
      <c r="I30" s="188"/>
      <c r="J30" s="188"/>
      <c r="K30" s="188"/>
      <c r="L30" s="12"/>
    </row>
    <row r="31" spans="1:12" x14ac:dyDescent="0.3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12" x14ac:dyDescent="0.3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1:12" x14ac:dyDescent="0.3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2" x14ac:dyDescent="0.3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1:12" x14ac:dyDescent="0.3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2" hidden="1" x14ac:dyDescent="0.3">
      <c r="A36" s="12"/>
      <c r="F36" s="12"/>
      <c r="L36" s="12"/>
    </row>
    <row r="37" spans="1:12" hidden="1" x14ac:dyDescent="0.3">
      <c r="A37" s="12"/>
      <c r="F37" s="12"/>
    </row>
  </sheetData>
  <sheetProtection algorithmName="SHA-512" hashValue="TXjEGKgOgocfVaVHZwQ0WK8ZGDp+rrhsZ+qX3DFmxHeig204/WDFGrXqupd/aQ76R/X+Po54lxIeODLXzWFsQQ==" saltValue="Xe1MhSm1kE4olP1NLjETgw==" spinCount="100000" sheet="1" objects="1" scenarios="1"/>
  <protectedRanges>
    <protectedRange sqref="C21:E26 C8:E8 C14:E19" name="Range1_1_5"/>
    <protectedRange sqref="C20:E20" name="Range1_1_2_3"/>
  </protectedRanges>
  <mergeCells count="29">
    <mergeCell ref="C22:E22"/>
    <mergeCell ref="C26:E26"/>
    <mergeCell ref="C8:E8"/>
    <mergeCell ref="B11:B12"/>
    <mergeCell ref="C14:E14"/>
    <mergeCell ref="C16:E16"/>
    <mergeCell ref="C18:E18"/>
    <mergeCell ref="C20:E20"/>
    <mergeCell ref="C24:E24"/>
    <mergeCell ref="G13:G14"/>
    <mergeCell ref="H13:H14"/>
    <mergeCell ref="I13:I14"/>
    <mergeCell ref="J13:J14"/>
    <mergeCell ref="K13:K14"/>
    <mergeCell ref="G11:G12"/>
    <mergeCell ref="H11:H12"/>
    <mergeCell ref="I11:I12"/>
    <mergeCell ref="J11:J12"/>
    <mergeCell ref="K11:K12"/>
    <mergeCell ref="I21:I22"/>
    <mergeCell ref="G28:G30"/>
    <mergeCell ref="H28:K30"/>
    <mergeCell ref="G23:G24"/>
    <mergeCell ref="I23:I24"/>
    <mergeCell ref="G16:G17"/>
    <mergeCell ref="H16:H17"/>
    <mergeCell ref="H18:H19"/>
    <mergeCell ref="G18:G19"/>
    <mergeCell ref="G21:G22"/>
  </mergeCells>
  <conditionalFormatting sqref="G23 I23 H19 G25:G26 I25:I26 G13:K14">
    <cfRule type="expression" dxfId="47" priority="9">
      <formula>$C$22=""</formula>
    </cfRule>
    <cfRule type="expression" dxfId="46" priority="34">
      <formula>$C$22=""</formula>
    </cfRule>
  </conditionalFormatting>
  <conditionalFormatting sqref="G18:H18">
    <cfRule type="expression" dxfId="45" priority="4">
      <formula>$C$22=""</formula>
    </cfRule>
    <cfRule type="expression" dxfId="44" priority="8">
      <formula>$C$22=""</formula>
    </cfRule>
  </conditionalFormatting>
  <conditionalFormatting sqref="G23 I23 G18:H18 G25 I25 G13:K13">
    <cfRule type="expression" dxfId="43" priority="49">
      <formula>$C$22=""</formula>
    </cfRule>
    <cfRule type="expression" dxfId="42" priority="50">
      <formula>$C$14=""</formula>
    </cfRule>
  </conditionalFormatting>
  <dataValidations count="10">
    <dataValidation type="date" errorStyle="warning" allowBlank="1" showInputMessage="1" showErrorMessage="1" errorTitle="Incorrect Date Entered" error="Please enter SSD/CRD Date in an DD/MM/YYYY format." sqref="C14" xr:uid="{00000000-0002-0000-0200-000000000000}">
      <formula1>40179</formula1>
      <formula2>73051</formula2>
    </dataValidation>
    <dataValidation type="textLength" operator="equal" allowBlank="1" showInputMessage="1" showErrorMessage="1" errorTitle="Region ID" error="Region ID must be 2 characters long." sqref="C12" xr:uid="{00000000-0002-0000-0200-000001000000}">
      <formula1>2</formula1>
    </dataValidation>
    <dataValidation type="textLength" operator="equal" allowBlank="1" showInputMessage="1" showErrorMessage="1" errorTitle="Check Digit" error="Check Digit must be 3 characters long, any codes that are less than 100 must include prevailing 0's. e.g. a Check Digit of 1 would become 001" sqref="E12" xr:uid="{00000000-0002-0000-0200-000002000000}">
      <formula1>3</formula1>
    </dataValidation>
    <dataValidation type="textLength" operator="equal" allowBlank="1" showInputMessage="1" showErrorMessage="1" errorTitle="MPAN Core" error="MPAN Core must be 8 characters long without spaces." sqref="D12" xr:uid="{00000000-0002-0000-0200-000003000000}">
      <formula1>8</formula1>
    </dataValidation>
    <dataValidation type="textLength" operator="equal" allowBlank="1" showInputMessage="1" showErrorMessage="1" errorTitle="Profile Class" error="Profile Class must be 2 characters long, e.g. a Profile 3 should be input as 03" sqref="C11" xr:uid="{00000000-0002-0000-0200-000004000000}">
      <formula1>2</formula1>
    </dataValidation>
    <dataValidation type="textLength" operator="equal" allowBlank="1" showInputMessage="1" showErrorMessage="1" errorTitle="Meter Time-Switch Code" error="MTC must be 3 characters long, any codes that are less than 100 must include prevailing 0's. e.g. an MTC of 1 would become 001" sqref="D11" xr:uid="{00000000-0002-0000-0200-000005000000}">
      <formula1>3</formula1>
    </dataValidation>
    <dataValidation type="textLength" operator="equal" allowBlank="1" showInputMessage="1" showErrorMessage="1" errorTitle="Line Loss Factor" error="LLF must be 3 characters long, any codes that are less than 100 must include prevailing 0's. e.g. an LLF of 1 would become 001" sqref="E11" xr:uid="{00000000-0002-0000-0200-000006000000}">
      <formula1>3</formula1>
    </dataValidation>
    <dataValidation errorStyle="warning" allowBlank="1" showInputMessage="1" showErrorMessage="1" errorTitle="Incorrect Date Entered" error="Please enter SSD/CRD Date in an DD/MM/YYYY format." sqref="C8:E8" xr:uid="{00000000-0002-0000-0200-000007000000}"/>
    <dataValidation type="list" allowBlank="1" showInputMessage="1" showErrorMessage="1" sqref="C18:E18" xr:uid="{00000000-0002-0000-0200-000008000000}">
      <formula1>INDIRECT(C16)</formula1>
    </dataValidation>
    <dataValidation type="list" allowBlank="1" showInputMessage="1" showErrorMessage="1" sqref="C24:E24" xr:uid="{00000000-0002-0000-0200-000009000000}">
      <formula1>"1-Rate,2-Rate"</formula1>
    </dataValidation>
  </dataValidations>
  <pageMargins left="0.7" right="0.7" top="0.75" bottom="0.75" header="0.3" footer="0.3"/>
  <pageSetup paperSize="9" scale="75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42825F7F-75CB-4AD3-ADC8-E81E48AB4CEB}">
            <xm:f>MATCH(TRUE,Errors!$C$23:$C$38,0)&gt;0</xm:f>
            <x14:dxf>
              <font>
                <color theme="0" tint="-0.14996795556505021"/>
              </font>
            </x14:dxf>
          </x14:cfRule>
          <xm:sqref>G23 L6 I23 G25 I25 G13:K13 G18:H18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3478249-C508-43F3-8457-B9A86BC24E22}">
          <x14:formula1>
            <xm:f>Dropdowns!$A$1:$C$1</xm:f>
          </x14:formula1>
          <xm:sqref>C16:E16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2:D49"/>
  <sheetViews>
    <sheetView topLeftCell="A19" workbookViewId="0">
      <selection activeCell="C32" sqref="C32"/>
    </sheetView>
  </sheetViews>
  <sheetFormatPr defaultRowHeight="14.4" x14ac:dyDescent="0.3"/>
  <cols>
    <col min="2" max="2" width="146.109375" bestFit="1" customWidth="1"/>
    <col min="7" max="7" width="49.109375" bestFit="1" customWidth="1"/>
  </cols>
  <sheetData>
    <row r="2" spans="2:3" x14ac:dyDescent="0.3">
      <c r="B2" t="s">
        <v>42</v>
      </c>
      <c r="C2" s="3" t="s">
        <v>43</v>
      </c>
    </row>
    <row r="3" spans="2:3" x14ac:dyDescent="0.3">
      <c r="B3" t="s">
        <v>674</v>
      </c>
      <c r="C3" s="3" t="b">
        <f>IF(Tool!$C$11="",TRUE,FALSE)</f>
        <v>1</v>
      </c>
    </row>
    <row r="4" spans="2:3" x14ac:dyDescent="0.3">
      <c r="B4" t="s">
        <v>680</v>
      </c>
      <c r="C4" t="b">
        <f>IFERROR(IF(OR(VALUE(Tool!$C$11)&lt;0,VALUE(Tool!$C$11)&gt;8),TRUE,ISERROR(Tool!$C$11+1)),TRUE)</f>
        <v>0</v>
      </c>
    </row>
    <row r="5" spans="2:3" x14ac:dyDescent="0.3">
      <c r="B5" t="s">
        <v>678</v>
      </c>
      <c r="C5" s="3" t="b">
        <f>IF(Tool!$D$11="",TRUE,FALSE)</f>
        <v>1</v>
      </c>
    </row>
    <row r="6" spans="2:3" x14ac:dyDescent="0.3">
      <c r="B6" t="s">
        <v>681</v>
      </c>
      <c r="C6" s="3" t="b">
        <f>IFERROR(IF(OR(VALUE(Tool!$D$11)&lt;0,VALUE(Tool!$D$11)&gt;999),TRUE,ISERROR(Tool!$D$11+1)),TRUE)</f>
        <v>0</v>
      </c>
    </row>
    <row r="7" spans="2:3" x14ac:dyDescent="0.3">
      <c r="B7" t="s">
        <v>675</v>
      </c>
      <c r="C7" s="3" t="b">
        <f>IF(Tool!$E$11="",TRUE,FALSE)</f>
        <v>1</v>
      </c>
    </row>
    <row r="8" spans="2:3" x14ac:dyDescent="0.3">
      <c r="B8" t="s">
        <v>682</v>
      </c>
      <c r="C8" s="3" t="b">
        <f>IFERROR(IF(OR(VALUE(Tool!$E$11)&lt;0,VALUE(Tool!$E$11)&gt;999),TRUE,ISERROR(Tool!$E$11+1)),TRUE)</f>
        <v>0</v>
      </c>
    </row>
    <row r="9" spans="2:3" x14ac:dyDescent="0.3">
      <c r="B9" t="s">
        <v>676</v>
      </c>
      <c r="C9" s="3" t="b">
        <f>IF(Tool!$C$12="",TRUE,FALSE)</f>
        <v>1</v>
      </c>
    </row>
    <row r="10" spans="2:3" x14ac:dyDescent="0.3">
      <c r="B10" t="s">
        <v>683</v>
      </c>
      <c r="C10" s="3" t="b">
        <f>IFERROR(IF(OR(VALUE(Tool!$C$12)&lt;10,VALUE(Tool!$C$12)&gt;23),TRUE,ISERROR(Tool!$C$12+1)),TRUE)</f>
        <v>1</v>
      </c>
    </row>
    <row r="11" spans="2:3" x14ac:dyDescent="0.3">
      <c r="B11" t="s">
        <v>677</v>
      </c>
      <c r="C11" s="3" t="b">
        <f>IF(Tool!$D$12="",TRUE,FALSE)</f>
        <v>1</v>
      </c>
    </row>
    <row r="12" spans="2:3" x14ac:dyDescent="0.3">
      <c r="B12" t="s">
        <v>685</v>
      </c>
      <c r="C12" s="3" t="b">
        <f>IFERROR(IF(OR(VALUE(Tool!$D$12)&lt;0,VALUE(Tool!$D$12)&gt;99999999),TRUE,ISERROR(Tool!$D$12+1)),TRUE)</f>
        <v>0</v>
      </c>
    </row>
    <row r="13" spans="2:3" x14ac:dyDescent="0.3">
      <c r="B13" t="s">
        <v>679</v>
      </c>
      <c r="C13" s="3" t="b">
        <f>IF(Tool!$E$12="",TRUE,FALSE)</f>
        <v>1</v>
      </c>
    </row>
    <row r="14" spans="2:3" x14ac:dyDescent="0.3">
      <c r="B14" t="s">
        <v>684</v>
      </c>
      <c r="C14" s="3" t="b">
        <f>IFERROR(IF(OR(VALUE(Tool!$E$12)&lt;0,VALUE(Tool!$E$12)&gt;999),TRUE,ISERROR(Tool!$E$12+1)),TRUE)</f>
        <v>0</v>
      </c>
    </row>
    <row r="15" spans="2:3" x14ac:dyDescent="0.3">
      <c r="B15" t="s">
        <v>75</v>
      </c>
      <c r="C15" s="3" t="b">
        <f>IF(AND(Tool!$C$14="",Tool!$C$16=""),TRUE,FALSE)</f>
        <v>1</v>
      </c>
    </row>
    <row r="16" spans="2:3" x14ac:dyDescent="0.3">
      <c r="B16" t="s">
        <v>76</v>
      </c>
      <c r="C16" s="3" t="b">
        <f>IF(AND(Tool!$C$16="Acquisition",Tool!$C$14=""),TRUE,FALSE)</f>
        <v>0</v>
      </c>
    </row>
    <row r="17" spans="1:4" x14ac:dyDescent="0.3">
      <c r="B17" t="s">
        <v>77</v>
      </c>
      <c r="C17" s="3" t="b">
        <f>IF(AND(NOT(Tool!$C$16="Acquisition"),Tool!$C$14=""),TRUE,FALSE)</f>
        <v>1</v>
      </c>
    </row>
    <row r="18" spans="1:4" x14ac:dyDescent="0.3">
      <c r="B18" t="s">
        <v>78</v>
      </c>
      <c r="C18" s="3" t="b">
        <f>IF(Tool!$C$16="",TRUE,FALSE)</f>
        <v>1</v>
      </c>
    </row>
    <row r="19" spans="1:4" x14ac:dyDescent="0.3">
      <c r="B19" t="s">
        <v>79</v>
      </c>
      <c r="C19" s="3" t="b">
        <f>IF(Tool!$C$18="",TRUE,FALSE)</f>
        <v>1</v>
      </c>
    </row>
    <row r="20" spans="1:4" x14ac:dyDescent="0.3">
      <c r="B20" t="s">
        <v>80</v>
      </c>
      <c r="C20" s="3" t="b">
        <f>IF(Tool!$C$20="",TRUE,FALSE)</f>
        <v>1</v>
      </c>
    </row>
    <row r="21" spans="1:4" x14ac:dyDescent="0.3">
      <c r="B21" t="s">
        <v>81</v>
      </c>
      <c r="C21" t="b">
        <f>IF(Tool!$C$22="",TRUE,FALSE)</f>
        <v>1</v>
      </c>
    </row>
    <row r="22" spans="1:4" x14ac:dyDescent="0.3">
      <c r="B22" t="s">
        <v>103</v>
      </c>
      <c r="C22" s="3" t="b">
        <f>IF(AND(MPAN!$B$3="00",Tool!C26=""),TRUE,FALSE)</f>
        <v>0</v>
      </c>
    </row>
    <row r="23" spans="1:4" x14ac:dyDescent="0.3">
      <c r="B23" t="s">
        <v>44</v>
      </c>
      <c r="C23" t="b">
        <f>IF(Tool!C22&lt;0,TRUE,FALSE)</f>
        <v>0</v>
      </c>
    </row>
    <row r="24" spans="1:4" x14ac:dyDescent="0.3">
      <c r="B24" t="s">
        <v>696</v>
      </c>
      <c r="C24" t="b">
        <f>IF($C$37=TRUE,FALSE,IF(Tool!C20&gt;500000,TRUE,FALSE))</f>
        <v>0</v>
      </c>
    </row>
    <row r="25" spans="1:4" x14ac:dyDescent="0.3">
      <c r="B25" t="s">
        <v>45</v>
      </c>
      <c r="C25" t="b">
        <f>IF(Tool!C20&lt;5000,TRUE,FALSE)</f>
        <v>1</v>
      </c>
    </row>
    <row r="26" spans="1:4" x14ac:dyDescent="0.3">
      <c r="B26" t="s">
        <v>67</v>
      </c>
      <c r="D26" t="b">
        <f>IF($C$38=TRUE,FALSE,IF(AND(Tool!C16="Reward Plus",Tool!C22&gt;3),TRUE,FALSE))</f>
        <v>0</v>
      </c>
    </row>
    <row r="27" spans="1:4" x14ac:dyDescent="0.3">
      <c r="B27" t="s">
        <v>694</v>
      </c>
      <c r="C27" t="b">
        <f>IF(C38=TRUE,FALSE,IF(AND(Tool!C16="Renewal",Tool!C22&gt;2),TRUE,FALSE))</f>
        <v>0</v>
      </c>
    </row>
    <row r="28" spans="1:4" x14ac:dyDescent="0.3">
      <c r="B28" t="s">
        <v>695</v>
      </c>
      <c r="C28" t="b">
        <f>IF(C38=TRUE,FALSE,IF(AND(Tool!C16="Acquisition",Tool!C22&gt;2),TRUE,FALSE))</f>
        <v>0</v>
      </c>
    </row>
    <row r="29" spans="1:4" x14ac:dyDescent="0.3">
      <c r="B29" t="s">
        <v>95</v>
      </c>
      <c r="C29" t="b">
        <f>IF(Tool!C22&lt;&gt;ROUND(Tool!C22,1),TRUE,FALSE)</f>
        <v>0</v>
      </c>
    </row>
    <row r="30" spans="1:4" x14ac:dyDescent="0.3">
      <c r="B30" t="s">
        <v>52</v>
      </c>
      <c r="C30" t="b">
        <f ca="1">IF(Tool!$C$14&lt;TODAY(),FALSE,IF(AND(Tool!$C$16="Acquisition",Tool!C14-TODAY()&lt;10),TRUE,FALSE))</f>
        <v>0</v>
      </c>
    </row>
    <row r="31" spans="1:4" x14ac:dyDescent="0.3">
      <c r="A31" s="129" t="s">
        <v>692</v>
      </c>
      <c r="B31" t="str">
        <f>CONCATENATE("ERROR - Latest Service Start Date currently accepted is ",TEXT(Calcs!$I$4,"dd/mm/yyyy"))</f>
        <v>ERROR - Latest Service Start Date currently accepted is 31/01/2022</v>
      </c>
      <c r="C31" t="b">
        <f>IF(C36=TRUE,FALSE,IF(Tool!$C$14&gt;Calcs!$I$4,TRUE,FALSE))</f>
        <v>0</v>
      </c>
    </row>
    <row r="32" spans="1:4" x14ac:dyDescent="0.3">
      <c r="B32" t="s">
        <v>65</v>
      </c>
      <c r="C32" t="b">
        <f ca="1">IF(AND(Tool!$C$16="Acquisition",Tool!C14&lt;TODAY()),TRUE,FALSE)</f>
        <v>0</v>
      </c>
    </row>
    <row r="33" spans="1:4" x14ac:dyDescent="0.3">
      <c r="B33" t="s">
        <v>53</v>
      </c>
      <c r="C33" t="b">
        <f ca="1">IF(AND(NOT(Tool!$C$16="Acquisition"),Tool!C14&lt;TODAY()),TRUE,FALSE)</f>
        <v>1</v>
      </c>
    </row>
    <row r="34" spans="1:4" x14ac:dyDescent="0.3">
      <c r="B34" t="s">
        <v>693</v>
      </c>
      <c r="C34" t="b">
        <f ca="1">IF($C$36=TRUE,FALSE,IF(AND(NOT(Tool!$C$16="Acquisition"),Tool!$C$14&gt;(TODAY()+365)),TRUE,FALSE))</f>
        <v>0</v>
      </c>
    </row>
    <row r="35" spans="1:4" x14ac:dyDescent="0.3">
      <c r="B35" t="s">
        <v>54</v>
      </c>
      <c r="D35" t="b">
        <f ca="1">IF(AND(NOT(Tool!$C$16="Acquisition"),Tool!$C$14&lt;(TODAY()+90)),TRUE,FALSE)</f>
        <v>1</v>
      </c>
    </row>
    <row r="36" spans="1:4" x14ac:dyDescent="0.3">
      <c r="B36" t="s">
        <v>55</v>
      </c>
      <c r="C36" t="b">
        <f>ISERROR((Tool!$C$14+1))</f>
        <v>0</v>
      </c>
    </row>
    <row r="37" spans="1:4" x14ac:dyDescent="0.3">
      <c r="B37" t="s">
        <v>57</v>
      </c>
      <c r="C37" t="b">
        <f>ISERROR(Tool!$C$20+1)</f>
        <v>0</v>
      </c>
    </row>
    <row r="38" spans="1:4" x14ac:dyDescent="0.3">
      <c r="B38" t="s">
        <v>56</v>
      </c>
      <c r="C38" t="b">
        <f>ISERROR(Tool!$C$22+1)</f>
        <v>0</v>
      </c>
    </row>
    <row r="39" spans="1:4" x14ac:dyDescent="0.3">
      <c r="A39" s="129" t="s">
        <v>692</v>
      </c>
      <c r="B39" t="str">
        <f>CONCATENATE("ERROR - Latest SSD accepted for Acquisition contracts is ",TEXT(Calcs!$I$4,"DD/MM/YYY"),".")</f>
        <v>ERROR - Latest SSD accepted for Acquisition contracts is 31/01/2022.</v>
      </c>
      <c r="C39" t="b">
        <f>IF(AND(Tool!$C$16="Acquisition",Tool!$C$14&gt;Calcs!$I$4),TRUE,FALSE)</f>
        <v>0</v>
      </c>
    </row>
    <row r="40" spans="1:4" x14ac:dyDescent="0.3">
      <c r="A40" s="129" t="s">
        <v>692</v>
      </c>
      <c r="B40" t="str">
        <f>CONCATENATE("ERROR - Latest SSD accepted for Acquisition contracts for Profile Class 0 MPANs ",TEXT(Calcs!$I$4,"DD/MM/YYY"))</f>
        <v>ERROR - Latest SSD accepted for Acquisition contracts for Profile Class 0 MPANs 31/01/2022</v>
      </c>
      <c r="C40" t="b">
        <f>IF(AND(Tool!$C$16="Acquisition",MPAN!$C$11=0,Tool!$C$14&gt;Calcs!$I$4),TRUE,FALSE)</f>
        <v>0</v>
      </c>
    </row>
    <row r="41" spans="1:4" x14ac:dyDescent="0.3">
      <c r="B41" t="s">
        <v>690</v>
      </c>
      <c r="C41" t="b">
        <f>IF(AND(NOT(Tool!C11="00"),NOT(Tool!C24="")),TRUE,FALSE)</f>
        <v>0</v>
      </c>
    </row>
    <row r="42" spans="1:4" x14ac:dyDescent="0.3">
      <c r="B42" t="s">
        <v>702</v>
      </c>
      <c r="C42" t="b">
        <f>IF(AND(Tool!C16="Smartpay",OR(Tool!C18="Smarttracker",Tool!C18="SmartFIX – 1 Year",Tool!C18="SmartFIX – 2 Year",Tool!C18="SmartFIX – 3 Year")),TRUE,FALSE)</f>
        <v>0</v>
      </c>
    </row>
    <row r="43" spans="1:4" x14ac:dyDescent="0.3">
      <c r="B43" t="s">
        <v>702</v>
      </c>
      <c r="C43" t="b">
        <f>IF(AND(Tool!C16="Smartpay_Renewal",OR(Tool!C18="Smarttracker",Tool!C18="SmartFIX – 1 Year",Tool!C18="SmartFIX – 2 Year",Tool!C18="SmartFIX – 3 Year")),TRUE,FALSE)</f>
        <v>0</v>
      </c>
    </row>
    <row r="44" spans="1:4" x14ac:dyDescent="0.3">
      <c r="B44" t="s">
        <v>104</v>
      </c>
      <c r="D44" t="b">
        <f>IF(AND(MPAN!$C$11=0,NOT(MPAN!$B$8="2 Rate Half Hourly")),TRUE,FALSE)</f>
        <v>1</v>
      </c>
    </row>
    <row r="45" spans="1:4" x14ac:dyDescent="0.3">
      <c r="B45" t="s">
        <v>668</v>
      </c>
      <c r="C45" t="b">
        <f>IF(NOT(MPAN!$C$11="00"),FALSE,IF(ISNA(VLOOKUP(CONCATENATE(MPAN!$B$4,MPAN!$D$3,LOOKUP(2,1/(Lookups!$I$2:$I$11&lt;=Tool!$C$14)/(Lookups!$J$2:$J$11&gt;=Tool!$C$14),Lookups!$K$2:$K$11)),'HH LLFs'!$A$2:$K$500,3,0)),TRUE,FALSE))</f>
        <v>0</v>
      </c>
    </row>
    <row r="46" spans="1:4" x14ac:dyDescent="0.3">
      <c r="B46" t="s">
        <v>689</v>
      </c>
      <c r="C46" t="b">
        <f>IF(AND(Tool!C24="",Tool!C11="00"),TRUE,FALSE)</f>
        <v>0</v>
      </c>
    </row>
    <row r="47" spans="1:4" x14ac:dyDescent="0.3">
      <c r="B47" t="s">
        <v>51</v>
      </c>
      <c r="C47" t="b">
        <f>IF(AND(ISNA(INDEX('New HHTOU Flat Rates'!$A$2:$A$4000,MATCH(Calcs!$H$2,'New HHTOU Flat Rates'!$A$2:$A$4000,0))),ISNA(INDEX('Flat Rates'!$A$2:$A$3422,MATCH(Calcs!$H$2,'Flat Rates'!$A$2:$A$3422,0)))),TRUE,FALSE)</f>
        <v>1</v>
      </c>
    </row>
    <row r="48" spans="1:4" x14ac:dyDescent="0.3">
      <c r="B48" t="s">
        <v>101</v>
      </c>
      <c r="C48" t="b">
        <f>IF(AND(MPAN!$C$11=0,Tool!C26&lt;0),TRUE,FALSE)</f>
        <v>0</v>
      </c>
    </row>
    <row r="49" spans="2:3" x14ac:dyDescent="0.3">
      <c r="B49" t="s">
        <v>102</v>
      </c>
      <c r="C49" t="b">
        <f>IF(MPAN!$C$11=0,ISERROR(Tool!$C$26+1),FALSE)</f>
        <v>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B1:L43"/>
  <sheetViews>
    <sheetView topLeftCell="A13" workbookViewId="0">
      <selection activeCell="H32" sqref="H32"/>
    </sheetView>
  </sheetViews>
  <sheetFormatPr defaultRowHeight="14.4" x14ac:dyDescent="0.3"/>
  <cols>
    <col min="2" max="2" width="24" customWidth="1"/>
    <col min="3" max="3" width="14" customWidth="1"/>
    <col min="4" max="4" width="13.6640625" customWidth="1"/>
    <col min="5" max="5" width="13.44140625" customWidth="1"/>
    <col min="6" max="6" width="25.88671875" bestFit="1" customWidth="1"/>
    <col min="7" max="7" width="18.109375" customWidth="1"/>
    <col min="8" max="8" width="47.109375" bestFit="1" customWidth="1"/>
    <col min="9" max="9" width="24.6640625" bestFit="1" customWidth="1"/>
    <col min="10" max="10" width="16.109375" customWidth="1"/>
    <col min="12" max="13" width="25.44140625" customWidth="1"/>
  </cols>
  <sheetData>
    <row r="1" spans="2:10" ht="15" thickBot="1" x14ac:dyDescent="0.35">
      <c r="B1" s="5" t="s">
        <v>0</v>
      </c>
      <c r="C1" s="5" t="s">
        <v>9</v>
      </c>
      <c r="D1" s="5" t="s">
        <v>8</v>
      </c>
      <c r="E1" s="5" t="s">
        <v>72</v>
      </c>
      <c r="F1" s="5" t="s">
        <v>47</v>
      </c>
      <c r="G1" s="5" t="s">
        <v>82</v>
      </c>
      <c r="H1" s="5" t="s">
        <v>46</v>
      </c>
      <c r="I1" s="5" t="s">
        <v>73</v>
      </c>
      <c r="J1" s="31" t="s">
        <v>63</v>
      </c>
    </row>
    <row r="2" spans="2:10" ht="15" thickBot="1" x14ac:dyDescent="0.35">
      <c r="B2" s="13">
        <f>MPAN!$B$4</f>
        <v>0</v>
      </c>
      <c r="C2" s="13" t="str">
        <f>RIGHT(MPAN!$B$3,1)</f>
        <v>0</v>
      </c>
      <c r="D2" s="7" t="b">
        <f>IF(MPAN!$B$8="Unrestricted","U",IF(MPAN!$B$8="E7","E7",IF(MPAN!$B$8="EW","EW",IF(MPAN!$B$8="3-Rate","3RATE",IF(MPAN!$B$8="3 Rate Half Hourly","TOU",IF(MPAN!$B$8="HH 2RATE",CONCATENATE("HH 2RATE ",MPAN!$B$11),IF(MPAN!B8="HH 1RATE",CONCATENATE("HH 1RATE ",MPAN!$B$11))))))))</f>
        <v>0</v>
      </c>
      <c r="E2" s="7" t="str">
        <f>IF(Tool!$C$14&lt;=$I$2,"Level 1",IF(Tool!$C$14&lt;=$I$4,"Level 2",""))</f>
        <v>Level 1</v>
      </c>
      <c r="F2" s="13">
        <f>IF(Tool!C18="SmartFIX – 1 Year","SmartFIX – 1 Year",IF(Tool!C18="SmartFIX – 2 Year","SmartFIX – 2 Year",IF(Tool!C18="SmartFIX – 3 Year","SmartFIX – 3 Year",IF(Tool!C18="SmartFIX – 5 Year","SmartFIX – 5 Year",IF(AND(Tool!C16="SmartPAY",Tool!C18="SmartPAY12"),"SmartPAY12",IF(AND(Tool!C16="SmartPAY",Tool!C18="SmartPAY24"),"SmartPAY24",IF(AND(Tool!C16="SmartPAY",Tool!C18="SmartPAY36"),"SmartPAY36",IF(AND(Tool!C16="SmartPAY_Renewal",Tool!C18="SmartPAY12"),"SmartPAY12_Renewal",IF(AND(Tool!C16="SmartPAY_Renewal",Tool!C18="SmartPAY24"),"SmartPAY24_Renewal",IF(AND(Tool!C16="SmartPAY_Renewal",Tool!C18="SmartPAY36"),"SmartPAY36_Renewal",IF(AND(Tool!C18="SmartTRACKER",$H$8="Acquisition"),"SmartTRACKER",IF(AND(Tool!C18="SmartTRACKER",NOT($H$8="Acquisition")),"SmartTRACKER",))))))))))))</f>
        <v>0</v>
      </c>
      <c r="G2" s="13" t="str">
        <f>IF(OR(AND(ISNUMBER(SEARCH("SmartTRACKER",$F$2)),$H$8="Acquisition"),H8="Smartpay",H8="Smartpay_Renewal"),"",IF($H$8="Acquisition","",CONCATENATE(" ",$H$8)))</f>
        <v xml:space="preserve"> 0</v>
      </c>
      <c r="H2" s="7" t="str">
        <f>IF(NOT(D2="TOU"),CONCATENATE(B2,"-",C2,"-",D2,"-",F2,G2,IF($E$2="Level 2",CONCATENATE(" (",$E$2,")"),"")),CONCATENATE(H5,"-",B2,"-",C2,"-",D2,"-",F2,G2,IF($E$2="Level 2",CONCATENATE(" (",$E$2,")"),"")))</f>
        <v>0-0-FALSE-0 0</v>
      </c>
      <c r="I2" s="14">
        <f>EOMONTH('Flat Rates'!N2,5)</f>
        <v>44377</v>
      </c>
      <c r="J2" s="65" t="e">
        <f>LOOKUP(2,1/(Lookups!$I$2:$I$11&lt;=Tool!$C$14)/(Lookups!$J$2:$J$11&gt;=Tool!$C$14),Lookups!$L$2:$L$11)</f>
        <v>#N/A</v>
      </c>
    </row>
    <row r="3" spans="2:10" ht="15" customHeight="1" thickBot="1" x14ac:dyDescent="0.35">
      <c r="I3" s="5" t="s">
        <v>74</v>
      </c>
    </row>
    <row r="4" spans="2:10" ht="15" customHeight="1" thickBot="1" x14ac:dyDescent="0.35">
      <c r="H4" s="5" t="s">
        <v>41</v>
      </c>
      <c r="I4" s="14">
        <f>EOMONTH(I2,7)</f>
        <v>44592</v>
      </c>
    </row>
    <row r="5" spans="2:10" ht="15" thickBot="1" x14ac:dyDescent="0.35">
      <c r="B5" s="198" t="s">
        <v>48</v>
      </c>
      <c r="C5" s="8" t="s">
        <v>2</v>
      </c>
      <c r="D5" s="5" t="s">
        <v>3</v>
      </c>
      <c r="H5" s="7">
        <f>Tool!C22</f>
        <v>0</v>
      </c>
    </row>
    <row r="6" spans="2:10" ht="15" thickBot="1" x14ac:dyDescent="0.35">
      <c r="B6" s="199"/>
      <c r="C6" s="9">
        <v>0.7</v>
      </c>
      <c r="D6" s="9">
        <v>0.3</v>
      </c>
    </row>
    <row r="7" spans="2:10" ht="15" thickBot="1" x14ac:dyDescent="0.35">
      <c r="B7" s="16"/>
      <c r="H7" s="5" t="s">
        <v>39</v>
      </c>
      <c r="I7" s="6"/>
    </row>
    <row r="8" spans="2:10" ht="15" thickBot="1" x14ac:dyDescent="0.35">
      <c r="B8" s="198" t="s">
        <v>49</v>
      </c>
      <c r="C8" s="8" t="s">
        <v>2</v>
      </c>
      <c r="D8" s="5" t="s">
        <v>3</v>
      </c>
      <c r="E8" s="5" t="s">
        <v>4</v>
      </c>
      <c r="H8" s="4">
        <f>Tool!C16</f>
        <v>0</v>
      </c>
      <c r="I8" s="3"/>
    </row>
    <row r="9" spans="2:10" ht="15" thickBot="1" x14ac:dyDescent="0.35">
      <c r="B9" s="199"/>
      <c r="C9" s="9">
        <v>0.6</v>
      </c>
      <c r="D9" s="9">
        <v>0.2</v>
      </c>
      <c r="E9" s="9">
        <v>0.2</v>
      </c>
    </row>
    <row r="10" spans="2:10" ht="15" thickBot="1" x14ac:dyDescent="0.35">
      <c r="B10" s="16"/>
      <c r="H10" s="5" t="s">
        <v>1</v>
      </c>
      <c r="I10" s="6"/>
    </row>
    <row r="11" spans="2:10" ht="15" thickBot="1" x14ac:dyDescent="0.35">
      <c r="B11" s="201" t="s">
        <v>50</v>
      </c>
      <c r="C11" s="8" t="s">
        <v>2</v>
      </c>
      <c r="D11" s="5" t="s">
        <v>4</v>
      </c>
      <c r="H11" s="4">
        <f>Tool!C20</f>
        <v>0</v>
      </c>
      <c r="I11" s="3"/>
    </row>
    <row r="12" spans="2:10" ht="15" thickBot="1" x14ac:dyDescent="0.35">
      <c r="B12" s="202"/>
      <c r="C12" s="9">
        <v>0.6</v>
      </c>
      <c r="D12" s="9">
        <v>0.4</v>
      </c>
      <c r="H12" s="3"/>
      <c r="I12" s="3"/>
    </row>
    <row r="13" spans="2:10" ht="15" thickBot="1" x14ac:dyDescent="0.35">
      <c r="H13" s="5" t="s">
        <v>8</v>
      </c>
      <c r="I13" s="6"/>
    </row>
    <row r="14" spans="2:10" ht="15" thickBot="1" x14ac:dyDescent="0.35">
      <c r="B14" s="198" t="s">
        <v>93</v>
      </c>
      <c r="C14" s="8" t="s">
        <v>89</v>
      </c>
      <c r="D14" s="5" t="s">
        <v>90</v>
      </c>
      <c r="E14" s="5" t="s">
        <v>91</v>
      </c>
      <c r="H14" s="4" t="str">
        <f>MPAN!$B$8</f>
        <v>ERROR</v>
      </c>
      <c r="I14" s="3"/>
    </row>
    <row r="15" spans="2:10" ht="15" thickBot="1" x14ac:dyDescent="0.35">
      <c r="B15" s="199"/>
      <c r="C15" s="9">
        <v>0.39080778418047712</v>
      </c>
      <c r="D15" s="9">
        <v>0.42447868492763013</v>
      </c>
      <c r="E15" s="9">
        <v>0.1847135308918928</v>
      </c>
      <c r="H15" s="3"/>
      <c r="I15" s="3"/>
    </row>
    <row r="16" spans="2:10" ht="15" customHeight="1" thickBot="1" x14ac:dyDescent="0.35">
      <c r="C16" s="41"/>
      <c r="D16" s="41"/>
      <c r="E16" s="41"/>
      <c r="H16" s="5" t="s">
        <v>98</v>
      </c>
      <c r="I16" s="3"/>
    </row>
    <row r="17" spans="2:12" ht="15" thickBot="1" x14ac:dyDescent="0.35">
      <c r="B17" s="198" t="s">
        <v>92</v>
      </c>
      <c r="C17" s="8" t="s">
        <v>2</v>
      </c>
      <c r="D17" s="5" t="s">
        <v>3</v>
      </c>
      <c r="E17" s="41"/>
      <c r="H17" s="14">
        <f>Tool!C14</f>
        <v>0</v>
      </c>
      <c r="I17" s="3"/>
      <c r="K17" s="34"/>
    </row>
    <row r="18" spans="2:12" ht="15" thickBot="1" x14ac:dyDescent="0.35">
      <c r="B18" s="199"/>
      <c r="C18" s="42">
        <v>0.7</v>
      </c>
      <c r="D18" s="42">
        <v>0.3</v>
      </c>
      <c r="E18" s="41"/>
      <c r="H18" s="3"/>
      <c r="I18" s="3"/>
    </row>
    <row r="19" spans="2:12" ht="15" thickBot="1" x14ac:dyDescent="0.35">
      <c r="H19" s="5" t="s">
        <v>100</v>
      </c>
      <c r="I19" s="3"/>
    </row>
    <row r="20" spans="2:12" ht="15" thickBot="1" x14ac:dyDescent="0.35">
      <c r="B20" t="s">
        <v>105</v>
      </c>
      <c r="H20" s="4">
        <f>Tool!$C$26</f>
        <v>0</v>
      </c>
    </row>
    <row r="21" spans="2:12" x14ac:dyDescent="0.3">
      <c r="B21" s="198" t="s">
        <v>34</v>
      </c>
      <c r="C21" s="198" t="s">
        <v>38</v>
      </c>
      <c r="D21" s="198" t="s">
        <v>37</v>
      </c>
      <c r="E21" s="198" t="s">
        <v>36</v>
      </c>
      <c r="F21" s="203" t="s">
        <v>35</v>
      </c>
      <c r="J21" s="34"/>
      <c r="L21" s="34"/>
    </row>
    <row r="22" spans="2:12" ht="15" customHeight="1" thickBot="1" x14ac:dyDescent="0.35">
      <c r="B22" s="199"/>
      <c r="C22" s="199"/>
      <c r="D22" s="199"/>
      <c r="E22" s="199"/>
      <c r="F22" s="204"/>
    </row>
    <row r="23" spans="2:12" ht="15" thickBot="1" x14ac:dyDescent="0.35">
      <c r="B23" s="33" t="str">
        <f>IFERROR(IF(INDEX(Errors!$C$3:$C$49,MATCH(TRUE,Errors!$C$3:$C$49,0)),""),IFERROR((((INDEX('Flat Rates'!$A$1:$M$3422,MATCH(Calcs!$H$2,'Flat Rates'!$A$1:$A$3422,0),MATCH("Standing Charge",'Flat Rates'!$A$1:$M$1,0))*100))),""))</f>
        <v/>
      </c>
      <c r="C23" s="33" t="str">
        <f>IFERROR(IF(INDEX(Errors!$C$3:$C$49,MATCH(TRUE,Errors!$C$3:$C$49,0)),""),IFERROR((IF(NOT(H14="Unrestricted"),"",INDEX('Flat Rates'!$A$1:$M$3422,MATCH(Calcs!$H$2,'Flat Rates'!$A$1:$A$3422,0),MATCH("Uni/Day Rate",'Flat Rates'!$A$1:$M$1,0))+($H$5/100))*100),""))</f>
        <v/>
      </c>
      <c r="D23" s="33" t="str">
        <f>IFERROR(IF(INDEX(Errors!$C$3:$C$49,MATCH(TRUE,Errors!$C$3:$C$49,0)),""),IFERROR((IF(H14="Unrestricted","",INDEX('Flat Rates'!$A$1:$M$3422,MATCH(Calcs!$H$2,'Flat Rates'!$A$1:$A$3422,0),MATCH("Uni/Day Rate",'Flat Rates'!$A$1:$M$1,0))+($H$5/100))*100),""))</f>
        <v/>
      </c>
      <c r="E23" s="33" t="str">
        <f>IFERROR(IF(INDEX(Errors!$C$3:$C$49,MATCH(TRUE,Errors!$C$3:$C$49,0)),""),IFERROR(IF(INDEX('Flat Rates'!$A$1:$M$3422,MATCH(Calcs!$H$2,'Flat Rates'!$A$1:$A$3422,0),MATCH("Night Unit Rate",'Flat Rates'!$A$1:$M$1,0))=0,"",((INDEX('Flat Rates'!$A$1:$M$3422,MATCH(Calcs!$H$2,'Flat Rates'!$A$1:$A$3422,0),MATCH("Night Unit Rate",'Flat Rates'!$A$1:$M$1,0))+($H$5/100))*100)),""))</f>
        <v/>
      </c>
      <c r="F23" s="33" t="str">
        <f>IFERROR(IF(INDEX(Errors!$C$3:$C$49,MATCH(TRUE,Errors!$C$3:$C$49,0)),""),IFERROR(IF(INDEX('Flat Rates'!$A$1:$M$3422,MATCH(Calcs!$H$2,'Flat Rates'!$A$1:$A$3422,0),MATCH("Evening and Weekend Rate",'Flat Rates'!$A$1:$M$1,0))=0,"",((INDEX('Flat Rates'!$A$1:$M$3422,MATCH(Calcs!$H$2,'Flat Rates'!$A$1:$A$3422,0),MATCH("Evening and Weekend Rate",'Flat Rates'!$A$1:$M$1,0))+($H$5/100))*100)),""))</f>
        <v/>
      </c>
    </row>
    <row r="24" spans="2:12" x14ac:dyDescent="0.3">
      <c r="B24" s="3"/>
      <c r="C24" s="10"/>
      <c r="D24" s="10"/>
      <c r="E24" s="10"/>
      <c r="F24" s="10"/>
    </row>
    <row r="25" spans="2:12" ht="15" thickBot="1" x14ac:dyDescent="0.35">
      <c r="B25" t="s">
        <v>106</v>
      </c>
    </row>
    <row r="26" spans="2:12" x14ac:dyDescent="0.3">
      <c r="B26" s="198" t="s">
        <v>34</v>
      </c>
      <c r="C26" s="198" t="s">
        <v>38</v>
      </c>
      <c r="D26" s="198" t="s">
        <v>37</v>
      </c>
      <c r="E26" s="198" t="s">
        <v>36</v>
      </c>
      <c r="F26" s="203" t="s">
        <v>35</v>
      </c>
      <c r="G26" s="198" t="s">
        <v>5</v>
      </c>
      <c r="H26" s="198" t="s">
        <v>62</v>
      </c>
    </row>
    <row r="27" spans="2:12" ht="15" thickBot="1" x14ac:dyDescent="0.35">
      <c r="B27" s="199"/>
      <c r="C27" s="199"/>
      <c r="D27" s="199"/>
      <c r="E27" s="199"/>
      <c r="F27" s="204"/>
      <c r="G27" s="199" t="s">
        <v>5</v>
      </c>
      <c r="H27" s="200"/>
    </row>
    <row r="28" spans="2:12" ht="15" thickBot="1" x14ac:dyDescent="0.35">
      <c r="B28" s="1" t="str">
        <f>IFERROR(((IF(H14="3 Rate Half Hourly","",Tool!G13*365)/100)),"")</f>
        <v/>
      </c>
      <c r="C28" s="1" t="str">
        <f>IFERROR(((C23*H11)/100),"")</f>
        <v/>
      </c>
      <c r="D28" s="1" t="str">
        <f>IFERROR((IF($H$14="E7",((D23*H11)*C6),IF(H14="EW",((D23*H11)*C12),IF(H14="3-Rate",((D23*H11)*C9),IF($H$14="HH 2RATE",((D23*H11)*C18),IF(H14="HH 1RATE",(D23*H11),"")))))/100),"")</f>
        <v/>
      </c>
      <c r="E28" s="1" t="str">
        <f>IFERROR((IF(H14="E7",((E23*H11)*D6),IF(H14="3-Rate",((E23*H11)*D9),IF($H$14="HH 2RATE",((E23*H11)*D18),"")))/100),"")</f>
        <v/>
      </c>
      <c r="F28" s="1" t="str">
        <f>IFERROR((IF(H14="EW",((F23*H11)*D12),IF(H14="3-Rate",((F23*H11)*E9),""))/100),"")</f>
        <v/>
      </c>
      <c r="G28" s="30" t="str">
        <f>IFERROR(IF(INDEX(Errors!$C$3:$C$49,MATCH(TRUE,Errors!$C$3:$C$49,0)),""),IF(H14="3 Rate Half Hourly","",SUM(B28:F28,C43)))</f>
        <v/>
      </c>
      <c r="H28" s="11" t="str">
        <f>IFERROR(IF(INDEX(Errors!$C$3:$C$49,MATCH(TRUE,Errors!$C$3:$C$49,0)),""),IF(H14="3 Rate Half Hourly","",IF($H$11&lt;12000,(($G$28*1.05)/12),((($H$11*$J$2)+$G$28)*1.2)/12)))</f>
        <v/>
      </c>
    </row>
    <row r="29" spans="2:12" x14ac:dyDescent="0.3">
      <c r="B29" s="34"/>
      <c r="C29" s="34"/>
      <c r="D29" s="34"/>
      <c r="E29" s="34"/>
      <c r="F29" s="34"/>
      <c r="G29" s="35"/>
      <c r="H29" s="35"/>
    </row>
    <row r="30" spans="2:12" ht="15" thickBot="1" x14ac:dyDescent="0.35">
      <c r="B30" t="s">
        <v>107</v>
      </c>
    </row>
    <row r="31" spans="2:12" ht="15" customHeight="1" x14ac:dyDescent="0.3">
      <c r="B31" s="198" t="s">
        <v>34</v>
      </c>
      <c r="C31" s="198" t="s">
        <v>84</v>
      </c>
      <c r="D31" s="198" t="s">
        <v>86</v>
      </c>
      <c r="E31" s="198" t="s">
        <v>85</v>
      </c>
    </row>
    <row r="32" spans="2:12" ht="15" thickBot="1" x14ac:dyDescent="0.35">
      <c r="B32" s="199"/>
      <c r="C32" s="199"/>
      <c r="D32" s="199"/>
      <c r="E32" s="199"/>
    </row>
    <row r="33" spans="2:9" ht="15" thickBot="1" x14ac:dyDescent="0.35">
      <c r="B33" s="33" t="str">
        <f>IFERROR(IF(INDEX(Errors!$C$3:$C$49,MATCH(TRUE,Errors!$C$3:$C$49,0)),""),IFERROR((((INDEX('New HHTOU Flat Rates'!$A$1:$N$4000,MATCH(Calcs!$H$2,'New HHTOU Flat Rates'!$A$1:$A$4000,0),MATCH(B31,'New HHTOU Flat Rates'!$A$1:$N$1,0))*100))),""))</f>
        <v/>
      </c>
      <c r="C33" s="33" t="str">
        <f>IFERROR(IF(INDEX(Errors!$C$3:$C$49,MATCH(TRUE,Errors!$C$3:$C$49,0)),""),IFERROR(((((INDEX('New HHTOU Flat Rates'!$A$1:$N$4000,MATCH(Calcs!$H$2,'New HHTOU Flat Rates'!$A$1:$A$4000,0),MATCH(C31,'New HHTOU Flat Rates'!$A$1:$N$1,0)))*100))),""))</f>
        <v/>
      </c>
      <c r="D33" s="33" t="str">
        <f>IFERROR(IF(INDEX(Errors!$C$3:$C$49,MATCH(TRUE,Errors!$C$3:$C$49,0)),""),IFERROR(((((INDEX('New HHTOU Flat Rates'!$A$1:$N$4000,MATCH(Calcs!$H$2,'New HHTOU Flat Rates'!$A$1:$A$4000,0),MATCH(D31,'New HHTOU Flat Rates'!$A$1:$N$1,0)))*100))),""))</f>
        <v/>
      </c>
      <c r="E33" s="33" t="str">
        <f>IFERROR(IF(INDEX(Errors!$C$3:$C$49,MATCH(TRUE,Errors!$C$3:$C$49,0)),""),IFERROR(((((INDEX('New HHTOU Flat Rates'!$A$1:$N$4000,MATCH(Calcs!$H$2,'New HHTOU Flat Rates'!$A$1:$A$4000,0),MATCH(E31,'New HHTOU Flat Rates'!$A$1:$N$1,0)))*100))),""))</f>
        <v/>
      </c>
    </row>
    <row r="34" spans="2:9" x14ac:dyDescent="0.3">
      <c r="B34" s="3"/>
      <c r="C34" s="10"/>
      <c r="D34" s="10"/>
      <c r="E34" s="10"/>
      <c r="I34" s="34"/>
    </row>
    <row r="35" spans="2:9" ht="15" thickBot="1" x14ac:dyDescent="0.35">
      <c r="B35" t="s">
        <v>108</v>
      </c>
    </row>
    <row r="36" spans="2:9" x14ac:dyDescent="0.3">
      <c r="B36" s="198" t="s">
        <v>34</v>
      </c>
      <c r="C36" s="198" t="s">
        <v>84</v>
      </c>
      <c r="D36" s="198" t="s">
        <v>86</v>
      </c>
      <c r="E36" s="198" t="s">
        <v>85</v>
      </c>
      <c r="F36" s="198" t="s">
        <v>5</v>
      </c>
      <c r="G36" s="198" t="s">
        <v>62</v>
      </c>
    </row>
    <row r="37" spans="2:9" ht="15" thickBot="1" x14ac:dyDescent="0.35">
      <c r="B37" s="199"/>
      <c r="C37" s="199"/>
      <c r="D37" s="199"/>
      <c r="E37" s="199"/>
      <c r="F37" s="199" t="s">
        <v>5</v>
      </c>
      <c r="G37" s="200"/>
      <c r="H37" s="34"/>
    </row>
    <row r="38" spans="2:9" ht="15" thickBot="1" x14ac:dyDescent="0.35">
      <c r="B38" s="1" t="str">
        <f>IFERROR(((IF(NOT(H14="3 Rate Half Hourly"),"",Tool!G13*365)/100)),"")</f>
        <v/>
      </c>
      <c r="C38" s="1" t="str">
        <f>IFERROR((($C$33*$H$11)*$C$15)/100,"")</f>
        <v/>
      </c>
      <c r="D38" s="1" t="str">
        <f>IFERROR((($D$33*$H$11)*$D$15)/100,"")</f>
        <v/>
      </c>
      <c r="E38" s="1" t="str">
        <f>IFERROR((($E$33*$H$11)*$E$15)/100,"")</f>
        <v/>
      </c>
      <c r="F38" s="30" t="str">
        <f>IFERROR(IF(INDEX(Errors!$C$3:$C$49,MATCH(TRUE,Errors!$C$3:$C$49,0)),""),IF(NOT(H14="3 Rate Half Hourly"),"",SUM(B38:E38,$C$43)))</f>
        <v/>
      </c>
      <c r="G38" s="11" t="str">
        <f>IFERROR(IF(INDEX(Errors!$C$3:$C$49,MATCH(TRUE,Errors!$C$3:$C$49,0)),""),IF(NOT(H14="3 Rate Half Hourly"),"",IF($H$11&lt;12000,(($F$38*1.05)/12),((($H$11*#REF!)+$F$38)*1.2)/12)))</f>
        <v/>
      </c>
    </row>
    <row r="39" spans="2:9" x14ac:dyDescent="0.3">
      <c r="B39" s="34"/>
      <c r="C39" s="34"/>
      <c r="D39" s="34"/>
      <c r="E39" s="34"/>
      <c r="F39" s="35"/>
      <c r="G39" s="35"/>
    </row>
    <row r="40" spans="2:9" ht="15" thickBot="1" x14ac:dyDescent="0.35">
      <c r="B40" t="s">
        <v>109</v>
      </c>
    </row>
    <row r="41" spans="2:9" ht="15" customHeight="1" x14ac:dyDescent="0.3">
      <c r="B41" s="198" t="s">
        <v>99</v>
      </c>
      <c r="C41" s="198" t="s">
        <v>97</v>
      </c>
    </row>
    <row r="42" spans="2:9" ht="15" thickBot="1" x14ac:dyDescent="0.35">
      <c r="B42" s="199"/>
      <c r="C42" s="199"/>
    </row>
    <row r="43" spans="2:9" ht="15" customHeight="1" thickBot="1" x14ac:dyDescent="0.35">
      <c r="B43" s="65" t="str">
        <f>IF(NOT($C$2="0"),"",IFERROR(IF(INDEX(Errors!$C$3:$C$49,MATCH(TRUE,Errors!$C$3:$C$49,0)),""),(VLOOKUP(CONCATENATE(MPAN!$B$4,MPAN!$D$3,LOOKUP(2,1/(Lookups!$I$2:$I$11&lt;=Tool!$C$14)/(Lookups!$J$2:$J$11&gt;=Tool!$C$14),Lookups!$K$2:$K$11)),'HH LLFs'!$A$2:$F$500,6,0)*365)/12))</f>
        <v/>
      </c>
      <c r="C43" s="66" t="str">
        <f>IF(NOT(C2="0"),"",IFERROR(IF(INDEX(Errors!$C$3:$C$49,MATCH(TRUE,Errors!$C$3:$C$49,0)),""),((B43/100)*H20)*12))</f>
        <v/>
      </c>
    </row>
  </sheetData>
  <mergeCells count="29">
    <mergeCell ref="B41:B42"/>
    <mergeCell ref="C41:C42"/>
    <mergeCell ref="F21:F22"/>
    <mergeCell ref="H26:H27"/>
    <mergeCell ref="G26:G27"/>
    <mergeCell ref="B26:B27"/>
    <mergeCell ref="C26:C27"/>
    <mergeCell ref="D26:D27"/>
    <mergeCell ref="E26:E27"/>
    <mergeCell ref="F26:F27"/>
    <mergeCell ref="B31:B32"/>
    <mergeCell ref="C31:C32"/>
    <mergeCell ref="D31:D32"/>
    <mergeCell ref="E31:E32"/>
    <mergeCell ref="D21:D22"/>
    <mergeCell ref="E21:E22"/>
    <mergeCell ref="B5:B6"/>
    <mergeCell ref="B8:B9"/>
    <mergeCell ref="B11:B12"/>
    <mergeCell ref="B21:B22"/>
    <mergeCell ref="C21:C22"/>
    <mergeCell ref="B14:B15"/>
    <mergeCell ref="B17:B18"/>
    <mergeCell ref="F36:F37"/>
    <mergeCell ref="G36:G37"/>
    <mergeCell ref="B36:B37"/>
    <mergeCell ref="C36:C37"/>
    <mergeCell ref="D36:D37"/>
    <mergeCell ref="E36:E37"/>
  </mergeCells>
  <conditionalFormatting sqref="C34:E34 C23:F24">
    <cfRule type="expression" dxfId="40" priority="7">
      <formula>$I$12="ERROR"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E15"/>
  <sheetViews>
    <sheetView workbookViewId="0">
      <selection activeCell="B8" sqref="B8:D8"/>
    </sheetView>
  </sheetViews>
  <sheetFormatPr defaultColWidth="0" defaultRowHeight="14.4" zeroHeight="1" x14ac:dyDescent="0.3"/>
  <cols>
    <col min="1" max="5" width="9.109375" customWidth="1"/>
    <col min="6" max="16384" width="9.109375" hidden="1"/>
  </cols>
  <sheetData>
    <row r="1" spans="2:4" x14ac:dyDescent="0.3"/>
    <row r="2" spans="2:4" ht="15" thickBot="1" x14ac:dyDescent="0.35">
      <c r="B2" s="104" t="s">
        <v>9</v>
      </c>
      <c r="C2" s="104" t="s">
        <v>128</v>
      </c>
      <c r="D2" s="104" t="s">
        <v>129</v>
      </c>
    </row>
    <row r="3" spans="2:4" ht="15" thickBot="1" x14ac:dyDescent="0.35">
      <c r="B3" s="113">
        <f>Tool!C11</f>
        <v>0</v>
      </c>
      <c r="C3" s="113">
        <f>Tool!D11</f>
        <v>0</v>
      </c>
      <c r="D3" s="113">
        <f>Tool!E11</f>
        <v>0</v>
      </c>
    </row>
    <row r="4" spans="2:4" ht="15" thickBot="1" x14ac:dyDescent="0.35">
      <c r="B4" s="113">
        <f>Tool!C12</f>
        <v>0</v>
      </c>
      <c r="C4" s="113">
        <f>Tool!D12</f>
        <v>0</v>
      </c>
      <c r="D4" s="113">
        <f>Tool!E12</f>
        <v>0</v>
      </c>
    </row>
    <row r="5" spans="2:4" x14ac:dyDescent="0.3">
      <c r="B5" s="104" t="s">
        <v>0</v>
      </c>
      <c r="C5" s="104" t="s">
        <v>130</v>
      </c>
      <c r="D5" s="104" t="s">
        <v>131</v>
      </c>
    </row>
    <row r="6" spans="2:4" x14ac:dyDescent="0.3"/>
    <row r="7" spans="2:4" ht="15" thickBot="1" x14ac:dyDescent="0.35">
      <c r="B7" s="208" t="s">
        <v>132</v>
      </c>
      <c r="C7" s="208"/>
      <c r="D7" s="208"/>
    </row>
    <row r="8" spans="2:4" ht="15" thickBot="1" x14ac:dyDescent="0.35">
      <c r="B8" s="205" t="str">
        <f>IFERROR(IF($B$11="ERROR","ERROR",IF($B$3="00",IF(Tool!C24="1-Rate","HH 1RATE",IF(Tool!C24="2-Rate","HH 2RATE","")),IFERROR(VLOOKUP(CONCATENATE(B3,B4,C3,D3),Lookups!$A$2:$E$4557,5,0),VLOOKUP(CONCATENATE(B3,B4,C3),Lookups!$A$2:$E$4557,5,0)))),"ERROR")</f>
        <v>ERROR</v>
      </c>
      <c r="C8" s="206"/>
      <c r="D8" s="207"/>
    </row>
    <row r="9" spans="2:4" x14ac:dyDescent="0.3"/>
    <row r="10" spans="2:4" ht="15" thickBot="1" x14ac:dyDescent="0.35">
      <c r="B10" s="209" t="s">
        <v>645</v>
      </c>
      <c r="C10" s="209"/>
      <c r="D10" s="209"/>
    </row>
    <row r="11" spans="2:4" ht="15" thickBot="1" x14ac:dyDescent="0.35">
      <c r="B11" s="205" t="str">
        <f>IFERROR(IF(NOT($B$3="00"),"",VLOOKUP(CONCATENATE($B$4,$D$3,LOOKUP(2,1/(Lookups!$I$2:$I$11&lt;=Tool!$C$14)/(Lookups!$J$2:$J$11&gt;=Tool!$C$14),Lookups!$K$2:$K$11)),'HH LLFs'!$A$2:$K$500,3,0)),"ERROR")</f>
        <v/>
      </c>
      <c r="C11" s="206"/>
      <c r="D11" s="207"/>
    </row>
    <row r="12" spans="2:4" x14ac:dyDescent="0.3"/>
    <row r="13" spans="2:4" ht="15" thickBot="1" x14ac:dyDescent="0.35">
      <c r="B13" s="209" t="s">
        <v>657</v>
      </c>
      <c r="C13" s="209"/>
      <c r="D13" s="209"/>
    </row>
    <row r="14" spans="2:4" ht="15" thickBot="1" x14ac:dyDescent="0.35">
      <c r="B14" s="205" t="str">
        <f>IFERROR(IF(NOT($B$3="00"),"",IF(VLOOKUP(CONCATENATE($B$4,$D$3,LOOKUP(2,1/(Lookups!$I$2:$I$11&lt;=Tool!$C$14)/(Lookups!$J$2:$J$11&gt;=Tool!$C$14),Lookups!$K$2:$K$11)),'HH LLFs'!$A$2:$K$500,4,0)=$B$13,"YES","NO")),"ERROR")</f>
        <v/>
      </c>
      <c r="C14" s="206"/>
      <c r="D14" s="207"/>
    </row>
    <row r="15" spans="2:4" x14ac:dyDescent="0.3"/>
  </sheetData>
  <mergeCells count="6">
    <mergeCell ref="B14:D14"/>
    <mergeCell ref="B8:D8"/>
    <mergeCell ref="B7:D7"/>
    <mergeCell ref="B10:D10"/>
    <mergeCell ref="B11:D11"/>
    <mergeCell ref="B13:D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P455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16" sqref="I16"/>
    </sheetView>
  </sheetViews>
  <sheetFormatPr defaultRowHeight="14.4" x14ac:dyDescent="0.3"/>
  <cols>
    <col min="1" max="1" width="11" bestFit="1" customWidth="1"/>
    <col min="2" max="4" width="11.109375" style="101" customWidth="1"/>
    <col min="5" max="5" width="13.33203125" style="101" bestFit="1" customWidth="1"/>
    <col min="6" max="6" width="11.109375" style="101" customWidth="1"/>
    <col min="9" max="9" width="14.5546875" bestFit="1" customWidth="1"/>
    <col min="10" max="10" width="12" bestFit="1" customWidth="1"/>
    <col min="11" max="11" width="13.88671875" bestFit="1" customWidth="1"/>
    <col min="16" max="16" width="10.6640625" bestFit="1" customWidth="1"/>
  </cols>
  <sheetData>
    <row r="1" spans="1:16" x14ac:dyDescent="0.3">
      <c r="A1" s="103" t="s">
        <v>644</v>
      </c>
      <c r="B1" s="102" t="s">
        <v>137</v>
      </c>
      <c r="C1" s="102" t="s">
        <v>0</v>
      </c>
      <c r="D1" s="102" t="s">
        <v>128</v>
      </c>
      <c r="E1" s="102" t="s">
        <v>138</v>
      </c>
      <c r="F1" s="102" t="s">
        <v>129</v>
      </c>
      <c r="I1" s="108" t="s">
        <v>652</v>
      </c>
      <c r="J1" s="108" t="s">
        <v>653</v>
      </c>
      <c r="K1" s="103" t="s">
        <v>651</v>
      </c>
      <c r="L1" s="103" t="s">
        <v>669</v>
      </c>
    </row>
    <row r="2" spans="1:16" x14ac:dyDescent="0.3">
      <c r="A2" t="str">
        <f>CONCATENATE(B2,C2,D2,F2)</f>
        <v>0310801</v>
      </c>
      <c r="B2" s="101" t="s">
        <v>16</v>
      </c>
      <c r="C2" s="101" t="s">
        <v>143</v>
      </c>
      <c r="D2" s="101" t="s">
        <v>144</v>
      </c>
      <c r="E2" s="101" t="s">
        <v>139</v>
      </c>
      <c r="I2" s="105">
        <v>42461</v>
      </c>
      <c r="J2" s="105">
        <v>42825</v>
      </c>
      <c r="K2" t="s">
        <v>661</v>
      </c>
      <c r="L2">
        <v>5.5900000000000004E-3</v>
      </c>
    </row>
    <row r="3" spans="1:16" x14ac:dyDescent="0.3">
      <c r="A3" t="str">
        <f t="shared" ref="A3:A66" si="0">CONCATENATE(B3,C3,D3,F3)</f>
        <v>0310802</v>
      </c>
      <c r="B3" s="101" t="s">
        <v>16</v>
      </c>
      <c r="C3" s="101" t="s">
        <v>143</v>
      </c>
      <c r="D3" s="101" t="s">
        <v>145</v>
      </c>
      <c r="E3" s="101" t="s">
        <v>139</v>
      </c>
      <c r="I3" s="105">
        <v>42826</v>
      </c>
      <c r="J3" s="105">
        <v>43190</v>
      </c>
      <c r="K3" t="s">
        <v>658</v>
      </c>
      <c r="L3">
        <v>5.6800000000000002E-3</v>
      </c>
    </row>
    <row r="4" spans="1:16" x14ac:dyDescent="0.3">
      <c r="A4" t="str">
        <f t="shared" si="0"/>
        <v>0310500</v>
      </c>
      <c r="B4" s="101" t="s">
        <v>16</v>
      </c>
      <c r="C4" s="101" t="s">
        <v>143</v>
      </c>
      <c r="D4" s="101" t="s">
        <v>146</v>
      </c>
      <c r="E4" s="101" t="s">
        <v>139</v>
      </c>
      <c r="I4" s="105">
        <v>43191</v>
      </c>
      <c r="J4" s="105">
        <v>43555</v>
      </c>
      <c r="K4" t="s">
        <v>659</v>
      </c>
      <c r="L4">
        <v>5.8300000000000001E-3</v>
      </c>
    </row>
    <row r="5" spans="1:16" x14ac:dyDescent="0.3">
      <c r="A5" t="str">
        <f t="shared" si="0"/>
        <v>0310501</v>
      </c>
      <c r="B5" s="101" t="s">
        <v>16</v>
      </c>
      <c r="C5" s="101" t="s">
        <v>143</v>
      </c>
      <c r="D5" s="101" t="s">
        <v>147</v>
      </c>
      <c r="E5" s="101" t="s">
        <v>139</v>
      </c>
      <c r="I5" s="105">
        <v>43556</v>
      </c>
      <c r="J5" s="105">
        <v>43921</v>
      </c>
      <c r="K5" t="s">
        <v>660</v>
      </c>
      <c r="L5">
        <v>8.4700000000000001E-3</v>
      </c>
    </row>
    <row r="6" spans="1:16" x14ac:dyDescent="0.3">
      <c r="A6" t="str">
        <f t="shared" si="0"/>
        <v>0410801</v>
      </c>
      <c r="B6" s="101" t="s">
        <v>18</v>
      </c>
      <c r="C6" s="101" t="s">
        <v>143</v>
      </c>
      <c r="D6" s="101" t="s">
        <v>144</v>
      </c>
      <c r="E6" s="101" t="s">
        <v>139</v>
      </c>
      <c r="I6" s="105">
        <v>43922</v>
      </c>
      <c r="J6" s="105">
        <v>44286</v>
      </c>
      <c r="K6" t="s">
        <v>662</v>
      </c>
      <c r="L6" s="156">
        <v>8.1099999999999992E-3</v>
      </c>
    </row>
    <row r="7" spans="1:16" x14ac:dyDescent="0.3">
      <c r="A7" t="str">
        <f t="shared" si="0"/>
        <v>0410802</v>
      </c>
      <c r="B7" s="101" t="s">
        <v>18</v>
      </c>
      <c r="C7" s="101" t="s">
        <v>143</v>
      </c>
      <c r="D7" s="101" t="s">
        <v>145</v>
      </c>
      <c r="E7" s="101" t="s">
        <v>139</v>
      </c>
      <c r="I7" s="105">
        <v>44287</v>
      </c>
      <c r="J7" s="105">
        <v>44651</v>
      </c>
      <c r="K7" t="s">
        <v>663</v>
      </c>
      <c r="L7">
        <v>7.7499999999999999E-3</v>
      </c>
    </row>
    <row r="8" spans="1:16" x14ac:dyDescent="0.3">
      <c r="A8" t="str">
        <f t="shared" si="0"/>
        <v>0410500</v>
      </c>
      <c r="B8" s="101" t="s">
        <v>18</v>
      </c>
      <c r="C8" s="101" t="s">
        <v>143</v>
      </c>
      <c r="D8" s="101" t="s">
        <v>146</v>
      </c>
      <c r="E8" s="101" t="s">
        <v>139</v>
      </c>
      <c r="I8" s="105">
        <v>44652</v>
      </c>
      <c r="J8" s="105">
        <v>45016</v>
      </c>
      <c r="K8" t="s">
        <v>664</v>
      </c>
      <c r="L8" s="129">
        <v>7.7499999999999999E-3</v>
      </c>
    </row>
    <row r="9" spans="1:16" x14ac:dyDescent="0.3">
      <c r="A9" t="str">
        <f t="shared" si="0"/>
        <v>0410501</v>
      </c>
      <c r="B9" s="101" t="s">
        <v>18</v>
      </c>
      <c r="C9" s="101" t="s">
        <v>143</v>
      </c>
      <c r="D9" s="101" t="s">
        <v>147</v>
      </c>
      <c r="E9" s="101" t="s">
        <v>139</v>
      </c>
      <c r="I9" s="105">
        <v>45017</v>
      </c>
      <c r="J9" s="105">
        <v>45382</v>
      </c>
      <c r="K9" t="s">
        <v>665</v>
      </c>
      <c r="L9" s="129">
        <v>7.7499999999999999E-3</v>
      </c>
    </row>
    <row r="10" spans="1:16" x14ac:dyDescent="0.3">
      <c r="A10" t="str">
        <f t="shared" si="0"/>
        <v>0310124</v>
      </c>
      <c r="B10" s="101" t="s">
        <v>16</v>
      </c>
      <c r="C10" s="101" t="s">
        <v>143</v>
      </c>
      <c r="D10" s="101" t="s">
        <v>148</v>
      </c>
      <c r="E10" s="101" t="s">
        <v>17</v>
      </c>
      <c r="I10" s="105">
        <v>45383</v>
      </c>
      <c r="J10" s="105">
        <v>45747</v>
      </c>
      <c r="K10" t="s">
        <v>666</v>
      </c>
      <c r="L10" s="129">
        <v>7.7499999999999999E-3</v>
      </c>
    </row>
    <row r="11" spans="1:16" x14ac:dyDescent="0.3">
      <c r="A11" t="str">
        <f t="shared" si="0"/>
        <v>0310125</v>
      </c>
      <c r="B11" s="101" t="s">
        <v>16</v>
      </c>
      <c r="C11" s="101" t="s">
        <v>143</v>
      </c>
      <c r="D11" s="101" t="s">
        <v>149</v>
      </c>
      <c r="E11" s="101" t="s">
        <v>17</v>
      </c>
      <c r="I11" s="105">
        <v>45748</v>
      </c>
      <c r="J11" s="105">
        <v>46112</v>
      </c>
      <c r="K11" t="s">
        <v>667</v>
      </c>
      <c r="L11" s="129">
        <v>7.7499999999999999E-3</v>
      </c>
    </row>
    <row r="12" spans="1:16" x14ac:dyDescent="0.3">
      <c r="A12" t="str">
        <f t="shared" si="0"/>
        <v>0310126</v>
      </c>
      <c r="B12" s="101" t="s">
        <v>16</v>
      </c>
      <c r="C12" s="101" t="s">
        <v>143</v>
      </c>
      <c r="D12" s="101" t="s">
        <v>151</v>
      </c>
      <c r="E12" s="101" t="s">
        <v>17</v>
      </c>
    </row>
    <row r="13" spans="1:16" x14ac:dyDescent="0.3">
      <c r="A13" t="str">
        <f>CONCATENATE(B13,C13,D13,F13)</f>
        <v>0310127</v>
      </c>
      <c r="B13" s="101" t="s">
        <v>16</v>
      </c>
      <c r="C13" s="101" t="s">
        <v>143</v>
      </c>
      <c r="D13" s="101" t="s">
        <v>153</v>
      </c>
      <c r="E13" s="101" t="s">
        <v>17</v>
      </c>
    </row>
    <row r="14" spans="1:16" x14ac:dyDescent="0.3">
      <c r="A14" t="str">
        <f t="shared" si="0"/>
        <v>0310142</v>
      </c>
      <c r="B14" s="101" t="s">
        <v>16</v>
      </c>
      <c r="C14" s="101" t="s">
        <v>143</v>
      </c>
      <c r="D14" s="101" t="s">
        <v>155</v>
      </c>
      <c r="E14" s="101" t="s">
        <v>17</v>
      </c>
      <c r="P14" s="105"/>
    </row>
    <row r="15" spans="1:16" x14ac:dyDescent="0.3">
      <c r="A15" t="str">
        <f t="shared" si="0"/>
        <v>0310143</v>
      </c>
      <c r="B15" s="101" t="s">
        <v>16</v>
      </c>
      <c r="C15" s="101" t="s">
        <v>143</v>
      </c>
      <c r="D15" s="101" t="s">
        <v>157</v>
      </c>
      <c r="E15" s="101" t="s">
        <v>17</v>
      </c>
    </row>
    <row r="16" spans="1:16" x14ac:dyDescent="0.3">
      <c r="A16" t="str">
        <f t="shared" si="0"/>
        <v>0310146</v>
      </c>
      <c r="B16" s="101" t="s">
        <v>16</v>
      </c>
      <c r="C16" s="101" t="s">
        <v>143</v>
      </c>
      <c r="D16" s="101" t="s">
        <v>159</v>
      </c>
      <c r="E16" s="101" t="s">
        <v>17</v>
      </c>
    </row>
    <row r="17" spans="1:5" x14ac:dyDescent="0.3">
      <c r="A17" t="str">
        <f t="shared" si="0"/>
        <v>0310147</v>
      </c>
      <c r="B17" s="101" t="s">
        <v>16</v>
      </c>
      <c r="C17" s="101" t="s">
        <v>143</v>
      </c>
      <c r="D17" s="101" t="s">
        <v>161</v>
      </c>
      <c r="E17" s="101" t="s">
        <v>17</v>
      </c>
    </row>
    <row r="18" spans="1:5" x14ac:dyDescent="0.3">
      <c r="A18" t="str">
        <f t="shared" si="0"/>
        <v>0310148</v>
      </c>
      <c r="B18" s="101" t="s">
        <v>16</v>
      </c>
      <c r="C18" s="101" t="s">
        <v>143</v>
      </c>
      <c r="D18" s="101" t="s">
        <v>163</v>
      </c>
      <c r="E18" s="101" t="s">
        <v>17</v>
      </c>
    </row>
    <row r="19" spans="1:5" x14ac:dyDescent="0.3">
      <c r="A19" t="str">
        <f t="shared" si="0"/>
        <v>0310149</v>
      </c>
      <c r="B19" s="101" t="s">
        <v>16</v>
      </c>
      <c r="C19" s="101" t="s">
        <v>143</v>
      </c>
      <c r="D19" s="101" t="s">
        <v>165</v>
      </c>
      <c r="E19" s="101" t="s">
        <v>17</v>
      </c>
    </row>
    <row r="20" spans="1:5" x14ac:dyDescent="0.3">
      <c r="A20" t="str">
        <f t="shared" si="0"/>
        <v>0310166</v>
      </c>
      <c r="B20" s="101" t="s">
        <v>16</v>
      </c>
      <c r="C20" s="101" t="s">
        <v>143</v>
      </c>
      <c r="D20" s="101" t="s">
        <v>167</v>
      </c>
      <c r="E20" s="101" t="s">
        <v>17</v>
      </c>
    </row>
    <row r="21" spans="1:5" x14ac:dyDescent="0.3">
      <c r="A21" t="str">
        <f t="shared" si="0"/>
        <v>0310167</v>
      </c>
      <c r="B21" s="101" t="s">
        <v>16</v>
      </c>
      <c r="C21" s="101" t="s">
        <v>143</v>
      </c>
      <c r="D21" s="101" t="s">
        <v>169</v>
      </c>
      <c r="E21" s="101" t="s">
        <v>17</v>
      </c>
    </row>
    <row r="22" spans="1:5" x14ac:dyDescent="0.3">
      <c r="A22" t="str">
        <f t="shared" si="0"/>
        <v>0310176</v>
      </c>
      <c r="B22" s="101" t="s">
        <v>16</v>
      </c>
      <c r="C22" s="101" t="s">
        <v>143</v>
      </c>
      <c r="D22" s="101" t="s">
        <v>171</v>
      </c>
      <c r="E22" s="101" t="s">
        <v>17</v>
      </c>
    </row>
    <row r="23" spans="1:5" x14ac:dyDescent="0.3">
      <c r="A23" t="str">
        <f t="shared" si="0"/>
        <v>0310177</v>
      </c>
      <c r="B23" s="101" t="s">
        <v>16</v>
      </c>
      <c r="C23" s="101" t="s">
        <v>143</v>
      </c>
      <c r="D23" s="101" t="s">
        <v>173</v>
      </c>
      <c r="E23" s="101" t="s">
        <v>17</v>
      </c>
    </row>
    <row r="24" spans="1:5" x14ac:dyDescent="0.3">
      <c r="A24" t="str">
        <f t="shared" si="0"/>
        <v>0310178</v>
      </c>
      <c r="B24" s="101" t="s">
        <v>16</v>
      </c>
      <c r="C24" s="101" t="s">
        <v>143</v>
      </c>
      <c r="D24" s="101" t="s">
        <v>175</v>
      </c>
      <c r="E24" s="101" t="s">
        <v>17</v>
      </c>
    </row>
    <row r="25" spans="1:5" x14ac:dyDescent="0.3">
      <c r="A25" t="str">
        <f t="shared" si="0"/>
        <v>0310179</v>
      </c>
      <c r="B25" s="101" t="s">
        <v>16</v>
      </c>
      <c r="C25" s="101" t="s">
        <v>143</v>
      </c>
      <c r="D25" s="101" t="s">
        <v>177</v>
      </c>
      <c r="E25" s="101" t="s">
        <v>17</v>
      </c>
    </row>
    <row r="26" spans="1:5" x14ac:dyDescent="0.3">
      <c r="A26" t="str">
        <f t="shared" si="0"/>
        <v>0310182</v>
      </c>
      <c r="B26" s="101" t="s">
        <v>16</v>
      </c>
      <c r="C26" s="101" t="s">
        <v>143</v>
      </c>
      <c r="D26" s="101" t="s">
        <v>179</v>
      </c>
      <c r="E26" s="101" t="s">
        <v>17</v>
      </c>
    </row>
    <row r="27" spans="1:5" x14ac:dyDescent="0.3">
      <c r="A27" t="str">
        <f t="shared" si="0"/>
        <v>0310183</v>
      </c>
      <c r="B27" s="101" t="s">
        <v>16</v>
      </c>
      <c r="C27" s="101" t="s">
        <v>143</v>
      </c>
      <c r="D27" s="101" t="s">
        <v>181</v>
      </c>
      <c r="E27" s="101" t="s">
        <v>17</v>
      </c>
    </row>
    <row r="28" spans="1:5" x14ac:dyDescent="0.3">
      <c r="A28" t="str">
        <f t="shared" si="0"/>
        <v>0310194</v>
      </c>
      <c r="B28" s="101" t="s">
        <v>16</v>
      </c>
      <c r="C28" s="101" t="s">
        <v>143</v>
      </c>
      <c r="D28" s="101" t="s">
        <v>183</v>
      </c>
      <c r="E28" s="101" t="s">
        <v>17</v>
      </c>
    </row>
    <row r="29" spans="1:5" x14ac:dyDescent="0.3">
      <c r="A29" t="str">
        <f t="shared" si="0"/>
        <v>0310195</v>
      </c>
      <c r="B29" s="101" t="s">
        <v>16</v>
      </c>
      <c r="C29" s="101" t="s">
        <v>143</v>
      </c>
      <c r="D29" s="101" t="s">
        <v>184</v>
      </c>
      <c r="E29" s="101" t="s">
        <v>17</v>
      </c>
    </row>
    <row r="30" spans="1:5" x14ac:dyDescent="0.3">
      <c r="A30" t="str">
        <f t="shared" si="0"/>
        <v>0310807</v>
      </c>
      <c r="B30" s="101" t="s">
        <v>16</v>
      </c>
      <c r="C30" s="101" t="s">
        <v>143</v>
      </c>
      <c r="D30" s="101" t="s">
        <v>185</v>
      </c>
      <c r="E30" s="101" t="s">
        <v>17</v>
      </c>
    </row>
    <row r="31" spans="1:5" x14ac:dyDescent="0.3">
      <c r="A31" t="str">
        <f t="shared" si="0"/>
        <v>0310808</v>
      </c>
      <c r="B31" s="101" t="s">
        <v>16</v>
      </c>
      <c r="C31" s="101" t="s">
        <v>143</v>
      </c>
      <c r="D31" s="101" t="s">
        <v>186</v>
      </c>
      <c r="E31" s="101" t="s">
        <v>17</v>
      </c>
    </row>
    <row r="32" spans="1:5" x14ac:dyDescent="0.3">
      <c r="A32" t="str">
        <f t="shared" si="0"/>
        <v>0310809</v>
      </c>
      <c r="B32" s="101" t="s">
        <v>16</v>
      </c>
      <c r="C32" s="101" t="s">
        <v>143</v>
      </c>
      <c r="D32" s="101" t="s">
        <v>187</v>
      </c>
      <c r="E32" s="101" t="s">
        <v>17</v>
      </c>
    </row>
    <row r="33" spans="1:5" x14ac:dyDescent="0.3">
      <c r="A33" t="str">
        <f t="shared" si="0"/>
        <v>0310810</v>
      </c>
      <c r="B33" s="101" t="s">
        <v>16</v>
      </c>
      <c r="C33" s="101" t="s">
        <v>143</v>
      </c>
      <c r="D33" s="101" t="s">
        <v>188</v>
      </c>
      <c r="E33" s="101" t="s">
        <v>17</v>
      </c>
    </row>
    <row r="34" spans="1:5" x14ac:dyDescent="0.3">
      <c r="A34" t="str">
        <f t="shared" si="0"/>
        <v>0310811</v>
      </c>
      <c r="B34" s="101" t="s">
        <v>16</v>
      </c>
      <c r="C34" s="101" t="s">
        <v>143</v>
      </c>
      <c r="D34" s="101" t="s">
        <v>189</v>
      </c>
      <c r="E34" s="101" t="s">
        <v>17</v>
      </c>
    </row>
    <row r="35" spans="1:5" x14ac:dyDescent="0.3">
      <c r="A35" t="str">
        <f t="shared" si="0"/>
        <v>0310812</v>
      </c>
      <c r="B35" s="101" t="s">
        <v>16</v>
      </c>
      <c r="C35" s="101" t="s">
        <v>143</v>
      </c>
      <c r="D35" s="101" t="s">
        <v>190</v>
      </c>
      <c r="E35" s="101" t="s">
        <v>17</v>
      </c>
    </row>
    <row r="36" spans="1:5" x14ac:dyDescent="0.3">
      <c r="A36" t="str">
        <f t="shared" si="0"/>
        <v>0310624</v>
      </c>
      <c r="B36" s="101" t="s">
        <v>16</v>
      </c>
      <c r="C36" s="101" t="s">
        <v>143</v>
      </c>
      <c r="D36" s="101" t="s">
        <v>191</v>
      </c>
      <c r="E36" s="101" t="s">
        <v>17</v>
      </c>
    </row>
    <row r="37" spans="1:5" x14ac:dyDescent="0.3">
      <c r="A37" t="str">
        <f t="shared" si="0"/>
        <v>0310625</v>
      </c>
      <c r="B37" s="101" t="s">
        <v>16</v>
      </c>
      <c r="C37" s="101" t="s">
        <v>143</v>
      </c>
      <c r="D37" s="101" t="s">
        <v>192</v>
      </c>
      <c r="E37" s="101" t="s">
        <v>17</v>
      </c>
    </row>
    <row r="38" spans="1:5" x14ac:dyDescent="0.3">
      <c r="A38" t="str">
        <f t="shared" si="0"/>
        <v>0310626</v>
      </c>
      <c r="B38" s="101" t="s">
        <v>16</v>
      </c>
      <c r="C38" s="101" t="s">
        <v>143</v>
      </c>
      <c r="D38" s="101" t="s">
        <v>193</v>
      </c>
      <c r="E38" s="101" t="s">
        <v>17</v>
      </c>
    </row>
    <row r="39" spans="1:5" x14ac:dyDescent="0.3">
      <c r="A39" t="str">
        <f t="shared" si="0"/>
        <v>0310627</v>
      </c>
      <c r="B39" s="101" t="s">
        <v>16</v>
      </c>
      <c r="C39" s="101" t="s">
        <v>143</v>
      </c>
      <c r="D39" s="101" t="s">
        <v>194</v>
      </c>
      <c r="E39" s="101" t="s">
        <v>17</v>
      </c>
    </row>
    <row r="40" spans="1:5" x14ac:dyDescent="0.3">
      <c r="A40" t="str">
        <f t="shared" si="0"/>
        <v>0310642</v>
      </c>
      <c r="B40" s="101" t="s">
        <v>16</v>
      </c>
      <c r="C40" s="101" t="s">
        <v>143</v>
      </c>
      <c r="D40" s="101" t="s">
        <v>195</v>
      </c>
      <c r="E40" s="101" t="s">
        <v>17</v>
      </c>
    </row>
    <row r="41" spans="1:5" x14ac:dyDescent="0.3">
      <c r="A41" t="str">
        <f t="shared" si="0"/>
        <v>0310643</v>
      </c>
      <c r="B41" s="101" t="s">
        <v>16</v>
      </c>
      <c r="C41" s="101" t="s">
        <v>143</v>
      </c>
      <c r="D41" s="101" t="s">
        <v>196</v>
      </c>
      <c r="E41" s="101" t="s">
        <v>17</v>
      </c>
    </row>
    <row r="42" spans="1:5" x14ac:dyDescent="0.3">
      <c r="A42" t="str">
        <f t="shared" si="0"/>
        <v>0310646</v>
      </c>
      <c r="B42" s="101" t="s">
        <v>16</v>
      </c>
      <c r="C42" s="101" t="s">
        <v>143</v>
      </c>
      <c r="D42" s="101" t="s">
        <v>197</v>
      </c>
      <c r="E42" s="101" t="s">
        <v>17</v>
      </c>
    </row>
    <row r="43" spans="1:5" x14ac:dyDescent="0.3">
      <c r="A43" t="str">
        <f t="shared" si="0"/>
        <v>0310647</v>
      </c>
      <c r="B43" s="101" t="s">
        <v>16</v>
      </c>
      <c r="C43" s="101" t="s">
        <v>143</v>
      </c>
      <c r="D43" s="101" t="s">
        <v>198</v>
      </c>
      <c r="E43" s="101" t="s">
        <v>17</v>
      </c>
    </row>
    <row r="44" spans="1:5" x14ac:dyDescent="0.3">
      <c r="A44" t="str">
        <f t="shared" si="0"/>
        <v>0310648</v>
      </c>
      <c r="B44" s="101" t="s">
        <v>16</v>
      </c>
      <c r="C44" s="101" t="s">
        <v>143</v>
      </c>
      <c r="D44" s="101" t="s">
        <v>199</v>
      </c>
      <c r="E44" s="101" t="s">
        <v>17</v>
      </c>
    </row>
    <row r="45" spans="1:5" x14ac:dyDescent="0.3">
      <c r="A45" t="str">
        <f t="shared" si="0"/>
        <v>0310649</v>
      </c>
      <c r="B45" s="101" t="s">
        <v>16</v>
      </c>
      <c r="C45" s="101" t="s">
        <v>143</v>
      </c>
      <c r="D45" s="101" t="s">
        <v>200</v>
      </c>
      <c r="E45" s="101" t="s">
        <v>17</v>
      </c>
    </row>
    <row r="46" spans="1:5" x14ac:dyDescent="0.3">
      <c r="A46" t="str">
        <f t="shared" si="0"/>
        <v>0310666</v>
      </c>
      <c r="B46" s="101" t="s">
        <v>16</v>
      </c>
      <c r="C46" s="101" t="s">
        <v>143</v>
      </c>
      <c r="D46" s="101" t="s">
        <v>201</v>
      </c>
      <c r="E46" s="101" t="s">
        <v>17</v>
      </c>
    </row>
    <row r="47" spans="1:5" x14ac:dyDescent="0.3">
      <c r="A47" t="str">
        <f t="shared" si="0"/>
        <v>0310667</v>
      </c>
      <c r="B47" s="101" t="s">
        <v>16</v>
      </c>
      <c r="C47" s="101" t="s">
        <v>143</v>
      </c>
      <c r="D47" s="101" t="s">
        <v>203</v>
      </c>
      <c r="E47" s="101" t="s">
        <v>17</v>
      </c>
    </row>
    <row r="48" spans="1:5" x14ac:dyDescent="0.3">
      <c r="A48" t="str">
        <f t="shared" si="0"/>
        <v>0310676</v>
      </c>
      <c r="B48" s="101" t="s">
        <v>16</v>
      </c>
      <c r="C48" s="101" t="s">
        <v>143</v>
      </c>
      <c r="D48" s="101" t="s">
        <v>204</v>
      </c>
      <c r="E48" s="101" t="s">
        <v>17</v>
      </c>
    </row>
    <row r="49" spans="1:5" x14ac:dyDescent="0.3">
      <c r="A49" t="str">
        <f t="shared" si="0"/>
        <v>0310677</v>
      </c>
      <c r="B49" s="101" t="s">
        <v>16</v>
      </c>
      <c r="C49" s="101" t="s">
        <v>143</v>
      </c>
      <c r="D49" s="101" t="s">
        <v>205</v>
      </c>
      <c r="E49" s="101" t="s">
        <v>17</v>
      </c>
    </row>
    <row r="50" spans="1:5" x14ac:dyDescent="0.3">
      <c r="A50" t="str">
        <f t="shared" si="0"/>
        <v>0310678</v>
      </c>
      <c r="B50" s="101" t="s">
        <v>16</v>
      </c>
      <c r="C50" s="101" t="s">
        <v>143</v>
      </c>
      <c r="D50" s="101" t="s">
        <v>206</v>
      </c>
      <c r="E50" s="101" t="s">
        <v>17</v>
      </c>
    </row>
    <row r="51" spans="1:5" x14ac:dyDescent="0.3">
      <c r="A51" t="str">
        <f t="shared" si="0"/>
        <v>0310679</v>
      </c>
      <c r="B51" s="101" t="s">
        <v>16</v>
      </c>
      <c r="C51" s="101" t="s">
        <v>143</v>
      </c>
      <c r="D51" s="101" t="s">
        <v>207</v>
      </c>
      <c r="E51" s="101" t="s">
        <v>17</v>
      </c>
    </row>
    <row r="52" spans="1:5" x14ac:dyDescent="0.3">
      <c r="A52" t="str">
        <f t="shared" si="0"/>
        <v>0310682</v>
      </c>
      <c r="B52" s="101" t="s">
        <v>16</v>
      </c>
      <c r="C52" s="101" t="s">
        <v>143</v>
      </c>
      <c r="D52" s="101" t="s">
        <v>208</v>
      </c>
      <c r="E52" s="101" t="s">
        <v>17</v>
      </c>
    </row>
    <row r="53" spans="1:5" x14ac:dyDescent="0.3">
      <c r="A53" t="str">
        <f t="shared" si="0"/>
        <v>0310683</v>
      </c>
      <c r="B53" s="101" t="s">
        <v>16</v>
      </c>
      <c r="C53" s="101" t="s">
        <v>143</v>
      </c>
      <c r="D53" s="101" t="s">
        <v>209</v>
      </c>
      <c r="E53" s="101" t="s">
        <v>17</v>
      </c>
    </row>
    <row r="54" spans="1:5" x14ac:dyDescent="0.3">
      <c r="A54" t="str">
        <f t="shared" si="0"/>
        <v>0310694</v>
      </c>
      <c r="B54" s="101" t="s">
        <v>16</v>
      </c>
      <c r="C54" s="101" t="s">
        <v>143</v>
      </c>
      <c r="D54" s="101" t="s">
        <v>210</v>
      </c>
      <c r="E54" s="101" t="s">
        <v>17</v>
      </c>
    </row>
    <row r="55" spans="1:5" x14ac:dyDescent="0.3">
      <c r="A55" t="str">
        <f t="shared" si="0"/>
        <v>0310695</v>
      </c>
      <c r="B55" s="101" t="s">
        <v>16</v>
      </c>
      <c r="C55" s="101" t="s">
        <v>143</v>
      </c>
      <c r="D55" s="101" t="s">
        <v>211</v>
      </c>
      <c r="E55" s="101" t="s">
        <v>17</v>
      </c>
    </row>
    <row r="56" spans="1:5" x14ac:dyDescent="0.3">
      <c r="A56" t="str">
        <f t="shared" si="0"/>
        <v>0310656</v>
      </c>
      <c r="B56" s="101" t="s">
        <v>16</v>
      </c>
      <c r="C56" s="101" t="s">
        <v>143</v>
      </c>
      <c r="D56" s="101" t="s">
        <v>212</v>
      </c>
      <c r="E56" s="101" t="s">
        <v>17</v>
      </c>
    </row>
    <row r="57" spans="1:5" x14ac:dyDescent="0.3">
      <c r="A57" t="str">
        <f t="shared" si="0"/>
        <v>0310657</v>
      </c>
      <c r="B57" s="101" t="s">
        <v>16</v>
      </c>
      <c r="C57" s="101" t="s">
        <v>143</v>
      </c>
      <c r="D57" s="101" t="s">
        <v>213</v>
      </c>
      <c r="E57" s="101" t="s">
        <v>17</v>
      </c>
    </row>
    <row r="58" spans="1:5" x14ac:dyDescent="0.3">
      <c r="A58" t="str">
        <f t="shared" si="0"/>
        <v>0310658</v>
      </c>
      <c r="B58" s="101" t="s">
        <v>16</v>
      </c>
      <c r="C58" s="101" t="s">
        <v>143</v>
      </c>
      <c r="D58" s="101" t="s">
        <v>214</v>
      </c>
      <c r="E58" s="101" t="s">
        <v>17</v>
      </c>
    </row>
    <row r="59" spans="1:5" x14ac:dyDescent="0.3">
      <c r="A59" t="str">
        <f t="shared" si="0"/>
        <v>0310659</v>
      </c>
      <c r="B59" s="101" t="s">
        <v>16</v>
      </c>
      <c r="C59" s="101" t="s">
        <v>143</v>
      </c>
      <c r="D59" s="101" t="s">
        <v>215</v>
      </c>
      <c r="E59" s="101" t="s">
        <v>17</v>
      </c>
    </row>
    <row r="60" spans="1:5" x14ac:dyDescent="0.3">
      <c r="A60" t="str">
        <f t="shared" si="0"/>
        <v>0310660</v>
      </c>
      <c r="B60" s="101" t="s">
        <v>16</v>
      </c>
      <c r="C60" s="101" t="s">
        <v>143</v>
      </c>
      <c r="D60" s="101" t="s">
        <v>216</v>
      </c>
      <c r="E60" s="101" t="s">
        <v>17</v>
      </c>
    </row>
    <row r="61" spans="1:5" x14ac:dyDescent="0.3">
      <c r="A61" t="str">
        <f t="shared" si="0"/>
        <v>0310661</v>
      </c>
      <c r="B61" s="101" t="s">
        <v>16</v>
      </c>
      <c r="C61" s="101" t="s">
        <v>143</v>
      </c>
      <c r="D61" s="101" t="s">
        <v>217</v>
      </c>
      <c r="E61" s="101" t="s">
        <v>17</v>
      </c>
    </row>
    <row r="62" spans="1:5" x14ac:dyDescent="0.3">
      <c r="A62" t="str">
        <f t="shared" si="0"/>
        <v>0310630</v>
      </c>
      <c r="B62" s="101" t="s">
        <v>16</v>
      </c>
      <c r="C62" s="101" t="s">
        <v>143</v>
      </c>
      <c r="D62" s="101" t="s">
        <v>218</v>
      </c>
      <c r="E62" s="101" t="s">
        <v>17</v>
      </c>
    </row>
    <row r="63" spans="1:5" x14ac:dyDescent="0.3">
      <c r="A63" t="str">
        <f t="shared" si="0"/>
        <v>0310631</v>
      </c>
      <c r="B63" s="101" t="s">
        <v>16</v>
      </c>
      <c r="C63" s="101" t="s">
        <v>143</v>
      </c>
      <c r="D63" s="101" t="s">
        <v>219</v>
      </c>
      <c r="E63" s="101" t="s">
        <v>17</v>
      </c>
    </row>
    <row r="64" spans="1:5" x14ac:dyDescent="0.3">
      <c r="A64" t="str">
        <f t="shared" si="0"/>
        <v>0310690</v>
      </c>
      <c r="B64" s="101" t="s">
        <v>16</v>
      </c>
      <c r="C64" s="101" t="s">
        <v>143</v>
      </c>
      <c r="D64" s="101" t="s">
        <v>220</v>
      </c>
      <c r="E64" s="101" t="s">
        <v>17</v>
      </c>
    </row>
    <row r="65" spans="1:5" x14ac:dyDescent="0.3">
      <c r="A65" t="str">
        <f t="shared" si="0"/>
        <v>0310691</v>
      </c>
      <c r="B65" s="101" t="s">
        <v>16</v>
      </c>
      <c r="C65" s="101" t="s">
        <v>143</v>
      </c>
      <c r="D65" s="101" t="s">
        <v>221</v>
      </c>
      <c r="E65" s="101" t="s">
        <v>17</v>
      </c>
    </row>
    <row r="66" spans="1:5" x14ac:dyDescent="0.3">
      <c r="A66" t="str">
        <f t="shared" si="0"/>
        <v>0310100</v>
      </c>
      <c r="B66" s="101" t="s">
        <v>16</v>
      </c>
      <c r="C66" s="101" t="s">
        <v>143</v>
      </c>
      <c r="D66" s="101" t="s">
        <v>222</v>
      </c>
      <c r="E66" s="101" t="s">
        <v>17</v>
      </c>
    </row>
    <row r="67" spans="1:5" x14ac:dyDescent="0.3">
      <c r="A67" t="str">
        <f t="shared" ref="A67:A130" si="1">CONCATENATE(B67,C67,D67,F67)</f>
        <v>0310101</v>
      </c>
      <c r="B67" s="101" t="s">
        <v>16</v>
      </c>
      <c r="C67" s="101" t="s">
        <v>143</v>
      </c>
      <c r="D67" s="101" t="s">
        <v>223</v>
      </c>
      <c r="E67" s="101" t="s">
        <v>17</v>
      </c>
    </row>
    <row r="68" spans="1:5" x14ac:dyDescent="0.3">
      <c r="A68" t="str">
        <f t="shared" si="1"/>
        <v>0310192</v>
      </c>
      <c r="B68" s="101" t="s">
        <v>16</v>
      </c>
      <c r="C68" s="101" t="s">
        <v>143</v>
      </c>
      <c r="D68" s="101" t="s">
        <v>224</v>
      </c>
      <c r="E68" s="101" t="s">
        <v>17</v>
      </c>
    </row>
    <row r="69" spans="1:5" x14ac:dyDescent="0.3">
      <c r="A69" t="str">
        <f t="shared" si="1"/>
        <v>0310193</v>
      </c>
      <c r="B69" s="101" t="s">
        <v>16</v>
      </c>
      <c r="C69" s="101" t="s">
        <v>143</v>
      </c>
      <c r="D69" s="101" t="s">
        <v>225</v>
      </c>
      <c r="E69" s="101" t="s">
        <v>17</v>
      </c>
    </row>
    <row r="70" spans="1:5" x14ac:dyDescent="0.3">
      <c r="A70" t="str">
        <f t="shared" si="1"/>
        <v>0310130</v>
      </c>
      <c r="B70" s="101" t="s">
        <v>16</v>
      </c>
      <c r="C70" s="101" t="s">
        <v>143</v>
      </c>
      <c r="D70" s="101" t="s">
        <v>226</v>
      </c>
      <c r="E70" s="101" t="s">
        <v>17</v>
      </c>
    </row>
    <row r="71" spans="1:5" x14ac:dyDescent="0.3">
      <c r="A71" t="str">
        <f t="shared" si="1"/>
        <v>0310131</v>
      </c>
      <c r="B71" s="101" t="s">
        <v>16</v>
      </c>
      <c r="C71" s="101" t="s">
        <v>143</v>
      </c>
      <c r="D71" s="101" t="s">
        <v>227</v>
      </c>
      <c r="E71" s="101" t="s">
        <v>17</v>
      </c>
    </row>
    <row r="72" spans="1:5" x14ac:dyDescent="0.3">
      <c r="A72" t="str">
        <f t="shared" si="1"/>
        <v>0310190</v>
      </c>
      <c r="B72" s="101" t="s">
        <v>16</v>
      </c>
      <c r="C72" s="101" t="s">
        <v>143</v>
      </c>
      <c r="D72" s="101" t="s">
        <v>228</v>
      </c>
      <c r="E72" s="101" t="s">
        <v>17</v>
      </c>
    </row>
    <row r="73" spans="1:5" x14ac:dyDescent="0.3">
      <c r="A73" t="str">
        <f t="shared" si="1"/>
        <v>0310191</v>
      </c>
      <c r="B73" s="101" t="s">
        <v>16</v>
      </c>
      <c r="C73" s="101" t="s">
        <v>143</v>
      </c>
      <c r="D73" s="101" t="s">
        <v>229</v>
      </c>
      <c r="E73" s="101" t="s">
        <v>17</v>
      </c>
    </row>
    <row r="74" spans="1:5" x14ac:dyDescent="0.3">
      <c r="A74" t="str">
        <f t="shared" si="1"/>
        <v>0310600</v>
      </c>
      <c r="B74" s="101" t="s">
        <v>16</v>
      </c>
      <c r="C74" s="101" t="s">
        <v>143</v>
      </c>
      <c r="D74" s="101" t="s">
        <v>230</v>
      </c>
      <c r="E74" s="101" t="s">
        <v>17</v>
      </c>
    </row>
    <row r="75" spans="1:5" x14ac:dyDescent="0.3">
      <c r="A75" t="str">
        <f t="shared" si="1"/>
        <v>0310601</v>
      </c>
      <c r="B75" s="101" t="s">
        <v>16</v>
      </c>
      <c r="C75" s="101" t="s">
        <v>143</v>
      </c>
      <c r="D75" s="101" t="s">
        <v>231</v>
      </c>
      <c r="E75" s="101" t="s">
        <v>17</v>
      </c>
    </row>
    <row r="76" spans="1:5" x14ac:dyDescent="0.3">
      <c r="A76" t="str">
        <f t="shared" si="1"/>
        <v>0410124</v>
      </c>
      <c r="B76" s="101" t="s">
        <v>18</v>
      </c>
      <c r="C76" s="101" t="s">
        <v>143</v>
      </c>
      <c r="D76" s="101" t="s">
        <v>148</v>
      </c>
      <c r="E76" s="101" t="s">
        <v>17</v>
      </c>
    </row>
    <row r="77" spans="1:5" x14ac:dyDescent="0.3">
      <c r="A77" t="str">
        <f t="shared" si="1"/>
        <v>0410125</v>
      </c>
      <c r="B77" s="101" t="s">
        <v>18</v>
      </c>
      <c r="C77" s="101" t="s">
        <v>143</v>
      </c>
      <c r="D77" s="101" t="s">
        <v>149</v>
      </c>
      <c r="E77" s="101" t="s">
        <v>17</v>
      </c>
    </row>
    <row r="78" spans="1:5" x14ac:dyDescent="0.3">
      <c r="A78" t="str">
        <f t="shared" si="1"/>
        <v>0410126</v>
      </c>
      <c r="B78" s="101" t="s">
        <v>18</v>
      </c>
      <c r="C78" s="101" t="s">
        <v>143</v>
      </c>
      <c r="D78" s="101" t="s">
        <v>151</v>
      </c>
      <c r="E78" s="101" t="s">
        <v>17</v>
      </c>
    </row>
    <row r="79" spans="1:5" x14ac:dyDescent="0.3">
      <c r="A79" t="str">
        <f t="shared" si="1"/>
        <v>0410127</v>
      </c>
      <c r="B79" s="101" t="s">
        <v>18</v>
      </c>
      <c r="C79" s="101" t="s">
        <v>143</v>
      </c>
      <c r="D79" s="101" t="s">
        <v>153</v>
      </c>
      <c r="E79" s="101" t="s">
        <v>17</v>
      </c>
    </row>
    <row r="80" spans="1:5" x14ac:dyDescent="0.3">
      <c r="A80" t="str">
        <f t="shared" si="1"/>
        <v>0410142</v>
      </c>
      <c r="B80" s="101" t="s">
        <v>18</v>
      </c>
      <c r="C80" s="101" t="s">
        <v>143</v>
      </c>
      <c r="D80" s="101" t="s">
        <v>155</v>
      </c>
      <c r="E80" s="101" t="s">
        <v>17</v>
      </c>
    </row>
    <row r="81" spans="1:5" x14ac:dyDescent="0.3">
      <c r="A81" t="str">
        <f t="shared" si="1"/>
        <v>0410143</v>
      </c>
      <c r="B81" s="101" t="s">
        <v>18</v>
      </c>
      <c r="C81" s="101" t="s">
        <v>143</v>
      </c>
      <c r="D81" s="101" t="s">
        <v>157</v>
      </c>
      <c r="E81" s="101" t="s">
        <v>17</v>
      </c>
    </row>
    <row r="82" spans="1:5" x14ac:dyDescent="0.3">
      <c r="A82" t="str">
        <f t="shared" si="1"/>
        <v>0410146</v>
      </c>
      <c r="B82" s="101" t="s">
        <v>18</v>
      </c>
      <c r="C82" s="101" t="s">
        <v>143</v>
      </c>
      <c r="D82" s="101" t="s">
        <v>159</v>
      </c>
      <c r="E82" s="101" t="s">
        <v>17</v>
      </c>
    </row>
    <row r="83" spans="1:5" x14ac:dyDescent="0.3">
      <c r="A83" t="str">
        <f t="shared" si="1"/>
        <v>0410147</v>
      </c>
      <c r="B83" s="101" t="s">
        <v>18</v>
      </c>
      <c r="C83" s="101" t="s">
        <v>143</v>
      </c>
      <c r="D83" s="101" t="s">
        <v>161</v>
      </c>
      <c r="E83" s="101" t="s">
        <v>17</v>
      </c>
    </row>
    <row r="84" spans="1:5" x14ac:dyDescent="0.3">
      <c r="A84" t="str">
        <f t="shared" si="1"/>
        <v>0410148</v>
      </c>
      <c r="B84" s="101" t="s">
        <v>18</v>
      </c>
      <c r="C84" s="101" t="s">
        <v>143</v>
      </c>
      <c r="D84" s="101" t="s">
        <v>163</v>
      </c>
      <c r="E84" s="101" t="s">
        <v>17</v>
      </c>
    </row>
    <row r="85" spans="1:5" x14ac:dyDescent="0.3">
      <c r="A85" t="str">
        <f t="shared" si="1"/>
        <v>0410149</v>
      </c>
      <c r="B85" s="101" t="s">
        <v>18</v>
      </c>
      <c r="C85" s="101" t="s">
        <v>143</v>
      </c>
      <c r="D85" s="101" t="s">
        <v>165</v>
      </c>
      <c r="E85" s="101" t="s">
        <v>17</v>
      </c>
    </row>
    <row r="86" spans="1:5" x14ac:dyDescent="0.3">
      <c r="A86" t="str">
        <f t="shared" si="1"/>
        <v>0410166</v>
      </c>
      <c r="B86" s="101" t="s">
        <v>18</v>
      </c>
      <c r="C86" s="101" t="s">
        <v>143</v>
      </c>
      <c r="D86" s="101" t="s">
        <v>167</v>
      </c>
      <c r="E86" s="101" t="s">
        <v>17</v>
      </c>
    </row>
    <row r="87" spans="1:5" x14ac:dyDescent="0.3">
      <c r="A87" t="str">
        <f t="shared" si="1"/>
        <v>0410167</v>
      </c>
      <c r="B87" s="101" t="s">
        <v>18</v>
      </c>
      <c r="C87" s="101" t="s">
        <v>143</v>
      </c>
      <c r="D87" s="101" t="s">
        <v>169</v>
      </c>
      <c r="E87" s="101" t="s">
        <v>17</v>
      </c>
    </row>
    <row r="88" spans="1:5" x14ac:dyDescent="0.3">
      <c r="A88" t="str">
        <f t="shared" si="1"/>
        <v>0410176</v>
      </c>
      <c r="B88" s="101" t="s">
        <v>18</v>
      </c>
      <c r="C88" s="101" t="s">
        <v>143</v>
      </c>
      <c r="D88" s="101" t="s">
        <v>171</v>
      </c>
      <c r="E88" s="101" t="s">
        <v>17</v>
      </c>
    </row>
    <row r="89" spans="1:5" x14ac:dyDescent="0.3">
      <c r="A89" t="str">
        <f t="shared" si="1"/>
        <v>0410177</v>
      </c>
      <c r="B89" s="101" t="s">
        <v>18</v>
      </c>
      <c r="C89" s="101" t="s">
        <v>143</v>
      </c>
      <c r="D89" s="101" t="s">
        <v>173</v>
      </c>
      <c r="E89" s="101" t="s">
        <v>17</v>
      </c>
    </row>
    <row r="90" spans="1:5" x14ac:dyDescent="0.3">
      <c r="A90" t="str">
        <f t="shared" si="1"/>
        <v>0410178</v>
      </c>
      <c r="B90" s="101" t="s">
        <v>18</v>
      </c>
      <c r="C90" s="101" t="s">
        <v>143</v>
      </c>
      <c r="D90" s="101" t="s">
        <v>175</v>
      </c>
      <c r="E90" s="101" t="s">
        <v>17</v>
      </c>
    </row>
    <row r="91" spans="1:5" x14ac:dyDescent="0.3">
      <c r="A91" t="str">
        <f t="shared" si="1"/>
        <v>0410179</v>
      </c>
      <c r="B91" s="101" t="s">
        <v>18</v>
      </c>
      <c r="C91" s="101" t="s">
        <v>143</v>
      </c>
      <c r="D91" s="101" t="s">
        <v>177</v>
      </c>
      <c r="E91" s="101" t="s">
        <v>17</v>
      </c>
    </row>
    <row r="92" spans="1:5" x14ac:dyDescent="0.3">
      <c r="A92" t="str">
        <f t="shared" si="1"/>
        <v>0410182</v>
      </c>
      <c r="B92" s="101" t="s">
        <v>18</v>
      </c>
      <c r="C92" s="101" t="s">
        <v>143</v>
      </c>
      <c r="D92" s="101" t="s">
        <v>179</v>
      </c>
      <c r="E92" s="101" t="s">
        <v>17</v>
      </c>
    </row>
    <row r="93" spans="1:5" x14ac:dyDescent="0.3">
      <c r="A93" t="str">
        <f t="shared" si="1"/>
        <v>0410183</v>
      </c>
      <c r="B93" s="101" t="s">
        <v>18</v>
      </c>
      <c r="C93" s="101" t="s">
        <v>143</v>
      </c>
      <c r="D93" s="101" t="s">
        <v>181</v>
      </c>
      <c r="E93" s="101" t="s">
        <v>17</v>
      </c>
    </row>
    <row r="94" spans="1:5" x14ac:dyDescent="0.3">
      <c r="A94" t="str">
        <f t="shared" si="1"/>
        <v>0410194</v>
      </c>
      <c r="B94" s="101" t="s">
        <v>18</v>
      </c>
      <c r="C94" s="101" t="s">
        <v>143</v>
      </c>
      <c r="D94" s="101" t="s">
        <v>183</v>
      </c>
      <c r="E94" s="101" t="s">
        <v>17</v>
      </c>
    </row>
    <row r="95" spans="1:5" x14ac:dyDescent="0.3">
      <c r="A95" t="str">
        <f t="shared" si="1"/>
        <v>0410195</v>
      </c>
      <c r="B95" s="101" t="s">
        <v>18</v>
      </c>
      <c r="C95" s="101" t="s">
        <v>143</v>
      </c>
      <c r="D95" s="101" t="s">
        <v>184</v>
      </c>
      <c r="E95" s="101" t="s">
        <v>17</v>
      </c>
    </row>
    <row r="96" spans="1:5" x14ac:dyDescent="0.3">
      <c r="A96" t="str">
        <f t="shared" si="1"/>
        <v>0410807</v>
      </c>
      <c r="B96" s="101" t="s">
        <v>18</v>
      </c>
      <c r="C96" s="101" t="s">
        <v>143</v>
      </c>
      <c r="D96" s="101" t="s">
        <v>185</v>
      </c>
      <c r="E96" s="101" t="s">
        <v>17</v>
      </c>
    </row>
    <row r="97" spans="1:5" x14ac:dyDescent="0.3">
      <c r="A97" t="str">
        <f t="shared" si="1"/>
        <v>0410808</v>
      </c>
      <c r="B97" s="101" t="s">
        <v>18</v>
      </c>
      <c r="C97" s="101" t="s">
        <v>143</v>
      </c>
      <c r="D97" s="101" t="s">
        <v>186</v>
      </c>
      <c r="E97" s="101" t="s">
        <v>17</v>
      </c>
    </row>
    <row r="98" spans="1:5" x14ac:dyDescent="0.3">
      <c r="A98" t="str">
        <f t="shared" si="1"/>
        <v>0410809</v>
      </c>
      <c r="B98" s="101" t="s">
        <v>18</v>
      </c>
      <c r="C98" s="101" t="s">
        <v>143</v>
      </c>
      <c r="D98" s="101" t="s">
        <v>187</v>
      </c>
      <c r="E98" s="101" t="s">
        <v>17</v>
      </c>
    </row>
    <row r="99" spans="1:5" x14ac:dyDescent="0.3">
      <c r="A99" t="str">
        <f t="shared" si="1"/>
        <v>0410810</v>
      </c>
      <c r="B99" s="101" t="s">
        <v>18</v>
      </c>
      <c r="C99" s="101" t="s">
        <v>143</v>
      </c>
      <c r="D99" s="101" t="s">
        <v>188</v>
      </c>
      <c r="E99" s="101" t="s">
        <v>17</v>
      </c>
    </row>
    <row r="100" spans="1:5" x14ac:dyDescent="0.3">
      <c r="A100" t="str">
        <f t="shared" si="1"/>
        <v>0410811</v>
      </c>
      <c r="B100" s="101" t="s">
        <v>18</v>
      </c>
      <c r="C100" s="101" t="s">
        <v>143</v>
      </c>
      <c r="D100" s="101" t="s">
        <v>189</v>
      </c>
      <c r="E100" s="101" t="s">
        <v>17</v>
      </c>
    </row>
    <row r="101" spans="1:5" x14ac:dyDescent="0.3">
      <c r="A101" t="str">
        <f t="shared" si="1"/>
        <v>0410812</v>
      </c>
      <c r="B101" s="101" t="s">
        <v>18</v>
      </c>
      <c r="C101" s="101" t="s">
        <v>143</v>
      </c>
      <c r="D101" s="101" t="s">
        <v>190</v>
      </c>
      <c r="E101" s="101" t="s">
        <v>17</v>
      </c>
    </row>
    <row r="102" spans="1:5" x14ac:dyDescent="0.3">
      <c r="A102" t="str">
        <f t="shared" si="1"/>
        <v>0410624</v>
      </c>
      <c r="B102" s="101" t="s">
        <v>18</v>
      </c>
      <c r="C102" s="101" t="s">
        <v>143</v>
      </c>
      <c r="D102" s="101" t="s">
        <v>191</v>
      </c>
      <c r="E102" s="101" t="s">
        <v>17</v>
      </c>
    </row>
    <row r="103" spans="1:5" x14ac:dyDescent="0.3">
      <c r="A103" t="str">
        <f t="shared" si="1"/>
        <v>0410625</v>
      </c>
      <c r="B103" s="101" t="s">
        <v>18</v>
      </c>
      <c r="C103" s="101" t="s">
        <v>143</v>
      </c>
      <c r="D103" s="101" t="s">
        <v>192</v>
      </c>
      <c r="E103" s="101" t="s">
        <v>17</v>
      </c>
    </row>
    <row r="104" spans="1:5" x14ac:dyDescent="0.3">
      <c r="A104" t="str">
        <f t="shared" si="1"/>
        <v>0410626</v>
      </c>
      <c r="B104" s="101" t="s">
        <v>18</v>
      </c>
      <c r="C104" s="101" t="s">
        <v>143</v>
      </c>
      <c r="D104" s="101" t="s">
        <v>193</v>
      </c>
      <c r="E104" s="101" t="s">
        <v>17</v>
      </c>
    </row>
    <row r="105" spans="1:5" x14ac:dyDescent="0.3">
      <c r="A105" t="str">
        <f t="shared" si="1"/>
        <v>0410627</v>
      </c>
      <c r="B105" s="101" t="s">
        <v>18</v>
      </c>
      <c r="C105" s="101" t="s">
        <v>143</v>
      </c>
      <c r="D105" s="101" t="s">
        <v>194</v>
      </c>
      <c r="E105" s="101" t="s">
        <v>17</v>
      </c>
    </row>
    <row r="106" spans="1:5" x14ac:dyDescent="0.3">
      <c r="A106" t="str">
        <f t="shared" si="1"/>
        <v>0410642</v>
      </c>
      <c r="B106" s="101" t="s">
        <v>18</v>
      </c>
      <c r="C106" s="101" t="s">
        <v>143</v>
      </c>
      <c r="D106" s="101" t="s">
        <v>195</v>
      </c>
      <c r="E106" s="101" t="s">
        <v>17</v>
      </c>
    </row>
    <row r="107" spans="1:5" x14ac:dyDescent="0.3">
      <c r="A107" t="str">
        <f t="shared" si="1"/>
        <v>0410643</v>
      </c>
      <c r="B107" s="101" t="s">
        <v>18</v>
      </c>
      <c r="C107" s="101" t="s">
        <v>143</v>
      </c>
      <c r="D107" s="101" t="s">
        <v>196</v>
      </c>
      <c r="E107" s="101" t="s">
        <v>17</v>
      </c>
    </row>
    <row r="108" spans="1:5" x14ac:dyDescent="0.3">
      <c r="A108" t="str">
        <f t="shared" si="1"/>
        <v>0410646</v>
      </c>
      <c r="B108" s="101" t="s">
        <v>18</v>
      </c>
      <c r="C108" s="101" t="s">
        <v>143</v>
      </c>
      <c r="D108" s="101" t="s">
        <v>197</v>
      </c>
      <c r="E108" s="101" t="s">
        <v>17</v>
      </c>
    </row>
    <row r="109" spans="1:5" x14ac:dyDescent="0.3">
      <c r="A109" t="str">
        <f t="shared" si="1"/>
        <v>0410647</v>
      </c>
      <c r="B109" s="101" t="s">
        <v>18</v>
      </c>
      <c r="C109" s="101" t="s">
        <v>143</v>
      </c>
      <c r="D109" s="101" t="s">
        <v>198</v>
      </c>
      <c r="E109" s="101" t="s">
        <v>17</v>
      </c>
    </row>
    <row r="110" spans="1:5" x14ac:dyDescent="0.3">
      <c r="A110" t="str">
        <f t="shared" si="1"/>
        <v>0410648</v>
      </c>
      <c r="B110" s="101" t="s">
        <v>18</v>
      </c>
      <c r="C110" s="101" t="s">
        <v>143</v>
      </c>
      <c r="D110" s="101" t="s">
        <v>199</v>
      </c>
      <c r="E110" s="101" t="s">
        <v>17</v>
      </c>
    </row>
    <row r="111" spans="1:5" x14ac:dyDescent="0.3">
      <c r="A111" t="str">
        <f t="shared" si="1"/>
        <v>0410649</v>
      </c>
      <c r="B111" s="101" t="s">
        <v>18</v>
      </c>
      <c r="C111" s="101" t="s">
        <v>143</v>
      </c>
      <c r="D111" s="101" t="s">
        <v>200</v>
      </c>
      <c r="E111" s="101" t="s">
        <v>17</v>
      </c>
    </row>
    <row r="112" spans="1:5" x14ac:dyDescent="0.3">
      <c r="A112" t="str">
        <f t="shared" si="1"/>
        <v>0410666</v>
      </c>
      <c r="B112" s="101" t="s">
        <v>18</v>
      </c>
      <c r="C112" s="101" t="s">
        <v>143</v>
      </c>
      <c r="D112" s="101" t="s">
        <v>201</v>
      </c>
      <c r="E112" s="101" t="s">
        <v>17</v>
      </c>
    </row>
    <row r="113" spans="1:5" x14ac:dyDescent="0.3">
      <c r="A113" t="str">
        <f t="shared" si="1"/>
        <v>0410667</v>
      </c>
      <c r="B113" s="101" t="s">
        <v>18</v>
      </c>
      <c r="C113" s="101" t="s">
        <v>143</v>
      </c>
      <c r="D113" s="101" t="s">
        <v>203</v>
      </c>
      <c r="E113" s="101" t="s">
        <v>17</v>
      </c>
    </row>
    <row r="114" spans="1:5" x14ac:dyDescent="0.3">
      <c r="A114" t="str">
        <f t="shared" si="1"/>
        <v>0410676</v>
      </c>
      <c r="B114" s="101" t="s">
        <v>18</v>
      </c>
      <c r="C114" s="101" t="s">
        <v>143</v>
      </c>
      <c r="D114" s="101" t="s">
        <v>204</v>
      </c>
      <c r="E114" s="101" t="s">
        <v>17</v>
      </c>
    </row>
    <row r="115" spans="1:5" x14ac:dyDescent="0.3">
      <c r="A115" t="str">
        <f t="shared" si="1"/>
        <v>0410677</v>
      </c>
      <c r="B115" s="101" t="s">
        <v>18</v>
      </c>
      <c r="C115" s="101" t="s">
        <v>143</v>
      </c>
      <c r="D115" s="101" t="s">
        <v>205</v>
      </c>
      <c r="E115" s="101" t="s">
        <v>17</v>
      </c>
    </row>
    <row r="116" spans="1:5" x14ac:dyDescent="0.3">
      <c r="A116" t="str">
        <f t="shared" si="1"/>
        <v>0410678</v>
      </c>
      <c r="B116" s="101" t="s">
        <v>18</v>
      </c>
      <c r="C116" s="101" t="s">
        <v>143</v>
      </c>
      <c r="D116" s="101" t="s">
        <v>206</v>
      </c>
      <c r="E116" s="101" t="s">
        <v>17</v>
      </c>
    </row>
    <row r="117" spans="1:5" x14ac:dyDescent="0.3">
      <c r="A117" t="str">
        <f t="shared" si="1"/>
        <v>0410679</v>
      </c>
      <c r="B117" s="101" t="s">
        <v>18</v>
      </c>
      <c r="C117" s="101" t="s">
        <v>143</v>
      </c>
      <c r="D117" s="101" t="s">
        <v>207</v>
      </c>
      <c r="E117" s="101" t="s">
        <v>17</v>
      </c>
    </row>
    <row r="118" spans="1:5" x14ac:dyDescent="0.3">
      <c r="A118" t="str">
        <f t="shared" si="1"/>
        <v>0410682</v>
      </c>
      <c r="B118" s="101" t="s">
        <v>18</v>
      </c>
      <c r="C118" s="101" t="s">
        <v>143</v>
      </c>
      <c r="D118" s="101" t="s">
        <v>208</v>
      </c>
      <c r="E118" s="101" t="s">
        <v>17</v>
      </c>
    </row>
    <row r="119" spans="1:5" x14ac:dyDescent="0.3">
      <c r="A119" t="str">
        <f t="shared" si="1"/>
        <v>0410683</v>
      </c>
      <c r="B119" s="101" t="s">
        <v>18</v>
      </c>
      <c r="C119" s="101" t="s">
        <v>143</v>
      </c>
      <c r="D119" s="101" t="s">
        <v>209</v>
      </c>
      <c r="E119" s="101" t="s">
        <v>17</v>
      </c>
    </row>
    <row r="120" spans="1:5" x14ac:dyDescent="0.3">
      <c r="A120" t="str">
        <f t="shared" si="1"/>
        <v>0410694</v>
      </c>
      <c r="B120" s="101" t="s">
        <v>18</v>
      </c>
      <c r="C120" s="101" t="s">
        <v>143</v>
      </c>
      <c r="D120" s="101" t="s">
        <v>210</v>
      </c>
      <c r="E120" s="101" t="s">
        <v>17</v>
      </c>
    </row>
    <row r="121" spans="1:5" x14ac:dyDescent="0.3">
      <c r="A121" t="str">
        <f t="shared" si="1"/>
        <v>0410695</v>
      </c>
      <c r="B121" s="101" t="s">
        <v>18</v>
      </c>
      <c r="C121" s="101" t="s">
        <v>143</v>
      </c>
      <c r="D121" s="101" t="s">
        <v>211</v>
      </c>
      <c r="E121" s="101" t="s">
        <v>17</v>
      </c>
    </row>
    <row r="122" spans="1:5" x14ac:dyDescent="0.3">
      <c r="A122" t="str">
        <f t="shared" si="1"/>
        <v>0410656</v>
      </c>
      <c r="B122" s="101" t="s">
        <v>18</v>
      </c>
      <c r="C122" s="101" t="s">
        <v>143</v>
      </c>
      <c r="D122" s="101" t="s">
        <v>212</v>
      </c>
      <c r="E122" s="101" t="s">
        <v>17</v>
      </c>
    </row>
    <row r="123" spans="1:5" x14ac:dyDescent="0.3">
      <c r="A123" t="str">
        <f t="shared" si="1"/>
        <v>0410657</v>
      </c>
      <c r="B123" s="101" t="s">
        <v>18</v>
      </c>
      <c r="C123" s="101" t="s">
        <v>143</v>
      </c>
      <c r="D123" s="101" t="s">
        <v>213</v>
      </c>
      <c r="E123" s="101" t="s">
        <v>17</v>
      </c>
    </row>
    <row r="124" spans="1:5" x14ac:dyDescent="0.3">
      <c r="A124" t="str">
        <f t="shared" si="1"/>
        <v>0410658</v>
      </c>
      <c r="B124" s="101" t="s">
        <v>18</v>
      </c>
      <c r="C124" s="101" t="s">
        <v>143</v>
      </c>
      <c r="D124" s="101" t="s">
        <v>214</v>
      </c>
      <c r="E124" s="101" t="s">
        <v>17</v>
      </c>
    </row>
    <row r="125" spans="1:5" x14ac:dyDescent="0.3">
      <c r="A125" t="str">
        <f t="shared" si="1"/>
        <v>0410659</v>
      </c>
      <c r="B125" s="101" t="s">
        <v>18</v>
      </c>
      <c r="C125" s="101" t="s">
        <v>143</v>
      </c>
      <c r="D125" s="101" t="s">
        <v>215</v>
      </c>
      <c r="E125" s="101" t="s">
        <v>17</v>
      </c>
    </row>
    <row r="126" spans="1:5" x14ac:dyDescent="0.3">
      <c r="A126" t="str">
        <f t="shared" si="1"/>
        <v>0410660</v>
      </c>
      <c r="B126" s="101" t="s">
        <v>18</v>
      </c>
      <c r="C126" s="101" t="s">
        <v>143</v>
      </c>
      <c r="D126" s="101" t="s">
        <v>216</v>
      </c>
      <c r="E126" s="101" t="s">
        <v>17</v>
      </c>
    </row>
    <row r="127" spans="1:5" x14ac:dyDescent="0.3">
      <c r="A127" t="str">
        <f t="shared" si="1"/>
        <v>0410661</v>
      </c>
      <c r="B127" s="101" t="s">
        <v>18</v>
      </c>
      <c r="C127" s="101" t="s">
        <v>143</v>
      </c>
      <c r="D127" s="101" t="s">
        <v>217</v>
      </c>
      <c r="E127" s="101" t="s">
        <v>17</v>
      </c>
    </row>
    <row r="128" spans="1:5" x14ac:dyDescent="0.3">
      <c r="A128" t="str">
        <f t="shared" si="1"/>
        <v>0410630</v>
      </c>
      <c r="B128" s="101" t="s">
        <v>18</v>
      </c>
      <c r="C128" s="101" t="s">
        <v>143</v>
      </c>
      <c r="D128" s="101" t="s">
        <v>218</v>
      </c>
      <c r="E128" s="101" t="s">
        <v>17</v>
      </c>
    </row>
    <row r="129" spans="1:5" x14ac:dyDescent="0.3">
      <c r="A129" t="str">
        <f t="shared" si="1"/>
        <v>0410631</v>
      </c>
      <c r="B129" s="101" t="s">
        <v>18</v>
      </c>
      <c r="C129" s="101" t="s">
        <v>143</v>
      </c>
      <c r="D129" s="101" t="s">
        <v>219</v>
      </c>
      <c r="E129" s="101" t="s">
        <v>17</v>
      </c>
    </row>
    <row r="130" spans="1:5" x14ac:dyDescent="0.3">
      <c r="A130" t="str">
        <f t="shared" si="1"/>
        <v>0410690</v>
      </c>
      <c r="B130" s="101" t="s">
        <v>18</v>
      </c>
      <c r="C130" s="101" t="s">
        <v>143</v>
      </c>
      <c r="D130" s="101" t="s">
        <v>220</v>
      </c>
      <c r="E130" s="101" t="s">
        <v>17</v>
      </c>
    </row>
    <row r="131" spans="1:5" x14ac:dyDescent="0.3">
      <c r="A131" t="str">
        <f t="shared" ref="A131:A194" si="2">CONCATENATE(B131,C131,D131,F131)</f>
        <v>0410691</v>
      </c>
      <c r="B131" s="101" t="s">
        <v>18</v>
      </c>
      <c r="C131" s="101" t="s">
        <v>143</v>
      </c>
      <c r="D131" s="101" t="s">
        <v>221</v>
      </c>
      <c r="E131" s="101" t="s">
        <v>17</v>
      </c>
    </row>
    <row r="132" spans="1:5" x14ac:dyDescent="0.3">
      <c r="A132" t="str">
        <f t="shared" si="2"/>
        <v>0410100</v>
      </c>
      <c r="B132" s="101" t="s">
        <v>18</v>
      </c>
      <c r="C132" s="101" t="s">
        <v>143</v>
      </c>
      <c r="D132" s="101" t="s">
        <v>222</v>
      </c>
      <c r="E132" s="101" t="s">
        <v>17</v>
      </c>
    </row>
    <row r="133" spans="1:5" x14ac:dyDescent="0.3">
      <c r="A133" t="str">
        <f t="shared" si="2"/>
        <v>0410101</v>
      </c>
      <c r="B133" s="101" t="s">
        <v>18</v>
      </c>
      <c r="C133" s="101" t="s">
        <v>143</v>
      </c>
      <c r="D133" s="101" t="s">
        <v>223</v>
      </c>
      <c r="E133" s="101" t="s">
        <v>17</v>
      </c>
    </row>
    <row r="134" spans="1:5" x14ac:dyDescent="0.3">
      <c r="A134" t="str">
        <f t="shared" si="2"/>
        <v>0410192</v>
      </c>
      <c r="B134" s="101" t="s">
        <v>18</v>
      </c>
      <c r="C134" s="101" t="s">
        <v>143</v>
      </c>
      <c r="D134" s="101" t="s">
        <v>224</v>
      </c>
      <c r="E134" s="101" t="s">
        <v>17</v>
      </c>
    </row>
    <row r="135" spans="1:5" x14ac:dyDescent="0.3">
      <c r="A135" t="str">
        <f t="shared" si="2"/>
        <v>0410193</v>
      </c>
      <c r="B135" s="101" t="s">
        <v>18</v>
      </c>
      <c r="C135" s="101" t="s">
        <v>143</v>
      </c>
      <c r="D135" s="101" t="s">
        <v>225</v>
      </c>
      <c r="E135" s="101" t="s">
        <v>17</v>
      </c>
    </row>
    <row r="136" spans="1:5" x14ac:dyDescent="0.3">
      <c r="A136" t="str">
        <f t="shared" si="2"/>
        <v>0410130</v>
      </c>
      <c r="B136" s="101" t="s">
        <v>18</v>
      </c>
      <c r="C136" s="101" t="s">
        <v>143</v>
      </c>
      <c r="D136" s="101" t="s">
        <v>226</v>
      </c>
      <c r="E136" s="101" t="s">
        <v>17</v>
      </c>
    </row>
    <row r="137" spans="1:5" x14ac:dyDescent="0.3">
      <c r="A137" t="str">
        <f t="shared" si="2"/>
        <v>0410131</v>
      </c>
      <c r="B137" s="101" t="s">
        <v>18</v>
      </c>
      <c r="C137" s="101" t="s">
        <v>143</v>
      </c>
      <c r="D137" s="101" t="s">
        <v>227</v>
      </c>
      <c r="E137" s="101" t="s">
        <v>17</v>
      </c>
    </row>
    <row r="138" spans="1:5" x14ac:dyDescent="0.3">
      <c r="A138" t="str">
        <f t="shared" si="2"/>
        <v>0410190</v>
      </c>
      <c r="B138" s="101" t="s">
        <v>18</v>
      </c>
      <c r="C138" s="101" t="s">
        <v>143</v>
      </c>
      <c r="D138" s="101" t="s">
        <v>228</v>
      </c>
      <c r="E138" s="101" t="s">
        <v>17</v>
      </c>
    </row>
    <row r="139" spans="1:5" x14ac:dyDescent="0.3">
      <c r="A139" t="str">
        <f t="shared" si="2"/>
        <v>0410191</v>
      </c>
      <c r="B139" s="101" t="s">
        <v>18</v>
      </c>
      <c r="C139" s="101" t="s">
        <v>143</v>
      </c>
      <c r="D139" s="101" t="s">
        <v>229</v>
      </c>
      <c r="E139" s="101" t="s">
        <v>17</v>
      </c>
    </row>
    <row r="140" spans="1:5" x14ac:dyDescent="0.3">
      <c r="A140" t="str">
        <f t="shared" si="2"/>
        <v>0410600</v>
      </c>
      <c r="B140" s="101" t="s">
        <v>18</v>
      </c>
      <c r="C140" s="101" t="s">
        <v>143</v>
      </c>
      <c r="D140" s="101" t="s">
        <v>230</v>
      </c>
      <c r="E140" s="101" t="s">
        <v>17</v>
      </c>
    </row>
    <row r="141" spans="1:5" x14ac:dyDescent="0.3">
      <c r="A141" t="str">
        <f t="shared" si="2"/>
        <v>0410601</v>
      </c>
      <c r="B141" s="101" t="s">
        <v>18</v>
      </c>
      <c r="C141" s="101" t="s">
        <v>143</v>
      </c>
      <c r="D141" s="101" t="s">
        <v>231</v>
      </c>
      <c r="E141" s="101" t="s">
        <v>17</v>
      </c>
    </row>
    <row r="142" spans="1:5" x14ac:dyDescent="0.3">
      <c r="A142" t="str">
        <f t="shared" si="2"/>
        <v>0310136</v>
      </c>
      <c r="B142" s="101" t="s">
        <v>16</v>
      </c>
      <c r="C142" s="101" t="s">
        <v>143</v>
      </c>
      <c r="D142" s="101" t="s">
        <v>259</v>
      </c>
      <c r="E142" s="101" t="s">
        <v>19</v>
      </c>
    </row>
    <row r="143" spans="1:5" x14ac:dyDescent="0.3">
      <c r="A143" t="str">
        <f t="shared" si="2"/>
        <v>0310137</v>
      </c>
      <c r="B143" s="101" t="s">
        <v>16</v>
      </c>
      <c r="C143" s="101" t="s">
        <v>143</v>
      </c>
      <c r="D143" s="101" t="s">
        <v>260</v>
      </c>
      <c r="E143" s="101" t="s">
        <v>19</v>
      </c>
    </row>
    <row r="144" spans="1:5" x14ac:dyDescent="0.3">
      <c r="A144" t="str">
        <f t="shared" si="2"/>
        <v>0310180</v>
      </c>
      <c r="B144" s="101" t="s">
        <v>16</v>
      </c>
      <c r="C144" s="101" t="s">
        <v>143</v>
      </c>
      <c r="D144" s="101" t="s">
        <v>265</v>
      </c>
      <c r="E144" s="101" t="s">
        <v>19</v>
      </c>
    </row>
    <row r="145" spans="1:5" x14ac:dyDescent="0.3">
      <c r="A145" t="str">
        <f t="shared" si="2"/>
        <v>0310181</v>
      </c>
      <c r="B145" s="101" t="s">
        <v>16</v>
      </c>
      <c r="C145" s="101" t="s">
        <v>143</v>
      </c>
      <c r="D145" s="101" t="s">
        <v>267</v>
      </c>
      <c r="E145" s="101" t="s">
        <v>19</v>
      </c>
    </row>
    <row r="146" spans="1:5" x14ac:dyDescent="0.3">
      <c r="A146" t="str">
        <f t="shared" si="2"/>
        <v>0310636</v>
      </c>
      <c r="B146" s="101" t="s">
        <v>16</v>
      </c>
      <c r="C146" s="101" t="s">
        <v>143</v>
      </c>
      <c r="D146" s="101" t="s">
        <v>269</v>
      </c>
      <c r="E146" s="101" t="s">
        <v>19</v>
      </c>
    </row>
    <row r="147" spans="1:5" x14ac:dyDescent="0.3">
      <c r="A147" t="str">
        <f t="shared" si="2"/>
        <v>0310637</v>
      </c>
      <c r="B147" s="101" t="s">
        <v>16</v>
      </c>
      <c r="C147" s="101" t="s">
        <v>143</v>
      </c>
      <c r="D147" s="101" t="s">
        <v>270</v>
      </c>
      <c r="E147" s="101" t="s">
        <v>19</v>
      </c>
    </row>
    <row r="148" spans="1:5" x14ac:dyDescent="0.3">
      <c r="A148" t="str">
        <f t="shared" si="2"/>
        <v>0310680</v>
      </c>
      <c r="B148" s="101" t="s">
        <v>16</v>
      </c>
      <c r="C148" s="101" t="s">
        <v>143</v>
      </c>
      <c r="D148" s="101" t="s">
        <v>271</v>
      </c>
      <c r="E148" s="101" t="s">
        <v>19</v>
      </c>
    </row>
    <row r="149" spans="1:5" x14ac:dyDescent="0.3">
      <c r="A149" t="str">
        <f t="shared" si="2"/>
        <v>0310681</v>
      </c>
      <c r="B149" s="101" t="s">
        <v>16</v>
      </c>
      <c r="C149" s="101" t="s">
        <v>143</v>
      </c>
      <c r="D149" s="101" t="s">
        <v>272</v>
      </c>
      <c r="E149" s="101" t="s">
        <v>19</v>
      </c>
    </row>
    <row r="150" spans="1:5" x14ac:dyDescent="0.3">
      <c r="A150" t="str">
        <f t="shared" si="2"/>
        <v>0310692</v>
      </c>
      <c r="B150" s="101" t="s">
        <v>16</v>
      </c>
      <c r="C150" s="101" t="s">
        <v>143</v>
      </c>
      <c r="D150" s="101" t="s">
        <v>273</v>
      </c>
      <c r="E150" s="101" t="s">
        <v>19</v>
      </c>
    </row>
    <row r="151" spans="1:5" x14ac:dyDescent="0.3">
      <c r="A151" t="str">
        <f t="shared" si="2"/>
        <v>0310693</v>
      </c>
      <c r="B151" s="101" t="s">
        <v>16</v>
      </c>
      <c r="C151" s="101" t="s">
        <v>143</v>
      </c>
      <c r="D151" s="101" t="s">
        <v>274</v>
      </c>
      <c r="E151" s="101" t="s">
        <v>19</v>
      </c>
    </row>
    <row r="152" spans="1:5" x14ac:dyDescent="0.3">
      <c r="A152" t="str">
        <f t="shared" si="2"/>
        <v>0410136</v>
      </c>
      <c r="B152" s="101" t="s">
        <v>18</v>
      </c>
      <c r="C152" s="101" t="s">
        <v>143</v>
      </c>
      <c r="D152" s="101" t="s">
        <v>259</v>
      </c>
      <c r="E152" s="101" t="s">
        <v>19</v>
      </c>
    </row>
    <row r="153" spans="1:5" x14ac:dyDescent="0.3">
      <c r="A153" t="str">
        <f t="shared" si="2"/>
        <v>0410137</v>
      </c>
      <c r="B153" s="101" t="s">
        <v>18</v>
      </c>
      <c r="C153" s="101" t="s">
        <v>143</v>
      </c>
      <c r="D153" s="101" t="s">
        <v>260</v>
      </c>
      <c r="E153" s="101" t="s">
        <v>19</v>
      </c>
    </row>
    <row r="154" spans="1:5" x14ac:dyDescent="0.3">
      <c r="A154" t="str">
        <f t="shared" si="2"/>
        <v>0410180</v>
      </c>
      <c r="B154" s="101" t="s">
        <v>18</v>
      </c>
      <c r="C154" s="101" t="s">
        <v>143</v>
      </c>
      <c r="D154" s="101" t="s">
        <v>265</v>
      </c>
      <c r="E154" s="101" t="s">
        <v>19</v>
      </c>
    </row>
    <row r="155" spans="1:5" x14ac:dyDescent="0.3">
      <c r="A155" t="str">
        <f t="shared" si="2"/>
        <v>0410181</v>
      </c>
      <c r="B155" s="101" t="s">
        <v>18</v>
      </c>
      <c r="C155" s="101" t="s">
        <v>143</v>
      </c>
      <c r="D155" s="101" t="s">
        <v>267</v>
      </c>
      <c r="E155" s="101" t="s">
        <v>19</v>
      </c>
    </row>
    <row r="156" spans="1:5" x14ac:dyDescent="0.3">
      <c r="A156" t="str">
        <f t="shared" si="2"/>
        <v>0410636</v>
      </c>
      <c r="B156" s="101" t="s">
        <v>18</v>
      </c>
      <c r="C156" s="101" t="s">
        <v>143</v>
      </c>
      <c r="D156" s="101" t="s">
        <v>269</v>
      </c>
      <c r="E156" s="101" t="s">
        <v>19</v>
      </c>
    </row>
    <row r="157" spans="1:5" x14ac:dyDescent="0.3">
      <c r="A157" t="str">
        <f t="shared" si="2"/>
        <v>0410637</v>
      </c>
      <c r="B157" s="101" t="s">
        <v>18</v>
      </c>
      <c r="C157" s="101" t="s">
        <v>143</v>
      </c>
      <c r="D157" s="101" t="s">
        <v>270</v>
      </c>
      <c r="E157" s="101" t="s">
        <v>19</v>
      </c>
    </row>
    <row r="158" spans="1:5" x14ac:dyDescent="0.3">
      <c r="A158" t="str">
        <f t="shared" si="2"/>
        <v>0410680</v>
      </c>
      <c r="B158" s="101" t="s">
        <v>18</v>
      </c>
      <c r="C158" s="101" t="s">
        <v>143</v>
      </c>
      <c r="D158" s="101" t="s">
        <v>271</v>
      </c>
      <c r="E158" s="101" t="s">
        <v>19</v>
      </c>
    </row>
    <row r="159" spans="1:5" x14ac:dyDescent="0.3">
      <c r="A159" t="str">
        <f t="shared" si="2"/>
        <v>0410681</v>
      </c>
      <c r="B159" s="101" t="s">
        <v>18</v>
      </c>
      <c r="C159" s="101" t="s">
        <v>143</v>
      </c>
      <c r="D159" s="101" t="s">
        <v>272</v>
      </c>
      <c r="E159" s="101" t="s">
        <v>19</v>
      </c>
    </row>
    <row r="160" spans="1:5" x14ac:dyDescent="0.3">
      <c r="A160" t="str">
        <f t="shared" si="2"/>
        <v>0410692</v>
      </c>
      <c r="B160" s="101" t="s">
        <v>18</v>
      </c>
      <c r="C160" s="101" t="s">
        <v>143</v>
      </c>
      <c r="D160" s="101" t="s">
        <v>273</v>
      </c>
      <c r="E160" s="101" t="s">
        <v>19</v>
      </c>
    </row>
    <row r="161" spans="1:5" x14ac:dyDescent="0.3">
      <c r="A161" t="str">
        <f t="shared" si="2"/>
        <v>0410693</v>
      </c>
      <c r="B161" s="101" t="s">
        <v>18</v>
      </c>
      <c r="C161" s="101" t="s">
        <v>143</v>
      </c>
      <c r="D161" s="101" t="s">
        <v>274</v>
      </c>
      <c r="E161" s="101" t="s">
        <v>19</v>
      </c>
    </row>
    <row r="162" spans="1:5" x14ac:dyDescent="0.3">
      <c r="A162" t="str">
        <f t="shared" si="2"/>
        <v>0310138</v>
      </c>
      <c r="B162" s="101" t="s">
        <v>16</v>
      </c>
      <c r="C162" s="101" t="s">
        <v>143</v>
      </c>
      <c r="D162" s="101" t="s">
        <v>261</v>
      </c>
      <c r="E162" s="101" t="s">
        <v>140</v>
      </c>
    </row>
    <row r="163" spans="1:5" x14ac:dyDescent="0.3">
      <c r="A163" t="str">
        <f t="shared" si="2"/>
        <v>0310139</v>
      </c>
      <c r="B163" s="101" t="s">
        <v>16</v>
      </c>
      <c r="C163" s="101" t="s">
        <v>143</v>
      </c>
      <c r="D163" s="101" t="s">
        <v>262</v>
      </c>
      <c r="E163" s="101" t="s">
        <v>140</v>
      </c>
    </row>
    <row r="164" spans="1:5" x14ac:dyDescent="0.3">
      <c r="A164" t="str">
        <f t="shared" si="2"/>
        <v>0310140</v>
      </c>
      <c r="B164" s="101" t="s">
        <v>16</v>
      </c>
      <c r="C164" s="101" t="s">
        <v>143</v>
      </c>
      <c r="D164" s="101" t="s">
        <v>263</v>
      </c>
      <c r="E164" s="101" t="s">
        <v>140</v>
      </c>
    </row>
    <row r="165" spans="1:5" x14ac:dyDescent="0.3">
      <c r="A165" t="str">
        <f t="shared" si="2"/>
        <v>0310141</v>
      </c>
      <c r="B165" s="101" t="s">
        <v>16</v>
      </c>
      <c r="C165" s="101" t="s">
        <v>143</v>
      </c>
      <c r="D165" s="101" t="s">
        <v>264</v>
      </c>
      <c r="E165" s="101" t="s">
        <v>140</v>
      </c>
    </row>
    <row r="166" spans="1:5" x14ac:dyDescent="0.3">
      <c r="A166" t="str">
        <f t="shared" si="2"/>
        <v>0310638</v>
      </c>
      <c r="B166" s="101" t="s">
        <v>16</v>
      </c>
      <c r="C166" s="101" t="s">
        <v>143</v>
      </c>
      <c r="D166" s="101" t="s">
        <v>280</v>
      </c>
      <c r="E166" s="101" t="s">
        <v>140</v>
      </c>
    </row>
    <row r="167" spans="1:5" x14ac:dyDescent="0.3">
      <c r="A167" t="str">
        <f t="shared" si="2"/>
        <v>0310639</v>
      </c>
      <c r="B167" s="101" t="s">
        <v>16</v>
      </c>
      <c r="C167" s="101" t="s">
        <v>143</v>
      </c>
      <c r="D167" s="101" t="s">
        <v>281</v>
      </c>
      <c r="E167" s="101" t="s">
        <v>140</v>
      </c>
    </row>
    <row r="168" spans="1:5" x14ac:dyDescent="0.3">
      <c r="A168" t="str">
        <f t="shared" si="2"/>
        <v>0310640</v>
      </c>
      <c r="B168" s="101" t="s">
        <v>16</v>
      </c>
      <c r="C168" s="101" t="s">
        <v>143</v>
      </c>
      <c r="D168" s="101" t="s">
        <v>282</v>
      </c>
      <c r="E168" s="101" t="s">
        <v>140</v>
      </c>
    </row>
    <row r="169" spans="1:5" x14ac:dyDescent="0.3">
      <c r="A169" t="str">
        <f t="shared" si="2"/>
        <v>0310641</v>
      </c>
      <c r="B169" s="101" t="s">
        <v>16</v>
      </c>
      <c r="C169" s="101" t="s">
        <v>143</v>
      </c>
      <c r="D169" s="101" t="s">
        <v>283</v>
      </c>
      <c r="E169" s="101" t="s">
        <v>140</v>
      </c>
    </row>
    <row r="170" spans="1:5" x14ac:dyDescent="0.3">
      <c r="A170" t="str">
        <f t="shared" si="2"/>
        <v>0410138</v>
      </c>
      <c r="B170" s="101" t="s">
        <v>18</v>
      </c>
      <c r="C170" s="101" t="s">
        <v>143</v>
      </c>
      <c r="D170" s="101" t="s">
        <v>261</v>
      </c>
      <c r="E170" s="101" t="s">
        <v>140</v>
      </c>
    </row>
    <row r="171" spans="1:5" x14ac:dyDescent="0.3">
      <c r="A171" t="str">
        <f t="shared" si="2"/>
        <v>0410139</v>
      </c>
      <c r="B171" s="101" t="s">
        <v>18</v>
      </c>
      <c r="C171" s="101" t="s">
        <v>143</v>
      </c>
      <c r="D171" s="101" t="s">
        <v>262</v>
      </c>
      <c r="E171" s="101" t="s">
        <v>140</v>
      </c>
    </row>
    <row r="172" spans="1:5" x14ac:dyDescent="0.3">
      <c r="A172" t="str">
        <f t="shared" si="2"/>
        <v>0410140</v>
      </c>
      <c r="B172" s="101" t="s">
        <v>18</v>
      </c>
      <c r="C172" s="101" t="s">
        <v>143</v>
      </c>
      <c r="D172" s="101" t="s">
        <v>263</v>
      </c>
      <c r="E172" s="101" t="s">
        <v>140</v>
      </c>
    </row>
    <row r="173" spans="1:5" x14ac:dyDescent="0.3">
      <c r="A173" t="str">
        <f t="shared" si="2"/>
        <v>0410141</v>
      </c>
      <c r="B173" s="101" t="s">
        <v>18</v>
      </c>
      <c r="C173" s="101" t="s">
        <v>143</v>
      </c>
      <c r="D173" s="101" t="s">
        <v>264</v>
      </c>
      <c r="E173" s="101" t="s">
        <v>140</v>
      </c>
    </row>
    <row r="174" spans="1:5" x14ac:dyDescent="0.3">
      <c r="A174" t="str">
        <f t="shared" si="2"/>
        <v>0410638</v>
      </c>
      <c r="B174" s="101" t="s">
        <v>18</v>
      </c>
      <c r="C174" s="101" t="s">
        <v>143</v>
      </c>
      <c r="D174" s="101" t="s">
        <v>280</v>
      </c>
      <c r="E174" s="101" t="s">
        <v>140</v>
      </c>
    </row>
    <row r="175" spans="1:5" x14ac:dyDescent="0.3">
      <c r="A175" t="str">
        <f t="shared" si="2"/>
        <v>0410639</v>
      </c>
      <c r="B175" s="101" t="s">
        <v>18</v>
      </c>
      <c r="C175" s="101" t="s">
        <v>143</v>
      </c>
      <c r="D175" s="101" t="s">
        <v>281</v>
      </c>
      <c r="E175" s="101" t="s">
        <v>140</v>
      </c>
    </row>
    <row r="176" spans="1:5" x14ac:dyDescent="0.3">
      <c r="A176" t="str">
        <f t="shared" si="2"/>
        <v>0410640</v>
      </c>
      <c r="B176" s="101" t="s">
        <v>18</v>
      </c>
      <c r="C176" s="101" t="s">
        <v>143</v>
      </c>
      <c r="D176" s="101" t="s">
        <v>282</v>
      </c>
      <c r="E176" s="101" t="s">
        <v>140</v>
      </c>
    </row>
    <row r="177" spans="1:5" x14ac:dyDescent="0.3">
      <c r="A177" t="str">
        <f t="shared" si="2"/>
        <v>0410641</v>
      </c>
      <c r="B177" s="101" t="s">
        <v>18</v>
      </c>
      <c r="C177" s="101" t="s">
        <v>143</v>
      </c>
      <c r="D177" s="101" t="s">
        <v>283</v>
      </c>
      <c r="E177" s="101" t="s">
        <v>140</v>
      </c>
    </row>
    <row r="178" spans="1:5" x14ac:dyDescent="0.3">
      <c r="A178" t="str">
        <f t="shared" si="2"/>
        <v>0310108</v>
      </c>
      <c r="B178" s="101" t="s">
        <v>16</v>
      </c>
      <c r="C178" s="101" t="s">
        <v>143</v>
      </c>
      <c r="D178" s="101" t="s">
        <v>238</v>
      </c>
      <c r="E178" s="101" t="s">
        <v>19</v>
      </c>
    </row>
    <row r="179" spans="1:5" x14ac:dyDescent="0.3">
      <c r="A179" t="str">
        <f t="shared" si="2"/>
        <v>0310109</v>
      </c>
      <c r="B179" s="101" t="s">
        <v>16</v>
      </c>
      <c r="C179" s="101" t="s">
        <v>143</v>
      </c>
      <c r="D179" s="101" t="s">
        <v>239</v>
      </c>
      <c r="E179" s="101" t="s">
        <v>19</v>
      </c>
    </row>
    <row r="180" spans="1:5" x14ac:dyDescent="0.3">
      <c r="A180" t="str">
        <f t="shared" si="2"/>
        <v>0310114</v>
      </c>
      <c r="B180" s="101" t="s">
        <v>16</v>
      </c>
      <c r="C180" s="101" t="s">
        <v>143</v>
      </c>
      <c r="D180" s="101" t="s">
        <v>244</v>
      </c>
      <c r="E180" s="101" t="s">
        <v>19</v>
      </c>
    </row>
    <row r="181" spans="1:5" x14ac:dyDescent="0.3">
      <c r="A181" t="str">
        <f t="shared" si="2"/>
        <v>0310115</v>
      </c>
      <c r="B181" s="101" t="s">
        <v>16</v>
      </c>
      <c r="C181" s="101" t="s">
        <v>143</v>
      </c>
      <c r="D181" s="101" t="s">
        <v>245</v>
      </c>
      <c r="E181" s="101" t="s">
        <v>19</v>
      </c>
    </row>
    <row r="182" spans="1:5" x14ac:dyDescent="0.3">
      <c r="A182" t="str">
        <f t="shared" si="2"/>
        <v>0310132</v>
      </c>
      <c r="B182" s="101" t="s">
        <v>16</v>
      </c>
      <c r="C182" s="101" t="s">
        <v>143</v>
      </c>
      <c r="D182" s="101" t="s">
        <v>255</v>
      </c>
      <c r="E182" s="101" t="s">
        <v>19</v>
      </c>
    </row>
    <row r="183" spans="1:5" x14ac:dyDescent="0.3">
      <c r="A183" t="str">
        <f t="shared" si="2"/>
        <v>0310133</v>
      </c>
      <c r="B183" s="101" t="s">
        <v>16</v>
      </c>
      <c r="C183" s="101" t="s">
        <v>143</v>
      </c>
      <c r="D183" s="101" t="s">
        <v>256</v>
      </c>
      <c r="E183" s="101" t="s">
        <v>19</v>
      </c>
    </row>
    <row r="184" spans="1:5" x14ac:dyDescent="0.3">
      <c r="A184" t="str">
        <f t="shared" si="2"/>
        <v>0310184</v>
      </c>
      <c r="B184" s="101" t="s">
        <v>16</v>
      </c>
      <c r="C184" s="101" t="s">
        <v>143</v>
      </c>
      <c r="D184" s="101" t="s">
        <v>284</v>
      </c>
      <c r="E184" s="101" t="s">
        <v>19</v>
      </c>
    </row>
    <row r="185" spans="1:5" x14ac:dyDescent="0.3">
      <c r="A185" t="str">
        <f t="shared" si="2"/>
        <v>0310185</v>
      </c>
      <c r="B185" s="101" t="s">
        <v>16</v>
      </c>
      <c r="C185" s="101" t="s">
        <v>143</v>
      </c>
      <c r="D185" s="101" t="s">
        <v>285</v>
      </c>
      <c r="E185" s="101" t="s">
        <v>19</v>
      </c>
    </row>
    <row r="186" spans="1:5" x14ac:dyDescent="0.3">
      <c r="A186" t="str">
        <f t="shared" si="2"/>
        <v>0310186</v>
      </c>
      <c r="B186" s="101" t="s">
        <v>16</v>
      </c>
      <c r="C186" s="101" t="s">
        <v>143</v>
      </c>
      <c r="D186" s="101" t="s">
        <v>286</v>
      </c>
      <c r="E186" s="101" t="s">
        <v>19</v>
      </c>
    </row>
    <row r="187" spans="1:5" x14ac:dyDescent="0.3">
      <c r="A187" t="str">
        <f t="shared" si="2"/>
        <v>0310187</v>
      </c>
      <c r="B187" s="101" t="s">
        <v>16</v>
      </c>
      <c r="C187" s="101" t="s">
        <v>143</v>
      </c>
      <c r="D187" s="101" t="s">
        <v>287</v>
      </c>
      <c r="E187" s="101" t="s">
        <v>19</v>
      </c>
    </row>
    <row r="188" spans="1:5" x14ac:dyDescent="0.3">
      <c r="A188" t="str">
        <f t="shared" si="2"/>
        <v>0310188</v>
      </c>
      <c r="B188" s="101" t="s">
        <v>16</v>
      </c>
      <c r="C188" s="101" t="s">
        <v>143</v>
      </c>
      <c r="D188" s="101" t="s">
        <v>288</v>
      </c>
      <c r="E188" s="101" t="s">
        <v>19</v>
      </c>
    </row>
    <row r="189" spans="1:5" x14ac:dyDescent="0.3">
      <c r="A189" t="str">
        <f t="shared" si="2"/>
        <v>0310608</v>
      </c>
      <c r="B189" s="101" t="s">
        <v>16</v>
      </c>
      <c r="C189" s="101" t="s">
        <v>143</v>
      </c>
      <c r="D189" s="101" t="s">
        <v>289</v>
      </c>
      <c r="E189" s="101" t="s">
        <v>19</v>
      </c>
    </row>
    <row r="190" spans="1:5" x14ac:dyDescent="0.3">
      <c r="A190" t="str">
        <f t="shared" si="2"/>
        <v>0310609</v>
      </c>
      <c r="B190" s="101" t="s">
        <v>16</v>
      </c>
      <c r="C190" s="101" t="s">
        <v>143</v>
      </c>
      <c r="D190" s="101" t="s">
        <v>290</v>
      </c>
      <c r="E190" s="101" t="s">
        <v>19</v>
      </c>
    </row>
    <row r="191" spans="1:5" x14ac:dyDescent="0.3">
      <c r="A191" t="str">
        <f t="shared" si="2"/>
        <v>0310614</v>
      </c>
      <c r="B191" s="101" t="s">
        <v>16</v>
      </c>
      <c r="C191" s="101" t="s">
        <v>143</v>
      </c>
      <c r="D191" s="101" t="s">
        <v>291</v>
      </c>
      <c r="E191" s="101" t="s">
        <v>19</v>
      </c>
    </row>
    <row r="192" spans="1:5" x14ac:dyDescent="0.3">
      <c r="A192" t="str">
        <f t="shared" si="2"/>
        <v>0310615</v>
      </c>
      <c r="B192" s="101" t="s">
        <v>16</v>
      </c>
      <c r="C192" s="101" t="s">
        <v>143</v>
      </c>
      <c r="D192" s="101" t="s">
        <v>292</v>
      </c>
      <c r="E192" s="101" t="s">
        <v>19</v>
      </c>
    </row>
    <row r="193" spans="1:5" x14ac:dyDescent="0.3">
      <c r="A193" t="str">
        <f t="shared" si="2"/>
        <v>0310632</v>
      </c>
      <c r="B193" s="101" t="s">
        <v>16</v>
      </c>
      <c r="C193" s="101" t="s">
        <v>143</v>
      </c>
      <c r="D193" s="101" t="s">
        <v>293</v>
      </c>
      <c r="E193" s="101" t="s">
        <v>19</v>
      </c>
    </row>
    <row r="194" spans="1:5" x14ac:dyDescent="0.3">
      <c r="A194" t="str">
        <f t="shared" si="2"/>
        <v>0310633</v>
      </c>
      <c r="B194" s="101" t="s">
        <v>16</v>
      </c>
      <c r="C194" s="101" t="s">
        <v>143</v>
      </c>
      <c r="D194" s="101" t="s">
        <v>294</v>
      </c>
      <c r="E194" s="101" t="s">
        <v>19</v>
      </c>
    </row>
    <row r="195" spans="1:5" x14ac:dyDescent="0.3">
      <c r="A195" t="str">
        <f t="shared" ref="A195:A258" si="3">CONCATENATE(B195,C195,D195,F195)</f>
        <v>0310684</v>
      </c>
      <c r="B195" s="101" t="s">
        <v>16</v>
      </c>
      <c r="C195" s="101" t="s">
        <v>143</v>
      </c>
      <c r="D195" s="101" t="s">
        <v>295</v>
      </c>
      <c r="E195" s="101" t="s">
        <v>19</v>
      </c>
    </row>
    <row r="196" spans="1:5" x14ac:dyDescent="0.3">
      <c r="A196" t="str">
        <f t="shared" si="3"/>
        <v>0310685</v>
      </c>
      <c r="B196" s="101" t="s">
        <v>16</v>
      </c>
      <c r="C196" s="101" t="s">
        <v>143</v>
      </c>
      <c r="D196" s="101" t="s">
        <v>296</v>
      </c>
      <c r="E196" s="101" t="s">
        <v>19</v>
      </c>
    </row>
    <row r="197" spans="1:5" x14ac:dyDescent="0.3">
      <c r="A197" t="str">
        <f t="shared" si="3"/>
        <v>0310686</v>
      </c>
      <c r="B197" s="101" t="s">
        <v>16</v>
      </c>
      <c r="C197" s="101" t="s">
        <v>143</v>
      </c>
      <c r="D197" s="101" t="s">
        <v>298</v>
      </c>
      <c r="E197" s="101" t="s">
        <v>19</v>
      </c>
    </row>
    <row r="198" spans="1:5" x14ac:dyDescent="0.3">
      <c r="A198" t="str">
        <f t="shared" si="3"/>
        <v>0310687</v>
      </c>
      <c r="B198" s="101" t="s">
        <v>16</v>
      </c>
      <c r="C198" s="101" t="s">
        <v>143</v>
      </c>
      <c r="D198" s="101" t="s">
        <v>299</v>
      </c>
      <c r="E198" s="101" t="s">
        <v>19</v>
      </c>
    </row>
    <row r="199" spans="1:5" x14ac:dyDescent="0.3">
      <c r="A199" t="str">
        <f t="shared" si="3"/>
        <v>0310688</v>
      </c>
      <c r="B199" s="101" t="s">
        <v>16</v>
      </c>
      <c r="C199" s="101" t="s">
        <v>143</v>
      </c>
      <c r="D199" s="101" t="s">
        <v>300</v>
      </c>
      <c r="E199" s="101" t="s">
        <v>19</v>
      </c>
    </row>
    <row r="200" spans="1:5" x14ac:dyDescent="0.3">
      <c r="A200" t="str">
        <f t="shared" si="3"/>
        <v>0310689</v>
      </c>
      <c r="B200" s="101" t="s">
        <v>16</v>
      </c>
      <c r="C200" s="101" t="s">
        <v>143</v>
      </c>
      <c r="D200" s="101" t="s">
        <v>301</v>
      </c>
      <c r="E200" s="101" t="s">
        <v>19</v>
      </c>
    </row>
    <row r="201" spans="1:5" x14ac:dyDescent="0.3">
      <c r="A201" t="str">
        <f t="shared" si="3"/>
        <v>0410108</v>
      </c>
      <c r="B201" s="101" t="s">
        <v>18</v>
      </c>
      <c r="C201" s="101" t="s">
        <v>143</v>
      </c>
      <c r="D201" s="101" t="s">
        <v>238</v>
      </c>
      <c r="E201" s="101" t="s">
        <v>19</v>
      </c>
    </row>
    <row r="202" spans="1:5" x14ac:dyDescent="0.3">
      <c r="A202" t="str">
        <f t="shared" si="3"/>
        <v>0410109</v>
      </c>
      <c r="B202" s="101" t="s">
        <v>18</v>
      </c>
      <c r="C202" s="101" t="s">
        <v>143</v>
      </c>
      <c r="D202" s="101" t="s">
        <v>239</v>
      </c>
      <c r="E202" s="101" t="s">
        <v>19</v>
      </c>
    </row>
    <row r="203" spans="1:5" x14ac:dyDescent="0.3">
      <c r="A203" t="str">
        <f t="shared" si="3"/>
        <v>0410114</v>
      </c>
      <c r="B203" s="101" t="s">
        <v>18</v>
      </c>
      <c r="C203" s="101" t="s">
        <v>143</v>
      </c>
      <c r="D203" s="101" t="s">
        <v>244</v>
      </c>
      <c r="E203" s="101" t="s">
        <v>19</v>
      </c>
    </row>
    <row r="204" spans="1:5" x14ac:dyDescent="0.3">
      <c r="A204" t="str">
        <f t="shared" si="3"/>
        <v>0410115</v>
      </c>
      <c r="B204" s="101" t="s">
        <v>18</v>
      </c>
      <c r="C204" s="101" t="s">
        <v>143</v>
      </c>
      <c r="D204" s="101" t="s">
        <v>245</v>
      </c>
      <c r="E204" s="101" t="s">
        <v>19</v>
      </c>
    </row>
    <row r="205" spans="1:5" x14ac:dyDescent="0.3">
      <c r="A205" t="str">
        <f t="shared" si="3"/>
        <v>0410132</v>
      </c>
      <c r="B205" s="101" t="s">
        <v>18</v>
      </c>
      <c r="C205" s="101" t="s">
        <v>143</v>
      </c>
      <c r="D205" s="101" t="s">
        <v>255</v>
      </c>
      <c r="E205" s="101" t="s">
        <v>19</v>
      </c>
    </row>
    <row r="206" spans="1:5" x14ac:dyDescent="0.3">
      <c r="A206" t="str">
        <f t="shared" si="3"/>
        <v>0410133</v>
      </c>
      <c r="B206" s="101" t="s">
        <v>18</v>
      </c>
      <c r="C206" s="101" t="s">
        <v>143</v>
      </c>
      <c r="D206" s="101" t="s">
        <v>256</v>
      </c>
      <c r="E206" s="101" t="s">
        <v>19</v>
      </c>
    </row>
    <row r="207" spans="1:5" x14ac:dyDescent="0.3">
      <c r="A207" t="str">
        <f t="shared" si="3"/>
        <v>0410184</v>
      </c>
      <c r="B207" s="101" t="s">
        <v>18</v>
      </c>
      <c r="C207" s="101" t="s">
        <v>143</v>
      </c>
      <c r="D207" s="101" t="s">
        <v>284</v>
      </c>
      <c r="E207" s="101" t="s">
        <v>19</v>
      </c>
    </row>
    <row r="208" spans="1:5" x14ac:dyDescent="0.3">
      <c r="A208" t="str">
        <f t="shared" si="3"/>
        <v>0410185</v>
      </c>
      <c r="B208" s="101" t="s">
        <v>18</v>
      </c>
      <c r="C208" s="101" t="s">
        <v>143</v>
      </c>
      <c r="D208" s="101" t="s">
        <v>285</v>
      </c>
      <c r="E208" s="101" t="s">
        <v>19</v>
      </c>
    </row>
    <row r="209" spans="1:5" x14ac:dyDescent="0.3">
      <c r="A209" t="str">
        <f t="shared" si="3"/>
        <v>0410186</v>
      </c>
      <c r="B209" s="101" t="s">
        <v>18</v>
      </c>
      <c r="C209" s="101" t="s">
        <v>143</v>
      </c>
      <c r="D209" s="101" t="s">
        <v>286</v>
      </c>
      <c r="E209" s="101" t="s">
        <v>19</v>
      </c>
    </row>
    <row r="210" spans="1:5" x14ac:dyDescent="0.3">
      <c r="A210" t="str">
        <f t="shared" si="3"/>
        <v>0410187</v>
      </c>
      <c r="B210" s="101" t="s">
        <v>18</v>
      </c>
      <c r="C210" s="101" t="s">
        <v>143</v>
      </c>
      <c r="D210" s="101" t="s">
        <v>287</v>
      </c>
      <c r="E210" s="101" t="s">
        <v>19</v>
      </c>
    </row>
    <row r="211" spans="1:5" x14ac:dyDescent="0.3">
      <c r="A211" t="str">
        <f t="shared" si="3"/>
        <v>0410188</v>
      </c>
      <c r="B211" s="101" t="s">
        <v>18</v>
      </c>
      <c r="C211" s="101" t="s">
        <v>143</v>
      </c>
      <c r="D211" s="101" t="s">
        <v>288</v>
      </c>
      <c r="E211" s="101" t="s">
        <v>19</v>
      </c>
    </row>
    <row r="212" spans="1:5" x14ac:dyDescent="0.3">
      <c r="A212" t="str">
        <f t="shared" si="3"/>
        <v>0410608</v>
      </c>
      <c r="B212" s="101" t="s">
        <v>18</v>
      </c>
      <c r="C212" s="101" t="s">
        <v>143</v>
      </c>
      <c r="D212" s="101" t="s">
        <v>289</v>
      </c>
      <c r="E212" s="101" t="s">
        <v>19</v>
      </c>
    </row>
    <row r="213" spans="1:5" x14ac:dyDescent="0.3">
      <c r="A213" t="str">
        <f t="shared" si="3"/>
        <v>0410609</v>
      </c>
      <c r="B213" s="101" t="s">
        <v>18</v>
      </c>
      <c r="C213" s="101" t="s">
        <v>143</v>
      </c>
      <c r="D213" s="101" t="s">
        <v>290</v>
      </c>
      <c r="E213" s="101" t="s">
        <v>19</v>
      </c>
    </row>
    <row r="214" spans="1:5" x14ac:dyDescent="0.3">
      <c r="A214" t="str">
        <f t="shared" si="3"/>
        <v>0410614</v>
      </c>
      <c r="B214" s="101" t="s">
        <v>18</v>
      </c>
      <c r="C214" s="101" t="s">
        <v>143</v>
      </c>
      <c r="D214" s="101" t="s">
        <v>291</v>
      </c>
      <c r="E214" s="101" t="s">
        <v>19</v>
      </c>
    </row>
    <row r="215" spans="1:5" x14ac:dyDescent="0.3">
      <c r="A215" t="str">
        <f t="shared" si="3"/>
        <v>0410615</v>
      </c>
      <c r="B215" s="101" t="s">
        <v>18</v>
      </c>
      <c r="C215" s="101" t="s">
        <v>143</v>
      </c>
      <c r="D215" s="101" t="s">
        <v>292</v>
      </c>
      <c r="E215" s="101" t="s">
        <v>19</v>
      </c>
    </row>
    <row r="216" spans="1:5" x14ac:dyDescent="0.3">
      <c r="A216" t="str">
        <f t="shared" si="3"/>
        <v>0410632</v>
      </c>
      <c r="B216" s="101" t="s">
        <v>18</v>
      </c>
      <c r="C216" s="101" t="s">
        <v>143</v>
      </c>
      <c r="D216" s="101" t="s">
        <v>293</v>
      </c>
      <c r="E216" s="101" t="s">
        <v>19</v>
      </c>
    </row>
    <row r="217" spans="1:5" x14ac:dyDescent="0.3">
      <c r="A217" t="str">
        <f t="shared" si="3"/>
        <v>0410633</v>
      </c>
      <c r="B217" s="101" t="s">
        <v>18</v>
      </c>
      <c r="C217" s="101" t="s">
        <v>143</v>
      </c>
      <c r="D217" s="101" t="s">
        <v>294</v>
      </c>
      <c r="E217" s="101" t="s">
        <v>19</v>
      </c>
    </row>
    <row r="218" spans="1:5" x14ac:dyDescent="0.3">
      <c r="A218" t="str">
        <f t="shared" si="3"/>
        <v>0410684</v>
      </c>
      <c r="B218" s="101" t="s">
        <v>18</v>
      </c>
      <c r="C218" s="101" t="s">
        <v>143</v>
      </c>
      <c r="D218" s="101" t="s">
        <v>295</v>
      </c>
      <c r="E218" s="101" t="s">
        <v>19</v>
      </c>
    </row>
    <row r="219" spans="1:5" x14ac:dyDescent="0.3">
      <c r="A219" t="str">
        <f t="shared" si="3"/>
        <v>0410685</v>
      </c>
      <c r="B219" s="101" t="s">
        <v>18</v>
      </c>
      <c r="C219" s="101" t="s">
        <v>143</v>
      </c>
      <c r="D219" s="101" t="s">
        <v>296</v>
      </c>
      <c r="E219" s="101" t="s">
        <v>19</v>
      </c>
    </row>
    <row r="220" spans="1:5" x14ac:dyDescent="0.3">
      <c r="A220" t="str">
        <f t="shared" si="3"/>
        <v>0410686</v>
      </c>
      <c r="B220" s="101" t="s">
        <v>18</v>
      </c>
      <c r="C220" s="101" t="s">
        <v>143</v>
      </c>
      <c r="D220" s="101" t="s">
        <v>298</v>
      </c>
      <c r="E220" s="101" t="s">
        <v>19</v>
      </c>
    </row>
    <row r="221" spans="1:5" x14ac:dyDescent="0.3">
      <c r="A221" t="str">
        <f t="shared" si="3"/>
        <v>0410687</v>
      </c>
      <c r="B221" s="101" t="s">
        <v>18</v>
      </c>
      <c r="C221" s="101" t="s">
        <v>143</v>
      </c>
      <c r="D221" s="101" t="s">
        <v>299</v>
      </c>
      <c r="E221" s="101" t="s">
        <v>19</v>
      </c>
    </row>
    <row r="222" spans="1:5" x14ac:dyDescent="0.3">
      <c r="A222" t="str">
        <f t="shared" si="3"/>
        <v>0410688</v>
      </c>
      <c r="B222" s="101" t="s">
        <v>18</v>
      </c>
      <c r="C222" s="101" t="s">
        <v>143</v>
      </c>
      <c r="D222" s="101" t="s">
        <v>300</v>
      </c>
      <c r="E222" s="101" t="s">
        <v>19</v>
      </c>
    </row>
    <row r="223" spans="1:5" x14ac:dyDescent="0.3">
      <c r="A223" t="str">
        <f t="shared" si="3"/>
        <v>0410689</v>
      </c>
      <c r="B223" s="101" t="s">
        <v>18</v>
      </c>
      <c r="C223" s="101" t="s">
        <v>143</v>
      </c>
      <c r="D223" s="101" t="s">
        <v>301</v>
      </c>
      <c r="E223" s="101" t="s">
        <v>19</v>
      </c>
    </row>
    <row r="224" spans="1:5" x14ac:dyDescent="0.3">
      <c r="A224" t="str">
        <f t="shared" si="3"/>
        <v>0510801</v>
      </c>
      <c r="B224" s="101" t="s">
        <v>313</v>
      </c>
      <c r="C224" s="101" t="s">
        <v>143</v>
      </c>
      <c r="D224" s="101" t="s">
        <v>144</v>
      </c>
      <c r="E224" s="101" t="s">
        <v>139</v>
      </c>
    </row>
    <row r="225" spans="1:5" x14ac:dyDescent="0.3">
      <c r="A225" t="str">
        <f t="shared" si="3"/>
        <v>0510802</v>
      </c>
      <c r="B225" s="101" t="s">
        <v>313</v>
      </c>
      <c r="C225" s="101" t="s">
        <v>143</v>
      </c>
      <c r="D225" s="101" t="s">
        <v>145</v>
      </c>
      <c r="E225" s="101" t="s">
        <v>139</v>
      </c>
    </row>
    <row r="226" spans="1:5" x14ac:dyDescent="0.3">
      <c r="A226" t="str">
        <f t="shared" si="3"/>
        <v>0510500</v>
      </c>
      <c r="B226" s="101" t="s">
        <v>313</v>
      </c>
      <c r="C226" s="101" t="s">
        <v>143</v>
      </c>
      <c r="D226" s="101" t="s">
        <v>146</v>
      </c>
      <c r="E226" s="101" t="s">
        <v>139</v>
      </c>
    </row>
    <row r="227" spans="1:5" x14ac:dyDescent="0.3">
      <c r="A227" t="str">
        <f t="shared" si="3"/>
        <v>0510501</v>
      </c>
      <c r="B227" s="101" t="s">
        <v>313</v>
      </c>
      <c r="C227" s="101" t="s">
        <v>143</v>
      </c>
      <c r="D227" s="101" t="s">
        <v>147</v>
      </c>
      <c r="E227" s="101" t="s">
        <v>139</v>
      </c>
    </row>
    <row r="228" spans="1:5" x14ac:dyDescent="0.3">
      <c r="A228" t="str">
        <f t="shared" si="3"/>
        <v>0510807</v>
      </c>
      <c r="B228" s="101" t="s">
        <v>313</v>
      </c>
      <c r="C228" s="101" t="s">
        <v>143</v>
      </c>
      <c r="D228" s="101" t="s">
        <v>185</v>
      </c>
      <c r="E228" s="101" t="s">
        <v>17</v>
      </c>
    </row>
    <row r="229" spans="1:5" x14ac:dyDescent="0.3">
      <c r="A229" t="str">
        <f t="shared" si="3"/>
        <v>0510808</v>
      </c>
      <c r="B229" s="101" t="s">
        <v>313</v>
      </c>
      <c r="C229" s="101" t="s">
        <v>143</v>
      </c>
      <c r="D229" s="101" t="s">
        <v>186</v>
      </c>
      <c r="E229" s="101" t="s">
        <v>17</v>
      </c>
    </row>
    <row r="230" spans="1:5" x14ac:dyDescent="0.3">
      <c r="A230" t="str">
        <f t="shared" si="3"/>
        <v>0510660</v>
      </c>
      <c r="B230" s="101" t="s">
        <v>313</v>
      </c>
      <c r="C230" s="101" t="s">
        <v>143</v>
      </c>
      <c r="D230" s="101" t="s">
        <v>216</v>
      </c>
      <c r="E230" s="101" t="s">
        <v>17</v>
      </c>
    </row>
    <row r="231" spans="1:5" x14ac:dyDescent="0.3">
      <c r="A231" t="str">
        <f t="shared" si="3"/>
        <v>0510661</v>
      </c>
      <c r="B231" s="101" t="s">
        <v>313</v>
      </c>
      <c r="C231" s="101" t="s">
        <v>143</v>
      </c>
      <c r="D231" s="101" t="s">
        <v>217</v>
      </c>
      <c r="E231" s="101" t="s">
        <v>17</v>
      </c>
    </row>
    <row r="232" spans="1:5" x14ac:dyDescent="0.3">
      <c r="A232" t="str">
        <f t="shared" si="3"/>
        <v>0510122</v>
      </c>
      <c r="B232" s="101" t="s">
        <v>313</v>
      </c>
      <c r="C232" s="101" t="s">
        <v>143</v>
      </c>
      <c r="D232" s="101" t="s">
        <v>251</v>
      </c>
      <c r="E232" s="101" t="s">
        <v>17</v>
      </c>
    </row>
    <row r="233" spans="1:5" x14ac:dyDescent="0.3">
      <c r="A233" t="str">
        <f t="shared" si="3"/>
        <v>0510123</v>
      </c>
      <c r="B233" s="101" t="s">
        <v>313</v>
      </c>
      <c r="C233" s="101" t="s">
        <v>143</v>
      </c>
      <c r="D233" s="101" t="s">
        <v>252</v>
      </c>
      <c r="E233" s="101" t="s">
        <v>17</v>
      </c>
    </row>
    <row r="234" spans="1:5" x14ac:dyDescent="0.3">
      <c r="A234" t="str">
        <f t="shared" si="3"/>
        <v>0510622</v>
      </c>
      <c r="B234" s="101" t="s">
        <v>313</v>
      </c>
      <c r="C234" s="101" t="s">
        <v>143</v>
      </c>
      <c r="D234" s="101" t="s">
        <v>315</v>
      </c>
      <c r="E234" s="101" t="s">
        <v>17</v>
      </c>
    </row>
    <row r="235" spans="1:5" x14ac:dyDescent="0.3">
      <c r="A235" t="str">
        <f t="shared" si="3"/>
        <v>0510623</v>
      </c>
      <c r="B235" s="101" t="s">
        <v>313</v>
      </c>
      <c r="C235" s="101" t="s">
        <v>143</v>
      </c>
      <c r="D235" s="101" t="s">
        <v>316</v>
      </c>
      <c r="E235" s="101" t="s">
        <v>17</v>
      </c>
    </row>
    <row r="236" spans="1:5" x14ac:dyDescent="0.3">
      <c r="A236" t="str">
        <f t="shared" si="3"/>
        <v>0610801</v>
      </c>
      <c r="B236" s="101" t="s">
        <v>317</v>
      </c>
      <c r="C236" s="101" t="s">
        <v>143</v>
      </c>
      <c r="D236" s="101" t="s">
        <v>144</v>
      </c>
      <c r="E236" s="101" t="s">
        <v>139</v>
      </c>
    </row>
    <row r="237" spans="1:5" x14ac:dyDescent="0.3">
      <c r="A237" t="str">
        <f t="shared" si="3"/>
        <v>0610802</v>
      </c>
      <c r="B237" s="101" t="s">
        <v>317</v>
      </c>
      <c r="C237" s="101" t="s">
        <v>143</v>
      </c>
      <c r="D237" s="101" t="s">
        <v>145</v>
      </c>
      <c r="E237" s="101" t="s">
        <v>139</v>
      </c>
    </row>
    <row r="238" spans="1:5" x14ac:dyDescent="0.3">
      <c r="A238" t="str">
        <f t="shared" si="3"/>
        <v>0610500</v>
      </c>
      <c r="B238" s="101" t="s">
        <v>317</v>
      </c>
      <c r="C238" s="101" t="s">
        <v>143</v>
      </c>
      <c r="D238" s="101" t="s">
        <v>146</v>
      </c>
      <c r="E238" s="101" t="s">
        <v>139</v>
      </c>
    </row>
    <row r="239" spans="1:5" x14ac:dyDescent="0.3">
      <c r="A239" t="str">
        <f t="shared" si="3"/>
        <v>0610501</v>
      </c>
      <c r="B239" s="101" t="s">
        <v>317</v>
      </c>
      <c r="C239" s="101" t="s">
        <v>143</v>
      </c>
      <c r="D239" s="101" t="s">
        <v>147</v>
      </c>
      <c r="E239" s="101" t="s">
        <v>139</v>
      </c>
    </row>
    <row r="240" spans="1:5" x14ac:dyDescent="0.3">
      <c r="A240" t="str">
        <f t="shared" si="3"/>
        <v>0610807</v>
      </c>
      <c r="B240" s="101" t="s">
        <v>317</v>
      </c>
      <c r="C240" s="101" t="s">
        <v>143</v>
      </c>
      <c r="D240" s="101" t="s">
        <v>185</v>
      </c>
      <c r="E240" s="101" t="s">
        <v>17</v>
      </c>
    </row>
    <row r="241" spans="1:5" x14ac:dyDescent="0.3">
      <c r="A241" t="str">
        <f t="shared" si="3"/>
        <v>0610808</v>
      </c>
      <c r="B241" s="101" t="s">
        <v>317</v>
      </c>
      <c r="C241" s="101" t="s">
        <v>143</v>
      </c>
      <c r="D241" s="101" t="s">
        <v>186</v>
      </c>
      <c r="E241" s="101" t="s">
        <v>17</v>
      </c>
    </row>
    <row r="242" spans="1:5" x14ac:dyDescent="0.3">
      <c r="A242" t="str">
        <f t="shared" si="3"/>
        <v>0610660</v>
      </c>
      <c r="B242" s="101" t="s">
        <v>317</v>
      </c>
      <c r="C242" s="101" t="s">
        <v>143</v>
      </c>
      <c r="D242" s="101" t="s">
        <v>216</v>
      </c>
      <c r="E242" s="101" t="s">
        <v>17</v>
      </c>
    </row>
    <row r="243" spans="1:5" x14ac:dyDescent="0.3">
      <c r="A243" t="str">
        <f t="shared" si="3"/>
        <v>0610661</v>
      </c>
      <c r="B243" s="101" t="s">
        <v>317</v>
      </c>
      <c r="C243" s="101" t="s">
        <v>143</v>
      </c>
      <c r="D243" s="101" t="s">
        <v>217</v>
      </c>
      <c r="E243" s="101" t="s">
        <v>17</v>
      </c>
    </row>
    <row r="244" spans="1:5" x14ac:dyDescent="0.3">
      <c r="A244" t="str">
        <f t="shared" si="3"/>
        <v>0610122</v>
      </c>
      <c r="B244" s="101" t="s">
        <v>317</v>
      </c>
      <c r="C244" s="101" t="s">
        <v>143</v>
      </c>
      <c r="D244" s="101" t="s">
        <v>251</v>
      </c>
      <c r="E244" s="101" t="s">
        <v>17</v>
      </c>
    </row>
    <row r="245" spans="1:5" x14ac:dyDescent="0.3">
      <c r="A245" t="str">
        <f t="shared" si="3"/>
        <v>0610123</v>
      </c>
      <c r="B245" s="101" t="s">
        <v>317</v>
      </c>
      <c r="C245" s="101" t="s">
        <v>143</v>
      </c>
      <c r="D245" s="101" t="s">
        <v>252</v>
      </c>
      <c r="E245" s="101" t="s">
        <v>17</v>
      </c>
    </row>
    <row r="246" spans="1:5" x14ac:dyDescent="0.3">
      <c r="A246" t="str">
        <f t="shared" si="3"/>
        <v>0610622</v>
      </c>
      <c r="B246" s="101" t="s">
        <v>317</v>
      </c>
      <c r="C246" s="101" t="s">
        <v>143</v>
      </c>
      <c r="D246" s="101" t="s">
        <v>315</v>
      </c>
      <c r="E246" s="101" t="s">
        <v>17</v>
      </c>
    </row>
    <row r="247" spans="1:5" x14ac:dyDescent="0.3">
      <c r="A247" t="str">
        <f t="shared" si="3"/>
        <v>0610623</v>
      </c>
      <c r="B247" s="101" t="s">
        <v>317</v>
      </c>
      <c r="C247" s="101" t="s">
        <v>143</v>
      </c>
      <c r="D247" s="101" t="s">
        <v>316</v>
      </c>
      <c r="E247" s="101" t="s">
        <v>17</v>
      </c>
    </row>
    <row r="248" spans="1:5" x14ac:dyDescent="0.3">
      <c r="A248" t="str">
        <f t="shared" si="3"/>
        <v>0710801</v>
      </c>
      <c r="B248" s="101" t="s">
        <v>319</v>
      </c>
      <c r="C248" s="101" t="s">
        <v>143</v>
      </c>
      <c r="D248" s="101" t="s">
        <v>144</v>
      </c>
      <c r="E248" s="101" t="s">
        <v>139</v>
      </c>
    </row>
    <row r="249" spans="1:5" x14ac:dyDescent="0.3">
      <c r="A249" t="str">
        <f t="shared" si="3"/>
        <v>0710802</v>
      </c>
      <c r="B249" s="101" t="s">
        <v>319</v>
      </c>
      <c r="C249" s="101" t="s">
        <v>143</v>
      </c>
      <c r="D249" s="101" t="s">
        <v>145</v>
      </c>
      <c r="E249" s="101" t="s">
        <v>139</v>
      </c>
    </row>
    <row r="250" spans="1:5" x14ac:dyDescent="0.3">
      <c r="A250" t="str">
        <f t="shared" si="3"/>
        <v>0710500</v>
      </c>
      <c r="B250" s="101" t="s">
        <v>319</v>
      </c>
      <c r="C250" s="101" t="s">
        <v>143</v>
      </c>
      <c r="D250" s="101" t="s">
        <v>146</v>
      </c>
      <c r="E250" s="101" t="s">
        <v>139</v>
      </c>
    </row>
    <row r="251" spans="1:5" x14ac:dyDescent="0.3">
      <c r="A251" t="str">
        <f t="shared" si="3"/>
        <v>0710501</v>
      </c>
      <c r="B251" s="101" t="s">
        <v>319</v>
      </c>
      <c r="C251" s="101" t="s">
        <v>143</v>
      </c>
      <c r="D251" s="101" t="s">
        <v>147</v>
      </c>
      <c r="E251" s="101" t="s">
        <v>139</v>
      </c>
    </row>
    <row r="252" spans="1:5" x14ac:dyDescent="0.3">
      <c r="A252" t="str">
        <f t="shared" si="3"/>
        <v>0710807</v>
      </c>
      <c r="B252" s="101" t="s">
        <v>319</v>
      </c>
      <c r="C252" s="101" t="s">
        <v>143</v>
      </c>
      <c r="D252" s="101" t="s">
        <v>185</v>
      </c>
      <c r="E252" s="101" t="s">
        <v>17</v>
      </c>
    </row>
    <row r="253" spans="1:5" x14ac:dyDescent="0.3">
      <c r="A253" t="str">
        <f t="shared" si="3"/>
        <v>0710808</v>
      </c>
      <c r="B253" s="101" t="s">
        <v>319</v>
      </c>
      <c r="C253" s="101" t="s">
        <v>143</v>
      </c>
      <c r="D253" s="101" t="s">
        <v>186</v>
      </c>
      <c r="E253" s="101" t="s">
        <v>17</v>
      </c>
    </row>
    <row r="254" spans="1:5" x14ac:dyDescent="0.3">
      <c r="A254" t="str">
        <f t="shared" si="3"/>
        <v>0710660</v>
      </c>
      <c r="B254" s="101" t="s">
        <v>319</v>
      </c>
      <c r="C254" s="101" t="s">
        <v>143</v>
      </c>
      <c r="D254" s="101" t="s">
        <v>216</v>
      </c>
      <c r="E254" s="101" t="s">
        <v>17</v>
      </c>
    </row>
    <row r="255" spans="1:5" x14ac:dyDescent="0.3">
      <c r="A255" t="str">
        <f t="shared" si="3"/>
        <v>0710661</v>
      </c>
      <c r="B255" s="101" t="s">
        <v>319</v>
      </c>
      <c r="C255" s="101" t="s">
        <v>143</v>
      </c>
      <c r="D255" s="101" t="s">
        <v>217</v>
      </c>
      <c r="E255" s="101" t="s">
        <v>17</v>
      </c>
    </row>
    <row r="256" spans="1:5" x14ac:dyDescent="0.3">
      <c r="A256" t="str">
        <f t="shared" si="3"/>
        <v>0710122</v>
      </c>
      <c r="B256" s="101" t="s">
        <v>319</v>
      </c>
      <c r="C256" s="101" t="s">
        <v>143</v>
      </c>
      <c r="D256" s="101" t="s">
        <v>251</v>
      </c>
      <c r="E256" s="101" t="s">
        <v>17</v>
      </c>
    </row>
    <row r="257" spans="1:5" x14ac:dyDescent="0.3">
      <c r="A257" t="str">
        <f t="shared" si="3"/>
        <v>0710123</v>
      </c>
      <c r="B257" s="101" t="s">
        <v>319</v>
      </c>
      <c r="C257" s="101" t="s">
        <v>143</v>
      </c>
      <c r="D257" s="101" t="s">
        <v>252</v>
      </c>
      <c r="E257" s="101" t="s">
        <v>17</v>
      </c>
    </row>
    <row r="258" spans="1:5" x14ac:dyDescent="0.3">
      <c r="A258" t="str">
        <f t="shared" si="3"/>
        <v>0710622</v>
      </c>
      <c r="B258" s="101" t="s">
        <v>319</v>
      </c>
      <c r="C258" s="101" t="s">
        <v>143</v>
      </c>
      <c r="D258" s="101" t="s">
        <v>315</v>
      </c>
      <c r="E258" s="101" t="s">
        <v>17</v>
      </c>
    </row>
    <row r="259" spans="1:5" x14ac:dyDescent="0.3">
      <c r="A259" t="str">
        <f t="shared" ref="A259:A322" si="4">CONCATENATE(B259,C259,D259,F259)</f>
        <v>0710623</v>
      </c>
      <c r="B259" s="101" t="s">
        <v>319</v>
      </c>
      <c r="C259" s="101" t="s">
        <v>143</v>
      </c>
      <c r="D259" s="101" t="s">
        <v>316</v>
      </c>
      <c r="E259" s="101" t="s">
        <v>17</v>
      </c>
    </row>
    <row r="260" spans="1:5" x14ac:dyDescent="0.3">
      <c r="A260" t="str">
        <f t="shared" si="4"/>
        <v>0810801</v>
      </c>
      <c r="B260" s="101" t="s">
        <v>320</v>
      </c>
      <c r="C260" s="101" t="s">
        <v>143</v>
      </c>
      <c r="D260" s="101" t="s">
        <v>144</v>
      </c>
      <c r="E260" s="101" t="s">
        <v>139</v>
      </c>
    </row>
    <row r="261" spans="1:5" x14ac:dyDescent="0.3">
      <c r="A261" t="str">
        <f t="shared" si="4"/>
        <v>0810802</v>
      </c>
      <c r="B261" s="101" t="s">
        <v>320</v>
      </c>
      <c r="C261" s="101" t="s">
        <v>143</v>
      </c>
      <c r="D261" s="101" t="s">
        <v>145</v>
      </c>
      <c r="E261" s="101" t="s">
        <v>139</v>
      </c>
    </row>
    <row r="262" spans="1:5" x14ac:dyDescent="0.3">
      <c r="A262" t="str">
        <f t="shared" si="4"/>
        <v>0810500</v>
      </c>
      <c r="B262" s="101" t="s">
        <v>320</v>
      </c>
      <c r="C262" s="101" t="s">
        <v>143</v>
      </c>
      <c r="D262" s="101" t="s">
        <v>146</v>
      </c>
      <c r="E262" s="101" t="s">
        <v>139</v>
      </c>
    </row>
    <row r="263" spans="1:5" x14ac:dyDescent="0.3">
      <c r="A263" t="str">
        <f t="shared" si="4"/>
        <v>0810501</v>
      </c>
      <c r="B263" s="101" t="s">
        <v>320</v>
      </c>
      <c r="C263" s="101" t="s">
        <v>143</v>
      </c>
      <c r="D263" s="101" t="s">
        <v>147</v>
      </c>
      <c r="E263" s="101" t="s">
        <v>139</v>
      </c>
    </row>
    <row r="264" spans="1:5" x14ac:dyDescent="0.3">
      <c r="A264" t="str">
        <f t="shared" si="4"/>
        <v>0810807</v>
      </c>
      <c r="B264" s="101" t="s">
        <v>320</v>
      </c>
      <c r="C264" s="101" t="s">
        <v>143</v>
      </c>
      <c r="D264" s="101" t="s">
        <v>185</v>
      </c>
      <c r="E264" s="101" t="s">
        <v>17</v>
      </c>
    </row>
    <row r="265" spans="1:5" x14ac:dyDescent="0.3">
      <c r="A265" t="str">
        <f t="shared" si="4"/>
        <v>0810808</v>
      </c>
      <c r="B265" s="101" t="s">
        <v>320</v>
      </c>
      <c r="C265" s="101" t="s">
        <v>143</v>
      </c>
      <c r="D265" s="101" t="s">
        <v>186</v>
      </c>
      <c r="E265" s="101" t="s">
        <v>17</v>
      </c>
    </row>
    <row r="266" spans="1:5" x14ac:dyDescent="0.3">
      <c r="A266" t="str">
        <f t="shared" si="4"/>
        <v>0810660</v>
      </c>
      <c r="B266" s="101" t="s">
        <v>320</v>
      </c>
      <c r="C266" s="101" t="s">
        <v>143</v>
      </c>
      <c r="D266" s="101" t="s">
        <v>216</v>
      </c>
      <c r="E266" s="101" t="s">
        <v>17</v>
      </c>
    </row>
    <row r="267" spans="1:5" x14ac:dyDescent="0.3">
      <c r="A267" t="str">
        <f t="shared" si="4"/>
        <v>0810661</v>
      </c>
      <c r="B267" s="101" t="s">
        <v>320</v>
      </c>
      <c r="C267" s="101" t="s">
        <v>143</v>
      </c>
      <c r="D267" s="101" t="s">
        <v>217</v>
      </c>
      <c r="E267" s="101" t="s">
        <v>17</v>
      </c>
    </row>
    <row r="268" spans="1:5" x14ac:dyDescent="0.3">
      <c r="A268" t="str">
        <f t="shared" si="4"/>
        <v>0810122</v>
      </c>
      <c r="B268" s="101" t="s">
        <v>320</v>
      </c>
      <c r="C268" s="101" t="s">
        <v>143</v>
      </c>
      <c r="D268" s="101" t="s">
        <v>251</v>
      </c>
      <c r="E268" s="101" t="s">
        <v>17</v>
      </c>
    </row>
    <row r="269" spans="1:5" x14ac:dyDescent="0.3">
      <c r="A269" t="str">
        <f t="shared" si="4"/>
        <v>0810123</v>
      </c>
      <c r="B269" s="101" t="s">
        <v>320</v>
      </c>
      <c r="C269" s="101" t="s">
        <v>143</v>
      </c>
      <c r="D269" s="101" t="s">
        <v>252</v>
      </c>
      <c r="E269" s="101" t="s">
        <v>17</v>
      </c>
    </row>
    <row r="270" spans="1:5" x14ac:dyDescent="0.3">
      <c r="A270" t="str">
        <f t="shared" si="4"/>
        <v>0810622</v>
      </c>
      <c r="B270" s="101" t="s">
        <v>320</v>
      </c>
      <c r="C270" s="101" t="s">
        <v>143</v>
      </c>
      <c r="D270" s="101" t="s">
        <v>315</v>
      </c>
      <c r="E270" s="101" t="s">
        <v>17</v>
      </c>
    </row>
    <row r="271" spans="1:5" x14ac:dyDescent="0.3">
      <c r="A271" t="str">
        <f t="shared" si="4"/>
        <v>0810623</v>
      </c>
      <c r="B271" s="101" t="s">
        <v>320</v>
      </c>
      <c r="C271" s="101" t="s">
        <v>143</v>
      </c>
      <c r="D271" s="101" t="s">
        <v>316</v>
      </c>
      <c r="E271" s="101" t="s">
        <v>17</v>
      </c>
    </row>
    <row r="272" spans="1:5" x14ac:dyDescent="0.3">
      <c r="A272" t="str">
        <f t="shared" si="4"/>
        <v>0311015</v>
      </c>
      <c r="B272" s="101" t="s">
        <v>16</v>
      </c>
      <c r="C272" s="101" t="s">
        <v>150</v>
      </c>
      <c r="D272" s="101" t="s">
        <v>321</v>
      </c>
      <c r="E272" s="101" t="s">
        <v>139</v>
      </c>
    </row>
    <row r="273" spans="1:5" x14ac:dyDescent="0.3">
      <c r="A273" t="str">
        <f t="shared" si="4"/>
        <v>0311022</v>
      </c>
      <c r="B273" s="101" t="s">
        <v>16</v>
      </c>
      <c r="C273" s="101" t="s">
        <v>150</v>
      </c>
      <c r="D273" s="101" t="s">
        <v>322</v>
      </c>
      <c r="E273" s="101" t="s">
        <v>139</v>
      </c>
    </row>
    <row r="274" spans="1:5" x14ac:dyDescent="0.3">
      <c r="A274" t="str">
        <f t="shared" si="4"/>
        <v>0311801</v>
      </c>
      <c r="B274" s="101" t="s">
        <v>16</v>
      </c>
      <c r="C274" s="101" t="s">
        <v>150</v>
      </c>
      <c r="D274" s="101" t="s">
        <v>144</v>
      </c>
      <c r="E274" s="101" t="s">
        <v>139</v>
      </c>
    </row>
    <row r="275" spans="1:5" x14ac:dyDescent="0.3">
      <c r="A275" t="str">
        <f t="shared" si="4"/>
        <v>0311802</v>
      </c>
      <c r="B275" s="101" t="s">
        <v>16</v>
      </c>
      <c r="C275" s="101" t="s">
        <v>150</v>
      </c>
      <c r="D275" s="101" t="s">
        <v>145</v>
      </c>
      <c r="E275" s="101" t="s">
        <v>139</v>
      </c>
    </row>
    <row r="276" spans="1:5" x14ac:dyDescent="0.3">
      <c r="A276" t="str">
        <f t="shared" si="4"/>
        <v>0311532</v>
      </c>
      <c r="B276" s="101" t="s">
        <v>16</v>
      </c>
      <c r="C276" s="101" t="s">
        <v>150</v>
      </c>
      <c r="D276" s="101" t="s">
        <v>323</v>
      </c>
      <c r="E276" s="101" t="s">
        <v>139</v>
      </c>
    </row>
    <row r="277" spans="1:5" x14ac:dyDescent="0.3">
      <c r="A277" t="str">
        <f t="shared" si="4"/>
        <v>0311541</v>
      </c>
      <c r="B277" s="101" t="s">
        <v>16</v>
      </c>
      <c r="C277" s="101" t="s">
        <v>150</v>
      </c>
      <c r="D277" s="101" t="s">
        <v>325</v>
      </c>
      <c r="E277" s="101" t="s">
        <v>139</v>
      </c>
    </row>
    <row r="278" spans="1:5" x14ac:dyDescent="0.3">
      <c r="A278" t="str">
        <f t="shared" si="4"/>
        <v>0311500</v>
      </c>
      <c r="B278" s="101" t="s">
        <v>16</v>
      </c>
      <c r="C278" s="101" t="s">
        <v>150</v>
      </c>
      <c r="D278" s="101" t="s">
        <v>146</v>
      </c>
      <c r="E278" s="101" t="s">
        <v>139</v>
      </c>
    </row>
    <row r="279" spans="1:5" x14ac:dyDescent="0.3">
      <c r="A279" t="str">
        <f t="shared" si="4"/>
        <v>0311501</v>
      </c>
      <c r="B279" s="101" t="s">
        <v>16</v>
      </c>
      <c r="C279" s="101" t="s">
        <v>150</v>
      </c>
      <c r="D279" s="101" t="s">
        <v>147</v>
      </c>
      <c r="E279" s="101" t="s">
        <v>139</v>
      </c>
    </row>
    <row r="280" spans="1:5" x14ac:dyDescent="0.3">
      <c r="A280" t="str">
        <f t="shared" si="4"/>
        <v>0311033</v>
      </c>
      <c r="B280" s="101" t="s">
        <v>16</v>
      </c>
      <c r="C280" s="101" t="s">
        <v>150</v>
      </c>
      <c r="D280" s="101" t="s">
        <v>327</v>
      </c>
      <c r="E280" s="101" t="s">
        <v>17</v>
      </c>
    </row>
    <row r="281" spans="1:5" x14ac:dyDescent="0.3">
      <c r="A281" t="str">
        <f t="shared" si="4"/>
        <v>0311034</v>
      </c>
      <c r="B281" s="101" t="s">
        <v>16</v>
      </c>
      <c r="C281" s="101" t="s">
        <v>150</v>
      </c>
      <c r="D281" s="101" t="s">
        <v>329</v>
      </c>
      <c r="E281" s="101" t="s">
        <v>17</v>
      </c>
    </row>
    <row r="282" spans="1:5" x14ac:dyDescent="0.3">
      <c r="A282" t="str">
        <f t="shared" si="4"/>
        <v>0311811</v>
      </c>
      <c r="B282" s="101" t="s">
        <v>16</v>
      </c>
      <c r="C282" s="101" t="s">
        <v>150</v>
      </c>
      <c r="D282" s="101" t="s">
        <v>189</v>
      </c>
      <c r="E282" s="101" t="s">
        <v>17</v>
      </c>
    </row>
    <row r="283" spans="1:5" x14ac:dyDescent="0.3">
      <c r="A283" t="str">
        <f t="shared" si="4"/>
        <v>0311812</v>
      </c>
      <c r="B283" s="101" t="s">
        <v>16</v>
      </c>
      <c r="C283" s="101" t="s">
        <v>150</v>
      </c>
      <c r="D283" s="101" t="s">
        <v>190</v>
      </c>
      <c r="E283" s="101" t="s">
        <v>17</v>
      </c>
    </row>
    <row r="284" spans="1:5" x14ac:dyDescent="0.3">
      <c r="A284" t="str">
        <f t="shared" si="4"/>
        <v>0311814</v>
      </c>
      <c r="B284" s="101" t="s">
        <v>16</v>
      </c>
      <c r="C284" s="101" t="s">
        <v>150</v>
      </c>
      <c r="D284" s="101" t="s">
        <v>333</v>
      </c>
      <c r="E284" s="101" t="s">
        <v>17</v>
      </c>
    </row>
    <row r="285" spans="1:5" x14ac:dyDescent="0.3">
      <c r="A285" t="str">
        <f t="shared" si="4"/>
        <v>0311815</v>
      </c>
      <c r="B285" s="101" t="s">
        <v>16</v>
      </c>
      <c r="C285" s="101" t="s">
        <v>150</v>
      </c>
      <c r="D285" s="101" t="s">
        <v>335</v>
      </c>
      <c r="E285" s="101" t="s">
        <v>17</v>
      </c>
    </row>
    <row r="286" spans="1:5" x14ac:dyDescent="0.3">
      <c r="A286" t="str">
        <f t="shared" si="4"/>
        <v>0311816</v>
      </c>
      <c r="B286" s="101" t="s">
        <v>16</v>
      </c>
      <c r="C286" s="101" t="s">
        <v>150</v>
      </c>
      <c r="D286" s="101" t="s">
        <v>336</v>
      </c>
      <c r="E286" s="101" t="s">
        <v>17</v>
      </c>
    </row>
    <row r="287" spans="1:5" x14ac:dyDescent="0.3">
      <c r="A287" t="str">
        <f t="shared" si="4"/>
        <v>0311817</v>
      </c>
      <c r="B287" s="101" t="s">
        <v>16</v>
      </c>
      <c r="C287" s="101" t="s">
        <v>150</v>
      </c>
      <c r="D287" s="101" t="s">
        <v>338</v>
      </c>
      <c r="E287" s="101" t="s">
        <v>17</v>
      </c>
    </row>
    <row r="288" spans="1:5" x14ac:dyDescent="0.3">
      <c r="A288" t="str">
        <f t="shared" si="4"/>
        <v>0311830</v>
      </c>
      <c r="B288" s="101" t="s">
        <v>16</v>
      </c>
      <c r="C288" s="101" t="s">
        <v>150</v>
      </c>
      <c r="D288" s="101" t="s">
        <v>340</v>
      </c>
      <c r="E288" s="101" t="s">
        <v>17</v>
      </c>
    </row>
    <row r="289" spans="1:5" x14ac:dyDescent="0.3">
      <c r="A289" t="str">
        <f t="shared" si="4"/>
        <v>0311831</v>
      </c>
      <c r="B289" s="101" t="s">
        <v>16</v>
      </c>
      <c r="C289" s="101" t="s">
        <v>150</v>
      </c>
      <c r="D289" s="101" t="s">
        <v>341</v>
      </c>
      <c r="E289" s="101" t="s">
        <v>17</v>
      </c>
    </row>
    <row r="290" spans="1:5" x14ac:dyDescent="0.3">
      <c r="A290" t="str">
        <f t="shared" si="4"/>
        <v>0311556</v>
      </c>
      <c r="B290" s="101" t="s">
        <v>16</v>
      </c>
      <c r="C290" s="101" t="s">
        <v>150</v>
      </c>
      <c r="D290" s="101" t="s">
        <v>342</v>
      </c>
      <c r="E290" s="101" t="s">
        <v>17</v>
      </c>
    </row>
    <row r="291" spans="1:5" x14ac:dyDescent="0.3">
      <c r="A291" t="str">
        <f t="shared" si="4"/>
        <v>0311557</v>
      </c>
      <c r="B291" s="101" t="s">
        <v>16</v>
      </c>
      <c r="C291" s="101" t="s">
        <v>150</v>
      </c>
      <c r="D291" s="101" t="s">
        <v>343</v>
      </c>
      <c r="E291" s="101" t="s">
        <v>17</v>
      </c>
    </row>
    <row r="292" spans="1:5" x14ac:dyDescent="0.3">
      <c r="A292" t="str">
        <f t="shared" si="4"/>
        <v>0311522</v>
      </c>
      <c r="B292" s="101" t="s">
        <v>16</v>
      </c>
      <c r="C292" s="101" t="s">
        <v>150</v>
      </c>
      <c r="D292" s="101" t="s">
        <v>345</v>
      </c>
      <c r="E292" s="101" t="s">
        <v>17</v>
      </c>
    </row>
    <row r="293" spans="1:5" x14ac:dyDescent="0.3">
      <c r="A293" t="str">
        <f t="shared" si="4"/>
        <v>0311543</v>
      </c>
      <c r="B293" s="101" t="s">
        <v>16</v>
      </c>
      <c r="C293" s="101" t="s">
        <v>150</v>
      </c>
      <c r="D293" s="101" t="s">
        <v>347</v>
      </c>
      <c r="E293" s="101" t="s">
        <v>17</v>
      </c>
    </row>
    <row r="294" spans="1:5" x14ac:dyDescent="0.3">
      <c r="A294" t="str">
        <f t="shared" si="4"/>
        <v>0311549</v>
      </c>
      <c r="B294" s="101" t="s">
        <v>16</v>
      </c>
      <c r="C294" s="101" t="s">
        <v>150</v>
      </c>
      <c r="D294" s="101" t="s">
        <v>348</v>
      </c>
      <c r="E294" s="101" t="s">
        <v>17</v>
      </c>
    </row>
    <row r="295" spans="1:5" x14ac:dyDescent="0.3">
      <c r="A295" t="str">
        <f t="shared" si="4"/>
        <v>0311534</v>
      </c>
      <c r="B295" s="101" t="s">
        <v>16</v>
      </c>
      <c r="C295" s="101" t="s">
        <v>150</v>
      </c>
      <c r="D295" s="101" t="s">
        <v>350</v>
      </c>
      <c r="E295" s="101" t="s">
        <v>17</v>
      </c>
    </row>
    <row r="296" spans="1:5" x14ac:dyDescent="0.3">
      <c r="A296" t="str">
        <f t="shared" si="4"/>
        <v>0311524</v>
      </c>
      <c r="B296" s="101" t="s">
        <v>16</v>
      </c>
      <c r="C296" s="101" t="s">
        <v>150</v>
      </c>
      <c r="D296" s="101" t="s">
        <v>351</v>
      </c>
      <c r="E296" s="101" t="s">
        <v>17</v>
      </c>
    </row>
    <row r="297" spans="1:5" x14ac:dyDescent="0.3">
      <c r="A297" t="str">
        <f t="shared" si="4"/>
        <v>0311536</v>
      </c>
      <c r="B297" s="101" t="s">
        <v>16</v>
      </c>
      <c r="C297" s="101" t="s">
        <v>150</v>
      </c>
      <c r="D297" s="101" t="s">
        <v>352</v>
      </c>
      <c r="E297" s="101" t="s">
        <v>17</v>
      </c>
    </row>
    <row r="298" spans="1:5" x14ac:dyDescent="0.3">
      <c r="A298" t="str">
        <f t="shared" si="4"/>
        <v>0311542</v>
      </c>
      <c r="B298" s="101" t="s">
        <v>16</v>
      </c>
      <c r="C298" s="101" t="s">
        <v>150</v>
      </c>
      <c r="D298" s="101" t="s">
        <v>353</v>
      </c>
      <c r="E298" s="101" t="s">
        <v>17</v>
      </c>
    </row>
    <row r="299" spans="1:5" x14ac:dyDescent="0.3">
      <c r="A299" t="str">
        <f t="shared" si="4"/>
        <v>0311548</v>
      </c>
      <c r="B299" s="101" t="s">
        <v>16</v>
      </c>
      <c r="C299" s="101" t="s">
        <v>150</v>
      </c>
      <c r="D299" s="101" t="s">
        <v>354</v>
      </c>
      <c r="E299" s="101" t="s">
        <v>17</v>
      </c>
    </row>
    <row r="300" spans="1:5" x14ac:dyDescent="0.3">
      <c r="A300" t="str">
        <f t="shared" si="4"/>
        <v>0311029</v>
      </c>
      <c r="B300" s="101" t="s">
        <v>16</v>
      </c>
      <c r="C300" s="101" t="s">
        <v>150</v>
      </c>
      <c r="D300" s="101" t="s">
        <v>355</v>
      </c>
      <c r="E300" s="101" t="s">
        <v>19</v>
      </c>
    </row>
    <row r="301" spans="1:5" x14ac:dyDescent="0.3">
      <c r="A301" t="str">
        <f t="shared" si="4"/>
        <v>0311030</v>
      </c>
      <c r="B301" s="101" t="s">
        <v>16</v>
      </c>
      <c r="C301" s="101" t="s">
        <v>150</v>
      </c>
      <c r="D301" s="101" t="s">
        <v>357</v>
      </c>
      <c r="E301" s="101" t="s">
        <v>19</v>
      </c>
    </row>
    <row r="302" spans="1:5" x14ac:dyDescent="0.3">
      <c r="A302" t="str">
        <f t="shared" si="4"/>
        <v>0311826</v>
      </c>
      <c r="B302" s="101" t="s">
        <v>16</v>
      </c>
      <c r="C302" s="101" t="s">
        <v>150</v>
      </c>
      <c r="D302" s="101" t="s">
        <v>359</v>
      </c>
      <c r="E302" s="101" t="s">
        <v>19</v>
      </c>
    </row>
    <row r="303" spans="1:5" x14ac:dyDescent="0.3">
      <c r="A303" t="str">
        <f t="shared" si="4"/>
        <v>0311827</v>
      </c>
      <c r="B303" s="101" t="s">
        <v>16</v>
      </c>
      <c r="C303" s="101" t="s">
        <v>150</v>
      </c>
      <c r="D303" s="101" t="s">
        <v>361</v>
      </c>
      <c r="E303" s="101" t="s">
        <v>19</v>
      </c>
    </row>
    <row r="304" spans="1:5" x14ac:dyDescent="0.3">
      <c r="A304" t="str">
        <f t="shared" si="4"/>
        <v>0311558</v>
      </c>
      <c r="B304" s="101" t="s">
        <v>16</v>
      </c>
      <c r="C304" s="101" t="s">
        <v>150</v>
      </c>
      <c r="D304" s="101" t="s">
        <v>362</v>
      </c>
      <c r="E304" s="101" t="s">
        <v>19</v>
      </c>
    </row>
    <row r="305" spans="1:5" x14ac:dyDescent="0.3">
      <c r="A305" t="str">
        <f t="shared" si="4"/>
        <v>0311559</v>
      </c>
      <c r="B305" s="101" t="s">
        <v>16</v>
      </c>
      <c r="C305" s="101" t="s">
        <v>150</v>
      </c>
      <c r="D305" s="101" t="s">
        <v>363</v>
      </c>
      <c r="E305" s="101" t="s">
        <v>19</v>
      </c>
    </row>
    <row r="306" spans="1:5" x14ac:dyDescent="0.3">
      <c r="A306" t="str">
        <f t="shared" si="4"/>
        <v>0311529</v>
      </c>
      <c r="B306" s="101" t="s">
        <v>16</v>
      </c>
      <c r="C306" s="101" t="s">
        <v>150</v>
      </c>
      <c r="D306" s="101" t="s">
        <v>364</v>
      </c>
      <c r="E306" s="101" t="s">
        <v>19</v>
      </c>
    </row>
    <row r="307" spans="1:5" x14ac:dyDescent="0.3">
      <c r="A307" t="str">
        <f t="shared" si="4"/>
        <v>0311538</v>
      </c>
      <c r="B307" s="101" t="s">
        <v>16</v>
      </c>
      <c r="C307" s="101" t="s">
        <v>150</v>
      </c>
      <c r="D307" s="101" t="s">
        <v>365</v>
      </c>
      <c r="E307" s="101" t="s">
        <v>19</v>
      </c>
    </row>
    <row r="308" spans="1:5" x14ac:dyDescent="0.3">
      <c r="A308" t="str">
        <f t="shared" si="4"/>
        <v>0411033</v>
      </c>
      <c r="B308" s="101" t="s">
        <v>18</v>
      </c>
      <c r="C308" s="101" t="s">
        <v>150</v>
      </c>
      <c r="D308" s="101" t="s">
        <v>327</v>
      </c>
      <c r="E308" s="101" t="s">
        <v>17</v>
      </c>
    </row>
    <row r="309" spans="1:5" x14ac:dyDescent="0.3">
      <c r="A309" t="str">
        <f t="shared" si="4"/>
        <v>0411034</v>
      </c>
      <c r="B309" s="101" t="s">
        <v>18</v>
      </c>
      <c r="C309" s="101" t="s">
        <v>150</v>
      </c>
      <c r="D309" s="101" t="s">
        <v>329</v>
      </c>
      <c r="E309" s="101" t="s">
        <v>17</v>
      </c>
    </row>
    <row r="310" spans="1:5" x14ac:dyDescent="0.3">
      <c r="A310" t="str">
        <f t="shared" si="4"/>
        <v>0411811</v>
      </c>
      <c r="B310" s="101" t="s">
        <v>18</v>
      </c>
      <c r="C310" s="101" t="s">
        <v>150</v>
      </c>
      <c r="D310" s="101" t="s">
        <v>189</v>
      </c>
      <c r="E310" s="101" t="s">
        <v>17</v>
      </c>
    </row>
    <row r="311" spans="1:5" x14ac:dyDescent="0.3">
      <c r="A311" t="str">
        <f t="shared" si="4"/>
        <v>0411812</v>
      </c>
      <c r="B311" s="101" t="s">
        <v>18</v>
      </c>
      <c r="C311" s="101" t="s">
        <v>150</v>
      </c>
      <c r="D311" s="101" t="s">
        <v>190</v>
      </c>
      <c r="E311" s="101" t="s">
        <v>17</v>
      </c>
    </row>
    <row r="312" spans="1:5" x14ac:dyDescent="0.3">
      <c r="A312" t="str">
        <f t="shared" si="4"/>
        <v>0411814</v>
      </c>
      <c r="B312" s="101" t="s">
        <v>18</v>
      </c>
      <c r="C312" s="101" t="s">
        <v>150</v>
      </c>
      <c r="D312" s="101" t="s">
        <v>333</v>
      </c>
      <c r="E312" s="101" t="s">
        <v>17</v>
      </c>
    </row>
    <row r="313" spans="1:5" x14ac:dyDescent="0.3">
      <c r="A313" t="str">
        <f t="shared" si="4"/>
        <v>0411815</v>
      </c>
      <c r="B313" s="101" t="s">
        <v>18</v>
      </c>
      <c r="C313" s="101" t="s">
        <v>150</v>
      </c>
      <c r="D313" s="101" t="s">
        <v>335</v>
      </c>
      <c r="E313" s="101" t="s">
        <v>17</v>
      </c>
    </row>
    <row r="314" spans="1:5" x14ac:dyDescent="0.3">
      <c r="A314" t="str">
        <f t="shared" si="4"/>
        <v>0411816</v>
      </c>
      <c r="B314" s="101" t="s">
        <v>18</v>
      </c>
      <c r="C314" s="101" t="s">
        <v>150</v>
      </c>
      <c r="D314" s="101" t="s">
        <v>336</v>
      </c>
      <c r="E314" s="101" t="s">
        <v>17</v>
      </c>
    </row>
    <row r="315" spans="1:5" x14ac:dyDescent="0.3">
      <c r="A315" t="str">
        <f t="shared" si="4"/>
        <v>0411817</v>
      </c>
      <c r="B315" s="101" t="s">
        <v>18</v>
      </c>
      <c r="C315" s="101" t="s">
        <v>150</v>
      </c>
      <c r="D315" s="101" t="s">
        <v>338</v>
      </c>
      <c r="E315" s="101" t="s">
        <v>17</v>
      </c>
    </row>
    <row r="316" spans="1:5" x14ac:dyDescent="0.3">
      <c r="A316" t="str">
        <f t="shared" si="4"/>
        <v>0411830</v>
      </c>
      <c r="B316" s="101" t="s">
        <v>18</v>
      </c>
      <c r="C316" s="101" t="s">
        <v>150</v>
      </c>
      <c r="D316" s="101" t="s">
        <v>340</v>
      </c>
      <c r="E316" s="101" t="s">
        <v>17</v>
      </c>
    </row>
    <row r="317" spans="1:5" x14ac:dyDescent="0.3">
      <c r="A317" t="str">
        <f t="shared" si="4"/>
        <v>0411831</v>
      </c>
      <c r="B317" s="101" t="s">
        <v>18</v>
      </c>
      <c r="C317" s="101" t="s">
        <v>150</v>
      </c>
      <c r="D317" s="101" t="s">
        <v>341</v>
      </c>
      <c r="E317" s="101" t="s">
        <v>17</v>
      </c>
    </row>
    <row r="318" spans="1:5" x14ac:dyDescent="0.3">
      <c r="A318" t="str">
        <f t="shared" si="4"/>
        <v>0411556</v>
      </c>
      <c r="B318" s="101" t="s">
        <v>18</v>
      </c>
      <c r="C318" s="101" t="s">
        <v>150</v>
      </c>
      <c r="D318" s="101" t="s">
        <v>342</v>
      </c>
      <c r="E318" s="101" t="s">
        <v>17</v>
      </c>
    </row>
    <row r="319" spans="1:5" x14ac:dyDescent="0.3">
      <c r="A319" t="str">
        <f t="shared" si="4"/>
        <v>0411557</v>
      </c>
      <c r="B319" s="101" t="s">
        <v>18</v>
      </c>
      <c r="C319" s="101" t="s">
        <v>150</v>
      </c>
      <c r="D319" s="101" t="s">
        <v>343</v>
      </c>
      <c r="E319" s="101" t="s">
        <v>17</v>
      </c>
    </row>
    <row r="320" spans="1:5" x14ac:dyDescent="0.3">
      <c r="A320" t="str">
        <f t="shared" si="4"/>
        <v>0411522</v>
      </c>
      <c r="B320" s="101" t="s">
        <v>18</v>
      </c>
      <c r="C320" s="101" t="s">
        <v>150</v>
      </c>
      <c r="D320" s="101" t="s">
        <v>345</v>
      </c>
      <c r="E320" s="101" t="s">
        <v>17</v>
      </c>
    </row>
    <row r="321" spans="1:5" x14ac:dyDescent="0.3">
      <c r="A321" t="str">
        <f t="shared" si="4"/>
        <v>0411543</v>
      </c>
      <c r="B321" s="101" t="s">
        <v>18</v>
      </c>
      <c r="C321" s="101" t="s">
        <v>150</v>
      </c>
      <c r="D321" s="101" t="s">
        <v>347</v>
      </c>
      <c r="E321" s="101" t="s">
        <v>17</v>
      </c>
    </row>
    <row r="322" spans="1:5" x14ac:dyDescent="0.3">
      <c r="A322" t="str">
        <f t="shared" si="4"/>
        <v>0411549</v>
      </c>
      <c r="B322" s="101" t="s">
        <v>18</v>
      </c>
      <c r="C322" s="101" t="s">
        <v>150</v>
      </c>
      <c r="D322" s="101" t="s">
        <v>348</v>
      </c>
      <c r="E322" s="101" t="s">
        <v>17</v>
      </c>
    </row>
    <row r="323" spans="1:5" x14ac:dyDescent="0.3">
      <c r="A323" t="str">
        <f t="shared" ref="A323:A386" si="5">CONCATENATE(B323,C323,D323,F323)</f>
        <v>0411534</v>
      </c>
      <c r="B323" s="101" t="s">
        <v>18</v>
      </c>
      <c r="C323" s="101" t="s">
        <v>150</v>
      </c>
      <c r="D323" s="101" t="s">
        <v>350</v>
      </c>
      <c r="E323" s="101" t="s">
        <v>17</v>
      </c>
    </row>
    <row r="324" spans="1:5" x14ac:dyDescent="0.3">
      <c r="A324" t="str">
        <f t="shared" si="5"/>
        <v>0411524</v>
      </c>
      <c r="B324" s="101" t="s">
        <v>18</v>
      </c>
      <c r="C324" s="101" t="s">
        <v>150</v>
      </c>
      <c r="D324" s="101" t="s">
        <v>351</v>
      </c>
      <c r="E324" s="101" t="s">
        <v>17</v>
      </c>
    </row>
    <row r="325" spans="1:5" x14ac:dyDescent="0.3">
      <c r="A325" t="str">
        <f t="shared" si="5"/>
        <v>0411536</v>
      </c>
      <c r="B325" s="101" t="s">
        <v>18</v>
      </c>
      <c r="C325" s="101" t="s">
        <v>150</v>
      </c>
      <c r="D325" s="101" t="s">
        <v>352</v>
      </c>
      <c r="E325" s="101" t="s">
        <v>17</v>
      </c>
    </row>
    <row r="326" spans="1:5" x14ac:dyDescent="0.3">
      <c r="A326" t="str">
        <f t="shared" si="5"/>
        <v>0411542</v>
      </c>
      <c r="B326" s="101" t="s">
        <v>18</v>
      </c>
      <c r="C326" s="101" t="s">
        <v>150</v>
      </c>
      <c r="D326" s="101" t="s">
        <v>353</v>
      </c>
      <c r="E326" s="101" t="s">
        <v>17</v>
      </c>
    </row>
    <row r="327" spans="1:5" x14ac:dyDescent="0.3">
      <c r="A327" t="str">
        <f t="shared" si="5"/>
        <v>0411548</v>
      </c>
      <c r="B327" s="101" t="s">
        <v>18</v>
      </c>
      <c r="C327" s="101" t="s">
        <v>150</v>
      </c>
      <c r="D327" s="101" t="s">
        <v>354</v>
      </c>
      <c r="E327" s="101" t="s">
        <v>17</v>
      </c>
    </row>
    <row r="328" spans="1:5" x14ac:dyDescent="0.3">
      <c r="A328" t="str">
        <f t="shared" si="5"/>
        <v>0411029</v>
      </c>
      <c r="B328" s="101" t="s">
        <v>18</v>
      </c>
      <c r="C328" s="101" t="s">
        <v>150</v>
      </c>
      <c r="D328" s="101" t="s">
        <v>355</v>
      </c>
      <c r="E328" s="101" t="s">
        <v>19</v>
      </c>
    </row>
    <row r="329" spans="1:5" x14ac:dyDescent="0.3">
      <c r="A329" t="str">
        <f t="shared" si="5"/>
        <v>0411030</v>
      </c>
      <c r="B329" s="101" t="s">
        <v>18</v>
      </c>
      <c r="C329" s="101" t="s">
        <v>150</v>
      </c>
      <c r="D329" s="101" t="s">
        <v>357</v>
      </c>
      <c r="E329" s="101" t="s">
        <v>19</v>
      </c>
    </row>
    <row r="330" spans="1:5" x14ac:dyDescent="0.3">
      <c r="A330" t="str">
        <f t="shared" si="5"/>
        <v>0411826</v>
      </c>
      <c r="B330" s="101" t="s">
        <v>18</v>
      </c>
      <c r="C330" s="101" t="s">
        <v>150</v>
      </c>
      <c r="D330" s="101" t="s">
        <v>359</v>
      </c>
      <c r="E330" s="101" t="s">
        <v>19</v>
      </c>
    </row>
    <row r="331" spans="1:5" x14ac:dyDescent="0.3">
      <c r="A331" t="str">
        <f t="shared" si="5"/>
        <v>0411827</v>
      </c>
      <c r="B331" s="101" t="s">
        <v>18</v>
      </c>
      <c r="C331" s="101" t="s">
        <v>150</v>
      </c>
      <c r="D331" s="101" t="s">
        <v>361</v>
      </c>
      <c r="E331" s="101" t="s">
        <v>19</v>
      </c>
    </row>
    <row r="332" spans="1:5" x14ac:dyDescent="0.3">
      <c r="A332" t="str">
        <f t="shared" si="5"/>
        <v>0411558</v>
      </c>
      <c r="B332" s="101" t="s">
        <v>18</v>
      </c>
      <c r="C332" s="101" t="s">
        <v>150</v>
      </c>
      <c r="D332" s="101" t="s">
        <v>362</v>
      </c>
      <c r="E332" s="101" t="s">
        <v>19</v>
      </c>
    </row>
    <row r="333" spans="1:5" x14ac:dyDescent="0.3">
      <c r="A333" t="str">
        <f t="shared" si="5"/>
        <v>0411559</v>
      </c>
      <c r="B333" s="101" t="s">
        <v>18</v>
      </c>
      <c r="C333" s="101" t="s">
        <v>150</v>
      </c>
      <c r="D333" s="101" t="s">
        <v>363</v>
      </c>
      <c r="E333" s="101" t="s">
        <v>19</v>
      </c>
    </row>
    <row r="334" spans="1:5" x14ac:dyDescent="0.3">
      <c r="A334" t="str">
        <f t="shared" si="5"/>
        <v>0411529</v>
      </c>
      <c r="B334" s="101" t="s">
        <v>18</v>
      </c>
      <c r="C334" s="101" t="s">
        <v>150</v>
      </c>
      <c r="D334" s="101" t="s">
        <v>364</v>
      </c>
      <c r="E334" s="101" t="s">
        <v>19</v>
      </c>
    </row>
    <row r="335" spans="1:5" x14ac:dyDescent="0.3">
      <c r="A335" t="str">
        <f t="shared" si="5"/>
        <v>0411538</v>
      </c>
      <c r="B335" s="101" t="s">
        <v>18</v>
      </c>
      <c r="C335" s="101" t="s">
        <v>150</v>
      </c>
      <c r="D335" s="101" t="s">
        <v>365</v>
      </c>
      <c r="E335" s="101" t="s">
        <v>19</v>
      </c>
    </row>
    <row r="336" spans="1:5" x14ac:dyDescent="0.3">
      <c r="A336" t="str">
        <f t="shared" si="5"/>
        <v>0311025</v>
      </c>
      <c r="B336" s="101" t="s">
        <v>16</v>
      </c>
      <c r="C336" s="101" t="s">
        <v>150</v>
      </c>
      <c r="D336" s="101" t="s">
        <v>367</v>
      </c>
      <c r="E336" s="101" t="s">
        <v>140</v>
      </c>
    </row>
    <row r="337" spans="1:5" x14ac:dyDescent="0.3">
      <c r="A337" t="str">
        <f t="shared" si="5"/>
        <v>0311028</v>
      </c>
      <c r="B337" s="101" t="s">
        <v>16</v>
      </c>
      <c r="C337" s="101" t="s">
        <v>150</v>
      </c>
      <c r="D337" s="101" t="s">
        <v>368</v>
      </c>
      <c r="E337" s="101" t="s">
        <v>140</v>
      </c>
    </row>
    <row r="338" spans="1:5" x14ac:dyDescent="0.3">
      <c r="A338" t="str">
        <f t="shared" si="5"/>
        <v>0311031</v>
      </c>
      <c r="B338" s="101" t="s">
        <v>16</v>
      </c>
      <c r="C338" s="101" t="s">
        <v>150</v>
      </c>
      <c r="D338" s="101" t="s">
        <v>369</v>
      </c>
      <c r="E338" s="101" t="s">
        <v>140</v>
      </c>
    </row>
    <row r="339" spans="1:5" x14ac:dyDescent="0.3">
      <c r="A339" t="str">
        <f t="shared" si="5"/>
        <v>0311032</v>
      </c>
      <c r="B339" s="101" t="s">
        <v>16</v>
      </c>
      <c r="C339" s="101" t="s">
        <v>150</v>
      </c>
      <c r="D339" s="101" t="s">
        <v>370</v>
      </c>
      <c r="E339" s="101" t="s">
        <v>140</v>
      </c>
    </row>
    <row r="340" spans="1:5" x14ac:dyDescent="0.3">
      <c r="A340" t="str">
        <f t="shared" si="5"/>
        <v>0311828</v>
      </c>
      <c r="B340" s="101" t="s">
        <v>16</v>
      </c>
      <c r="C340" s="101" t="s">
        <v>150</v>
      </c>
      <c r="D340" s="101" t="s">
        <v>371</v>
      </c>
      <c r="E340" s="101" t="s">
        <v>140</v>
      </c>
    </row>
    <row r="341" spans="1:5" x14ac:dyDescent="0.3">
      <c r="A341" t="str">
        <f t="shared" si="5"/>
        <v>0311829</v>
      </c>
      <c r="B341" s="101" t="s">
        <v>16</v>
      </c>
      <c r="C341" s="101" t="s">
        <v>150</v>
      </c>
      <c r="D341" s="101" t="s">
        <v>372</v>
      </c>
      <c r="E341" s="101" t="s">
        <v>140</v>
      </c>
    </row>
    <row r="342" spans="1:5" x14ac:dyDescent="0.3">
      <c r="A342" t="str">
        <f t="shared" si="5"/>
        <v>0311546</v>
      </c>
      <c r="B342" s="101" t="s">
        <v>16</v>
      </c>
      <c r="C342" s="101" t="s">
        <v>150</v>
      </c>
      <c r="D342" s="101" t="s">
        <v>373</v>
      </c>
      <c r="E342" s="101" t="s">
        <v>140</v>
      </c>
    </row>
    <row r="343" spans="1:5" x14ac:dyDescent="0.3">
      <c r="A343" t="str">
        <f t="shared" si="5"/>
        <v>0311552</v>
      </c>
      <c r="B343" s="101" t="s">
        <v>16</v>
      </c>
      <c r="C343" s="101" t="s">
        <v>150</v>
      </c>
      <c r="D343" s="101" t="s">
        <v>374</v>
      </c>
      <c r="E343" s="101" t="s">
        <v>140</v>
      </c>
    </row>
    <row r="344" spans="1:5" x14ac:dyDescent="0.3">
      <c r="A344" t="str">
        <f t="shared" si="5"/>
        <v>0311560</v>
      </c>
      <c r="B344" s="101" t="s">
        <v>16</v>
      </c>
      <c r="C344" s="101" t="s">
        <v>150</v>
      </c>
      <c r="D344" s="101" t="s">
        <v>375</v>
      </c>
      <c r="E344" s="101" t="s">
        <v>140</v>
      </c>
    </row>
    <row r="345" spans="1:5" x14ac:dyDescent="0.3">
      <c r="A345" t="str">
        <f t="shared" si="5"/>
        <v>0311561</v>
      </c>
      <c r="B345" s="101" t="s">
        <v>16</v>
      </c>
      <c r="C345" s="101" t="s">
        <v>150</v>
      </c>
      <c r="D345" s="101" t="s">
        <v>376</v>
      </c>
      <c r="E345" s="101" t="s">
        <v>140</v>
      </c>
    </row>
    <row r="346" spans="1:5" x14ac:dyDescent="0.3">
      <c r="A346" t="str">
        <f t="shared" si="5"/>
        <v>0311530</v>
      </c>
      <c r="B346" s="101" t="s">
        <v>16</v>
      </c>
      <c r="C346" s="101" t="s">
        <v>150</v>
      </c>
      <c r="D346" s="101" t="s">
        <v>377</v>
      </c>
      <c r="E346" s="101" t="s">
        <v>140</v>
      </c>
    </row>
    <row r="347" spans="1:5" x14ac:dyDescent="0.3">
      <c r="A347" t="str">
        <f t="shared" si="5"/>
        <v>0311539</v>
      </c>
      <c r="B347" s="101" t="s">
        <v>16</v>
      </c>
      <c r="C347" s="101" t="s">
        <v>150</v>
      </c>
      <c r="D347" s="101" t="s">
        <v>378</v>
      </c>
      <c r="E347" s="101" t="s">
        <v>140</v>
      </c>
    </row>
    <row r="348" spans="1:5" x14ac:dyDescent="0.3">
      <c r="A348" t="str">
        <f t="shared" si="5"/>
        <v>0411025</v>
      </c>
      <c r="B348" s="101" t="s">
        <v>18</v>
      </c>
      <c r="C348" s="101" t="s">
        <v>150</v>
      </c>
      <c r="D348" s="101" t="s">
        <v>367</v>
      </c>
      <c r="E348" s="101" t="s">
        <v>140</v>
      </c>
    </row>
    <row r="349" spans="1:5" x14ac:dyDescent="0.3">
      <c r="A349" t="str">
        <f t="shared" si="5"/>
        <v>0411028</v>
      </c>
      <c r="B349" s="101" t="s">
        <v>18</v>
      </c>
      <c r="C349" s="101" t="s">
        <v>150</v>
      </c>
      <c r="D349" s="101" t="s">
        <v>368</v>
      </c>
      <c r="E349" s="101" t="s">
        <v>140</v>
      </c>
    </row>
    <row r="350" spans="1:5" x14ac:dyDescent="0.3">
      <c r="A350" t="str">
        <f t="shared" si="5"/>
        <v>0411031</v>
      </c>
      <c r="B350" s="101" t="s">
        <v>18</v>
      </c>
      <c r="C350" s="101" t="s">
        <v>150</v>
      </c>
      <c r="D350" s="101" t="s">
        <v>369</v>
      </c>
      <c r="E350" s="101" t="s">
        <v>140</v>
      </c>
    </row>
    <row r="351" spans="1:5" x14ac:dyDescent="0.3">
      <c r="A351" t="str">
        <f t="shared" si="5"/>
        <v>0411032</v>
      </c>
      <c r="B351" s="101" t="s">
        <v>18</v>
      </c>
      <c r="C351" s="101" t="s">
        <v>150</v>
      </c>
      <c r="D351" s="101" t="s">
        <v>370</v>
      </c>
      <c r="E351" s="101" t="s">
        <v>140</v>
      </c>
    </row>
    <row r="352" spans="1:5" x14ac:dyDescent="0.3">
      <c r="A352" t="str">
        <f t="shared" si="5"/>
        <v>0411828</v>
      </c>
      <c r="B352" s="101" t="s">
        <v>18</v>
      </c>
      <c r="C352" s="101" t="s">
        <v>150</v>
      </c>
      <c r="D352" s="101" t="s">
        <v>371</v>
      </c>
      <c r="E352" s="101" t="s">
        <v>140</v>
      </c>
    </row>
    <row r="353" spans="1:5" x14ac:dyDescent="0.3">
      <c r="A353" t="str">
        <f t="shared" si="5"/>
        <v>0411829</v>
      </c>
      <c r="B353" s="101" t="s">
        <v>18</v>
      </c>
      <c r="C353" s="101" t="s">
        <v>150</v>
      </c>
      <c r="D353" s="101" t="s">
        <v>372</v>
      </c>
      <c r="E353" s="101" t="s">
        <v>140</v>
      </c>
    </row>
    <row r="354" spans="1:5" x14ac:dyDescent="0.3">
      <c r="A354" t="str">
        <f t="shared" si="5"/>
        <v>0411546</v>
      </c>
      <c r="B354" s="101" t="s">
        <v>18</v>
      </c>
      <c r="C354" s="101" t="s">
        <v>150</v>
      </c>
      <c r="D354" s="101" t="s">
        <v>373</v>
      </c>
      <c r="E354" s="101" t="s">
        <v>140</v>
      </c>
    </row>
    <row r="355" spans="1:5" x14ac:dyDescent="0.3">
      <c r="A355" t="str">
        <f t="shared" si="5"/>
        <v>0411552</v>
      </c>
      <c r="B355" s="101" t="s">
        <v>18</v>
      </c>
      <c r="C355" s="101" t="s">
        <v>150</v>
      </c>
      <c r="D355" s="101" t="s">
        <v>374</v>
      </c>
      <c r="E355" s="101" t="s">
        <v>140</v>
      </c>
    </row>
    <row r="356" spans="1:5" x14ac:dyDescent="0.3">
      <c r="A356" t="str">
        <f t="shared" si="5"/>
        <v>0411560</v>
      </c>
      <c r="B356" s="101" t="s">
        <v>18</v>
      </c>
      <c r="C356" s="101" t="s">
        <v>150</v>
      </c>
      <c r="D356" s="101" t="s">
        <v>375</v>
      </c>
      <c r="E356" s="101" t="s">
        <v>140</v>
      </c>
    </row>
    <row r="357" spans="1:5" x14ac:dyDescent="0.3">
      <c r="A357" t="str">
        <f t="shared" si="5"/>
        <v>0411561</v>
      </c>
      <c r="B357" s="101" t="s">
        <v>18</v>
      </c>
      <c r="C357" s="101" t="s">
        <v>150</v>
      </c>
      <c r="D357" s="101" t="s">
        <v>376</v>
      </c>
      <c r="E357" s="101" t="s">
        <v>140</v>
      </c>
    </row>
    <row r="358" spans="1:5" x14ac:dyDescent="0.3">
      <c r="A358" t="str">
        <f t="shared" si="5"/>
        <v>0411530</v>
      </c>
      <c r="B358" s="101" t="s">
        <v>18</v>
      </c>
      <c r="C358" s="101" t="s">
        <v>150</v>
      </c>
      <c r="D358" s="101" t="s">
        <v>377</v>
      </c>
      <c r="E358" s="101" t="s">
        <v>140</v>
      </c>
    </row>
    <row r="359" spans="1:5" x14ac:dyDescent="0.3">
      <c r="A359" t="str">
        <f t="shared" si="5"/>
        <v>0411539</v>
      </c>
      <c r="B359" s="101" t="s">
        <v>18</v>
      </c>
      <c r="C359" s="101" t="s">
        <v>150</v>
      </c>
      <c r="D359" s="101" t="s">
        <v>378</v>
      </c>
      <c r="E359" s="101" t="s">
        <v>140</v>
      </c>
    </row>
    <row r="360" spans="1:5" x14ac:dyDescent="0.3">
      <c r="A360" t="str">
        <f t="shared" si="5"/>
        <v>0311526</v>
      </c>
      <c r="B360" s="101" t="s">
        <v>16</v>
      </c>
      <c r="C360" s="101" t="s">
        <v>150</v>
      </c>
      <c r="D360" s="101" t="s">
        <v>379</v>
      </c>
      <c r="E360" s="101" t="s">
        <v>19</v>
      </c>
    </row>
    <row r="361" spans="1:5" x14ac:dyDescent="0.3">
      <c r="A361" t="str">
        <f t="shared" si="5"/>
        <v>0311527</v>
      </c>
      <c r="B361" s="101" t="s">
        <v>16</v>
      </c>
      <c r="C361" s="101" t="s">
        <v>150</v>
      </c>
      <c r="D361" s="101" t="s">
        <v>380</v>
      </c>
      <c r="E361" s="101" t="s">
        <v>19</v>
      </c>
    </row>
    <row r="362" spans="1:5" x14ac:dyDescent="0.3">
      <c r="A362" t="str">
        <f t="shared" si="5"/>
        <v>0311528</v>
      </c>
      <c r="B362" s="101" t="s">
        <v>16</v>
      </c>
      <c r="C362" s="101" t="s">
        <v>150</v>
      </c>
      <c r="D362" s="101" t="s">
        <v>381</v>
      </c>
      <c r="E362" s="101" t="s">
        <v>19</v>
      </c>
    </row>
    <row r="363" spans="1:5" x14ac:dyDescent="0.3">
      <c r="A363" t="str">
        <f t="shared" si="5"/>
        <v>0311518</v>
      </c>
      <c r="B363" s="101" t="s">
        <v>16</v>
      </c>
      <c r="C363" s="101" t="s">
        <v>150</v>
      </c>
      <c r="D363" s="101" t="s">
        <v>382</v>
      </c>
      <c r="E363" s="101" t="s">
        <v>19</v>
      </c>
    </row>
    <row r="364" spans="1:5" x14ac:dyDescent="0.3">
      <c r="A364" t="str">
        <f t="shared" si="5"/>
        <v>0311519</v>
      </c>
      <c r="B364" s="101" t="s">
        <v>16</v>
      </c>
      <c r="C364" s="101" t="s">
        <v>150</v>
      </c>
      <c r="D364" s="101" t="s">
        <v>383</v>
      </c>
      <c r="E364" s="101" t="s">
        <v>19</v>
      </c>
    </row>
    <row r="365" spans="1:5" x14ac:dyDescent="0.3">
      <c r="A365" t="str">
        <f t="shared" si="5"/>
        <v>0311521</v>
      </c>
      <c r="B365" s="101" t="s">
        <v>16</v>
      </c>
      <c r="C365" s="101" t="s">
        <v>150</v>
      </c>
      <c r="D365" s="101" t="s">
        <v>384</v>
      </c>
      <c r="E365" s="101" t="s">
        <v>19</v>
      </c>
    </row>
    <row r="366" spans="1:5" x14ac:dyDescent="0.3">
      <c r="A366" t="str">
        <f t="shared" si="5"/>
        <v>0311510</v>
      </c>
      <c r="B366" s="101" t="s">
        <v>16</v>
      </c>
      <c r="C366" s="101" t="s">
        <v>150</v>
      </c>
      <c r="D366" s="101" t="s">
        <v>385</v>
      </c>
      <c r="E366" s="101" t="s">
        <v>19</v>
      </c>
    </row>
    <row r="367" spans="1:5" x14ac:dyDescent="0.3">
      <c r="A367" t="str">
        <f t="shared" si="5"/>
        <v>0311511</v>
      </c>
      <c r="B367" s="101" t="s">
        <v>16</v>
      </c>
      <c r="C367" s="101" t="s">
        <v>150</v>
      </c>
      <c r="D367" s="101" t="s">
        <v>386</v>
      </c>
      <c r="E367" s="101" t="s">
        <v>19</v>
      </c>
    </row>
    <row r="368" spans="1:5" x14ac:dyDescent="0.3">
      <c r="A368" t="str">
        <f t="shared" si="5"/>
        <v>0311513</v>
      </c>
      <c r="B368" s="101" t="s">
        <v>16</v>
      </c>
      <c r="C368" s="101" t="s">
        <v>150</v>
      </c>
      <c r="D368" s="101" t="s">
        <v>387</v>
      </c>
      <c r="E368" s="101" t="s">
        <v>19</v>
      </c>
    </row>
    <row r="369" spans="1:5" x14ac:dyDescent="0.3">
      <c r="A369" t="str">
        <f t="shared" si="5"/>
        <v>0311514</v>
      </c>
      <c r="B369" s="101" t="s">
        <v>16</v>
      </c>
      <c r="C369" s="101" t="s">
        <v>150</v>
      </c>
      <c r="D369" s="101" t="s">
        <v>388</v>
      </c>
      <c r="E369" s="101" t="s">
        <v>19</v>
      </c>
    </row>
    <row r="370" spans="1:5" x14ac:dyDescent="0.3">
      <c r="A370" t="str">
        <f t="shared" si="5"/>
        <v>0311516</v>
      </c>
      <c r="B370" s="101" t="s">
        <v>16</v>
      </c>
      <c r="C370" s="101" t="s">
        <v>150</v>
      </c>
      <c r="D370" s="101" t="s">
        <v>389</v>
      </c>
      <c r="E370" s="101" t="s">
        <v>19</v>
      </c>
    </row>
    <row r="371" spans="1:5" x14ac:dyDescent="0.3">
      <c r="A371" t="str">
        <f t="shared" si="5"/>
        <v>0311517</v>
      </c>
      <c r="B371" s="101" t="s">
        <v>16</v>
      </c>
      <c r="C371" s="101" t="s">
        <v>150</v>
      </c>
      <c r="D371" s="101" t="s">
        <v>390</v>
      </c>
      <c r="E371" s="101" t="s">
        <v>19</v>
      </c>
    </row>
    <row r="372" spans="1:5" x14ac:dyDescent="0.3">
      <c r="A372" t="str">
        <f t="shared" si="5"/>
        <v>0311554</v>
      </c>
      <c r="B372" s="101" t="s">
        <v>16</v>
      </c>
      <c r="C372" s="101" t="s">
        <v>150</v>
      </c>
      <c r="D372" s="101" t="s">
        <v>391</v>
      </c>
      <c r="E372" s="101" t="s">
        <v>19</v>
      </c>
    </row>
    <row r="373" spans="1:5" x14ac:dyDescent="0.3">
      <c r="A373" t="str">
        <f t="shared" si="5"/>
        <v>0411526</v>
      </c>
      <c r="B373" s="101" t="s">
        <v>18</v>
      </c>
      <c r="C373" s="101" t="s">
        <v>150</v>
      </c>
      <c r="D373" s="101" t="s">
        <v>379</v>
      </c>
      <c r="E373" s="101" t="s">
        <v>19</v>
      </c>
    </row>
    <row r="374" spans="1:5" x14ac:dyDescent="0.3">
      <c r="A374" t="str">
        <f t="shared" si="5"/>
        <v>0411527</v>
      </c>
      <c r="B374" s="101" t="s">
        <v>18</v>
      </c>
      <c r="C374" s="101" t="s">
        <v>150</v>
      </c>
      <c r="D374" s="101" t="s">
        <v>380</v>
      </c>
      <c r="E374" s="101" t="s">
        <v>19</v>
      </c>
    </row>
    <row r="375" spans="1:5" x14ac:dyDescent="0.3">
      <c r="A375" t="str">
        <f t="shared" si="5"/>
        <v>0411528</v>
      </c>
      <c r="B375" s="101" t="s">
        <v>18</v>
      </c>
      <c r="C375" s="101" t="s">
        <v>150</v>
      </c>
      <c r="D375" s="101" t="s">
        <v>381</v>
      </c>
      <c r="E375" s="101" t="s">
        <v>19</v>
      </c>
    </row>
    <row r="376" spans="1:5" x14ac:dyDescent="0.3">
      <c r="A376" t="str">
        <f t="shared" si="5"/>
        <v>0411518</v>
      </c>
      <c r="B376" s="101" t="s">
        <v>18</v>
      </c>
      <c r="C376" s="101" t="s">
        <v>150</v>
      </c>
      <c r="D376" s="101" t="s">
        <v>382</v>
      </c>
      <c r="E376" s="101" t="s">
        <v>19</v>
      </c>
    </row>
    <row r="377" spans="1:5" x14ac:dyDescent="0.3">
      <c r="A377" t="str">
        <f t="shared" si="5"/>
        <v>0411519</v>
      </c>
      <c r="B377" s="101" t="s">
        <v>18</v>
      </c>
      <c r="C377" s="101" t="s">
        <v>150</v>
      </c>
      <c r="D377" s="101" t="s">
        <v>383</v>
      </c>
      <c r="E377" s="101" t="s">
        <v>19</v>
      </c>
    </row>
    <row r="378" spans="1:5" x14ac:dyDescent="0.3">
      <c r="A378" t="str">
        <f t="shared" si="5"/>
        <v>0411521</v>
      </c>
      <c r="B378" s="101" t="s">
        <v>18</v>
      </c>
      <c r="C378" s="101" t="s">
        <v>150</v>
      </c>
      <c r="D378" s="101" t="s">
        <v>384</v>
      </c>
      <c r="E378" s="101" t="s">
        <v>19</v>
      </c>
    </row>
    <row r="379" spans="1:5" x14ac:dyDescent="0.3">
      <c r="A379" t="str">
        <f t="shared" si="5"/>
        <v>0411510</v>
      </c>
      <c r="B379" s="101" t="s">
        <v>18</v>
      </c>
      <c r="C379" s="101" t="s">
        <v>150</v>
      </c>
      <c r="D379" s="101" t="s">
        <v>385</v>
      </c>
      <c r="E379" s="101" t="s">
        <v>19</v>
      </c>
    </row>
    <row r="380" spans="1:5" x14ac:dyDescent="0.3">
      <c r="A380" t="str">
        <f t="shared" si="5"/>
        <v>0411511</v>
      </c>
      <c r="B380" s="101" t="s">
        <v>18</v>
      </c>
      <c r="C380" s="101" t="s">
        <v>150</v>
      </c>
      <c r="D380" s="101" t="s">
        <v>386</v>
      </c>
      <c r="E380" s="101" t="s">
        <v>19</v>
      </c>
    </row>
    <row r="381" spans="1:5" x14ac:dyDescent="0.3">
      <c r="A381" t="str">
        <f t="shared" si="5"/>
        <v>0411513</v>
      </c>
      <c r="B381" s="101" t="s">
        <v>18</v>
      </c>
      <c r="C381" s="101" t="s">
        <v>150</v>
      </c>
      <c r="D381" s="101" t="s">
        <v>387</v>
      </c>
      <c r="E381" s="101" t="s">
        <v>19</v>
      </c>
    </row>
    <row r="382" spans="1:5" x14ac:dyDescent="0.3">
      <c r="A382" t="str">
        <f t="shared" si="5"/>
        <v>0411514</v>
      </c>
      <c r="B382" s="101" t="s">
        <v>18</v>
      </c>
      <c r="C382" s="101" t="s">
        <v>150</v>
      </c>
      <c r="D382" s="101" t="s">
        <v>388</v>
      </c>
      <c r="E382" s="101" t="s">
        <v>19</v>
      </c>
    </row>
    <row r="383" spans="1:5" x14ac:dyDescent="0.3">
      <c r="A383" t="str">
        <f t="shared" si="5"/>
        <v>0411516</v>
      </c>
      <c r="B383" s="101" t="s">
        <v>18</v>
      </c>
      <c r="C383" s="101" t="s">
        <v>150</v>
      </c>
      <c r="D383" s="101" t="s">
        <v>389</v>
      </c>
      <c r="E383" s="101" t="s">
        <v>19</v>
      </c>
    </row>
    <row r="384" spans="1:5" x14ac:dyDescent="0.3">
      <c r="A384" t="str">
        <f t="shared" si="5"/>
        <v>0411517</v>
      </c>
      <c r="B384" s="101" t="s">
        <v>18</v>
      </c>
      <c r="C384" s="101" t="s">
        <v>150</v>
      </c>
      <c r="D384" s="101" t="s">
        <v>390</v>
      </c>
      <c r="E384" s="101" t="s">
        <v>19</v>
      </c>
    </row>
    <row r="385" spans="1:5" x14ac:dyDescent="0.3">
      <c r="A385" t="str">
        <f t="shared" si="5"/>
        <v>0411554</v>
      </c>
      <c r="B385" s="101" t="s">
        <v>18</v>
      </c>
      <c r="C385" s="101" t="s">
        <v>150</v>
      </c>
      <c r="D385" s="101" t="s">
        <v>391</v>
      </c>
      <c r="E385" s="101" t="s">
        <v>19</v>
      </c>
    </row>
    <row r="386" spans="1:5" x14ac:dyDescent="0.3">
      <c r="A386" t="str">
        <f t="shared" si="5"/>
        <v>0511012</v>
      </c>
      <c r="B386" s="101" t="s">
        <v>313</v>
      </c>
      <c r="C386" s="101" t="s">
        <v>150</v>
      </c>
      <c r="D386" s="101" t="s">
        <v>392</v>
      </c>
      <c r="E386" s="101" t="s">
        <v>17</v>
      </c>
    </row>
    <row r="387" spans="1:5" x14ac:dyDescent="0.3">
      <c r="A387" t="str">
        <f t="shared" ref="A387:A450" si="6">CONCATENATE(B387,C387,D387,F387)</f>
        <v>0511019</v>
      </c>
      <c r="B387" s="101" t="s">
        <v>313</v>
      </c>
      <c r="C387" s="101" t="s">
        <v>150</v>
      </c>
      <c r="D387" s="101" t="s">
        <v>393</v>
      </c>
      <c r="E387" s="101" t="s">
        <v>17</v>
      </c>
    </row>
    <row r="388" spans="1:5" x14ac:dyDescent="0.3">
      <c r="A388" t="str">
        <f t="shared" si="6"/>
        <v>0511816</v>
      </c>
      <c r="B388" s="101" t="s">
        <v>313</v>
      </c>
      <c r="C388" s="101" t="s">
        <v>150</v>
      </c>
      <c r="D388" s="101" t="s">
        <v>336</v>
      </c>
      <c r="E388" s="101" t="s">
        <v>17</v>
      </c>
    </row>
    <row r="389" spans="1:5" x14ac:dyDescent="0.3">
      <c r="A389" t="str">
        <f t="shared" si="6"/>
        <v>0511817</v>
      </c>
      <c r="B389" s="101" t="s">
        <v>313</v>
      </c>
      <c r="C389" s="101" t="s">
        <v>150</v>
      </c>
      <c r="D389" s="101" t="s">
        <v>338</v>
      </c>
      <c r="E389" s="101" t="s">
        <v>17</v>
      </c>
    </row>
    <row r="390" spans="1:5" x14ac:dyDescent="0.3">
      <c r="A390" t="str">
        <f t="shared" si="6"/>
        <v>0511525</v>
      </c>
      <c r="B390" s="101" t="s">
        <v>313</v>
      </c>
      <c r="C390" s="101" t="s">
        <v>150</v>
      </c>
      <c r="D390" s="101" t="s">
        <v>394</v>
      </c>
      <c r="E390" s="101" t="s">
        <v>17</v>
      </c>
    </row>
    <row r="391" spans="1:5" x14ac:dyDescent="0.3">
      <c r="A391" t="str">
        <f t="shared" si="6"/>
        <v>0511537</v>
      </c>
      <c r="B391" s="101" t="s">
        <v>313</v>
      </c>
      <c r="C391" s="101" t="s">
        <v>150</v>
      </c>
      <c r="D391" s="101" t="s">
        <v>395</v>
      </c>
      <c r="E391" s="101" t="s">
        <v>17</v>
      </c>
    </row>
    <row r="392" spans="1:5" x14ac:dyDescent="0.3">
      <c r="A392" t="str">
        <f t="shared" si="6"/>
        <v>0511524</v>
      </c>
      <c r="B392" s="101" t="s">
        <v>313</v>
      </c>
      <c r="C392" s="101" t="s">
        <v>150</v>
      </c>
      <c r="D392" s="101" t="s">
        <v>351</v>
      </c>
      <c r="E392" s="101" t="s">
        <v>17</v>
      </c>
    </row>
    <row r="393" spans="1:5" x14ac:dyDescent="0.3">
      <c r="A393" t="str">
        <f t="shared" si="6"/>
        <v>0511536</v>
      </c>
      <c r="B393" s="101" t="s">
        <v>313</v>
      </c>
      <c r="C393" s="101" t="s">
        <v>150</v>
      </c>
      <c r="D393" s="101" t="s">
        <v>352</v>
      </c>
      <c r="E393" s="101" t="s">
        <v>17</v>
      </c>
    </row>
    <row r="394" spans="1:5" x14ac:dyDescent="0.3">
      <c r="A394" t="str">
        <f t="shared" si="6"/>
        <v>0511016</v>
      </c>
      <c r="B394" s="101" t="s">
        <v>313</v>
      </c>
      <c r="C394" s="101" t="s">
        <v>150</v>
      </c>
      <c r="D394" s="101" t="s">
        <v>396</v>
      </c>
      <c r="E394" s="101" t="s">
        <v>17</v>
      </c>
    </row>
    <row r="395" spans="1:5" x14ac:dyDescent="0.3">
      <c r="A395" t="str">
        <f t="shared" si="6"/>
        <v>0511533</v>
      </c>
      <c r="B395" s="101" t="s">
        <v>313</v>
      </c>
      <c r="C395" s="101" t="s">
        <v>150</v>
      </c>
      <c r="D395" s="101" t="s">
        <v>397</v>
      </c>
      <c r="E395" s="101" t="s">
        <v>17</v>
      </c>
    </row>
    <row r="396" spans="1:5" x14ac:dyDescent="0.3">
      <c r="A396" t="str">
        <f t="shared" si="6"/>
        <v>0511015</v>
      </c>
      <c r="B396" s="101" t="s">
        <v>313</v>
      </c>
      <c r="C396" s="101" t="s">
        <v>150</v>
      </c>
      <c r="D396" s="101" t="s">
        <v>321</v>
      </c>
      <c r="E396" s="101" t="s">
        <v>139</v>
      </c>
    </row>
    <row r="397" spans="1:5" x14ac:dyDescent="0.3">
      <c r="A397" t="str">
        <f t="shared" si="6"/>
        <v>0511022</v>
      </c>
      <c r="B397" s="101" t="s">
        <v>313</v>
      </c>
      <c r="C397" s="101" t="s">
        <v>150</v>
      </c>
      <c r="D397" s="101" t="s">
        <v>322</v>
      </c>
      <c r="E397" s="101" t="s">
        <v>139</v>
      </c>
    </row>
    <row r="398" spans="1:5" x14ac:dyDescent="0.3">
      <c r="A398" t="str">
        <f t="shared" si="6"/>
        <v>0511801</v>
      </c>
      <c r="B398" s="101" t="s">
        <v>313</v>
      </c>
      <c r="C398" s="101" t="s">
        <v>150</v>
      </c>
      <c r="D398" s="101" t="s">
        <v>144</v>
      </c>
      <c r="E398" s="101" t="s">
        <v>139</v>
      </c>
    </row>
    <row r="399" spans="1:5" x14ac:dyDescent="0.3">
      <c r="A399" t="str">
        <f t="shared" si="6"/>
        <v>0511802</v>
      </c>
      <c r="B399" s="101" t="s">
        <v>313</v>
      </c>
      <c r="C399" s="101" t="s">
        <v>150</v>
      </c>
      <c r="D399" s="101" t="s">
        <v>145</v>
      </c>
      <c r="E399" s="101" t="s">
        <v>139</v>
      </c>
    </row>
    <row r="400" spans="1:5" x14ac:dyDescent="0.3">
      <c r="A400" t="str">
        <f t="shared" si="6"/>
        <v>0511532</v>
      </c>
      <c r="B400" s="101" t="s">
        <v>313</v>
      </c>
      <c r="C400" s="101" t="s">
        <v>150</v>
      </c>
      <c r="D400" s="101" t="s">
        <v>323</v>
      </c>
      <c r="E400" s="101" t="s">
        <v>139</v>
      </c>
    </row>
    <row r="401" spans="1:5" x14ac:dyDescent="0.3">
      <c r="A401" t="str">
        <f t="shared" si="6"/>
        <v>0511541</v>
      </c>
      <c r="B401" s="101" t="s">
        <v>313</v>
      </c>
      <c r="C401" s="101" t="s">
        <v>150</v>
      </c>
      <c r="D401" s="101" t="s">
        <v>325</v>
      </c>
      <c r="E401" s="101" t="s">
        <v>139</v>
      </c>
    </row>
    <row r="402" spans="1:5" x14ac:dyDescent="0.3">
      <c r="A402" t="str">
        <f t="shared" si="6"/>
        <v>0511500</v>
      </c>
      <c r="B402" s="101" t="s">
        <v>313</v>
      </c>
      <c r="C402" s="101" t="s">
        <v>150</v>
      </c>
      <c r="D402" s="101" t="s">
        <v>146</v>
      </c>
      <c r="E402" s="101" t="s">
        <v>139</v>
      </c>
    </row>
    <row r="403" spans="1:5" x14ac:dyDescent="0.3">
      <c r="A403" t="str">
        <f t="shared" si="6"/>
        <v>0511501</v>
      </c>
      <c r="B403" s="101" t="s">
        <v>313</v>
      </c>
      <c r="C403" s="101" t="s">
        <v>150</v>
      </c>
      <c r="D403" s="101" t="s">
        <v>147</v>
      </c>
      <c r="E403" s="101" t="s">
        <v>139</v>
      </c>
    </row>
    <row r="404" spans="1:5" x14ac:dyDescent="0.3">
      <c r="A404" t="str">
        <f t="shared" si="6"/>
        <v>0611012</v>
      </c>
      <c r="B404" s="101" t="s">
        <v>317</v>
      </c>
      <c r="C404" s="101" t="s">
        <v>150</v>
      </c>
      <c r="D404" s="101" t="s">
        <v>392</v>
      </c>
      <c r="E404" s="101" t="s">
        <v>17</v>
      </c>
    </row>
    <row r="405" spans="1:5" x14ac:dyDescent="0.3">
      <c r="A405" t="str">
        <f t="shared" si="6"/>
        <v>0611019</v>
      </c>
      <c r="B405" s="101" t="s">
        <v>317</v>
      </c>
      <c r="C405" s="101" t="s">
        <v>150</v>
      </c>
      <c r="D405" s="101" t="s">
        <v>393</v>
      </c>
      <c r="E405" s="101" t="s">
        <v>17</v>
      </c>
    </row>
    <row r="406" spans="1:5" x14ac:dyDescent="0.3">
      <c r="A406" t="str">
        <f t="shared" si="6"/>
        <v>0611816</v>
      </c>
      <c r="B406" s="101" t="s">
        <v>317</v>
      </c>
      <c r="C406" s="101" t="s">
        <v>150</v>
      </c>
      <c r="D406" s="101" t="s">
        <v>336</v>
      </c>
      <c r="E406" s="101" t="s">
        <v>17</v>
      </c>
    </row>
    <row r="407" spans="1:5" x14ac:dyDescent="0.3">
      <c r="A407" t="str">
        <f t="shared" si="6"/>
        <v>0611817</v>
      </c>
      <c r="B407" s="101" t="s">
        <v>317</v>
      </c>
      <c r="C407" s="101" t="s">
        <v>150</v>
      </c>
      <c r="D407" s="101" t="s">
        <v>338</v>
      </c>
      <c r="E407" s="101" t="s">
        <v>17</v>
      </c>
    </row>
    <row r="408" spans="1:5" x14ac:dyDescent="0.3">
      <c r="A408" t="str">
        <f t="shared" si="6"/>
        <v>0611525</v>
      </c>
      <c r="B408" s="101" t="s">
        <v>317</v>
      </c>
      <c r="C408" s="101" t="s">
        <v>150</v>
      </c>
      <c r="D408" s="101" t="s">
        <v>394</v>
      </c>
      <c r="E408" s="101" t="s">
        <v>17</v>
      </c>
    </row>
    <row r="409" spans="1:5" x14ac:dyDescent="0.3">
      <c r="A409" t="str">
        <f t="shared" si="6"/>
        <v>0611537</v>
      </c>
      <c r="B409" s="101" t="s">
        <v>317</v>
      </c>
      <c r="C409" s="101" t="s">
        <v>150</v>
      </c>
      <c r="D409" s="101" t="s">
        <v>395</v>
      </c>
      <c r="E409" s="101" t="s">
        <v>17</v>
      </c>
    </row>
    <row r="410" spans="1:5" x14ac:dyDescent="0.3">
      <c r="A410" t="str">
        <f t="shared" si="6"/>
        <v>0611524</v>
      </c>
      <c r="B410" s="101" t="s">
        <v>317</v>
      </c>
      <c r="C410" s="101" t="s">
        <v>150</v>
      </c>
      <c r="D410" s="101" t="s">
        <v>351</v>
      </c>
      <c r="E410" s="101" t="s">
        <v>17</v>
      </c>
    </row>
    <row r="411" spans="1:5" x14ac:dyDescent="0.3">
      <c r="A411" t="str">
        <f t="shared" si="6"/>
        <v>0611536</v>
      </c>
      <c r="B411" s="101" t="s">
        <v>317</v>
      </c>
      <c r="C411" s="101" t="s">
        <v>150</v>
      </c>
      <c r="D411" s="101" t="s">
        <v>352</v>
      </c>
      <c r="E411" s="101" t="s">
        <v>17</v>
      </c>
    </row>
    <row r="412" spans="1:5" x14ac:dyDescent="0.3">
      <c r="A412" t="str">
        <f t="shared" si="6"/>
        <v>0611016</v>
      </c>
      <c r="B412" s="101" t="s">
        <v>317</v>
      </c>
      <c r="C412" s="101" t="s">
        <v>150</v>
      </c>
      <c r="D412" s="101" t="s">
        <v>396</v>
      </c>
      <c r="E412" s="101" t="s">
        <v>17</v>
      </c>
    </row>
    <row r="413" spans="1:5" x14ac:dyDescent="0.3">
      <c r="A413" t="str">
        <f t="shared" si="6"/>
        <v>0611533</v>
      </c>
      <c r="B413" s="101" t="s">
        <v>317</v>
      </c>
      <c r="C413" s="101" t="s">
        <v>150</v>
      </c>
      <c r="D413" s="101" t="s">
        <v>397</v>
      </c>
      <c r="E413" s="101" t="s">
        <v>17</v>
      </c>
    </row>
    <row r="414" spans="1:5" x14ac:dyDescent="0.3">
      <c r="A414" t="str">
        <f t="shared" si="6"/>
        <v>0611015</v>
      </c>
      <c r="B414" s="101" t="s">
        <v>317</v>
      </c>
      <c r="C414" s="101" t="s">
        <v>150</v>
      </c>
      <c r="D414" s="101" t="s">
        <v>321</v>
      </c>
      <c r="E414" s="101" t="s">
        <v>139</v>
      </c>
    </row>
    <row r="415" spans="1:5" x14ac:dyDescent="0.3">
      <c r="A415" t="str">
        <f t="shared" si="6"/>
        <v>0611022</v>
      </c>
      <c r="B415" s="101" t="s">
        <v>317</v>
      </c>
      <c r="C415" s="101" t="s">
        <v>150</v>
      </c>
      <c r="D415" s="101" t="s">
        <v>322</v>
      </c>
      <c r="E415" s="101" t="s">
        <v>139</v>
      </c>
    </row>
    <row r="416" spans="1:5" x14ac:dyDescent="0.3">
      <c r="A416" t="str">
        <f t="shared" si="6"/>
        <v>0611801</v>
      </c>
      <c r="B416" s="101" t="s">
        <v>317</v>
      </c>
      <c r="C416" s="101" t="s">
        <v>150</v>
      </c>
      <c r="D416" s="101" t="s">
        <v>144</v>
      </c>
      <c r="E416" s="101" t="s">
        <v>139</v>
      </c>
    </row>
    <row r="417" spans="1:5" x14ac:dyDescent="0.3">
      <c r="A417" t="str">
        <f t="shared" si="6"/>
        <v>0611802</v>
      </c>
      <c r="B417" s="101" t="s">
        <v>317</v>
      </c>
      <c r="C417" s="101" t="s">
        <v>150</v>
      </c>
      <c r="D417" s="101" t="s">
        <v>145</v>
      </c>
      <c r="E417" s="101" t="s">
        <v>139</v>
      </c>
    </row>
    <row r="418" spans="1:5" x14ac:dyDescent="0.3">
      <c r="A418" t="str">
        <f t="shared" si="6"/>
        <v>0611532</v>
      </c>
      <c r="B418" s="101" t="s">
        <v>317</v>
      </c>
      <c r="C418" s="101" t="s">
        <v>150</v>
      </c>
      <c r="D418" s="101" t="s">
        <v>323</v>
      </c>
      <c r="E418" s="101" t="s">
        <v>139</v>
      </c>
    </row>
    <row r="419" spans="1:5" x14ac:dyDescent="0.3">
      <c r="A419" t="str">
        <f t="shared" si="6"/>
        <v>0611541</v>
      </c>
      <c r="B419" s="101" t="s">
        <v>317</v>
      </c>
      <c r="C419" s="101" t="s">
        <v>150</v>
      </c>
      <c r="D419" s="101" t="s">
        <v>325</v>
      </c>
      <c r="E419" s="101" t="s">
        <v>139</v>
      </c>
    </row>
    <row r="420" spans="1:5" x14ac:dyDescent="0.3">
      <c r="A420" t="str">
        <f t="shared" si="6"/>
        <v>0611500</v>
      </c>
      <c r="B420" s="101" t="s">
        <v>317</v>
      </c>
      <c r="C420" s="101" t="s">
        <v>150</v>
      </c>
      <c r="D420" s="101" t="s">
        <v>146</v>
      </c>
      <c r="E420" s="101" t="s">
        <v>139</v>
      </c>
    </row>
    <row r="421" spans="1:5" x14ac:dyDescent="0.3">
      <c r="A421" t="str">
        <f t="shared" si="6"/>
        <v>0611501</v>
      </c>
      <c r="B421" s="101" t="s">
        <v>317</v>
      </c>
      <c r="C421" s="101" t="s">
        <v>150</v>
      </c>
      <c r="D421" s="101" t="s">
        <v>147</v>
      </c>
      <c r="E421" s="101" t="s">
        <v>139</v>
      </c>
    </row>
    <row r="422" spans="1:5" x14ac:dyDescent="0.3">
      <c r="A422" t="str">
        <f t="shared" si="6"/>
        <v>0711012</v>
      </c>
      <c r="B422" s="101" t="s">
        <v>319</v>
      </c>
      <c r="C422" s="101" t="s">
        <v>150</v>
      </c>
      <c r="D422" s="101" t="s">
        <v>392</v>
      </c>
      <c r="E422" s="101" t="s">
        <v>17</v>
      </c>
    </row>
    <row r="423" spans="1:5" x14ac:dyDescent="0.3">
      <c r="A423" t="str">
        <f t="shared" si="6"/>
        <v>0711019</v>
      </c>
      <c r="B423" s="101" t="s">
        <v>319</v>
      </c>
      <c r="C423" s="101" t="s">
        <v>150</v>
      </c>
      <c r="D423" s="101" t="s">
        <v>393</v>
      </c>
      <c r="E423" s="101" t="s">
        <v>17</v>
      </c>
    </row>
    <row r="424" spans="1:5" x14ac:dyDescent="0.3">
      <c r="A424" t="str">
        <f t="shared" si="6"/>
        <v>0711816</v>
      </c>
      <c r="B424" s="101" t="s">
        <v>319</v>
      </c>
      <c r="C424" s="101" t="s">
        <v>150</v>
      </c>
      <c r="D424" s="101" t="s">
        <v>336</v>
      </c>
      <c r="E424" s="101" t="s">
        <v>17</v>
      </c>
    </row>
    <row r="425" spans="1:5" x14ac:dyDescent="0.3">
      <c r="A425" t="str">
        <f t="shared" si="6"/>
        <v>0711817</v>
      </c>
      <c r="B425" s="101" t="s">
        <v>319</v>
      </c>
      <c r="C425" s="101" t="s">
        <v>150</v>
      </c>
      <c r="D425" s="101" t="s">
        <v>338</v>
      </c>
      <c r="E425" s="101" t="s">
        <v>17</v>
      </c>
    </row>
    <row r="426" spans="1:5" x14ac:dyDescent="0.3">
      <c r="A426" t="str">
        <f t="shared" si="6"/>
        <v>0711525</v>
      </c>
      <c r="B426" s="101" t="s">
        <v>319</v>
      </c>
      <c r="C426" s="101" t="s">
        <v>150</v>
      </c>
      <c r="D426" s="101" t="s">
        <v>394</v>
      </c>
      <c r="E426" s="101" t="s">
        <v>17</v>
      </c>
    </row>
    <row r="427" spans="1:5" x14ac:dyDescent="0.3">
      <c r="A427" t="str">
        <f t="shared" si="6"/>
        <v>0711537</v>
      </c>
      <c r="B427" s="101" t="s">
        <v>319</v>
      </c>
      <c r="C427" s="101" t="s">
        <v>150</v>
      </c>
      <c r="D427" s="101" t="s">
        <v>395</v>
      </c>
      <c r="E427" s="101" t="s">
        <v>17</v>
      </c>
    </row>
    <row r="428" spans="1:5" x14ac:dyDescent="0.3">
      <c r="A428" t="str">
        <f t="shared" si="6"/>
        <v>0711524</v>
      </c>
      <c r="B428" s="101" t="s">
        <v>319</v>
      </c>
      <c r="C428" s="101" t="s">
        <v>150</v>
      </c>
      <c r="D428" s="101" t="s">
        <v>351</v>
      </c>
      <c r="E428" s="101" t="s">
        <v>17</v>
      </c>
    </row>
    <row r="429" spans="1:5" x14ac:dyDescent="0.3">
      <c r="A429" t="str">
        <f t="shared" si="6"/>
        <v>0711536</v>
      </c>
      <c r="B429" s="101" t="s">
        <v>319</v>
      </c>
      <c r="C429" s="101" t="s">
        <v>150</v>
      </c>
      <c r="D429" s="101" t="s">
        <v>352</v>
      </c>
      <c r="E429" s="101" t="s">
        <v>17</v>
      </c>
    </row>
    <row r="430" spans="1:5" x14ac:dyDescent="0.3">
      <c r="A430" t="str">
        <f t="shared" si="6"/>
        <v>0711016</v>
      </c>
      <c r="B430" s="101" t="s">
        <v>319</v>
      </c>
      <c r="C430" s="101" t="s">
        <v>150</v>
      </c>
      <c r="D430" s="101" t="s">
        <v>396</v>
      </c>
      <c r="E430" s="101" t="s">
        <v>17</v>
      </c>
    </row>
    <row r="431" spans="1:5" x14ac:dyDescent="0.3">
      <c r="A431" t="str">
        <f t="shared" si="6"/>
        <v>0711533</v>
      </c>
      <c r="B431" s="101" t="s">
        <v>319</v>
      </c>
      <c r="C431" s="101" t="s">
        <v>150</v>
      </c>
      <c r="D431" s="101" t="s">
        <v>397</v>
      </c>
      <c r="E431" s="101" t="s">
        <v>17</v>
      </c>
    </row>
    <row r="432" spans="1:5" x14ac:dyDescent="0.3">
      <c r="A432" t="str">
        <f t="shared" si="6"/>
        <v>0711015</v>
      </c>
      <c r="B432" s="101" t="s">
        <v>319</v>
      </c>
      <c r="C432" s="101" t="s">
        <v>150</v>
      </c>
      <c r="D432" s="101" t="s">
        <v>321</v>
      </c>
      <c r="E432" s="101" t="s">
        <v>139</v>
      </c>
    </row>
    <row r="433" spans="1:5" x14ac:dyDescent="0.3">
      <c r="A433" t="str">
        <f t="shared" si="6"/>
        <v>0711022</v>
      </c>
      <c r="B433" s="101" t="s">
        <v>319</v>
      </c>
      <c r="C433" s="101" t="s">
        <v>150</v>
      </c>
      <c r="D433" s="101" t="s">
        <v>322</v>
      </c>
      <c r="E433" s="101" t="s">
        <v>139</v>
      </c>
    </row>
    <row r="434" spans="1:5" x14ac:dyDescent="0.3">
      <c r="A434" t="str">
        <f t="shared" si="6"/>
        <v>0711801</v>
      </c>
      <c r="B434" s="101" t="s">
        <v>319</v>
      </c>
      <c r="C434" s="101" t="s">
        <v>150</v>
      </c>
      <c r="D434" s="101" t="s">
        <v>144</v>
      </c>
      <c r="E434" s="101" t="s">
        <v>139</v>
      </c>
    </row>
    <row r="435" spans="1:5" x14ac:dyDescent="0.3">
      <c r="A435" t="str">
        <f t="shared" si="6"/>
        <v>0711802</v>
      </c>
      <c r="B435" s="101" t="s">
        <v>319</v>
      </c>
      <c r="C435" s="101" t="s">
        <v>150</v>
      </c>
      <c r="D435" s="101" t="s">
        <v>145</v>
      </c>
      <c r="E435" s="101" t="s">
        <v>139</v>
      </c>
    </row>
    <row r="436" spans="1:5" x14ac:dyDescent="0.3">
      <c r="A436" t="str">
        <f t="shared" si="6"/>
        <v>0711532</v>
      </c>
      <c r="B436" s="101" t="s">
        <v>319</v>
      </c>
      <c r="C436" s="101" t="s">
        <v>150</v>
      </c>
      <c r="D436" s="101" t="s">
        <v>323</v>
      </c>
      <c r="E436" s="101" t="s">
        <v>139</v>
      </c>
    </row>
    <row r="437" spans="1:5" x14ac:dyDescent="0.3">
      <c r="A437" t="str">
        <f t="shared" si="6"/>
        <v>0711541</v>
      </c>
      <c r="B437" s="101" t="s">
        <v>319</v>
      </c>
      <c r="C437" s="101" t="s">
        <v>150</v>
      </c>
      <c r="D437" s="101" t="s">
        <v>325</v>
      </c>
      <c r="E437" s="101" t="s">
        <v>139</v>
      </c>
    </row>
    <row r="438" spans="1:5" x14ac:dyDescent="0.3">
      <c r="A438" t="str">
        <f t="shared" si="6"/>
        <v>0711500</v>
      </c>
      <c r="B438" s="101" t="s">
        <v>319</v>
      </c>
      <c r="C438" s="101" t="s">
        <v>150</v>
      </c>
      <c r="D438" s="101" t="s">
        <v>146</v>
      </c>
      <c r="E438" s="101" t="s">
        <v>139</v>
      </c>
    </row>
    <row r="439" spans="1:5" x14ac:dyDescent="0.3">
      <c r="A439" t="str">
        <f t="shared" si="6"/>
        <v>0711501</v>
      </c>
      <c r="B439" s="101" t="s">
        <v>319</v>
      </c>
      <c r="C439" s="101" t="s">
        <v>150</v>
      </c>
      <c r="D439" s="101" t="s">
        <v>147</v>
      </c>
      <c r="E439" s="101" t="s">
        <v>139</v>
      </c>
    </row>
    <row r="440" spans="1:5" x14ac:dyDescent="0.3">
      <c r="A440" t="str">
        <f t="shared" si="6"/>
        <v>0811012</v>
      </c>
      <c r="B440" s="101" t="s">
        <v>320</v>
      </c>
      <c r="C440" s="101" t="s">
        <v>150</v>
      </c>
      <c r="D440" s="101" t="s">
        <v>392</v>
      </c>
      <c r="E440" s="101" t="s">
        <v>17</v>
      </c>
    </row>
    <row r="441" spans="1:5" x14ac:dyDescent="0.3">
      <c r="A441" t="str">
        <f t="shared" si="6"/>
        <v>0811019</v>
      </c>
      <c r="B441" s="101" t="s">
        <v>320</v>
      </c>
      <c r="C441" s="101" t="s">
        <v>150</v>
      </c>
      <c r="D441" s="101" t="s">
        <v>393</v>
      </c>
      <c r="E441" s="101" t="s">
        <v>17</v>
      </c>
    </row>
    <row r="442" spans="1:5" x14ac:dyDescent="0.3">
      <c r="A442" t="str">
        <f t="shared" si="6"/>
        <v>0811816</v>
      </c>
      <c r="B442" s="101" t="s">
        <v>320</v>
      </c>
      <c r="C442" s="101" t="s">
        <v>150</v>
      </c>
      <c r="D442" s="101" t="s">
        <v>336</v>
      </c>
      <c r="E442" s="101" t="s">
        <v>17</v>
      </c>
    </row>
    <row r="443" spans="1:5" x14ac:dyDescent="0.3">
      <c r="A443" t="str">
        <f t="shared" si="6"/>
        <v>0811817</v>
      </c>
      <c r="B443" s="101" t="s">
        <v>320</v>
      </c>
      <c r="C443" s="101" t="s">
        <v>150</v>
      </c>
      <c r="D443" s="101" t="s">
        <v>338</v>
      </c>
      <c r="E443" s="101" t="s">
        <v>17</v>
      </c>
    </row>
    <row r="444" spans="1:5" x14ac:dyDescent="0.3">
      <c r="A444" t="str">
        <f t="shared" si="6"/>
        <v>0811525</v>
      </c>
      <c r="B444" s="101" t="s">
        <v>320</v>
      </c>
      <c r="C444" s="101" t="s">
        <v>150</v>
      </c>
      <c r="D444" s="101" t="s">
        <v>394</v>
      </c>
      <c r="E444" s="101" t="s">
        <v>17</v>
      </c>
    </row>
    <row r="445" spans="1:5" x14ac:dyDescent="0.3">
      <c r="A445" t="str">
        <f t="shared" si="6"/>
        <v>0811537</v>
      </c>
      <c r="B445" s="101" t="s">
        <v>320</v>
      </c>
      <c r="C445" s="101" t="s">
        <v>150</v>
      </c>
      <c r="D445" s="101" t="s">
        <v>395</v>
      </c>
      <c r="E445" s="101" t="s">
        <v>17</v>
      </c>
    </row>
    <row r="446" spans="1:5" x14ac:dyDescent="0.3">
      <c r="A446" t="str">
        <f t="shared" si="6"/>
        <v>0811524</v>
      </c>
      <c r="B446" s="101" t="s">
        <v>320</v>
      </c>
      <c r="C446" s="101" t="s">
        <v>150</v>
      </c>
      <c r="D446" s="101" t="s">
        <v>351</v>
      </c>
      <c r="E446" s="101" t="s">
        <v>17</v>
      </c>
    </row>
    <row r="447" spans="1:5" x14ac:dyDescent="0.3">
      <c r="A447" t="str">
        <f t="shared" si="6"/>
        <v>0811536</v>
      </c>
      <c r="B447" s="101" t="s">
        <v>320</v>
      </c>
      <c r="C447" s="101" t="s">
        <v>150</v>
      </c>
      <c r="D447" s="101" t="s">
        <v>352</v>
      </c>
      <c r="E447" s="101" t="s">
        <v>17</v>
      </c>
    </row>
    <row r="448" spans="1:5" x14ac:dyDescent="0.3">
      <c r="A448" t="str">
        <f t="shared" si="6"/>
        <v>0811016</v>
      </c>
      <c r="B448" s="101" t="s">
        <v>320</v>
      </c>
      <c r="C448" s="101" t="s">
        <v>150</v>
      </c>
      <c r="D448" s="101" t="s">
        <v>396</v>
      </c>
      <c r="E448" s="101" t="s">
        <v>17</v>
      </c>
    </row>
    <row r="449" spans="1:5" x14ac:dyDescent="0.3">
      <c r="A449" t="str">
        <f t="shared" si="6"/>
        <v>0811533</v>
      </c>
      <c r="B449" s="101" t="s">
        <v>320</v>
      </c>
      <c r="C449" s="101" t="s">
        <v>150</v>
      </c>
      <c r="D449" s="101" t="s">
        <v>397</v>
      </c>
      <c r="E449" s="101" t="s">
        <v>17</v>
      </c>
    </row>
    <row r="450" spans="1:5" x14ac:dyDescent="0.3">
      <c r="A450" t="str">
        <f t="shared" si="6"/>
        <v>0811015</v>
      </c>
      <c r="B450" s="101" t="s">
        <v>320</v>
      </c>
      <c r="C450" s="101" t="s">
        <v>150</v>
      </c>
      <c r="D450" s="101" t="s">
        <v>321</v>
      </c>
      <c r="E450" s="101" t="s">
        <v>139</v>
      </c>
    </row>
    <row r="451" spans="1:5" x14ac:dyDescent="0.3">
      <c r="A451" t="str">
        <f t="shared" ref="A451:A514" si="7">CONCATENATE(B451,C451,D451,F451)</f>
        <v>0811022</v>
      </c>
      <c r="B451" s="101" t="s">
        <v>320</v>
      </c>
      <c r="C451" s="101" t="s">
        <v>150</v>
      </c>
      <c r="D451" s="101" t="s">
        <v>322</v>
      </c>
      <c r="E451" s="101" t="s">
        <v>139</v>
      </c>
    </row>
    <row r="452" spans="1:5" x14ac:dyDescent="0.3">
      <c r="A452" t="str">
        <f t="shared" si="7"/>
        <v>0811801</v>
      </c>
      <c r="B452" s="101" t="s">
        <v>320</v>
      </c>
      <c r="C452" s="101" t="s">
        <v>150</v>
      </c>
      <c r="D452" s="101" t="s">
        <v>144</v>
      </c>
      <c r="E452" s="101" t="s">
        <v>139</v>
      </c>
    </row>
    <row r="453" spans="1:5" x14ac:dyDescent="0.3">
      <c r="A453" t="str">
        <f t="shared" si="7"/>
        <v>0811802</v>
      </c>
      <c r="B453" s="101" t="s">
        <v>320</v>
      </c>
      <c r="C453" s="101" t="s">
        <v>150</v>
      </c>
      <c r="D453" s="101" t="s">
        <v>145</v>
      </c>
      <c r="E453" s="101" t="s">
        <v>139</v>
      </c>
    </row>
    <row r="454" spans="1:5" x14ac:dyDescent="0.3">
      <c r="A454" t="str">
        <f t="shared" si="7"/>
        <v>0811532</v>
      </c>
      <c r="B454" s="101" t="s">
        <v>320</v>
      </c>
      <c r="C454" s="101" t="s">
        <v>150</v>
      </c>
      <c r="D454" s="101" t="s">
        <v>323</v>
      </c>
      <c r="E454" s="101" t="s">
        <v>139</v>
      </c>
    </row>
    <row r="455" spans="1:5" x14ac:dyDescent="0.3">
      <c r="A455" t="str">
        <f t="shared" si="7"/>
        <v>0811541</v>
      </c>
      <c r="B455" s="101" t="s">
        <v>320</v>
      </c>
      <c r="C455" s="101" t="s">
        <v>150</v>
      </c>
      <c r="D455" s="101" t="s">
        <v>325</v>
      </c>
      <c r="E455" s="101" t="s">
        <v>139</v>
      </c>
    </row>
    <row r="456" spans="1:5" x14ac:dyDescent="0.3">
      <c r="A456" t="str">
        <f t="shared" si="7"/>
        <v>0811500</v>
      </c>
      <c r="B456" s="101" t="s">
        <v>320</v>
      </c>
      <c r="C456" s="101" t="s">
        <v>150</v>
      </c>
      <c r="D456" s="101" t="s">
        <v>146</v>
      </c>
      <c r="E456" s="101" t="s">
        <v>139</v>
      </c>
    </row>
    <row r="457" spans="1:5" x14ac:dyDescent="0.3">
      <c r="A457" t="str">
        <f t="shared" si="7"/>
        <v>0811501</v>
      </c>
      <c r="B457" s="101" t="s">
        <v>320</v>
      </c>
      <c r="C457" s="101" t="s">
        <v>150</v>
      </c>
      <c r="D457" s="101" t="s">
        <v>147</v>
      </c>
      <c r="E457" s="101" t="s">
        <v>139</v>
      </c>
    </row>
    <row r="458" spans="1:5" x14ac:dyDescent="0.3">
      <c r="A458" t="str">
        <f t="shared" si="7"/>
        <v>0312801</v>
      </c>
      <c r="B458" s="101" t="s">
        <v>16</v>
      </c>
      <c r="C458" s="101" t="s">
        <v>152</v>
      </c>
      <c r="D458" s="101" t="s">
        <v>144</v>
      </c>
      <c r="E458" s="101" t="s">
        <v>139</v>
      </c>
    </row>
    <row r="459" spans="1:5" x14ac:dyDescent="0.3">
      <c r="A459" t="str">
        <f t="shared" si="7"/>
        <v>0312802</v>
      </c>
      <c r="B459" s="101" t="s">
        <v>16</v>
      </c>
      <c r="C459" s="101" t="s">
        <v>152</v>
      </c>
      <c r="D459" s="101" t="s">
        <v>145</v>
      </c>
      <c r="E459" s="101" t="s">
        <v>139</v>
      </c>
    </row>
    <row r="460" spans="1:5" x14ac:dyDescent="0.3">
      <c r="A460" t="str">
        <f t="shared" si="7"/>
        <v>0312500</v>
      </c>
      <c r="B460" s="101" t="s">
        <v>16</v>
      </c>
      <c r="C460" s="101" t="s">
        <v>152</v>
      </c>
      <c r="D460" s="101" t="s">
        <v>146</v>
      </c>
      <c r="E460" s="101" t="s">
        <v>139</v>
      </c>
    </row>
    <row r="461" spans="1:5" x14ac:dyDescent="0.3">
      <c r="A461" t="str">
        <f t="shared" si="7"/>
        <v>0312501</v>
      </c>
      <c r="B461" s="101" t="s">
        <v>16</v>
      </c>
      <c r="C461" s="101" t="s">
        <v>152</v>
      </c>
      <c r="D461" s="101" t="s">
        <v>147</v>
      </c>
      <c r="E461" s="101" t="s">
        <v>139</v>
      </c>
    </row>
    <row r="462" spans="1:5" x14ac:dyDescent="0.3">
      <c r="A462" t="str">
        <f t="shared" si="7"/>
        <v>0312807</v>
      </c>
      <c r="B462" s="101" t="s">
        <v>16</v>
      </c>
      <c r="C462" s="101" t="s">
        <v>152</v>
      </c>
      <c r="D462" s="101" t="s">
        <v>185</v>
      </c>
      <c r="E462" s="101" t="s">
        <v>17</v>
      </c>
    </row>
    <row r="463" spans="1:5" x14ac:dyDescent="0.3">
      <c r="A463" t="str">
        <f t="shared" si="7"/>
        <v>0312808</v>
      </c>
      <c r="B463" s="101" t="s">
        <v>16</v>
      </c>
      <c r="C463" s="101" t="s">
        <v>152</v>
      </c>
      <c r="D463" s="101" t="s">
        <v>186</v>
      </c>
      <c r="E463" s="101" t="s">
        <v>17</v>
      </c>
    </row>
    <row r="464" spans="1:5" x14ac:dyDescent="0.3">
      <c r="A464" t="str">
        <f t="shared" si="7"/>
        <v>0312809</v>
      </c>
      <c r="B464" s="101" t="s">
        <v>16</v>
      </c>
      <c r="C464" s="101" t="s">
        <v>152</v>
      </c>
      <c r="D464" s="101" t="s">
        <v>187</v>
      </c>
      <c r="E464" s="101" t="s">
        <v>17</v>
      </c>
    </row>
    <row r="465" spans="1:5" x14ac:dyDescent="0.3">
      <c r="A465" t="str">
        <f t="shared" si="7"/>
        <v>0312810</v>
      </c>
      <c r="B465" s="101" t="s">
        <v>16</v>
      </c>
      <c r="C465" s="101" t="s">
        <v>152</v>
      </c>
      <c r="D465" s="101" t="s">
        <v>188</v>
      </c>
      <c r="E465" s="101" t="s">
        <v>17</v>
      </c>
    </row>
    <row r="466" spans="1:5" x14ac:dyDescent="0.3">
      <c r="A466" t="str">
        <f t="shared" si="7"/>
        <v>0312511</v>
      </c>
      <c r="B466" s="101" t="s">
        <v>16</v>
      </c>
      <c r="C466" s="101" t="s">
        <v>152</v>
      </c>
      <c r="D466" s="101" t="s">
        <v>386</v>
      </c>
      <c r="E466" s="101" t="s">
        <v>17</v>
      </c>
    </row>
    <row r="467" spans="1:5" x14ac:dyDescent="0.3">
      <c r="A467" t="str">
        <f t="shared" si="7"/>
        <v>0312512</v>
      </c>
      <c r="B467" s="101" t="s">
        <v>16</v>
      </c>
      <c r="C467" s="101" t="s">
        <v>152</v>
      </c>
      <c r="D467" s="101" t="s">
        <v>398</v>
      </c>
      <c r="E467" s="101" t="s">
        <v>17</v>
      </c>
    </row>
    <row r="468" spans="1:5" x14ac:dyDescent="0.3">
      <c r="A468" t="str">
        <f t="shared" si="7"/>
        <v>0312005</v>
      </c>
      <c r="B468" s="101" t="s">
        <v>16</v>
      </c>
      <c r="C468" s="101" t="s">
        <v>152</v>
      </c>
      <c r="D468" s="101" t="s">
        <v>399</v>
      </c>
      <c r="E468" s="101" t="s">
        <v>19</v>
      </c>
    </row>
    <row r="469" spans="1:5" x14ac:dyDescent="0.3">
      <c r="A469" t="str">
        <f t="shared" si="7"/>
        <v>0312006</v>
      </c>
      <c r="B469" s="101" t="s">
        <v>16</v>
      </c>
      <c r="C469" s="101" t="s">
        <v>152</v>
      </c>
      <c r="D469" s="101" t="s">
        <v>400</v>
      </c>
      <c r="E469" s="101" t="s">
        <v>19</v>
      </c>
    </row>
    <row r="470" spans="1:5" x14ac:dyDescent="0.3">
      <c r="A470" t="str">
        <f t="shared" si="7"/>
        <v>0312007</v>
      </c>
      <c r="B470" s="101" t="s">
        <v>16</v>
      </c>
      <c r="C470" s="101" t="s">
        <v>152</v>
      </c>
      <c r="D470" s="101" t="s">
        <v>401</v>
      </c>
      <c r="E470" s="101" t="s">
        <v>19</v>
      </c>
    </row>
    <row r="471" spans="1:5" x14ac:dyDescent="0.3">
      <c r="A471" t="str">
        <f t="shared" si="7"/>
        <v>0312011</v>
      </c>
      <c r="B471" s="101" t="s">
        <v>16</v>
      </c>
      <c r="C471" s="101" t="s">
        <v>152</v>
      </c>
      <c r="D471" s="101" t="s">
        <v>402</v>
      </c>
      <c r="E471" s="101" t="s">
        <v>17</v>
      </c>
    </row>
    <row r="472" spans="1:5" x14ac:dyDescent="0.3">
      <c r="A472" t="str">
        <f t="shared" si="7"/>
        <v>0312012</v>
      </c>
      <c r="B472" s="101" t="s">
        <v>16</v>
      </c>
      <c r="C472" s="101" t="s">
        <v>152</v>
      </c>
      <c r="D472" s="101" t="s">
        <v>392</v>
      </c>
      <c r="E472" s="101" t="s">
        <v>17</v>
      </c>
    </row>
    <row r="473" spans="1:5" x14ac:dyDescent="0.3">
      <c r="A473" t="str">
        <f t="shared" si="7"/>
        <v>0312013</v>
      </c>
      <c r="B473" s="101" t="s">
        <v>16</v>
      </c>
      <c r="C473" s="101" t="s">
        <v>152</v>
      </c>
      <c r="D473" s="101" t="s">
        <v>403</v>
      </c>
      <c r="E473" s="101" t="s">
        <v>17</v>
      </c>
    </row>
    <row r="474" spans="1:5" x14ac:dyDescent="0.3">
      <c r="A474" t="str">
        <f t="shared" si="7"/>
        <v>0312517</v>
      </c>
      <c r="B474" s="101" t="s">
        <v>16</v>
      </c>
      <c r="C474" s="101" t="s">
        <v>152</v>
      </c>
      <c r="D474" s="101" t="s">
        <v>390</v>
      </c>
      <c r="E474" s="101" t="s">
        <v>17</v>
      </c>
    </row>
    <row r="475" spans="1:5" x14ac:dyDescent="0.3">
      <c r="A475" t="str">
        <f t="shared" si="7"/>
        <v>0312520</v>
      </c>
      <c r="B475" s="101" t="s">
        <v>16</v>
      </c>
      <c r="C475" s="101" t="s">
        <v>152</v>
      </c>
      <c r="D475" s="101" t="s">
        <v>404</v>
      </c>
      <c r="E475" s="101" t="s">
        <v>17</v>
      </c>
    </row>
    <row r="476" spans="1:5" x14ac:dyDescent="0.3">
      <c r="A476" t="str">
        <f t="shared" si="7"/>
        <v>0312521</v>
      </c>
      <c r="B476" s="101" t="s">
        <v>16</v>
      </c>
      <c r="C476" s="101" t="s">
        <v>152</v>
      </c>
      <c r="D476" s="101" t="s">
        <v>384</v>
      </c>
      <c r="E476" s="101" t="s">
        <v>17</v>
      </c>
    </row>
    <row r="477" spans="1:5" x14ac:dyDescent="0.3">
      <c r="A477" t="str">
        <f t="shared" si="7"/>
        <v>0412801</v>
      </c>
      <c r="B477" s="101" t="s">
        <v>18</v>
      </c>
      <c r="C477" s="101" t="s">
        <v>152</v>
      </c>
      <c r="D477" s="101" t="s">
        <v>144</v>
      </c>
      <c r="E477" s="101" t="s">
        <v>139</v>
      </c>
    </row>
    <row r="478" spans="1:5" x14ac:dyDescent="0.3">
      <c r="A478" t="str">
        <f t="shared" si="7"/>
        <v>0412802</v>
      </c>
      <c r="B478" s="101" t="s">
        <v>18</v>
      </c>
      <c r="C478" s="101" t="s">
        <v>152</v>
      </c>
      <c r="D478" s="101" t="s">
        <v>145</v>
      </c>
      <c r="E478" s="101" t="s">
        <v>139</v>
      </c>
    </row>
    <row r="479" spans="1:5" x14ac:dyDescent="0.3">
      <c r="A479" t="str">
        <f t="shared" si="7"/>
        <v>0412500</v>
      </c>
      <c r="B479" s="101" t="s">
        <v>18</v>
      </c>
      <c r="C479" s="101" t="s">
        <v>152</v>
      </c>
      <c r="D479" s="101" t="s">
        <v>146</v>
      </c>
      <c r="E479" s="101" t="s">
        <v>139</v>
      </c>
    </row>
    <row r="480" spans="1:5" x14ac:dyDescent="0.3">
      <c r="A480" t="str">
        <f t="shared" si="7"/>
        <v>0412501</v>
      </c>
      <c r="B480" s="101" t="s">
        <v>18</v>
      </c>
      <c r="C480" s="101" t="s">
        <v>152</v>
      </c>
      <c r="D480" s="101" t="s">
        <v>147</v>
      </c>
      <c r="E480" s="101" t="s">
        <v>139</v>
      </c>
    </row>
    <row r="481" spans="1:5" x14ac:dyDescent="0.3">
      <c r="A481" t="str">
        <f t="shared" si="7"/>
        <v>0412807</v>
      </c>
      <c r="B481" s="101" t="s">
        <v>18</v>
      </c>
      <c r="C481" s="101" t="s">
        <v>152</v>
      </c>
      <c r="D481" s="101" t="s">
        <v>185</v>
      </c>
      <c r="E481" s="101" t="s">
        <v>17</v>
      </c>
    </row>
    <row r="482" spans="1:5" x14ac:dyDescent="0.3">
      <c r="A482" t="str">
        <f t="shared" si="7"/>
        <v>0412808</v>
      </c>
      <c r="B482" s="101" t="s">
        <v>18</v>
      </c>
      <c r="C482" s="101" t="s">
        <v>152</v>
      </c>
      <c r="D482" s="101" t="s">
        <v>186</v>
      </c>
      <c r="E482" s="101" t="s">
        <v>17</v>
      </c>
    </row>
    <row r="483" spans="1:5" x14ac:dyDescent="0.3">
      <c r="A483" t="str">
        <f t="shared" si="7"/>
        <v>0412809</v>
      </c>
      <c r="B483" s="101" t="s">
        <v>18</v>
      </c>
      <c r="C483" s="101" t="s">
        <v>152</v>
      </c>
      <c r="D483" s="101" t="s">
        <v>187</v>
      </c>
      <c r="E483" s="101" t="s">
        <v>17</v>
      </c>
    </row>
    <row r="484" spans="1:5" x14ac:dyDescent="0.3">
      <c r="A484" t="str">
        <f t="shared" si="7"/>
        <v>0412810</v>
      </c>
      <c r="B484" s="101" t="s">
        <v>18</v>
      </c>
      <c r="C484" s="101" t="s">
        <v>152</v>
      </c>
      <c r="D484" s="101" t="s">
        <v>188</v>
      </c>
      <c r="E484" s="101" t="s">
        <v>17</v>
      </c>
    </row>
    <row r="485" spans="1:5" x14ac:dyDescent="0.3">
      <c r="A485" t="str">
        <f t="shared" si="7"/>
        <v>0412511</v>
      </c>
      <c r="B485" s="101" t="s">
        <v>18</v>
      </c>
      <c r="C485" s="101" t="s">
        <v>152</v>
      </c>
      <c r="D485" s="101" t="s">
        <v>386</v>
      </c>
      <c r="E485" s="101" t="s">
        <v>17</v>
      </c>
    </row>
    <row r="486" spans="1:5" x14ac:dyDescent="0.3">
      <c r="A486" t="str">
        <f t="shared" si="7"/>
        <v>0412512</v>
      </c>
      <c r="B486" s="101" t="s">
        <v>18</v>
      </c>
      <c r="C486" s="101" t="s">
        <v>152</v>
      </c>
      <c r="D486" s="101" t="s">
        <v>398</v>
      </c>
      <c r="E486" s="101" t="s">
        <v>17</v>
      </c>
    </row>
    <row r="487" spans="1:5" x14ac:dyDescent="0.3">
      <c r="A487" t="str">
        <f t="shared" si="7"/>
        <v>0412005</v>
      </c>
      <c r="B487" s="101" t="s">
        <v>18</v>
      </c>
      <c r="C487" s="101" t="s">
        <v>152</v>
      </c>
      <c r="D487" s="101" t="s">
        <v>399</v>
      </c>
      <c r="E487" s="101" t="s">
        <v>19</v>
      </c>
    </row>
    <row r="488" spans="1:5" x14ac:dyDescent="0.3">
      <c r="A488" t="str">
        <f t="shared" si="7"/>
        <v>0412006</v>
      </c>
      <c r="B488" s="101" t="s">
        <v>18</v>
      </c>
      <c r="C488" s="101" t="s">
        <v>152</v>
      </c>
      <c r="D488" s="101" t="s">
        <v>400</v>
      </c>
      <c r="E488" s="101" t="s">
        <v>19</v>
      </c>
    </row>
    <row r="489" spans="1:5" x14ac:dyDescent="0.3">
      <c r="A489" t="str">
        <f t="shared" si="7"/>
        <v>0412007</v>
      </c>
      <c r="B489" s="101" t="s">
        <v>18</v>
      </c>
      <c r="C489" s="101" t="s">
        <v>152</v>
      </c>
      <c r="D489" s="101" t="s">
        <v>401</v>
      </c>
      <c r="E489" s="101" t="s">
        <v>19</v>
      </c>
    </row>
    <row r="490" spans="1:5" x14ac:dyDescent="0.3">
      <c r="A490" t="str">
        <f t="shared" si="7"/>
        <v>0412011</v>
      </c>
      <c r="B490" s="101" t="s">
        <v>18</v>
      </c>
      <c r="C490" s="101" t="s">
        <v>152</v>
      </c>
      <c r="D490" s="101" t="s">
        <v>402</v>
      </c>
      <c r="E490" s="101" t="s">
        <v>17</v>
      </c>
    </row>
    <row r="491" spans="1:5" x14ac:dyDescent="0.3">
      <c r="A491" t="str">
        <f t="shared" si="7"/>
        <v>0412012</v>
      </c>
      <c r="B491" s="101" t="s">
        <v>18</v>
      </c>
      <c r="C491" s="101" t="s">
        <v>152</v>
      </c>
      <c r="D491" s="101" t="s">
        <v>392</v>
      </c>
      <c r="E491" s="101" t="s">
        <v>17</v>
      </c>
    </row>
    <row r="492" spans="1:5" x14ac:dyDescent="0.3">
      <c r="A492" t="str">
        <f t="shared" si="7"/>
        <v>0412013</v>
      </c>
      <c r="B492" s="101" t="s">
        <v>18</v>
      </c>
      <c r="C492" s="101" t="s">
        <v>152</v>
      </c>
      <c r="D492" s="101" t="s">
        <v>403</v>
      </c>
      <c r="E492" s="101" t="s">
        <v>17</v>
      </c>
    </row>
    <row r="493" spans="1:5" x14ac:dyDescent="0.3">
      <c r="A493" t="str">
        <f t="shared" si="7"/>
        <v>0412517</v>
      </c>
      <c r="B493" s="101" t="s">
        <v>18</v>
      </c>
      <c r="C493" s="101" t="s">
        <v>152</v>
      </c>
      <c r="D493" s="101" t="s">
        <v>390</v>
      </c>
      <c r="E493" s="101" t="s">
        <v>17</v>
      </c>
    </row>
    <row r="494" spans="1:5" x14ac:dyDescent="0.3">
      <c r="A494" t="str">
        <f t="shared" si="7"/>
        <v>0412520</v>
      </c>
      <c r="B494" s="101" t="s">
        <v>18</v>
      </c>
      <c r="C494" s="101" t="s">
        <v>152</v>
      </c>
      <c r="D494" s="101" t="s">
        <v>404</v>
      </c>
      <c r="E494" s="101" t="s">
        <v>17</v>
      </c>
    </row>
    <row r="495" spans="1:5" x14ac:dyDescent="0.3">
      <c r="A495" t="str">
        <f t="shared" si="7"/>
        <v>0412521</v>
      </c>
      <c r="B495" s="101" t="s">
        <v>18</v>
      </c>
      <c r="C495" s="101" t="s">
        <v>152</v>
      </c>
      <c r="D495" s="101" t="s">
        <v>384</v>
      </c>
      <c r="E495" s="101" t="s">
        <v>17</v>
      </c>
    </row>
    <row r="496" spans="1:5" x14ac:dyDescent="0.3">
      <c r="A496" t="str">
        <f t="shared" si="7"/>
        <v>0512008</v>
      </c>
      <c r="B496" s="101" t="s">
        <v>313</v>
      </c>
      <c r="C496" s="101" t="s">
        <v>152</v>
      </c>
      <c r="D496" s="101" t="s">
        <v>405</v>
      </c>
      <c r="E496" s="101" t="s">
        <v>17</v>
      </c>
    </row>
    <row r="497" spans="1:5" x14ac:dyDescent="0.3">
      <c r="A497" t="str">
        <f t="shared" si="7"/>
        <v>0512009</v>
      </c>
      <c r="B497" s="101" t="s">
        <v>313</v>
      </c>
      <c r="C497" s="101" t="s">
        <v>152</v>
      </c>
      <c r="D497" s="101" t="s">
        <v>406</v>
      </c>
      <c r="E497" s="101" t="s">
        <v>17</v>
      </c>
    </row>
    <row r="498" spans="1:5" x14ac:dyDescent="0.3">
      <c r="A498" t="str">
        <f t="shared" si="7"/>
        <v>0512513</v>
      </c>
      <c r="B498" s="101" t="s">
        <v>313</v>
      </c>
      <c r="C498" s="101" t="s">
        <v>152</v>
      </c>
      <c r="D498" s="101" t="s">
        <v>387</v>
      </c>
      <c r="E498" s="101" t="s">
        <v>17</v>
      </c>
    </row>
    <row r="499" spans="1:5" x14ac:dyDescent="0.3">
      <c r="A499" t="str">
        <f t="shared" si="7"/>
        <v>0512514</v>
      </c>
      <c r="B499" s="101" t="s">
        <v>313</v>
      </c>
      <c r="C499" s="101" t="s">
        <v>152</v>
      </c>
      <c r="D499" s="101" t="s">
        <v>388</v>
      </c>
      <c r="E499" s="101" t="s">
        <v>17</v>
      </c>
    </row>
    <row r="500" spans="1:5" x14ac:dyDescent="0.3">
      <c r="A500" t="str">
        <f t="shared" si="7"/>
        <v>0512801</v>
      </c>
      <c r="B500" s="101" t="s">
        <v>313</v>
      </c>
      <c r="C500" s="101" t="s">
        <v>152</v>
      </c>
      <c r="D500" s="101" t="s">
        <v>144</v>
      </c>
      <c r="E500" s="101" t="s">
        <v>139</v>
      </c>
    </row>
    <row r="501" spans="1:5" x14ac:dyDescent="0.3">
      <c r="A501" t="str">
        <f t="shared" si="7"/>
        <v>0512802</v>
      </c>
      <c r="B501" s="101" t="s">
        <v>313</v>
      </c>
      <c r="C501" s="101" t="s">
        <v>152</v>
      </c>
      <c r="D501" s="101" t="s">
        <v>145</v>
      </c>
      <c r="E501" s="101" t="s">
        <v>139</v>
      </c>
    </row>
    <row r="502" spans="1:5" x14ac:dyDescent="0.3">
      <c r="A502" t="str">
        <f t="shared" si="7"/>
        <v>0512500</v>
      </c>
      <c r="B502" s="101" t="s">
        <v>313</v>
      </c>
      <c r="C502" s="101" t="s">
        <v>152</v>
      </c>
      <c r="D502" s="101" t="s">
        <v>146</v>
      </c>
      <c r="E502" s="101" t="s">
        <v>139</v>
      </c>
    </row>
    <row r="503" spans="1:5" x14ac:dyDescent="0.3">
      <c r="A503" t="str">
        <f t="shared" si="7"/>
        <v>0512501</v>
      </c>
      <c r="B503" s="101" t="s">
        <v>313</v>
      </c>
      <c r="C503" s="101" t="s">
        <v>152</v>
      </c>
      <c r="D503" s="101" t="s">
        <v>147</v>
      </c>
      <c r="E503" s="101" t="s">
        <v>139</v>
      </c>
    </row>
    <row r="504" spans="1:5" x14ac:dyDescent="0.3">
      <c r="A504" t="str">
        <f t="shared" si="7"/>
        <v>0512807</v>
      </c>
      <c r="B504" s="101" t="s">
        <v>313</v>
      </c>
      <c r="C504" s="101" t="s">
        <v>152</v>
      </c>
      <c r="D504" s="101" t="s">
        <v>185</v>
      </c>
      <c r="E504" s="101" t="s">
        <v>17</v>
      </c>
    </row>
    <row r="505" spans="1:5" x14ac:dyDescent="0.3">
      <c r="A505" t="str">
        <f t="shared" si="7"/>
        <v>0512808</v>
      </c>
      <c r="B505" s="101" t="s">
        <v>313</v>
      </c>
      <c r="C505" s="101" t="s">
        <v>152</v>
      </c>
      <c r="D505" s="101" t="s">
        <v>186</v>
      </c>
      <c r="E505" s="101" t="s">
        <v>17</v>
      </c>
    </row>
    <row r="506" spans="1:5" x14ac:dyDescent="0.3">
      <c r="A506" t="str">
        <f t="shared" si="7"/>
        <v>0512809</v>
      </c>
      <c r="B506" s="101" t="s">
        <v>313</v>
      </c>
      <c r="C506" s="101" t="s">
        <v>152</v>
      </c>
      <c r="D506" s="101" t="s">
        <v>187</v>
      </c>
      <c r="E506" s="101" t="s">
        <v>17</v>
      </c>
    </row>
    <row r="507" spans="1:5" x14ac:dyDescent="0.3">
      <c r="A507" t="str">
        <f t="shared" si="7"/>
        <v>0512810</v>
      </c>
      <c r="B507" s="101" t="s">
        <v>313</v>
      </c>
      <c r="C507" s="101" t="s">
        <v>152</v>
      </c>
      <c r="D507" s="101" t="s">
        <v>188</v>
      </c>
      <c r="E507" s="101" t="s">
        <v>17</v>
      </c>
    </row>
    <row r="508" spans="1:5" x14ac:dyDescent="0.3">
      <c r="A508" t="str">
        <f t="shared" si="7"/>
        <v>0512511</v>
      </c>
      <c r="B508" s="101" t="s">
        <v>313</v>
      </c>
      <c r="C508" s="101" t="s">
        <v>152</v>
      </c>
      <c r="D508" s="101" t="s">
        <v>386</v>
      </c>
      <c r="E508" s="101" t="s">
        <v>17</v>
      </c>
    </row>
    <row r="509" spans="1:5" x14ac:dyDescent="0.3">
      <c r="A509" t="str">
        <f t="shared" si="7"/>
        <v>0512512</v>
      </c>
      <c r="B509" s="101" t="s">
        <v>313</v>
      </c>
      <c r="C509" s="101" t="s">
        <v>152</v>
      </c>
      <c r="D509" s="101" t="s">
        <v>398</v>
      </c>
      <c r="E509" s="101" t="s">
        <v>17</v>
      </c>
    </row>
    <row r="510" spans="1:5" x14ac:dyDescent="0.3">
      <c r="A510" t="str">
        <f t="shared" si="7"/>
        <v>0612008</v>
      </c>
      <c r="B510" s="101" t="s">
        <v>317</v>
      </c>
      <c r="C510" s="101" t="s">
        <v>152</v>
      </c>
      <c r="D510" s="101" t="s">
        <v>405</v>
      </c>
      <c r="E510" s="101" t="s">
        <v>17</v>
      </c>
    </row>
    <row r="511" spans="1:5" x14ac:dyDescent="0.3">
      <c r="A511" t="str">
        <f t="shared" si="7"/>
        <v>0612009</v>
      </c>
      <c r="B511" s="101" t="s">
        <v>317</v>
      </c>
      <c r="C511" s="101" t="s">
        <v>152</v>
      </c>
      <c r="D511" s="101" t="s">
        <v>406</v>
      </c>
      <c r="E511" s="101" t="s">
        <v>17</v>
      </c>
    </row>
    <row r="512" spans="1:5" x14ac:dyDescent="0.3">
      <c r="A512" t="str">
        <f t="shared" si="7"/>
        <v>0612513</v>
      </c>
      <c r="B512" s="101" t="s">
        <v>317</v>
      </c>
      <c r="C512" s="101" t="s">
        <v>152</v>
      </c>
      <c r="D512" s="101" t="s">
        <v>387</v>
      </c>
      <c r="E512" s="101" t="s">
        <v>17</v>
      </c>
    </row>
    <row r="513" spans="1:5" x14ac:dyDescent="0.3">
      <c r="A513" t="str">
        <f t="shared" si="7"/>
        <v>0612514</v>
      </c>
      <c r="B513" s="101" t="s">
        <v>317</v>
      </c>
      <c r="C513" s="101" t="s">
        <v>152</v>
      </c>
      <c r="D513" s="101" t="s">
        <v>388</v>
      </c>
      <c r="E513" s="101" t="s">
        <v>17</v>
      </c>
    </row>
    <row r="514" spans="1:5" x14ac:dyDescent="0.3">
      <c r="A514" t="str">
        <f t="shared" si="7"/>
        <v>0612801</v>
      </c>
      <c r="B514" s="101" t="s">
        <v>317</v>
      </c>
      <c r="C514" s="101" t="s">
        <v>152</v>
      </c>
      <c r="D514" s="101" t="s">
        <v>144</v>
      </c>
      <c r="E514" s="101" t="s">
        <v>139</v>
      </c>
    </row>
    <row r="515" spans="1:5" x14ac:dyDescent="0.3">
      <c r="A515" t="str">
        <f t="shared" ref="A515:A578" si="8">CONCATENATE(B515,C515,D515,F515)</f>
        <v>0612802</v>
      </c>
      <c r="B515" s="101" t="s">
        <v>317</v>
      </c>
      <c r="C515" s="101" t="s">
        <v>152</v>
      </c>
      <c r="D515" s="101" t="s">
        <v>145</v>
      </c>
      <c r="E515" s="101" t="s">
        <v>139</v>
      </c>
    </row>
    <row r="516" spans="1:5" x14ac:dyDescent="0.3">
      <c r="A516" t="str">
        <f t="shared" si="8"/>
        <v>0612500</v>
      </c>
      <c r="B516" s="101" t="s">
        <v>317</v>
      </c>
      <c r="C516" s="101" t="s">
        <v>152</v>
      </c>
      <c r="D516" s="101" t="s">
        <v>146</v>
      </c>
      <c r="E516" s="101" t="s">
        <v>139</v>
      </c>
    </row>
    <row r="517" spans="1:5" x14ac:dyDescent="0.3">
      <c r="A517" t="str">
        <f t="shared" si="8"/>
        <v>0612501</v>
      </c>
      <c r="B517" s="101" t="s">
        <v>317</v>
      </c>
      <c r="C517" s="101" t="s">
        <v>152</v>
      </c>
      <c r="D517" s="101" t="s">
        <v>147</v>
      </c>
      <c r="E517" s="101" t="s">
        <v>139</v>
      </c>
    </row>
    <row r="518" spans="1:5" x14ac:dyDescent="0.3">
      <c r="A518" t="str">
        <f t="shared" si="8"/>
        <v>0612807</v>
      </c>
      <c r="B518" s="101" t="s">
        <v>317</v>
      </c>
      <c r="C518" s="101" t="s">
        <v>152</v>
      </c>
      <c r="D518" s="101" t="s">
        <v>185</v>
      </c>
      <c r="E518" s="101" t="s">
        <v>17</v>
      </c>
    </row>
    <row r="519" spans="1:5" x14ac:dyDescent="0.3">
      <c r="A519" t="str">
        <f t="shared" si="8"/>
        <v>0612808</v>
      </c>
      <c r="B519" s="101" t="s">
        <v>317</v>
      </c>
      <c r="C519" s="101" t="s">
        <v>152</v>
      </c>
      <c r="D519" s="101" t="s">
        <v>186</v>
      </c>
      <c r="E519" s="101" t="s">
        <v>17</v>
      </c>
    </row>
    <row r="520" spans="1:5" x14ac:dyDescent="0.3">
      <c r="A520" t="str">
        <f t="shared" si="8"/>
        <v>0612809</v>
      </c>
      <c r="B520" s="101" t="s">
        <v>317</v>
      </c>
      <c r="C520" s="101" t="s">
        <v>152</v>
      </c>
      <c r="D520" s="101" t="s">
        <v>187</v>
      </c>
      <c r="E520" s="101" t="s">
        <v>17</v>
      </c>
    </row>
    <row r="521" spans="1:5" x14ac:dyDescent="0.3">
      <c r="A521" t="str">
        <f t="shared" si="8"/>
        <v>0612810</v>
      </c>
      <c r="B521" s="101" t="s">
        <v>317</v>
      </c>
      <c r="C521" s="101" t="s">
        <v>152</v>
      </c>
      <c r="D521" s="101" t="s">
        <v>188</v>
      </c>
      <c r="E521" s="101" t="s">
        <v>17</v>
      </c>
    </row>
    <row r="522" spans="1:5" x14ac:dyDescent="0.3">
      <c r="A522" t="str">
        <f t="shared" si="8"/>
        <v>0612511</v>
      </c>
      <c r="B522" s="101" t="s">
        <v>317</v>
      </c>
      <c r="C522" s="101" t="s">
        <v>152</v>
      </c>
      <c r="D522" s="101" t="s">
        <v>386</v>
      </c>
      <c r="E522" s="101" t="s">
        <v>17</v>
      </c>
    </row>
    <row r="523" spans="1:5" x14ac:dyDescent="0.3">
      <c r="A523" t="str">
        <f t="shared" si="8"/>
        <v>0612512</v>
      </c>
      <c r="B523" s="101" t="s">
        <v>317</v>
      </c>
      <c r="C523" s="101" t="s">
        <v>152</v>
      </c>
      <c r="D523" s="101" t="s">
        <v>398</v>
      </c>
      <c r="E523" s="101" t="s">
        <v>17</v>
      </c>
    </row>
    <row r="524" spans="1:5" x14ac:dyDescent="0.3">
      <c r="A524" t="str">
        <f t="shared" si="8"/>
        <v>0712008</v>
      </c>
      <c r="B524" s="101" t="s">
        <v>319</v>
      </c>
      <c r="C524" s="101" t="s">
        <v>152</v>
      </c>
      <c r="D524" s="101" t="s">
        <v>405</v>
      </c>
      <c r="E524" s="101" t="s">
        <v>17</v>
      </c>
    </row>
    <row r="525" spans="1:5" x14ac:dyDescent="0.3">
      <c r="A525" t="str">
        <f t="shared" si="8"/>
        <v>0712009</v>
      </c>
      <c r="B525" s="101" t="s">
        <v>319</v>
      </c>
      <c r="C525" s="101" t="s">
        <v>152</v>
      </c>
      <c r="D525" s="101" t="s">
        <v>406</v>
      </c>
      <c r="E525" s="101" t="s">
        <v>17</v>
      </c>
    </row>
    <row r="526" spans="1:5" x14ac:dyDescent="0.3">
      <c r="A526" t="str">
        <f t="shared" si="8"/>
        <v>0712513</v>
      </c>
      <c r="B526" s="101" t="s">
        <v>319</v>
      </c>
      <c r="C526" s="101" t="s">
        <v>152</v>
      </c>
      <c r="D526" s="101" t="s">
        <v>387</v>
      </c>
      <c r="E526" s="101" t="s">
        <v>17</v>
      </c>
    </row>
    <row r="527" spans="1:5" x14ac:dyDescent="0.3">
      <c r="A527" t="str">
        <f t="shared" si="8"/>
        <v>0712514</v>
      </c>
      <c r="B527" s="101" t="s">
        <v>319</v>
      </c>
      <c r="C527" s="101" t="s">
        <v>152</v>
      </c>
      <c r="D527" s="101" t="s">
        <v>388</v>
      </c>
      <c r="E527" s="101" t="s">
        <v>17</v>
      </c>
    </row>
    <row r="528" spans="1:5" x14ac:dyDescent="0.3">
      <c r="A528" t="str">
        <f t="shared" si="8"/>
        <v>0712801</v>
      </c>
      <c r="B528" s="101" t="s">
        <v>319</v>
      </c>
      <c r="C528" s="101" t="s">
        <v>152</v>
      </c>
      <c r="D528" s="101" t="s">
        <v>144</v>
      </c>
      <c r="E528" s="101" t="s">
        <v>139</v>
      </c>
    </row>
    <row r="529" spans="1:5" x14ac:dyDescent="0.3">
      <c r="A529" t="str">
        <f t="shared" si="8"/>
        <v>0712802</v>
      </c>
      <c r="B529" s="101" t="s">
        <v>319</v>
      </c>
      <c r="C529" s="101" t="s">
        <v>152</v>
      </c>
      <c r="D529" s="101" t="s">
        <v>145</v>
      </c>
      <c r="E529" s="101" t="s">
        <v>139</v>
      </c>
    </row>
    <row r="530" spans="1:5" x14ac:dyDescent="0.3">
      <c r="A530" t="str">
        <f t="shared" si="8"/>
        <v>0712500</v>
      </c>
      <c r="B530" s="101" t="s">
        <v>319</v>
      </c>
      <c r="C530" s="101" t="s">
        <v>152</v>
      </c>
      <c r="D530" s="101" t="s">
        <v>146</v>
      </c>
      <c r="E530" s="101" t="s">
        <v>139</v>
      </c>
    </row>
    <row r="531" spans="1:5" x14ac:dyDescent="0.3">
      <c r="A531" t="str">
        <f t="shared" si="8"/>
        <v>0712501</v>
      </c>
      <c r="B531" s="101" t="s">
        <v>319</v>
      </c>
      <c r="C531" s="101" t="s">
        <v>152</v>
      </c>
      <c r="D531" s="101" t="s">
        <v>147</v>
      </c>
      <c r="E531" s="101" t="s">
        <v>139</v>
      </c>
    </row>
    <row r="532" spans="1:5" x14ac:dyDescent="0.3">
      <c r="A532" t="str">
        <f t="shared" si="8"/>
        <v>0712807</v>
      </c>
      <c r="B532" s="101" t="s">
        <v>319</v>
      </c>
      <c r="C532" s="101" t="s">
        <v>152</v>
      </c>
      <c r="D532" s="101" t="s">
        <v>185</v>
      </c>
      <c r="E532" s="101" t="s">
        <v>17</v>
      </c>
    </row>
    <row r="533" spans="1:5" x14ac:dyDescent="0.3">
      <c r="A533" t="str">
        <f t="shared" si="8"/>
        <v>0712808</v>
      </c>
      <c r="B533" s="101" t="s">
        <v>319</v>
      </c>
      <c r="C533" s="101" t="s">
        <v>152</v>
      </c>
      <c r="D533" s="101" t="s">
        <v>186</v>
      </c>
      <c r="E533" s="101" t="s">
        <v>17</v>
      </c>
    </row>
    <row r="534" spans="1:5" x14ac:dyDescent="0.3">
      <c r="A534" t="str">
        <f t="shared" si="8"/>
        <v>0712809</v>
      </c>
      <c r="B534" s="101" t="s">
        <v>319</v>
      </c>
      <c r="C534" s="101" t="s">
        <v>152</v>
      </c>
      <c r="D534" s="101" t="s">
        <v>187</v>
      </c>
      <c r="E534" s="101" t="s">
        <v>17</v>
      </c>
    </row>
    <row r="535" spans="1:5" x14ac:dyDescent="0.3">
      <c r="A535" t="str">
        <f t="shared" si="8"/>
        <v>0712810</v>
      </c>
      <c r="B535" s="101" t="s">
        <v>319</v>
      </c>
      <c r="C535" s="101" t="s">
        <v>152</v>
      </c>
      <c r="D535" s="101" t="s">
        <v>188</v>
      </c>
      <c r="E535" s="101" t="s">
        <v>17</v>
      </c>
    </row>
    <row r="536" spans="1:5" x14ac:dyDescent="0.3">
      <c r="A536" t="str">
        <f t="shared" si="8"/>
        <v>0712511</v>
      </c>
      <c r="B536" s="101" t="s">
        <v>319</v>
      </c>
      <c r="C536" s="101" t="s">
        <v>152</v>
      </c>
      <c r="D536" s="101" t="s">
        <v>386</v>
      </c>
      <c r="E536" s="101" t="s">
        <v>17</v>
      </c>
    </row>
    <row r="537" spans="1:5" x14ac:dyDescent="0.3">
      <c r="A537" t="str">
        <f t="shared" si="8"/>
        <v>0712512</v>
      </c>
      <c r="B537" s="101" t="s">
        <v>319</v>
      </c>
      <c r="C537" s="101" t="s">
        <v>152</v>
      </c>
      <c r="D537" s="101" t="s">
        <v>398</v>
      </c>
      <c r="E537" s="101" t="s">
        <v>17</v>
      </c>
    </row>
    <row r="538" spans="1:5" x14ac:dyDescent="0.3">
      <c r="A538" t="str">
        <f t="shared" si="8"/>
        <v>0812008</v>
      </c>
      <c r="B538" s="101" t="s">
        <v>320</v>
      </c>
      <c r="C538" s="101" t="s">
        <v>152</v>
      </c>
      <c r="D538" s="101" t="s">
        <v>405</v>
      </c>
      <c r="E538" s="101" t="s">
        <v>17</v>
      </c>
    </row>
    <row r="539" spans="1:5" x14ac:dyDescent="0.3">
      <c r="A539" t="str">
        <f t="shared" si="8"/>
        <v>0812009</v>
      </c>
      <c r="B539" s="101" t="s">
        <v>320</v>
      </c>
      <c r="C539" s="101" t="s">
        <v>152</v>
      </c>
      <c r="D539" s="101" t="s">
        <v>406</v>
      </c>
      <c r="E539" s="101" t="s">
        <v>17</v>
      </c>
    </row>
    <row r="540" spans="1:5" x14ac:dyDescent="0.3">
      <c r="A540" t="str">
        <f t="shared" si="8"/>
        <v>0812513</v>
      </c>
      <c r="B540" s="101" t="s">
        <v>320</v>
      </c>
      <c r="C540" s="101" t="s">
        <v>152</v>
      </c>
      <c r="D540" s="101" t="s">
        <v>387</v>
      </c>
      <c r="E540" s="101" t="s">
        <v>17</v>
      </c>
    </row>
    <row r="541" spans="1:5" x14ac:dyDescent="0.3">
      <c r="A541" t="str">
        <f t="shared" si="8"/>
        <v>0812514</v>
      </c>
      <c r="B541" s="101" t="s">
        <v>320</v>
      </c>
      <c r="C541" s="101" t="s">
        <v>152</v>
      </c>
      <c r="D541" s="101" t="s">
        <v>388</v>
      </c>
      <c r="E541" s="101" t="s">
        <v>17</v>
      </c>
    </row>
    <row r="542" spans="1:5" x14ac:dyDescent="0.3">
      <c r="A542" t="str">
        <f t="shared" si="8"/>
        <v>0812801</v>
      </c>
      <c r="B542" s="101" t="s">
        <v>320</v>
      </c>
      <c r="C542" s="101" t="s">
        <v>152</v>
      </c>
      <c r="D542" s="101" t="s">
        <v>144</v>
      </c>
      <c r="E542" s="101" t="s">
        <v>139</v>
      </c>
    </row>
    <row r="543" spans="1:5" x14ac:dyDescent="0.3">
      <c r="A543" t="str">
        <f t="shared" si="8"/>
        <v>0812802</v>
      </c>
      <c r="B543" s="101" t="s">
        <v>320</v>
      </c>
      <c r="C543" s="101" t="s">
        <v>152</v>
      </c>
      <c r="D543" s="101" t="s">
        <v>145</v>
      </c>
      <c r="E543" s="101" t="s">
        <v>139</v>
      </c>
    </row>
    <row r="544" spans="1:5" x14ac:dyDescent="0.3">
      <c r="A544" t="str">
        <f t="shared" si="8"/>
        <v>0812500</v>
      </c>
      <c r="B544" s="101" t="s">
        <v>320</v>
      </c>
      <c r="C544" s="101" t="s">
        <v>152</v>
      </c>
      <c r="D544" s="101" t="s">
        <v>146</v>
      </c>
      <c r="E544" s="101" t="s">
        <v>139</v>
      </c>
    </row>
    <row r="545" spans="1:5" x14ac:dyDescent="0.3">
      <c r="A545" t="str">
        <f t="shared" si="8"/>
        <v>0812501</v>
      </c>
      <c r="B545" s="101" t="s">
        <v>320</v>
      </c>
      <c r="C545" s="101" t="s">
        <v>152</v>
      </c>
      <c r="D545" s="101" t="s">
        <v>147</v>
      </c>
      <c r="E545" s="101" t="s">
        <v>139</v>
      </c>
    </row>
    <row r="546" spans="1:5" x14ac:dyDescent="0.3">
      <c r="A546" t="str">
        <f t="shared" si="8"/>
        <v>0812807</v>
      </c>
      <c r="B546" s="101" t="s">
        <v>320</v>
      </c>
      <c r="C546" s="101" t="s">
        <v>152</v>
      </c>
      <c r="D546" s="101" t="s">
        <v>185</v>
      </c>
      <c r="E546" s="101" t="s">
        <v>17</v>
      </c>
    </row>
    <row r="547" spans="1:5" x14ac:dyDescent="0.3">
      <c r="A547" t="str">
        <f t="shared" si="8"/>
        <v>0812808</v>
      </c>
      <c r="B547" s="101" t="s">
        <v>320</v>
      </c>
      <c r="C547" s="101" t="s">
        <v>152</v>
      </c>
      <c r="D547" s="101" t="s">
        <v>186</v>
      </c>
      <c r="E547" s="101" t="s">
        <v>17</v>
      </c>
    </row>
    <row r="548" spans="1:5" x14ac:dyDescent="0.3">
      <c r="A548" t="str">
        <f t="shared" si="8"/>
        <v>0812809</v>
      </c>
      <c r="B548" s="101" t="s">
        <v>320</v>
      </c>
      <c r="C548" s="101" t="s">
        <v>152</v>
      </c>
      <c r="D548" s="101" t="s">
        <v>187</v>
      </c>
      <c r="E548" s="101" t="s">
        <v>17</v>
      </c>
    </row>
    <row r="549" spans="1:5" x14ac:dyDescent="0.3">
      <c r="A549" t="str">
        <f t="shared" si="8"/>
        <v>0812810</v>
      </c>
      <c r="B549" s="101" t="s">
        <v>320</v>
      </c>
      <c r="C549" s="101" t="s">
        <v>152</v>
      </c>
      <c r="D549" s="101" t="s">
        <v>188</v>
      </c>
      <c r="E549" s="101" t="s">
        <v>17</v>
      </c>
    </row>
    <row r="550" spans="1:5" x14ac:dyDescent="0.3">
      <c r="A550" t="str">
        <f t="shared" si="8"/>
        <v>0812511</v>
      </c>
      <c r="B550" s="101" t="s">
        <v>320</v>
      </c>
      <c r="C550" s="101" t="s">
        <v>152</v>
      </c>
      <c r="D550" s="101" t="s">
        <v>386</v>
      </c>
      <c r="E550" s="101" t="s">
        <v>17</v>
      </c>
    </row>
    <row r="551" spans="1:5" x14ac:dyDescent="0.3">
      <c r="A551" t="str">
        <f t="shared" si="8"/>
        <v>0812512</v>
      </c>
      <c r="B551" s="101" t="s">
        <v>320</v>
      </c>
      <c r="C551" s="101" t="s">
        <v>152</v>
      </c>
      <c r="D551" s="101" t="s">
        <v>398</v>
      </c>
      <c r="E551" s="101" t="s">
        <v>17</v>
      </c>
    </row>
    <row r="552" spans="1:5" x14ac:dyDescent="0.3">
      <c r="A552" t="str">
        <f t="shared" si="8"/>
        <v>0313801</v>
      </c>
      <c r="B552" s="101" t="s">
        <v>16</v>
      </c>
      <c r="C552" s="101" t="s">
        <v>154</v>
      </c>
      <c r="D552" s="101" t="s">
        <v>144</v>
      </c>
      <c r="E552" s="101" t="s">
        <v>139</v>
      </c>
    </row>
    <row r="553" spans="1:5" x14ac:dyDescent="0.3">
      <c r="A553" t="str">
        <f t="shared" si="8"/>
        <v>0313802</v>
      </c>
      <c r="B553" s="101" t="s">
        <v>16</v>
      </c>
      <c r="C553" s="101" t="s">
        <v>154</v>
      </c>
      <c r="D553" s="101" t="s">
        <v>145</v>
      </c>
      <c r="E553" s="101" t="s">
        <v>139</v>
      </c>
    </row>
    <row r="554" spans="1:5" x14ac:dyDescent="0.3">
      <c r="A554" t="str">
        <f t="shared" si="8"/>
        <v>0313500</v>
      </c>
      <c r="B554" s="101" t="s">
        <v>16</v>
      </c>
      <c r="C554" s="101" t="s">
        <v>154</v>
      </c>
      <c r="D554" s="101" t="s">
        <v>146</v>
      </c>
      <c r="E554" s="101" t="s">
        <v>139</v>
      </c>
    </row>
    <row r="555" spans="1:5" x14ac:dyDescent="0.3">
      <c r="A555" t="str">
        <f t="shared" si="8"/>
        <v>0313501</v>
      </c>
      <c r="B555" s="101" t="s">
        <v>16</v>
      </c>
      <c r="C555" s="101" t="s">
        <v>154</v>
      </c>
      <c r="D555" s="101" t="s">
        <v>147</v>
      </c>
      <c r="E555" s="101" t="s">
        <v>139</v>
      </c>
    </row>
    <row r="556" spans="1:5" x14ac:dyDescent="0.3">
      <c r="A556" t="str">
        <f t="shared" si="8"/>
        <v>0313009</v>
      </c>
      <c r="B556" s="101" t="s">
        <v>16</v>
      </c>
      <c r="C556" s="101" t="s">
        <v>154</v>
      </c>
      <c r="D556" s="101" t="s">
        <v>406</v>
      </c>
      <c r="E556" s="101" t="s">
        <v>17</v>
      </c>
    </row>
    <row r="557" spans="1:5" x14ac:dyDescent="0.3">
      <c r="A557" t="str">
        <f t="shared" si="8"/>
        <v>0313011</v>
      </c>
      <c r="B557" s="101" t="s">
        <v>16</v>
      </c>
      <c r="C557" s="101" t="s">
        <v>154</v>
      </c>
      <c r="D557" s="101" t="s">
        <v>402</v>
      </c>
      <c r="E557" s="101" t="s">
        <v>17</v>
      </c>
    </row>
    <row r="558" spans="1:5" x14ac:dyDescent="0.3">
      <c r="A558" t="str">
        <f t="shared" si="8"/>
        <v>0313811</v>
      </c>
      <c r="B558" s="101" t="s">
        <v>16</v>
      </c>
      <c r="C558" s="101" t="s">
        <v>154</v>
      </c>
      <c r="D558" s="101" t="s">
        <v>189</v>
      </c>
      <c r="E558" s="101" t="s">
        <v>17</v>
      </c>
    </row>
    <row r="559" spans="1:5" x14ac:dyDescent="0.3">
      <c r="A559" t="str">
        <f t="shared" si="8"/>
        <v>0313812</v>
      </c>
      <c r="B559" s="101" t="s">
        <v>16</v>
      </c>
      <c r="C559" s="101" t="s">
        <v>154</v>
      </c>
      <c r="D559" s="101" t="s">
        <v>190</v>
      </c>
      <c r="E559" s="101" t="s">
        <v>17</v>
      </c>
    </row>
    <row r="560" spans="1:5" x14ac:dyDescent="0.3">
      <c r="A560" t="str">
        <f t="shared" si="8"/>
        <v>0313043</v>
      </c>
      <c r="B560" s="101" t="s">
        <v>16</v>
      </c>
      <c r="C560" s="101" t="s">
        <v>154</v>
      </c>
      <c r="D560" s="101" t="s">
        <v>419</v>
      </c>
      <c r="E560" s="101" t="s">
        <v>140</v>
      </c>
    </row>
    <row r="561" spans="1:5" x14ac:dyDescent="0.3">
      <c r="A561" t="str">
        <f t="shared" si="8"/>
        <v>0313044</v>
      </c>
      <c r="B561" s="101" t="s">
        <v>16</v>
      </c>
      <c r="C561" s="101" t="s">
        <v>154</v>
      </c>
      <c r="D561" s="101" t="s">
        <v>420</v>
      </c>
      <c r="E561" s="101" t="s">
        <v>140</v>
      </c>
    </row>
    <row r="562" spans="1:5" x14ac:dyDescent="0.3">
      <c r="A562" t="str">
        <f t="shared" si="8"/>
        <v>0313524</v>
      </c>
      <c r="B562" s="101" t="s">
        <v>16</v>
      </c>
      <c r="C562" s="101" t="s">
        <v>154</v>
      </c>
      <c r="D562" s="101" t="s">
        <v>351</v>
      </c>
      <c r="E562" s="101" t="s">
        <v>17</v>
      </c>
    </row>
    <row r="563" spans="1:5" x14ac:dyDescent="0.3">
      <c r="A563" t="str">
        <f t="shared" si="8"/>
        <v>0313526</v>
      </c>
      <c r="B563" s="101" t="s">
        <v>16</v>
      </c>
      <c r="C563" s="101" t="s">
        <v>154</v>
      </c>
      <c r="D563" s="101" t="s">
        <v>379</v>
      </c>
      <c r="E563" s="101" t="s">
        <v>17</v>
      </c>
    </row>
    <row r="564" spans="1:5" x14ac:dyDescent="0.3">
      <c r="A564" t="str">
        <f t="shared" si="8"/>
        <v>0313516</v>
      </c>
      <c r="B564" s="101" t="s">
        <v>16</v>
      </c>
      <c r="C564" s="101" t="s">
        <v>154</v>
      </c>
      <c r="D564" s="101" t="s">
        <v>389</v>
      </c>
      <c r="E564" s="101" t="s">
        <v>17</v>
      </c>
    </row>
    <row r="565" spans="1:5" x14ac:dyDescent="0.3">
      <c r="A565" t="str">
        <f t="shared" si="8"/>
        <v>0313518</v>
      </c>
      <c r="B565" s="101" t="s">
        <v>16</v>
      </c>
      <c r="C565" s="101" t="s">
        <v>154</v>
      </c>
      <c r="D565" s="101" t="s">
        <v>382</v>
      </c>
      <c r="E565" s="101" t="s">
        <v>17</v>
      </c>
    </row>
    <row r="566" spans="1:5" x14ac:dyDescent="0.3">
      <c r="A566" t="str">
        <f t="shared" si="8"/>
        <v>0313528</v>
      </c>
      <c r="B566" s="101" t="s">
        <v>16</v>
      </c>
      <c r="C566" s="101" t="s">
        <v>154</v>
      </c>
      <c r="D566" s="101" t="s">
        <v>381</v>
      </c>
      <c r="E566" s="101" t="s">
        <v>17</v>
      </c>
    </row>
    <row r="567" spans="1:5" x14ac:dyDescent="0.3">
      <c r="A567" t="str">
        <f t="shared" si="8"/>
        <v>0313530</v>
      </c>
      <c r="B567" s="101" t="s">
        <v>16</v>
      </c>
      <c r="C567" s="101" t="s">
        <v>154</v>
      </c>
      <c r="D567" s="101" t="s">
        <v>377</v>
      </c>
      <c r="E567" s="101" t="s">
        <v>17</v>
      </c>
    </row>
    <row r="568" spans="1:5" x14ac:dyDescent="0.3">
      <c r="A568" t="str">
        <f t="shared" si="8"/>
        <v>0313512</v>
      </c>
      <c r="B568" s="101" t="s">
        <v>16</v>
      </c>
      <c r="C568" s="101" t="s">
        <v>154</v>
      </c>
      <c r="D568" s="101" t="s">
        <v>398</v>
      </c>
      <c r="E568" s="101" t="s">
        <v>17</v>
      </c>
    </row>
    <row r="569" spans="1:5" x14ac:dyDescent="0.3">
      <c r="A569" t="str">
        <f t="shared" si="8"/>
        <v>0313514</v>
      </c>
      <c r="B569" s="101" t="s">
        <v>16</v>
      </c>
      <c r="C569" s="101" t="s">
        <v>154</v>
      </c>
      <c r="D569" s="101" t="s">
        <v>388</v>
      </c>
      <c r="E569" s="101" t="s">
        <v>17</v>
      </c>
    </row>
    <row r="570" spans="1:5" x14ac:dyDescent="0.3">
      <c r="A570" t="str">
        <f t="shared" si="8"/>
        <v>0313520</v>
      </c>
      <c r="B570" s="101" t="s">
        <v>16</v>
      </c>
      <c r="C570" s="101" t="s">
        <v>154</v>
      </c>
      <c r="D570" s="101" t="s">
        <v>404</v>
      </c>
      <c r="E570" s="101" t="s">
        <v>17</v>
      </c>
    </row>
    <row r="571" spans="1:5" x14ac:dyDescent="0.3">
      <c r="A571" t="str">
        <f t="shared" si="8"/>
        <v>0313522</v>
      </c>
      <c r="B571" s="101" t="s">
        <v>16</v>
      </c>
      <c r="C571" s="101" t="s">
        <v>154</v>
      </c>
      <c r="D571" s="101" t="s">
        <v>345</v>
      </c>
      <c r="E571" s="101" t="s">
        <v>17</v>
      </c>
    </row>
    <row r="572" spans="1:5" x14ac:dyDescent="0.3">
      <c r="A572" t="str">
        <f t="shared" si="8"/>
        <v>0413801</v>
      </c>
      <c r="B572" s="101" t="s">
        <v>18</v>
      </c>
      <c r="C572" s="101" t="s">
        <v>154</v>
      </c>
      <c r="D572" s="101" t="s">
        <v>144</v>
      </c>
      <c r="E572" s="101" t="s">
        <v>139</v>
      </c>
    </row>
    <row r="573" spans="1:5" x14ac:dyDescent="0.3">
      <c r="A573" t="str">
        <f t="shared" si="8"/>
        <v>0413802</v>
      </c>
      <c r="B573" s="101" t="s">
        <v>18</v>
      </c>
      <c r="C573" s="101" t="s">
        <v>154</v>
      </c>
      <c r="D573" s="101" t="s">
        <v>145</v>
      </c>
      <c r="E573" s="101" t="s">
        <v>139</v>
      </c>
    </row>
    <row r="574" spans="1:5" x14ac:dyDescent="0.3">
      <c r="A574" t="str">
        <f t="shared" si="8"/>
        <v>0413500</v>
      </c>
      <c r="B574" s="101" t="s">
        <v>18</v>
      </c>
      <c r="C574" s="101" t="s">
        <v>154</v>
      </c>
      <c r="D574" s="101" t="s">
        <v>146</v>
      </c>
      <c r="E574" s="101" t="s">
        <v>139</v>
      </c>
    </row>
    <row r="575" spans="1:5" x14ac:dyDescent="0.3">
      <c r="A575" t="str">
        <f t="shared" si="8"/>
        <v>0413501</v>
      </c>
      <c r="B575" s="101" t="s">
        <v>18</v>
      </c>
      <c r="C575" s="101" t="s">
        <v>154</v>
      </c>
      <c r="D575" s="101" t="s">
        <v>147</v>
      </c>
      <c r="E575" s="101" t="s">
        <v>139</v>
      </c>
    </row>
    <row r="576" spans="1:5" x14ac:dyDescent="0.3">
      <c r="A576" t="str">
        <f t="shared" si="8"/>
        <v>0413009</v>
      </c>
      <c r="B576" s="101" t="s">
        <v>18</v>
      </c>
      <c r="C576" s="101" t="s">
        <v>154</v>
      </c>
      <c r="D576" s="101" t="s">
        <v>406</v>
      </c>
      <c r="E576" s="101" t="s">
        <v>17</v>
      </c>
    </row>
    <row r="577" spans="1:5" x14ac:dyDescent="0.3">
      <c r="A577" t="str">
        <f t="shared" si="8"/>
        <v>0413011</v>
      </c>
      <c r="B577" s="101" t="s">
        <v>18</v>
      </c>
      <c r="C577" s="101" t="s">
        <v>154</v>
      </c>
      <c r="D577" s="101" t="s">
        <v>402</v>
      </c>
      <c r="E577" s="101" t="s">
        <v>17</v>
      </c>
    </row>
    <row r="578" spans="1:5" x14ac:dyDescent="0.3">
      <c r="A578" t="str">
        <f t="shared" si="8"/>
        <v>0413811</v>
      </c>
      <c r="B578" s="101" t="s">
        <v>18</v>
      </c>
      <c r="C578" s="101" t="s">
        <v>154</v>
      </c>
      <c r="D578" s="101" t="s">
        <v>189</v>
      </c>
      <c r="E578" s="101" t="s">
        <v>17</v>
      </c>
    </row>
    <row r="579" spans="1:5" x14ac:dyDescent="0.3">
      <c r="A579" t="str">
        <f t="shared" ref="A579:A642" si="9">CONCATENATE(B579,C579,D579,F579)</f>
        <v>0413812</v>
      </c>
      <c r="B579" s="101" t="s">
        <v>18</v>
      </c>
      <c r="C579" s="101" t="s">
        <v>154</v>
      </c>
      <c r="D579" s="101" t="s">
        <v>190</v>
      </c>
      <c r="E579" s="101" t="s">
        <v>17</v>
      </c>
    </row>
    <row r="580" spans="1:5" x14ac:dyDescent="0.3">
      <c r="A580" t="str">
        <f t="shared" si="9"/>
        <v>0413043</v>
      </c>
      <c r="B580" s="101" t="s">
        <v>18</v>
      </c>
      <c r="C580" s="101" t="s">
        <v>154</v>
      </c>
      <c r="D580" s="101" t="s">
        <v>419</v>
      </c>
      <c r="E580" s="101" t="s">
        <v>140</v>
      </c>
    </row>
    <row r="581" spans="1:5" x14ac:dyDescent="0.3">
      <c r="A581" t="str">
        <f t="shared" si="9"/>
        <v>0413044</v>
      </c>
      <c r="B581" s="101" t="s">
        <v>18</v>
      </c>
      <c r="C581" s="101" t="s">
        <v>154</v>
      </c>
      <c r="D581" s="101" t="s">
        <v>420</v>
      </c>
      <c r="E581" s="101" t="s">
        <v>140</v>
      </c>
    </row>
    <row r="582" spans="1:5" x14ac:dyDescent="0.3">
      <c r="A582" t="str">
        <f t="shared" si="9"/>
        <v>0413524</v>
      </c>
      <c r="B582" s="101" t="s">
        <v>18</v>
      </c>
      <c r="C582" s="101" t="s">
        <v>154</v>
      </c>
      <c r="D582" s="101" t="s">
        <v>351</v>
      </c>
      <c r="E582" s="101" t="s">
        <v>17</v>
      </c>
    </row>
    <row r="583" spans="1:5" x14ac:dyDescent="0.3">
      <c r="A583" t="str">
        <f t="shared" si="9"/>
        <v>0413526</v>
      </c>
      <c r="B583" s="101" t="s">
        <v>18</v>
      </c>
      <c r="C583" s="101" t="s">
        <v>154</v>
      </c>
      <c r="D583" s="101" t="s">
        <v>379</v>
      </c>
      <c r="E583" s="101" t="s">
        <v>17</v>
      </c>
    </row>
    <row r="584" spans="1:5" x14ac:dyDescent="0.3">
      <c r="A584" t="str">
        <f t="shared" si="9"/>
        <v>0413516</v>
      </c>
      <c r="B584" s="101" t="s">
        <v>18</v>
      </c>
      <c r="C584" s="101" t="s">
        <v>154</v>
      </c>
      <c r="D584" s="101" t="s">
        <v>389</v>
      </c>
      <c r="E584" s="101" t="s">
        <v>17</v>
      </c>
    </row>
    <row r="585" spans="1:5" x14ac:dyDescent="0.3">
      <c r="A585" t="str">
        <f t="shared" si="9"/>
        <v>0413518</v>
      </c>
      <c r="B585" s="101" t="s">
        <v>18</v>
      </c>
      <c r="C585" s="101" t="s">
        <v>154</v>
      </c>
      <c r="D585" s="101" t="s">
        <v>382</v>
      </c>
      <c r="E585" s="101" t="s">
        <v>17</v>
      </c>
    </row>
    <row r="586" spans="1:5" x14ac:dyDescent="0.3">
      <c r="A586" t="str">
        <f t="shared" si="9"/>
        <v>0413528</v>
      </c>
      <c r="B586" s="101" t="s">
        <v>18</v>
      </c>
      <c r="C586" s="101" t="s">
        <v>154</v>
      </c>
      <c r="D586" s="101" t="s">
        <v>381</v>
      </c>
      <c r="E586" s="101" t="s">
        <v>17</v>
      </c>
    </row>
    <row r="587" spans="1:5" x14ac:dyDescent="0.3">
      <c r="A587" t="str">
        <f t="shared" si="9"/>
        <v>0413530</v>
      </c>
      <c r="B587" s="101" t="s">
        <v>18</v>
      </c>
      <c r="C587" s="101" t="s">
        <v>154</v>
      </c>
      <c r="D587" s="101" t="s">
        <v>377</v>
      </c>
      <c r="E587" s="101" t="s">
        <v>17</v>
      </c>
    </row>
    <row r="588" spans="1:5" x14ac:dyDescent="0.3">
      <c r="A588" t="str">
        <f t="shared" si="9"/>
        <v>0413512</v>
      </c>
      <c r="B588" s="101" t="s">
        <v>18</v>
      </c>
      <c r="C588" s="101" t="s">
        <v>154</v>
      </c>
      <c r="D588" s="101" t="s">
        <v>398</v>
      </c>
      <c r="E588" s="101" t="s">
        <v>17</v>
      </c>
    </row>
    <row r="589" spans="1:5" x14ac:dyDescent="0.3">
      <c r="A589" t="str">
        <f t="shared" si="9"/>
        <v>0413514</v>
      </c>
      <c r="B589" s="101" t="s">
        <v>18</v>
      </c>
      <c r="C589" s="101" t="s">
        <v>154</v>
      </c>
      <c r="D589" s="101" t="s">
        <v>388</v>
      </c>
      <c r="E589" s="101" t="s">
        <v>17</v>
      </c>
    </row>
    <row r="590" spans="1:5" x14ac:dyDescent="0.3">
      <c r="A590" t="str">
        <f t="shared" si="9"/>
        <v>0413520</v>
      </c>
      <c r="B590" s="101" t="s">
        <v>18</v>
      </c>
      <c r="C590" s="101" t="s">
        <v>154</v>
      </c>
      <c r="D590" s="101" t="s">
        <v>404</v>
      </c>
      <c r="E590" s="101" t="s">
        <v>17</v>
      </c>
    </row>
    <row r="591" spans="1:5" x14ac:dyDescent="0.3">
      <c r="A591" t="str">
        <f t="shared" si="9"/>
        <v>0413522</v>
      </c>
      <c r="B591" s="101" t="s">
        <v>18</v>
      </c>
      <c r="C591" s="101" t="s">
        <v>154</v>
      </c>
      <c r="D591" s="101" t="s">
        <v>345</v>
      </c>
      <c r="E591" s="101" t="s">
        <v>17</v>
      </c>
    </row>
    <row r="592" spans="1:5" x14ac:dyDescent="0.3">
      <c r="A592" t="str">
        <f t="shared" si="9"/>
        <v>0513009</v>
      </c>
      <c r="B592" s="101" t="s">
        <v>313</v>
      </c>
      <c r="C592" s="101" t="s">
        <v>154</v>
      </c>
      <c r="D592" s="101" t="s">
        <v>406</v>
      </c>
      <c r="E592" s="101" t="s">
        <v>17</v>
      </c>
    </row>
    <row r="593" spans="1:5" x14ac:dyDescent="0.3">
      <c r="A593" t="str">
        <f t="shared" si="9"/>
        <v>0513011</v>
      </c>
      <c r="B593" s="101" t="s">
        <v>313</v>
      </c>
      <c r="C593" s="101" t="s">
        <v>154</v>
      </c>
      <c r="D593" s="101" t="s">
        <v>402</v>
      </c>
      <c r="E593" s="101" t="s">
        <v>17</v>
      </c>
    </row>
    <row r="594" spans="1:5" x14ac:dyDescent="0.3">
      <c r="A594" t="str">
        <f t="shared" si="9"/>
        <v>0513045</v>
      </c>
      <c r="B594" s="101" t="s">
        <v>313</v>
      </c>
      <c r="C594" s="101" t="s">
        <v>154</v>
      </c>
      <c r="D594" s="101" t="s">
        <v>453</v>
      </c>
      <c r="E594" s="101" t="s">
        <v>140</v>
      </c>
    </row>
    <row r="595" spans="1:5" x14ac:dyDescent="0.3">
      <c r="A595" t="str">
        <f t="shared" si="9"/>
        <v>0513046</v>
      </c>
      <c r="B595" s="101" t="s">
        <v>313</v>
      </c>
      <c r="C595" s="101" t="s">
        <v>154</v>
      </c>
      <c r="D595" s="101" t="s">
        <v>455</v>
      </c>
      <c r="E595" s="101" t="s">
        <v>17</v>
      </c>
    </row>
    <row r="596" spans="1:5" x14ac:dyDescent="0.3">
      <c r="A596" t="str">
        <f t="shared" si="9"/>
        <v>0613009</v>
      </c>
      <c r="B596" s="101" t="s">
        <v>317</v>
      </c>
      <c r="C596" s="101" t="s">
        <v>154</v>
      </c>
      <c r="D596" s="101" t="s">
        <v>406</v>
      </c>
      <c r="E596" s="101" t="s">
        <v>17</v>
      </c>
    </row>
    <row r="597" spans="1:5" x14ac:dyDescent="0.3">
      <c r="A597" t="str">
        <f t="shared" si="9"/>
        <v>0613011</v>
      </c>
      <c r="B597" s="101" t="s">
        <v>317</v>
      </c>
      <c r="C597" s="101" t="s">
        <v>154</v>
      </c>
      <c r="D597" s="101" t="s">
        <v>402</v>
      </c>
      <c r="E597" s="101" t="s">
        <v>17</v>
      </c>
    </row>
    <row r="598" spans="1:5" x14ac:dyDescent="0.3">
      <c r="A598" t="str">
        <f t="shared" si="9"/>
        <v>0613045</v>
      </c>
      <c r="B598" s="101" t="s">
        <v>317</v>
      </c>
      <c r="C598" s="101" t="s">
        <v>154</v>
      </c>
      <c r="D598" s="101" t="s">
        <v>453</v>
      </c>
      <c r="E598" s="101" t="s">
        <v>140</v>
      </c>
    </row>
    <row r="599" spans="1:5" x14ac:dyDescent="0.3">
      <c r="A599" t="str">
        <f t="shared" si="9"/>
        <v>0613046</v>
      </c>
      <c r="B599" s="101" t="s">
        <v>317</v>
      </c>
      <c r="C599" s="101" t="s">
        <v>154</v>
      </c>
      <c r="D599" s="101" t="s">
        <v>455</v>
      </c>
      <c r="E599" s="101" t="s">
        <v>140</v>
      </c>
    </row>
    <row r="600" spans="1:5" x14ac:dyDescent="0.3">
      <c r="A600" t="str">
        <f t="shared" si="9"/>
        <v>0713009</v>
      </c>
      <c r="B600" s="101" t="s">
        <v>319</v>
      </c>
      <c r="C600" s="101" t="s">
        <v>154</v>
      </c>
      <c r="D600" s="101" t="s">
        <v>406</v>
      </c>
      <c r="E600" s="101" t="s">
        <v>17</v>
      </c>
    </row>
    <row r="601" spans="1:5" x14ac:dyDescent="0.3">
      <c r="A601" t="str">
        <f t="shared" si="9"/>
        <v>0713011</v>
      </c>
      <c r="B601" s="101" t="s">
        <v>319</v>
      </c>
      <c r="C601" s="101" t="s">
        <v>154</v>
      </c>
      <c r="D601" s="101" t="s">
        <v>402</v>
      </c>
      <c r="E601" s="101" t="s">
        <v>17</v>
      </c>
    </row>
    <row r="602" spans="1:5" x14ac:dyDescent="0.3">
      <c r="A602" t="str">
        <f t="shared" si="9"/>
        <v>0713045</v>
      </c>
      <c r="B602" s="101" t="s">
        <v>319</v>
      </c>
      <c r="C602" s="101" t="s">
        <v>154</v>
      </c>
      <c r="D602" s="101" t="s">
        <v>453</v>
      </c>
      <c r="E602" s="101" t="s">
        <v>17</v>
      </c>
    </row>
    <row r="603" spans="1:5" x14ac:dyDescent="0.3">
      <c r="A603" t="str">
        <f t="shared" si="9"/>
        <v>0713046</v>
      </c>
      <c r="B603" s="101" t="s">
        <v>319</v>
      </c>
      <c r="C603" s="101" t="s">
        <v>154</v>
      </c>
      <c r="D603" s="101" t="s">
        <v>455</v>
      </c>
      <c r="E603" s="101" t="s">
        <v>140</v>
      </c>
    </row>
    <row r="604" spans="1:5" x14ac:dyDescent="0.3">
      <c r="A604" t="str">
        <f t="shared" si="9"/>
        <v>0813009</v>
      </c>
      <c r="B604" s="101" t="s">
        <v>320</v>
      </c>
      <c r="C604" s="101" t="s">
        <v>154</v>
      </c>
      <c r="D604" s="101" t="s">
        <v>406</v>
      </c>
      <c r="E604" s="101" t="s">
        <v>17</v>
      </c>
    </row>
    <row r="605" spans="1:5" x14ac:dyDescent="0.3">
      <c r="A605" t="str">
        <f t="shared" si="9"/>
        <v>0813011</v>
      </c>
      <c r="B605" s="101" t="s">
        <v>320</v>
      </c>
      <c r="C605" s="101" t="s">
        <v>154</v>
      </c>
      <c r="D605" s="101" t="s">
        <v>402</v>
      </c>
      <c r="E605" s="101" t="s">
        <v>17</v>
      </c>
    </row>
    <row r="606" spans="1:5" x14ac:dyDescent="0.3">
      <c r="A606" t="str">
        <f t="shared" si="9"/>
        <v>0813045</v>
      </c>
      <c r="B606" s="101" t="s">
        <v>320</v>
      </c>
      <c r="C606" s="101" t="s">
        <v>154</v>
      </c>
      <c r="D606" s="101" t="s">
        <v>453</v>
      </c>
      <c r="E606" s="101" t="s">
        <v>17</v>
      </c>
    </row>
    <row r="607" spans="1:5" x14ac:dyDescent="0.3">
      <c r="A607" t="str">
        <f t="shared" si="9"/>
        <v>0813046</v>
      </c>
      <c r="B607" s="101" t="s">
        <v>320</v>
      </c>
      <c r="C607" s="101" t="s">
        <v>154</v>
      </c>
      <c r="D607" s="101" t="s">
        <v>455</v>
      </c>
      <c r="E607" s="101" t="s">
        <v>17</v>
      </c>
    </row>
    <row r="608" spans="1:5" x14ac:dyDescent="0.3">
      <c r="A608" t="str">
        <f t="shared" si="9"/>
        <v>0314801</v>
      </c>
      <c r="B608" s="101" t="s">
        <v>16</v>
      </c>
      <c r="C608" s="101" t="s">
        <v>156</v>
      </c>
      <c r="D608" s="101" t="s">
        <v>144</v>
      </c>
      <c r="E608" s="101" t="s">
        <v>139</v>
      </c>
    </row>
    <row r="609" spans="1:5" x14ac:dyDescent="0.3">
      <c r="A609" t="str">
        <f t="shared" si="9"/>
        <v>0314500</v>
      </c>
      <c r="B609" s="101" t="s">
        <v>16</v>
      </c>
      <c r="C609" s="101" t="s">
        <v>156</v>
      </c>
      <c r="D609" s="101" t="s">
        <v>146</v>
      </c>
      <c r="E609" s="101" t="s">
        <v>139</v>
      </c>
    </row>
    <row r="610" spans="1:5" x14ac:dyDescent="0.3">
      <c r="A610" t="str">
        <f t="shared" si="9"/>
        <v>0314565</v>
      </c>
      <c r="B610" s="101" t="s">
        <v>16</v>
      </c>
      <c r="C610" s="101" t="s">
        <v>156</v>
      </c>
      <c r="D610" s="101" t="s">
        <v>424</v>
      </c>
      <c r="E610" s="101" t="s">
        <v>139</v>
      </c>
    </row>
    <row r="611" spans="1:5" x14ac:dyDescent="0.3">
      <c r="A611" t="str">
        <f t="shared" si="9"/>
        <v>0414801</v>
      </c>
      <c r="B611" s="101" t="s">
        <v>18</v>
      </c>
      <c r="C611" s="101" t="s">
        <v>156</v>
      </c>
      <c r="D611" s="101" t="s">
        <v>144</v>
      </c>
      <c r="E611" s="101" t="s">
        <v>139</v>
      </c>
    </row>
    <row r="612" spans="1:5" x14ac:dyDescent="0.3">
      <c r="A612" t="str">
        <f t="shared" si="9"/>
        <v>0414500</v>
      </c>
      <c r="B612" s="101" t="s">
        <v>18</v>
      </c>
      <c r="C612" s="101" t="s">
        <v>156</v>
      </c>
      <c r="D612" s="101" t="s">
        <v>146</v>
      </c>
      <c r="E612" s="101" t="s">
        <v>139</v>
      </c>
    </row>
    <row r="613" spans="1:5" x14ac:dyDescent="0.3">
      <c r="A613" t="str">
        <f t="shared" si="9"/>
        <v>0414565</v>
      </c>
      <c r="B613" s="101" t="s">
        <v>18</v>
      </c>
      <c r="C613" s="101" t="s">
        <v>156</v>
      </c>
      <c r="D613" s="101" t="s">
        <v>424</v>
      </c>
      <c r="E613" s="101" t="s">
        <v>139</v>
      </c>
    </row>
    <row r="614" spans="1:5" x14ac:dyDescent="0.3">
      <c r="A614" t="str">
        <f t="shared" si="9"/>
        <v>0314809</v>
      </c>
      <c r="B614" s="101" t="s">
        <v>16</v>
      </c>
      <c r="C614" s="101" t="s">
        <v>156</v>
      </c>
      <c r="D614" s="101" t="s">
        <v>187</v>
      </c>
      <c r="E614" s="101" t="s">
        <v>17</v>
      </c>
    </row>
    <row r="615" spans="1:5" x14ac:dyDescent="0.3">
      <c r="A615" t="str">
        <f t="shared" si="9"/>
        <v>0314811</v>
      </c>
      <c r="B615" s="101" t="s">
        <v>16</v>
      </c>
      <c r="C615" s="101" t="s">
        <v>156</v>
      </c>
      <c r="D615" s="101" t="s">
        <v>189</v>
      </c>
      <c r="E615" s="101" t="s">
        <v>17</v>
      </c>
    </row>
    <row r="616" spans="1:5" x14ac:dyDescent="0.3">
      <c r="A616" t="str">
        <f t="shared" si="9"/>
        <v>0314814</v>
      </c>
      <c r="B616" s="101" t="s">
        <v>16</v>
      </c>
      <c r="C616" s="101" t="s">
        <v>156</v>
      </c>
      <c r="D616" s="101" t="s">
        <v>333</v>
      </c>
      <c r="E616" s="101" t="s">
        <v>17</v>
      </c>
    </row>
    <row r="617" spans="1:5" x14ac:dyDescent="0.3">
      <c r="A617" t="str">
        <f t="shared" si="9"/>
        <v>0314524</v>
      </c>
      <c r="B617" s="101" t="s">
        <v>16</v>
      </c>
      <c r="C617" s="101" t="s">
        <v>156</v>
      </c>
      <c r="D617" s="101" t="s">
        <v>351</v>
      </c>
      <c r="E617" s="101" t="s">
        <v>17</v>
      </c>
    </row>
    <row r="618" spans="1:5" x14ac:dyDescent="0.3">
      <c r="A618" t="str">
        <f t="shared" si="9"/>
        <v>0314526</v>
      </c>
      <c r="B618" s="101" t="s">
        <v>16</v>
      </c>
      <c r="C618" s="101" t="s">
        <v>156</v>
      </c>
      <c r="D618" s="101" t="s">
        <v>379</v>
      </c>
      <c r="E618" s="101" t="s">
        <v>17</v>
      </c>
    </row>
    <row r="619" spans="1:5" x14ac:dyDescent="0.3">
      <c r="A619" t="str">
        <f t="shared" si="9"/>
        <v>0414809</v>
      </c>
      <c r="B619" s="101" t="s">
        <v>18</v>
      </c>
      <c r="C619" s="101" t="s">
        <v>156</v>
      </c>
      <c r="D619" s="101" t="s">
        <v>187</v>
      </c>
      <c r="E619" s="101" t="s">
        <v>17</v>
      </c>
    </row>
    <row r="620" spans="1:5" x14ac:dyDescent="0.3">
      <c r="A620" t="str">
        <f t="shared" si="9"/>
        <v>0414811</v>
      </c>
      <c r="B620" s="101" t="s">
        <v>18</v>
      </c>
      <c r="C620" s="101" t="s">
        <v>156</v>
      </c>
      <c r="D620" s="101" t="s">
        <v>189</v>
      </c>
      <c r="E620" s="101" t="s">
        <v>17</v>
      </c>
    </row>
    <row r="621" spans="1:5" x14ac:dyDescent="0.3">
      <c r="A621" t="str">
        <f t="shared" si="9"/>
        <v>0414814</v>
      </c>
      <c r="B621" s="101" t="s">
        <v>18</v>
      </c>
      <c r="C621" s="101" t="s">
        <v>156</v>
      </c>
      <c r="D621" s="101" t="s">
        <v>333</v>
      </c>
      <c r="E621" s="101" t="s">
        <v>17</v>
      </c>
    </row>
    <row r="622" spans="1:5" x14ac:dyDescent="0.3">
      <c r="A622" t="str">
        <f t="shared" si="9"/>
        <v>0414524</v>
      </c>
      <c r="B622" s="101" t="s">
        <v>18</v>
      </c>
      <c r="C622" s="101" t="s">
        <v>156</v>
      </c>
      <c r="D622" s="101" t="s">
        <v>351</v>
      </c>
      <c r="E622" s="101" t="s">
        <v>17</v>
      </c>
    </row>
    <row r="623" spans="1:5" x14ac:dyDescent="0.3">
      <c r="A623" t="str">
        <f t="shared" si="9"/>
        <v>0414526</v>
      </c>
      <c r="B623" s="101" t="s">
        <v>18</v>
      </c>
      <c r="C623" s="101" t="s">
        <v>156</v>
      </c>
      <c r="D623" s="101" t="s">
        <v>379</v>
      </c>
      <c r="E623" s="101" t="s">
        <v>17</v>
      </c>
    </row>
    <row r="624" spans="1:5" x14ac:dyDescent="0.3">
      <c r="A624" t="str">
        <f t="shared" si="9"/>
        <v>0314031</v>
      </c>
      <c r="B624" s="101" t="s">
        <v>16</v>
      </c>
      <c r="C624" s="101" t="s">
        <v>156</v>
      </c>
      <c r="D624" s="101" t="s">
        <v>369</v>
      </c>
      <c r="E624" s="101" t="s">
        <v>19</v>
      </c>
    </row>
    <row r="625" spans="1:5" x14ac:dyDescent="0.3">
      <c r="A625" t="str">
        <f t="shared" si="9"/>
        <v>0314551</v>
      </c>
      <c r="B625" s="101" t="s">
        <v>16</v>
      </c>
      <c r="C625" s="101" t="s">
        <v>156</v>
      </c>
      <c r="D625" s="101" t="s">
        <v>416</v>
      </c>
      <c r="E625" s="101" t="s">
        <v>19</v>
      </c>
    </row>
    <row r="626" spans="1:5" x14ac:dyDescent="0.3">
      <c r="A626" t="str">
        <f t="shared" si="9"/>
        <v>0414031</v>
      </c>
      <c r="B626" s="101" t="s">
        <v>18</v>
      </c>
      <c r="C626" s="101" t="s">
        <v>156</v>
      </c>
      <c r="D626" s="101" t="s">
        <v>369</v>
      </c>
      <c r="E626" s="101" t="s">
        <v>19</v>
      </c>
    </row>
    <row r="627" spans="1:5" x14ac:dyDescent="0.3">
      <c r="A627" t="str">
        <f t="shared" si="9"/>
        <v>0414551</v>
      </c>
      <c r="B627" s="101" t="s">
        <v>18</v>
      </c>
      <c r="C627" s="101" t="s">
        <v>156</v>
      </c>
      <c r="D627" s="101" t="s">
        <v>416</v>
      </c>
      <c r="E627" s="101" t="s">
        <v>19</v>
      </c>
    </row>
    <row r="628" spans="1:5" x14ac:dyDescent="0.3">
      <c r="A628" t="str">
        <f t="shared" si="9"/>
        <v>0314021</v>
      </c>
      <c r="B628" s="101" t="s">
        <v>16</v>
      </c>
      <c r="C628" s="101" t="s">
        <v>156</v>
      </c>
      <c r="D628" s="101" t="s">
        <v>477</v>
      </c>
      <c r="E628" s="101" t="s">
        <v>17</v>
      </c>
    </row>
    <row r="629" spans="1:5" x14ac:dyDescent="0.3">
      <c r="A629" t="str">
        <f t="shared" si="9"/>
        <v>0314022</v>
      </c>
      <c r="B629" s="101" t="s">
        <v>16</v>
      </c>
      <c r="C629" s="101" t="s">
        <v>156</v>
      </c>
      <c r="D629" s="101" t="s">
        <v>322</v>
      </c>
      <c r="E629" s="101" t="s">
        <v>17</v>
      </c>
    </row>
    <row r="630" spans="1:5" x14ac:dyDescent="0.3">
      <c r="A630" t="str">
        <f t="shared" si="9"/>
        <v>0314023</v>
      </c>
      <c r="B630" s="101" t="s">
        <v>16</v>
      </c>
      <c r="C630" s="101" t="s">
        <v>156</v>
      </c>
      <c r="D630" s="101" t="s">
        <v>480</v>
      </c>
      <c r="E630" s="101" t="s">
        <v>17</v>
      </c>
    </row>
    <row r="631" spans="1:5" x14ac:dyDescent="0.3">
      <c r="A631" t="str">
        <f t="shared" si="9"/>
        <v>0314024</v>
      </c>
      <c r="B631" s="101" t="s">
        <v>16</v>
      </c>
      <c r="C631" s="101" t="s">
        <v>156</v>
      </c>
      <c r="D631" s="101" t="s">
        <v>481</v>
      </c>
      <c r="E631" s="101" t="s">
        <v>17</v>
      </c>
    </row>
    <row r="632" spans="1:5" x14ac:dyDescent="0.3">
      <c r="A632" t="str">
        <f t="shared" si="9"/>
        <v>0314059</v>
      </c>
      <c r="B632" s="101" t="s">
        <v>16</v>
      </c>
      <c r="C632" s="101" t="s">
        <v>156</v>
      </c>
      <c r="D632" s="101" t="s">
        <v>482</v>
      </c>
      <c r="E632" s="101" t="s">
        <v>17</v>
      </c>
    </row>
    <row r="633" spans="1:5" x14ac:dyDescent="0.3">
      <c r="A633" t="str">
        <f t="shared" si="9"/>
        <v>0314532</v>
      </c>
      <c r="B633" s="101" t="s">
        <v>16</v>
      </c>
      <c r="C633" s="101" t="s">
        <v>156</v>
      </c>
      <c r="D633" s="101" t="s">
        <v>323</v>
      </c>
      <c r="E633" s="101" t="s">
        <v>17</v>
      </c>
    </row>
    <row r="634" spans="1:5" x14ac:dyDescent="0.3">
      <c r="A634" t="str">
        <f t="shared" si="9"/>
        <v>0314533</v>
      </c>
      <c r="B634" s="101" t="s">
        <v>16</v>
      </c>
      <c r="C634" s="101" t="s">
        <v>156</v>
      </c>
      <c r="D634" s="101" t="s">
        <v>397</v>
      </c>
      <c r="E634" s="101" t="s">
        <v>17</v>
      </c>
    </row>
    <row r="635" spans="1:5" x14ac:dyDescent="0.3">
      <c r="A635" t="str">
        <f t="shared" si="9"/>
        <v>0314534</v>
      </c>
      <c r="B635" s="101" t="s">
        <v>16</v>
      </c>
      <c r="C635" s="101" t="s">
        <v>156</v>
      </c>
      <c r="D635" s="101" t="s">
        <v>350</v>
      </c>
      <c r="E635" s="101" t="s">
        <v>17</v>
      </c>
    </row>
    <row r="636" spans="1:5" x14ac:dyDescent="0.3">
      <c r="A636" t="str">
        <f t="shared" si="9"/>
        <v>0314536</v>
      </c>
      <c r="B636" s="101" t="s">
        <v>16</v>
      </c>
      <c r="C636" s="101" t="s">
        <v>156</v>
      </c>
      <c r="D636" s="101" t="s">
        <v>352</v>
      </c>
      <c r="E636" s="101" t="s">
        <v>17</v>
      </c>
    </row>
    <row r="637" spans="1:5" x14ac:dyDescent="0.3">
      <c r="A637" t="str">
        <f t="shared" si="9"/>
        <v>0314537</v>
      </c>
      <c r="B637" s="101" t="s">
        <v>16</v>
      </c>
      <c r="C637" s="101" t="s">
        <v>156</v>
      </c>
      <c r="D637" s="101" t="s">
        <v>395</v>
      </c>
      <c r="E637" s="101" t="s">
        <v>17</v>
      </c>
    </row>
    <row r="638" spans="1:5" x14ac:dyDescent="0.3">
      <c r="A638" t="str">
        <f t="shared" si="9"/>
        <v>0314538</v>
      </c>
      <c r="B638" s="101" t="s">
        <v>16</v>
      </c>
      <c r="C638" s="101" t="s">
        <v>156</v>
      </c>
      <c r="D638" s="101" t="s">
        <v>365</v>
      </c>
      <c r="E638" s="101" t="s">
        <v>17</v>
      </c>
    </row>
    <row r="639" spans="1:5" x14ac:dyDescent="0.3">
      <c r="A639" t="str">
        <f t="shared" si="9"/>
        <v>0314539</v>
      </c>
      <c r="B639" s="101" t="s">
        <v>16</v>
      </c>
      <c r="C639" s="101" t="s">
        <v>156</v>
      </c>
      <c r="D639" s="101" t="s">
        <v>378</v>
      </c>
      <c r="E639" s="101" t="s">
        <v>17</v>
      </c>
    </row>
    <row r="640" spans="1:5" x14ac:dyDescent="0.3">
      <c r="A640" t="str">
        <f t="shared" si="9"/>
        <v>0314541</v>
      </c>
      <c r="B640" s="101" t="s">
        <v>16</v>
      </c>
      <c r="C640" s="101" t="s">
        <v>156</v>
      </c>
      <c r="D640" s="101" t="s">
        <v>325</v>
      </c>
      <c r="E640" s="101" t="s">
        <v>17</v>
      </c>
    </row>
    <row r="641" spans="1:5" x14ac:dyDescent="0.3">
      <c r="A641" t="str">
        <f t="shared" si="9"/>
        <v>0414021</v>
      </c>
      <c r="B641" s="101" t="s">
        <v>18</v>
      </c>
      <c r="C641" s="101" t="s">
        <v>156</v>
      </c>
      <c r="D641" s="101" t="s">
        <v>477</v>
      </c>
      <c r="E641" s="101" t="s">
        <v>17</v>
      </c>
    </row>
    <row r="642" spans="1:5" x14ac:dyDescent="0.3">
      <c r="A642" t="str">
        <f t="shared" si="9"/>
        <v>0414022</v>
      </c>
      <c r="B642" s="101" t="s">
        <v>18</v>
      </c>
      <c r="C642" s="101" t="s">
        <v>156</v>
      </c>
      <c r="D642" s="101" t="s">
        <v>322</v>
      </c>
      <c r="E642" s="101" t="s">
        <v>17</v>
      </c>
    </row>
    <row r="643" spans="1:5" x14ac:dyDescent="0.3">
      <c r="A643" t="str">
        <f t="shared" ref="A643:A706" si="10">CONCATENATE(B643,C643,D643,F643)</f>
        <v>0414023</v>
      </c>
      <c r="B643" s="101" t="s">
        <v>18</v>
      </c>
      <c r="C643" s="101" t="s">
        <v>156</v>
      </c>
      <c r="D643" s="101" t="s">
        <v>480</v>
      </c>
      <c r="E643" s="101" t="s">
        <v>17</v>
      </c>
    </row>
    <row r="644" spans="1:5" x14ac:dyDescent="0.3">
      <c r="A644" t="str">
        <f t="shared" si="10"/>
        <v>0414024</v>
      </c>
      <c r="B644" s="101" t="s">
        <v>18</v>
      </c>
      <c r="C644" s="101" t="s">
        <v>156</v>
      </c>
      <c r="D644" s="101" t="s">
        <v>481</v>
      </c>
      <c r="E644" s="101" t="s">
        <v>17</v>
      </c>
    </row>
    <row r="645" spans="1:5" x14ac:dyDescent="0.3">
      <c r="A645" t="str">
        <f t="shared" si="10"/>
        <v>0414059</v>
      </c>
      <c r="B645" s="101" t="s">
        <v>18</v>
      </c>
      <c r="C645" s="101" t="s">
        <v>156</v>
      </c>
      <c r="D645" s="101" t="s">
        <v>482</v>
      </c>
      <c r="E645" s="101" t="s">
        <v>17</v>
      </c>
    </row>
    <row r="646" spans="1:5" x14ac:dyDescent="0.3">
      <c r="A646" t="str">
        <f t="shared" si="10"/>
        <v>0414532</v>
      </c>
      <c r="B646" s="101" t="s">
        <v>18</v>
      </c>
      <c r="C646" s="101" t="s">
        <v>156</v>
      </c>
      <c r="D646" s="101" t="s">
        <v>323</v>
      </c>
      <c r="E646" s="101" t="s">
        <v>17</v>
      </c>
    </row>
    <row r="647" spans="1:5" x14ac:dyDescent="0.3">
      <c r="A647" t="str">
        <f t="shared" si="10"/>
        <v>0414533</v>
      </c>
      <c r="B647" s="101" t="s">
        <v>18</v>
      </c>
      <c r="C647" s="101" t="s">
        <v>156</v>
      </c>
      <c r="D647" s="101" t="s">
        <v>397</v>
      </c>
      <c r="E647" s="101" t="s">
        <v>17</v>
      </c>
    </row>
    <row r="648" spans="1:5" x14ac:dyDescent="0.3">
      <c r="A648" t="str">
        <f t="shared" si="10"/>
        <v>0414534</v>
      </c>
      <c r="B648" s="101" t="s">
        <v>18</v>
      </c>
      <c r="C648" s="101" t="s">
        <v>156</v>
      </c>
      <c r="D648" s="101" t="s">
        <v>350</v>
      </c>
      <c r="E648" s="101" t="s">
        <v>17</v>
      </c>
    </row>
    <row r="649" spans="1:5" x14ac:dyDescent="0.3">
      <c r="A649" t="str">
        <f t="shared" si="10"/>
        <v>0414536</v>
      </c>
      <c r="B649" s="101" t="s">
        <v>18</v>
      </c>
      <c r="C649" s="101" t="s">
        <v>156</v>
      </c>
      <c r="D649" s="101" t="s">
        <v>352</v>
      </c>
      <c r="E649" s="101" t="s">
        <v>17</v>
      </c>
    </row>
    <row r="650" spans="1:5" x14ac:dyDescent="0.3">
      <c r="A650" t="str">
        <f t="shared" si="10"/>
        <v>0414537</v>
      </c>
      <c r="B650" s="101" t="s">
        <v>18</v>
      </c>
      <c r="C650" s="101" t="s">
        <v>156</v>
      </c>
      <c r="D650" s="101" t="s">
        <v>395</v>
      </c>
      <c r="E650" s="101" t="s">
        <v>17</v>
      </c>
    </row>
    <row r="651" spans="1:5" x14ac:dyDescent="0.3">
      <c r="A651" t="str">
        <f t="shared" si="10"/>
        <v>0414538</v>
      </c>
      <c r="B651" s="101" t="s">
        <v>18</v>
      </c>
      <c r="C651" s="101" t="s">
        <v>156</v>
      </c>
      <c r="D651" s="101" t="s">
        <v>365</v>
      </c>
      <c r="E651" s="101" t="s">
        <v>17</v>
      </c>
    </row>
    <row r="652" spans="1:5" x14ac:dyDescent="0.3">
      <c r="A652" t="str">
        <f t="shared" si="10"/>
        <v>0414539</v>
      </c>
      <c r="B652" s="101" t="s">
        <v>18</v>
      </c>
      <c r="C652" s="101" t="s">
        <v>156</v>
      </c>
      <c r="D652" s="101" t="s">
        <v>378</v>
      </c>
      <c r="E652" s="101" t="s">
        <v>17</v>
      </c>
    </row>
    <row r="653" spans="1:5" x14ac:dyDescent="0.3">
      <c r="A653" t="str">
        <f t="shared" si="10"/>
        <v>0414541</v>
      </c>
      <c r="B653" s="101" t="s">
        <v>18</v>
      </c>
      <c r="C653" s="101" t="s">
        <v>156</v>
      </c>
      <c r="D653" s="101" t="s">
        <v>325</v>
      </c>
      <c r="E653" s="101" t="s">
        <v>17</v>
      </c>
    </row>
    <row r="654" spans="1:5" x14ac:dyDescent="0.3">
      <c r="A654" t="str">
        <f t="shared" si="10"/>
        <v>0514801</v>
      </c>
      <c r="B654" s="101" t="s">
        <v>313</v>
      </c>
      <c r="C654" s="101" t="s">
        <v>156</v>
      </c>
      <c r="D654" s="101" t="s">
        <v>144</v>
      </c>
      <c r="E654" s="101" t="s">
        <v>139</v>
      </c>
    </row>
    <row r="655" spans="1:5" x14ac:dyDescent="0.3">
      <c r="A655" t="str">
        <f t="shared" si="10"/>
        <v>0514802</v>
      </c>
      <c r="B655" s="101" t="s">
        <v>313</v>
      </c>
      <c r="C655" s="101" t="s">
        <v>156</v>
      </c>
      <c r="D655" s="101" t="s">
        <v>145</v>
      </c>
      <c r="E655" s="101" t="s">
        <v>139</v>
      </c>
    </row>
    <row r="656" spans="1:5" x14ac:dyDescent="0.3">
      <c r="A656" t="str">
        <f t="shared" si="10"/>
        <v>0514500</v>
      </c>
      <c r="B656" s="101" t="s">
        <v>313</v>
      </c>
      <c r="C656" s="101" t="s">
        <v>156</v>
      </c>
      <c r="D656" s="101" t="s">
        <v>146</v>
      </c>
      <c r="E656" s="101" t="s">
        <v>139</v>
      </c>
    </row>
    <row r="657" spans="1:5" x14ac:dyDescent="0.3">
      <c r="A657" t="str">
        <f t="shared" si="10"/>
        <v>0514517</v>
      </c>
      <c r="B657" s="101" t="s">
        <v>313</v>
      </c>
      <c r="C657" s="101" t="s">
        <v>156</v>
      </c>
      <c r="D657" s="101" t="s">
        <v>390</v>
      </c>
      <c r="E657" s="101" t="s">
        <v>139</v>
      </c>
    </row>
    <row r="658" spans="1:5" x14ac:dyDescent="0.3">
      <c r="A658" t="str">
        <f t="shared" si="10"/>
        <v>0514565</v>
      </c>
      <c r="B658" s="101" t="s">
        <v>313</v>
      </c>
      <c r="C658" s="101" t="s">
        <v>156</v>
      </c>
      <c r="D658" s="101" t="s">
        <v>424</v>
      </c>
      <c r="E658" s="101" t="s">
        <v>139</v>
      </c>
    </row>
    <row r="659" spans="1:5" x14ac:dyDescent="0.3">
      <c r="A659" t="str">
        <f t="shared" si="10"/>
        <v>0514811</v>
      </c>
      <c r="B659" s="101" t="s">
        <v>313</v>
      </c>
      <c r="C659" s="101" t="s">
        <v>156</v>
      </c>
      <c r="D659" s="101" t="s">
        <v>189</v>
      </c>
      <c r="E659" s="101" t="s">
        <v>17</v>
      </c>
    </row>
    <row r="660" spans="1:5" x14ac:dyDescent="0.3">
      <c r="A660" t="str">
        <f t="shared" si="10"/>
        <v>0514812</v>
      </c>
      <c r="B660" s="101" t="s">
        <v>313</v>
      </c>
      <c r="C660" s="101" t="s">
        <v>156</v>
      </c>
      <c r="D660" s="101" t="s">
        <v>190</v>
      </c>
      <c r="E660" s="101" t="s">
        <v>17</v>
      </c>
    </row>
    <row r="661" spans="1:5" x14ac:dyDescent="0.3">
      <c r="A661" t="str">
        <f t="shared" si="10"/>
        <v>0514524</v>
      </c>
      <c r="B661" s="101" t="s">
        <v>313</v>
      </c>
      <c r="C661" s="101" t="s">
        <v>156</v>
      </c>
      <c r="D661" s="101" t="s">
        <v>351</v>
      </c>
      <c r="E661" s="101" t="s">
        <v>17</v>
      </c>
    </row>
    <row r="662" spans="1:5" x14ac:dyDescent="0.3">
      <c r="A662" t="str">
        <f t="shared" si="10"/>
        <v>0514526</v>
      </c>
      <c r="B662" s="101" t="s">
        <v>313</v>
      </c>
      <c r="C662" s="101" t="s">
        <v>156</v>
      </c>
      <c r="D662" s="101" t="s">
        <v>379</v>
      </c>
      <c r="E662" s="101" t="s">
        <v>17</v>
      </c>
    </row>
    <row r="663" spans="1:5" x14ac:dyDescent="0.3">
      <c r="A663" t="str">
        <f t="shared" si="10"/>
        <v>0514032</v>
      </c>
      <c r="B663" s="101" t="s">
        <v>313</v>
      </c>
      <c r="C663" s="101" t="s">
        <v>156</v>
      </c>
      <c r="D663" s="101" t="s">
        <v>370</v>
      </c>
      <c r="E663" s="101" t="s">
        <v>17</v>
      </c>
    </row>
    <row r="664" spans="1:5" x14ac:dyDescent="0.3">
      <c r="A664" t="str">
        <f t="shared" si="10"/>
        <v>0514033</v>
      </c>
      <c r="B664" s="101" t="s">
        <v>313</v>
      </c>
      <c r="C664" s="101" t="s">
        <v>156</v>
      </c>
      <c r="D664" s="101" t="s">
        <v>327</v>
      </c>
      <c r="E664" s="101" t="s">
        <v>17</v>
      </c>
    </row>
    <row r="665" spans="1:5" x14ac:dyDescent="0.3">
      <c r="A665" t="str">
        <f t="shared" si="10"/>
        <v>0514556</v>
      </c>
      <c r="B665" s="101" t="s">
        <v>313</v>
      </c>
      <c r="C665" s="101" t="s">
        <v>156</v>
      </c>
      <c r="D665" s="101" t="s">
        <v>342</v>
      </c>
      <c r="E665" s="101" t="s">
        <v>17</v>
      </c>
    </row>
    <row r="666" spans="1:5" x14ac:dyDescent="0.3">
      <c r="A666" t="str">
        <f t="shared" si="10"/>
        <v>0514034</v>
      </c>
      <c r="B666" s="101" t="s">
        <v>313</v>
      </c>
      <c r="C666" s="101" t="s">
        <v>156</v>
      </c>
      <c r="D666" s="101" t="s">
        <v>329</v>
      </c>
      <c r="E666" s="101" t="s">
        <v>17</v>
      </c>
    </row>
    <row r="667" spans="1:5" x14ac:dyDescent="0.3">
      <c r="A667" t="str">
        <f t="shared" si="10"/>
        <v>0514035</v>
      </c>
      <c r="B667" s="101" t="s">
        <v>313</v>
      </c>
      <c r="C667" s="101" t="s">
        <v>156</v>
      </c>
      <c r="D667" s="101" t="s">
        <v>497</v>
      </c>
      <c r="E667" s="101" t="s">
        <v>17</v>
      </c>
    </row>
    <row r="668" spans="1:5" x14ac:dyDescent="0.3">
      <c r="A668" t="str">
        <f t="shared" si="10"/>
        <v>0514570</v>
      </c>
      <c r="B668" s="101" t="s">
        <v>313</v>
      </c>
      <c r="C668" s="101" t="s">
        <v>156</v>
      </c>
      <c r="D668" s="101" t="s">
        <v>429</v>
      </c>
      <c r="E668" s="101" t="s">
        <v>17</v>
      </c>
    </row>
    <row r="669" spans="1:5" x14ac:dyDescent="0.3">
      <c r="A669" t="str">
        <f t="shared" si="10"/>
        <v>0614801</v>
      </c>
      <c r="B669" s="101" t="s">
        <v>317</v>
      </c>
      <c r="C669" s="101" t="s">
        <v>156</v>
      </c>
      <c r="D669" s="101" t="s">
        <v>144</v>
      </c>
      <c r="E669" s="101" t="s">
        <v>139</v>
      </c>
    </row>
    <row r="670" spans="1:5" x14ac:dyDescent="0.3">
      <c r="A670" t="str">
        <f t="shared" si="10"/>
        <v>0614802</v>
      </c>
      <c r="B670" s="101" t="s">
        <v>317</v>
      </c>
      <c r="C670" s="101" t="s">
        <v>156</v>
      </c>
      <c r="D670" s="101" t="s">
        <v>145</v>
      </c>
      <c r="E670" s="101" t="s">
        <v>139</v>
      </c>
    </row>
    <row r="671" spans="1:5" x14ac:dyDescent="0.3">
      <c r="A671" t="str">
        <f t="shared" si="10"/>
        <v>0614500</v>
      </c>
      <c r="B671" s="101" t="s">
        <v>317</v>
      </c>
      <c r="C671" s="101" t="s">
        <v>156</v>
      </c>
      <c r="D671" s="101" t="s">
        <v>146</v>
      </c>
      <c r="E671" s="101" t="s">
        <v>139</v>
      </c>
    </row>
    <row r="672" spans="1:5" x14ac:dyDescent="0.3">
      <c r="A672" t="str">
        <f t="shared" si="10"/>
        <v>0614517</v>
      </c>
      <c r="B672" s="101" t="s">
        <v>317</v>
      </c>
      <c r="C672" s="101" t="s">
        <v>156</v>
      </c>
      <c r="D672" s="101" t="s">
        <v>390</v>
      </c>
      <c r="E672" s="101" t="s">
        <v>139</v>
      </c>
    </row>
    <row r="673" spans="1:5" x14ac:dyDescent="0.3">
      <c r="A673" t="str">
        <f t="shared" si="10"/>
        <v>0614565</v>
      </c>
      <c r="B673" s="101" t="s">
        <v>317</v>
      </c>
      <c r="C673" s="101" t="s">
        <v>156</v>
      </c>
      <c r="D673" s="101" t="s">
        <v>424</v>
      </c>
      <c r="E673" s="101" t="s">
        <v>139</v>
      </c>
    </row>
    <row r="674" spans="1:5" x14ac:dyDescent="0.3">
      <c r="A674" t="str">
        <f t="shared" si="10"/>
        <v>0614811</v>
      </c>
      <c r="B674" s="101" t="s">
        <v>317</v>
      </c>
      <c r="C674" s="101" t="s">
        <v>156</v>
      </c>
      <c r="D674" s="101" t="s">
        <v>189</v>
      </c>
      <c r="E674" s="101" t="s">
        <v>17</v>
      </c>
    </row>
    <row r="675" spans="1:5" x14ac:dyDescent="0.3">
      <c r="A675" t="str">
        <f t="shared" si="10"/>
        <v>0614812</v>
      </c>
      <c r="B675" s="101" t="s">
        <v>317</v>
      </c>
      <c r="C675" s="101" t="s">
        <v>156</v>
      </c>
      <c r="D675" s="101" t="s">
        <v>190</v>
      </c>
      <c r="E675" s="101" t="s">
        <v>17</v>
      </c>
    </row>
    <row r="676" spans="1:5" x14ac:dyDescent="0.3">
      <c r="A676" t="str">
        <f t="shared" si="10"/>
        <v>0614524</v>
      </c>
      <c r="B676" s="101" t="s">
        <v>317</v>
      </c>
      <c r="C676" s="101" t="s">
        <v>156</v>
      </c>
      <c r="D676" s="101" t="s">
        <v>351</v>
      </c>
      <c r="E676" s="101" t="s">
        <v>17</v>
      </c>
    </row>
    <row r="677" spans="1:5" x14ac:dyDescent="0.3">
      <c r="A677" t="str">
        <f t="shared" si="10"/>
        <v>0614526</v>
      </c>
      <c r="B677" s="101" t="s">
        <v>317</v>
      </c>
      <c r="C677" s="101" t="s">
        <v>156</v>
      </c>
      <c r="D677" s="101" t="s">
        <v>379</v>
      </c>
      <c r="E677" s="101" t="s">
        <v>17</v>
      </c>
    </row>
    <row r="678" spans="1:5" x14ac:dyDescent="0.3">
      <c r="A678" t="str">
        <f t="shared" si="10"/>
        <v>0614032</v>
      </c>
      <c r="B678" s="101" t="s">
        <v>317</v>
      </c>
      <c r="C678" s="101" t="s">
        <v>156</v>
      </c>
      <c r="D678" s="101" t="s">
        <v>370</v>
      </c>
      <c r="E678" s="101" t="s">
        <v>17</v>
      </c>
    </row>
    <row r="679" spans="1:5" x14ac:dyDescent="0.3">
      <c r="A679" t="str">
        <f t="shared" si="10"/>
        <v>0614033</v>
      </c>
      <c r="B679" s="101" t="s">
        <v>317</v>
      </c>
      <c r="C679" s="101" t="s">
        <v>156</v>
      </c>
      <c r="D679" s="101" t="s">
        <v>327</v>
      </c>
      <c r="E679" s="101" t="s">
        <v>17</v>
      </c>
    </row>
    <row r="680" spans="1:5" x14ac:dyDescent="0.3">
      <c r="A680" t="str">
        <f t="shared" si="10"/>
        <v>0614556</v>
      </c>
      <c r="B680" s="101" t="s">
        <v>317</v>
      </c>
      <c r="C680" s="101" t="s">
        <v>156</v>
      </c>
      <c r="D680" s="101" t="s">
        <v>342</v>
      </c>
      <c r="E680" s="101" t="s">
        <v>17</v>
      </c>
    </row>
    <row r="681" spans="1:5" x14ac:dyDescent="0.3">
      <c r="A681" t="str">
        <f t="shared" si="10"/>
        <v>0614034</v>
      </c>
      <c r="B681" s="101" t="s">
        <v>317</v>
      </c>
      <c r="C681" s="101" t="s">
        <v>156</v>
      </c>
      <c r="D681" s="101" t="s">
        <v>329</v>
      </c>
      <c r="E681" s="101" t="s">
        <v>17</v>
      </c>
    </row>
    <row r="682" spans="1:5" x14ac:dyDescent="0.3">
      <c r="A682" t="str">
        <f t="shared" si="10"/>
        <v>0614035</v>
      </c>
      <c r="B682" s="101" t="s">
        <v>317</v>
      </c>
      <c r="C682" s="101" t="s">
        <v>156</v>
      </c>
      <c r="D682" s="101" t="s">
        <v>497</v>
      </c>
      <c r="E682" s="101" t="s">
        <v>17</v>
      </c>
    </row>
    <row r="683" spans="1:5" x14ac:dyDescent="0.3">
      <c r="A683" t="str">
        <f t="shared" si="10"/>
        <v>0614570</v>
      </c>
      <c r="B683" s="101" t="s">
        <v>317</v>
      </c>
      <c r="C683" s="101" t="s">
        <v>156</v>
      </c>
      <c r="D683" s="101" t="s">
        <v>429</v>
      </c>
      <c r="E683" s="101" t="s">
        <v>17</v>
      </c>
    </row>
    <row r="684" spans="1:5" x14ac:dyDescent="0.3">
      <c r="A684" t="str">
        <f t="shared" si="10"/>
        <v>0714801</v>
      </c>
      <c r="B684" s="101" t="s">
        <v>319</v>
      </c>
      <c r="C684" s="101" t="s">
        <v>156</v>
      </c>
      <c r="D684" s="101" t="s">
        <v>144</v>
      </c>
      <c r="E684" s="101" t="s">
        <v>139</v>
      </c>
    </row>
    <row r="685" spans="1:5" x14ac:dyDescent="0.3">
      <c r="A685" t="str">
        <f t="shared" si="10"/>
        <v>0714802</v>
      </c>
      <c r="B685" s="101" t="s">
        <v>319</v>
      </c>
      <c r="C685" s="101" t="s">
        <v>156</v>
      </c>
      <c r="D685" s="101" t="s">
        <v>145</v>
      </c>
      <c r="E685" s="101" t="s">
        <v>139</v>
      </c>
    </row>
    <row r="686" spans="1:5" x14ac:dyDescent="0.3">
      <c r="A686" t="str">
        <f t="shared" si="10"/>
        <v>0714500</v>
      </c>
      <c r="B686" s="101" t="s">
        <v>319</v>
      </c>
      <c r="C686" s="101" t="s">
        <v>156</v>
      </c>
      <c r="D686" s="101" t="s">
        <v>146</v>
      </c>
      <c r="E686" s="101" t="s">
        <v>139</v>
      </c>
    </row>
    <row r="687" spans="1:5" x14ac:dyDescent="0.3">
      <c r="A687" t="str">
        <f t="shared" si="10"/>
        <v>0714517</v>
      </c>
      <c r="B687" s="101" t="s">
        <v>319</v>
      </c>
      <c r="C687" s="101" t="s">
        <v>156</v>
      </c>
      <c r="D687" s="101" t="s">
        <v>390</v>
      </c>
      <c r="E687" s="101" t="s">
        <v>139</v>
      </c>
    </row>
    <row r="688" spans="1:5" x14ac:dyDescent="0.3">
      <c r="A688" t="str">
        <f t="shared" si="10"/>
        <v>0714565</v>
      </c>
      <c r="B688" s="101" t="s">
        <v>319</v>
      </c>
      <c r="C688" s="101" t="s">
        <v>156</v>
      </c>
      <c r="D688" s="101" t="s">
        <v>424</v>
      </c>
      <c r="E688" s="101" t="s">
        <v>139</v>
      </c>
    </row>
    <row r="689" spans="1:5" x14ac:dyDescent="0.3">
      <c r="A689" t="str">
        <f t="shared" si="10"/>
        <v>0714811</v>
      </c>
      <c r="B689" s="101" t="s">
        <v>319</v>
      </c>
      <c r="C689" s="101" t="s">
        <v>156</v>
      </c>
      <c r="D689" s="101" t="s">
        <v>189</v>
      </c>
      <c r="E689" s="101" t="s">
        <v>17</v>
      </c>
    </row>
    <row r="690" spans="1:5" x14ac:dyDescent="0.3">
      <c r="A690" t="str">
        <f t="shared" si="10"/>
        <v>0714812</v>
      </c>
      <c r="B690" s="101" t="s">
        <v>319</v>
      </c>
      <c r="C690" s="101" t="s">
        <v>156</v>
      </c>
      <c r="D690" s="101" t="s">
        <v>190</v>
      </c>
      <c r="E690" s="101" t="s">
        <v>17</v>
      </c>
    </row>
    <row r="691" spans="1:5" x14ac:dyDescent="0.3">
      <c r="A691" t="str">
        <f t="shared" si="10"/>
        <v>0714524</v>
      </c>
      <c r="B691" s="101" t="s">
        <v>319</v>
      </c>
      <c r="C691" s="101" t="s">
        <v>156</v>
      </c>
      <c r="D691" s="101" t="s">
        <v>351</v>
      </c>
      <c r="E691" s="101" t="s">
        <v>17</v>
      </c>
    </row>
    <row r="692" spans="1:5" x14ac:dyDescent="0.3">
      <c r="A692" t="str">
        <f t="shared" si="10"/>
        <v>0714526</v>
      </c>
      <c r="B692" s="101" t="s">
        <v>319</v>
      </c>
      <c r="C692" s="101" t="s">
        <v>156</v>
      </c>
      <c r="D692" s="101" t="s">
        <v>379</v>
      </c>
      <c r="E692" s="101" t="s">
        <v>17</v>
      </c>
    </row>
    <row r="693" spans="1:5" x14ac:dyDescent="0.3">
      <c r="A693" t="str">
        <f t="shared" si="10"/>
        <v>0714032</v>
      </c>
      <c r="B693" s="101" t="s">
        <v>319</v>
      </c>
      <c r="C693" s="101" t="s">
        <v>156</v>
      </c>
      <c r="D693" s="101" t="s">
        <v>370</v>
      </c>
      <c r="E693" s="101" t="s">
        <v>17</v>
      </c>
    </row>
    <row r="694" spans="1:5" x14ac:dyDescent="0.3">
      <c r="A694" t="str">
        <f t="shared" si="10"/>
        <v>0714033</v>
      </c>
      <c r="B694" s="101" t="s">
        <v>319</v>
      </c>
      <c r="C694" s="101" t="s">
        <v>156</v>
      </c>
      <c r="D694" s="101" t="s">
        <v>327</v>
      </c>
      <c r="E694" s="101" t="s">
        <v>17</v>
      </c>
    </row>
    <row r="695" spans="1:5" x14ac:dyDescent="0.3">
      <c r="A695" t="str">
        <f t="shared" si="10"/>
        <v>0714556</v>
      </c>
      <c r="B695" s="101" t="s">
        <v>319</v>
      </c>
      <c r="C695" s="101" t="s">
        <v>156</v>
      </c>
      <c r="D695" s="101" t="s">
        <v>342</v>
      </c>
      <c r="E695" s="101" t="s">
        <v>17</v>
      </c>
    </row>
    <row r="696" spans="1:5" x14ac:dyDescent="0.3">
      <c r="A696" t="str">
        <f t="shared" si="10"/>
        <v>0714034</v>
      </c>
      <c r="B696" s="101" t="s">
        <v>319</v>
      </c>
      <c r="C696" s="101" t="s">
        <v>156</v>
      </c>
      <c r="D696" s="101" t="s">
        <v>329</v>
      </c>
      <c r="E696" s="101" t="s">
        <v>17</v>
      </c>
    </row>
    <row r="697" spans="1:5" x14ac:dyDescent="0.3">
      <c r="A697" t="str">
        <f t="shared" si="10"/>
        <v>0714035</v>
      </c>
      <c r="B697" s="101" t="s">
        <v>319</v>
      </c>
      <c r="C697" s="101" t="s">
        <v>156</v>
      </c>
      <c r="D697" s="101" t="s">
        <v>497</v>
      </c>
      <c r="E697" s="101" t="s">
        <v>17</v>
      </c>
    </row>
    <row r="698" spans="1:5" x14ac:dyDescent="0.3">
      <c r="A698" t="str">
        <f t="shared" si="10"/>
        <v>0714570</v>
      </c>
      <c r="B698" s="101" t="s">
        <v>319</v>
      </c>
      <c r="C698" s="101" t="s">
        <v>156</v>
      </c>
      <c r="D698" s="101" t="s">
        <v>429</v>
      </c>
      <c r="E698" s="101" t="s">
        <v>17</v>
      </c>
    </row>
    <row r="699" spans="1:5" x14ac:dyDescent="0.3">
      <c r="A699" t="str">
        <f t="shared" si="10"/>
        <v>0814801</v>
      </c>
      <c r="B699" s="101" t="s">
        <v>320</v>
      </c>
      <c r="C699" s="101" t="s">
        <v>156</v>
      </c>
      <c r="D699" s="101" t="s">
        <v>144</v>
      </c>
      <c r="E699" s="101" t="s">
        <v>139</v>
      </c>
    </row>
    <row r="700" spans="1:5" x14ac:dyDescent="0.3">
      <c r="A700" t="str">
        <f t="shared" si="10"/>
        <v>0814802</v>
      </c>
      <c r="B700" s="101" t="s">
        <v>320</v>
      </c>
      <c r="C700" s="101" t="s">
        <v>156</v>
      </c>
      <c r="D700" s="101" t="s">
        <v>145</v>
      </c>
      <c r="E700" s="101" t="s">
        <v>139</v>
      </c>
    </row>
    <row r="701" spans="1:5" x14ac:dyDescent="0.3">
      <c r="A701" t="str">
        <f t="shared" si="10"/>
        <v>0814500</v>
      </c>
      <c r="B701" s="101" t="s">
        <v>320</v>
      </c>
      <c r="C701" s="101" t="s">
        <v>156</v>
      </c>
      <c r="D701" s="101" t="s">
        <v>146</v>
      </c>
      <c r="E701" s="101" t="s">
        <v>139</v>
      </c>
    </row>
    <row r="702" spans="1:5" x14ac:dyDescent="0.3">
      <c r="A702" t="str">
        <f t="shared" si="10"/>
        <v>0814517</v>
      </c>
      <c r="B702" s="101" t="s">
        <v>320</v>
      </c>
      <c r="C702" s="101" t="s">
        <v>156</v>
      </c>
      <c r="D702" s="101" t="s">
        <v>390</v>
      </c>
      <c r="E702" s="101" t="s">
        <v>139</v>
      </c>
    </row>
    <row r="703" spans="1:5" x14ac:dyDescent="0.3">
      <c r="A703" t="str">
        <f t="shared" si="10"/>
        <v>0814565</v>
      </c>
      <c r="B703" s="101" t="s">
        <v>320</v>
      </c>
      <c r="C703" s="101" t="s">
        <v>156</v>
      </c>
      <c r="D703" s="101" t="s">
        <v>424</v>
      </c>
      <c r="E703" s="101" t="s">
        <v>139</v>
      </c>
    </row>
    <row r="704" spans="1:5" x14ac:dyDescent="0.3">
      <c r="A704" t="str">
        <f t="shared" si="10"/>
        <v>0814811</v>
      </c>
      <c r="B704" s="101" t="s">
        <v>320</v>
      </c>
      <c r="C704" s="101" t="s">
        <v>156</v>
      </c>
      <c r="D704" s="101" t="s">
        <v>189</v>
      </c>
      <c r="E704" s="101" t="s">
        <v>17</v>
      </c>
    </row>
    <row r="705" spans="1:5" x14ac:dyDescent="0.3">
      <c r="A705" t="str">
        <f t="shared" si="10"/>
        <v>0814812</v>
      </c>
      <c r="B705" s="101" t="s">
        <v>320</v>
      </c>
      <c r="C705" s="101" t="s">
        <v>156</v>
      </c>
      <c r="D705" s="101" t="s">
        <v>190</v>
      </c>
      <c r="E705" s="101" t="s">
        <v>17</v>
      </c>
    </row>
    <row r="706" spans="1:5" x14ac:dyDescent="0.3">
      <c r="A706" t="str">
        <f t="shared" si="10"/>
        <v>0814524</v>
      </c>
      <c r="B706" s="101" t="s">
        <v>320</v>
      </c>
      <c r="C706" s="101" t="s">
        <v>156</v>
      </c>
      <c r="D706" s="101" t="s">
        <v>351</v>
      </c>
      <c r="E706" s="101" t="s">
        <v>17</v>
      </c>
    </row>
    <row r="707" spans="1:5" x14ac:dyDescent="0.3">
      <c r="A707" t="str">
        <f t="shared" ref="A707:A770" si="11">CONCATENATE(B707,C707,D707,F707)</f>
        <v>0814526</v>
      </c>
      <c r="B707" s="101" t="s">
        <v>320</v>
      </c>
      <c r="C707" s="101" t="s">
        <v>156</v>
      </c>
      <c r="D707" s="101" t="s">
        <v>379</v>
      </c>
      <c r="E707" s="101" t="s">
        <v>17</v>
      </c>
    </row>
    <row r="708" spans="1:5" x14ac:dyDescent="0.3">
      <c r="A708" t="str">
        <f t="shared" si="11"/>
        <v>0814032</v>
      </c>
      <c r="B708" s="101" t="s">
        <v>320</v>
      </c>
      <c r="C708" s="101" t="s">
        <v>156</v>
      </c>
      <c r="D708" s="101" t="s">
        <v>370</v>
      </c>
      <c r="E708" s="101" t="s">
        <v>17</v>
      </c>
    </row>
    <row r="709" spans="1:5" x14ac:dyDescent="0.3">
      <c r="A709" t="str">
        <f t="shared" si="11"/>
        <v>0814033</v>
      </c>
      <c r="B709" s="101" t="s">
        <v>320</v>
      </c>
      <c r="C709" s="101" t="s">
        <v>156</v>
      </c>
      <c r="D709" s="101" t="s">
        <v>327</v>
      </c>
      <c r="E709" s="101" t="s">
        <v>17</v>
      </c>
    </row>
    <row r="710" spans="1:5" x14ac:dyDescent="0.3">
      <c r="A710" t="str">
        <f t="shared" si="11"/>
        <v>0814556</v>
      </c>
      <c r="B710" s="101" t="s">
        <v>320</v>
      </c>
      <c r="C710" s="101" t="s">
        <v>156</v>
      </c>
      <c r="D710" s="101" t="s">
        <v>342</v>
      </c>
      <c r="E710" s="101" t="s">
        <v>17</v>
      </c>
    </row>
    <row r="711" spans="1:5" x14ac:dyDescent="0.3">
      <c r="A711" t="str">
        <f t="shared" si="11"/>
        <v>0814034</v>
      </c>
      <c r="B711" s="101" t="s">
        <v>320</v>
      </c>
      <c r="C711" s="101" t="s">
        <v>156</v>
      </c>
      <c r="D711" s="101" t="s">
        <v>329</v>
      </c>
      <c r="E711" s="101" t="s">
        <v>17</v>
      </c>
    </row>
    <row r="712" spans="1:5" x14ac:dyDescent="0.3">
      <c r="A712" t="str">
        <f t="shared" si="11"/>
        <v>0814035</v>
      </c>
      <c r="B712" s="101" t="s">
        <v>320</v>
      </c>
      <c r="C712" s="101" t="s">
        <v>156</v>
      </c>
      <c r="D712" s="101" t="s">
        <v>497</v>
      </c>
      <c r="E712" s="101" t="s">
        <v>17</v>
      </c>
    </row>
    <row r="713" spans="1:5" x14ac:dyDescent="0.3">
      <c r="A713" t="str">
        <f t="shared" si="11"/>
        <v>0814570</v>
      </c>
      <c r="B713" s="101" t="s">
        <v>320</v>
      </c>
      <c r="C713" s="101" t="s">
        <v>156</v>
      </c>
      <c r="D713" s="101" t="s">
        <v>429</v>
      </c>
      <c r="E713" s="101" t="s">
        <v>17</v>
      </c>
    </row>
    <row r="714" spans="1:5" x14ac:dyDescent="0.3">
      <c r="A714" t="str">
        <f t="shared" si="11"/>
        <v>0315801</v>
      </c>
      <c r="B714" s="101" t="s">
        <v>16</v>
      </c>
      <c r="C714" s="101" t="s">
        <v>158</v>
      </c>
      <c r="D714" s="101" t="s">
        <v>144</v>
      </c>
      <c r="E714" s="101" t="s">
        <v>139</v>
      </c>
    </row>
    <row r="715" spans="1:5" x14ac:dyDescent="0.3">
      <c r="A715" t="str">
        <f t="shared" si="11"/>
        <v>0315500</v>
      </c>
      <c r="B715" s="101" t="s">
        <v>16</v>
      </c>
      <c r="C715" s="101" t="s">
        <v>158</v>
      </c>
      <c r="D715" s="101" t="s">
        <v>146</v>
      </c>
      <c r="E715" s="101" t="s">
        <v>139</v>
      </c>
    </row>
    <row r="716" spans="1:5" x14ac:dyDescent="0.3">
      <c r="A716" t="str">
        <f t="shared" si="11"/>
        <v>0315807</v>
      </c>
      <c r="B716" s="101" t="s">
        <v>16</v>
      </c>
      <c r="C716" s="101" t="s">
        <v>158</v>
      </c>
      <c r="D716" s="101" t="s">
        <v>185</v>
      </c>
      <c r="E716" s="101" t="s">
        <v>17</v>
      </c>
    </row>
    <row r="717" spans="1:5" x14ac:dyDescent="0.3">
      <c r="A717" t="str">
        <f t="shared" si="11"/>
        <v>0315808</v>
      </c>
      <c r="B717" s="101" t="s">
        <v>16</v>
      </c>
      <c r="C717" s="101" t="s">
        <v>158</v>
      </c>
      <c r="D717" s="101" t="s">
        <v>186</v>
      </c>
      <c r="E717" s="101" t="s">
        <v>17</v>
      </c>
    </row>
    <row r="718" spans="1:5" x14ac:dyDescent="0.3">
      <c r="A718" t="str">
        <f t="shared" si="11"/>
        <v>0315809</v>
      </c>
      <c r="B718" s="101" t="s">
        <v>16</v>
      </c>
      <c r="C718" s="101" t="s">
        <v>158</v>
      </c>
      <c r="D718" s="101" t="s">
        <v>187</v>
      </c>
      <c r="E718" s="101" t="s">
        <v>17</v>
      </c>
    </row>
    <row r="719" spans="1:5" x14ac:dyDescent="0.3">
      <c r="A719" t="str">
        <f t="shared" si="11"/>
        <v>0315810</v>
      </c>
      <c r="B719" s="101" t="s">
        <v>16</v>
      </c>
      <c r="C719" s="101" t="s">
        <v>158</v>
      </c>
      <c r="D719" s="101" t="s">
        <v>188</v>
      </c>
      <c r="E719" s="101" t="s">
        <v>17</v>
      </c>
    </row>
    <row r="720" spans="1:5" x14ac:dyDescent="0.3">
      <c r="A720" t="str">
        <f t="shared" si="11"/>
        <v>0315534</v>
      </c>
      <c r="B720" s="101" t="s">
        <v>16</v>
      </c>
      <c r="C720" s="101" t="s">
        <v>158</v>
      </c>
      <c r="D720" s="101" t="s">
        <v>350</v>
      </c>
      <c r="E720" s="101" t="s">
        <v>17</v>
      </c>
    </row>
    <row r="721" spans="1:5" x14ac:dyDescent="0.3">
      <c r="A721" t="str">
        <f t="shared" si="11"/>
        <v>0315535</v>
      </c>
      <c r="B721" s="101" t="s">
        <v>16</v>
      </c>
      <c r="C721" s="101" t="s">
        <v>158</v>
      </c>
      <c r="D721" s="101" t="s">
        <v>410</v>
      </c>
      <c r="E721" s="101" t="s">
        <v>17</v>
      </c>
    </row>
    <row r="722" spans="1:5" x14ac:dyDescent="0.3">
      <c r="A722" t="str">
        <f t="shared" si="11"/>
        <v>0315519</v>
      </c>
      <c r="B722" s="101" t="s">
        <v>16</v>
      </c>
      <c r="C722" s="101" t="s">
        <v>158</v>
      </c>
      <c r="D722" s="101" t="s">
        <v>383</v>
      </c>
      <c r="E722" s="101" t="s">
        <v>17</v>
      </c>
    </row>
    <row r="723" spans="1:5" x14ac:dyDescent="0.3">
      <c r="A723" t="str">
        <f t="shared" si="11"/>
        <v>0315520</v>
      </c>
      <c r="B723" s="101" t="s">
        <v>16</v>
      </c>
      <c r="C723" s="101" t="s">
        <v>158</v>
      </c>
      <c r="D723" s="101" t="s">
        <v>404</v>
      </c>
      <c r="E723" s="101" t="s">
        <v>17</v>
      </c>
    </row>
    <row r="724" spans="1:5" x14ac:dyDescent="0.3">
      <c r="A724" t="str">
        <f t="shared" si="11"/>
        <v>0315522</v>
      </c>
      <c r="B724" s="101" t="s">
        <v>16</v>
      </c>
      <c r="C724" s="101" t="s">
        <v>158</v>
      </c>
      <c r="D724" s="101" t="s">
        <v>345</v>
      </c>
      <c r="E724" s="101" t="s">
        <v>17</v>
      </c>
    </row>
    <row r="725" spans="1:5" x14ac:dyDescent="0.3">
      <c r="A725" t="str">
        <f t="shared" si="11"/>
        <v>0315523</v>
      </c>
      <c r="B725" s="101" t="s">
        <v>16</v>
      </c>
      <c r="C725" s="101" t="s">
        <v>158</v>
      </c>
      <c r="D725" s="101" t="s">
        <v>408</v>
      </c>
      <c r="E725" s="101" t="s">
        <v>17</v>
      </c>
    </row>
    <row r="726" spans="1:5" x14ac:dyDescent="0.3">
      <c r="A726" t="str">
        <f t="shared" si="11"/>
        <v>0315525</v>
      </c>
      <c r="B726" s="101" t="s">
        <v>16</v>
      </c>
      <c r="C726" s="101" t="s">
        <v>158</v>
      </c>
      <c r="D726" s="101" t="s">
        <v>394</v>
      </c>
      <c r="E726" s="101" t="s">
        <v>17</v>
      </c>
    </row>
    <row r="727" spans="1:5" x14ac:dyDescent="0.3">
      <c r="A727" t="str">
        <f t="shared" si="11"/>
        <v>0315526</v>
      </c>
      <c r="B727" s="101" t="s">
        <v>16</v>
      </c>
      <c r="C727" s="101" t="s">
        <v>158</v>
      </c>
      <c r="D727" s="101" t="s">
        <v>379</v>
      </c>
      <c r="E727" s="101" t="s">
        <v>17</v>
      </c>
    </row>
    <row r="728" spans="1:5" x14ac:dyDescent="0.3">
      <c r="A728" t="str">
        <f t="shared" si="11"/>
        <v>0315528</v>
      </c>
      <c r="B728" s="101" t="s">
        <v>16</v>
      </c>
      <c r="C728" s="101" t="s">
        <v>158</v>
      </c>
      <c r="D728" s="101" t="s">
        <v>381</v>
      </c>
      <c r="E728" s="101" t="s">
        <v>17</v>
      </c>
    </row>
    <row r="729" spans="1:5" x14ac:dyDescent="0.3">
      <c r="A729" t="str">
        <f t="shared" si="11"/>
        <v>0315529</v>
      </c>
      <c r="B729" s="101" t="s">
        <v>16</v>
      </c>
      <c r="C729" s="101" t="s">
        <v>158</v>
      </c>
      <c r="D729" s="101" t="s">
        <v>364</v>
      </c>
      <c r="E729" s="101" t="s">
        <v>17</v>
      </c>
    </row>
    <row r="730" spans="1:5" x14ac:dyDescent="0.3">
      <c r="A730" t="str">
        <f t="shared" si="11"/>
        <v>0315043</v>
      </c>
      <c r="B730" s="101" t="s">
        <v>16</v>
      </c>
      <c r="C730" s="101" t="s">
        <v>158</v>
      </c>
      <c r="D730" s="101" t="s">
        <v>419</v>
      </c>
      <c r="E730" s="101" t="s">
        <v>19</v>
      </c>
    </row>
    <row r="731" spans="1:5" x14ac:dyDescent="0.3">
      <c r="A731" t="str">
        <f t="shared" si="11"/>
        <v>0315543</v>
      </c>
      <c r="B731" s="101" t="s">
        <v>16</v>
      </c>
      <c r="C731" s="101" t="s">
        <v>158</v>
      </c>
      <c r="D731" s="101" t="s">
        <v>347</v>
      </c>
      <c r="E731" s="101" t="s">
        <v>19</v>
      </c>
    </row>
    <row r="732" spans="1:5" x14ac:dyDescent="0.3">
      <c r="A732" t="str">
        <f t="shared" si="11"/>
        <v>0315011</v>
      </c>
      <c r="B732" s="101" t="s">
        <v>16</v>
      </c>
      <c r="C732" s="101" t="s">
        <v>158</v>
      </c>
      <c r="D732" s="101" t="s">
        <v>402</v>
      </c>
      <c r="E732" s="101" t="s">
        <v>17</v>
      </c>
    </row>
    <row r="733" spans="1:5" x14ac:dyDescent="0.3">
      <c r="A733" t="str">
        <f t="shared" si="11"/>
        <v>0315012</v>
      </c>
      <c r="B733" s="101" t="s">
        <v>16</v>
      </c>
      <c r="C733" s="101" t="s">
        <v>158</v>
      </c>
      <c r="D733" s="101" t="s">
        <v>392</v>
      </c>
      <c r="E733" s="101" t="s">
        <v>17</v>
      </c>
    </row>
    <row r="734" spans="1:5" x14ac:dyDescent="0.3">
      <c r="A734" t="str">
        <f t="shared" si="11"/>
        <v>0315013</v>
      </c>
      <c r="B734" s="101" t="s">
        <v>16</v>
      </c>
      <c r="C734" s="101" t="s">
        <v>158</v>
      </c>
      <c r="D734" s="101" t="s">
        <v>403</v>
      </c>
      <c r="E734" s="101" t="s">
        <v>17</v>
      </c>
    </row>
    <row r="735" spans="1:5" x14ac:dyDescent="0.3">
      <c r="A735" t="str">
        <f t="shared" si="11"/>
        <v>0315014</v>
      </c>
      <c r="B735" s="101" t="s">
        <v>16</v>
      </c>
      <c r="C735" s="101" t="s">
        <v>158</v>
      </c>
      <c r="D735" s="101" t="s">
        <v>531</v>
      </c>
      <c r="E735" s="101" t="s">
        <v>17</v>
      </c>
    </row>
    <row r="736" spans="1:5" x14ac:dyDescent="0.3">
      <c r="A736" t="str">
        <f t="shared" si="11"/>
        <v>0315822</v>
      </c>
      <c r="B736" s="101" t="s">
        <v>16</v>
      </c>
      <c r="C736" s="101" t="s">
        <v>158</v>
      </c>
      <c r="D736" s="101" t="s">
        <v>532</v>
      </c>
      <c r="E736" s="101" t="s">
        <v>17</v>
      </c>
    </row>
    <row r="737" spans="1:5" x14ac:dyDescent="0.3">
      <c r="A737" t="str">
        <f t="shared" si="11"/>
        <v>0315823</v>
      </c>
      <c r="B737" s="101" t="s">
        <v>16</v>
      </c>
      <c r="C737" s="101" t="s">
        <v>158</v>
      </c>
      <c r="D737" s="101" t="s">
        <v>533</v>
      </c>
      <c r="E737" s="101" t="s">
        <v>17</v>
      </c>
    </row>
    <row r="738" spans="1:5" x14ac:dyDescent="0.3">
      <c r="A738" t="str">
        <f t="shared" si="11"/>
        <v>0315511</v>
      </c>
      <c r="B738" s="101" t="s">
        <v>16</v>
      </c>
      <c r="C738" s="101" t="s">
        <v>158</v>
      </c>
      <c r="D738" s="101" t="s">
        <v>386</v>
      </c>
      <c r="E738" s="101" t="s">
        <v>17</v>
      </c>
    </row>
    <row r="739" spans="1:5" x14ac:dyDescent="0.3">
      <c r="A739" t="str">
        <f t="shared" si="11"/>
        <v>0315512</v>
      </c>
      <c r="B739" s="101" t="s">
        <v>16</v>
      </c>
      <c r="C739" s="101" t="s">
        <v>158</v>
      </c>
      <c r="D739" s="101" t="s">
        <v>398</v>
      </c>
      <c r="E739" s="101" t="s">
        <v>17</v>
      </c>
    </row>
    <row r="740" spans="1:5" x14ac:dyDescent="0.3">
      <c r="A740" t="str">
        <f t="shared" si="11"/>
        <v>0315513</v>
      </c>
      <c r="B740" s="101" t="s">
        <v>16</v>
      </c>
      <c r="C740" s="101" t="s">
        <v>158</v>
      </c>
      <c r="D740" s="101" t="s">
        <v>387</v>
      </c>
      <c r="E740" s="101" t="s">
        <v>17</v>
      </c>
    </row>
    <row r="741" spans="1:5" x14ac:dyDescent="0.3">
      <c r="A741" t="str">
        <f t="shared" si="11"/>
        <v>0315514</v>
      </c>
      <c r="B741" s="101" t="s">
        <v>16</v>
      </c>
      <c r="C741" s="101" t="s">
        <v>158</v>
      </c>
      <c r="D741" s="101" t="s">
        <v>388</v>
      </c>
      <c r="E741" s="101" t="s">
        <v>17</v>
      </c>
    </row>
    <row r="742" spans="1:5" x14ac:dyDescent="0.3">
      <c r="A742" t="str">
        <f t="shared" si="11"/>
        <v>0315539</v>
      </c>
      <c r="B742" s="101" t="s">
        <v>16</v>
      </c>
      <c r="C742" s="101" t="s">
        <v>158</v>
      </c>
      <c r="D742" s="101" t="s">
        <v>378</v>
      </c>
      <c r="E742" s="101" t="s">
        <v>17</v>
      </c>
    </row>
    <row r="743" spans="1:5" x14ac:dyDescent="0.3">
      <c r="A743" t="str">
        <f t="shared" si="11"/>
        <v>0315540</v>
      </c>
      <c r="B743" s="101" t="s">
        <v>16</v>
      </c>
      <c r="C743" s="101" t="s">
        <v>158</v>
      </c>
      <c r="D743" s="101" t="s">
        <v>411</v>
      </c>
      <c r="E743" s="101" t="s">
        <v>17</v>
      </c>
    </row>
    <row r="744" spans="1:5" x14ac:dyDescent="0.3">
      <c r="A744" t="str">
        <f t="shared" si="11"/>
        <v>0415801</v>
      </c>
      <c r="B744" s="101" t="s">
        <v>18</v>
      </c>
      <c r="C744" s="101" t="s">
        <v>158</v>
      </c>
      <c r="D744" s="101" t="s">
        <v>144</v>
      </c>
      <c r="E744" s="101" t="s">
        <v>139</v>
      </c>
    </row>
    <row r="745" spans="1:5" x14ac:dyDescent="0.3">
      <c r="A745" t="str">
        <f t="shared" si="11"/>
        <v>0415500</v>
      </c>
      <c r="B745" s="101" t="s">
        <v>18</v>
      </c>
      <c r="C745" s="101" t="s">
        <v>158</v>
      </c>
      <c r="D745" s="101" t="s">
        <v>146</v>
      </c>
      <c r="E745" s="101" t="s">
        <v>139</v>
      </c>
    </row>
    <row r="746" spans="1:5" x14ac:dyDescent="0.3">
      <c r="A746" t="str">
        <f t="shared" si="11"/>
        <v>0415807</v>
      </c>
      <c r="B746" s="101" t="s">
        <v>18</v>
      </c>
      <c r="C746" s="101" t="s">
        <v>158</v>
      </c>
      <c r="D746" s="101" t="s">
        <v>185</v>
      </c>
      <c r="E746" s="101" t="s">
        <v>17</v>
      </c>
    </row>
    <row r="747" spans="1:5" x14ac:dyDescent="0.3">
      <c r="A747" t="str">
        <f t="shared" si="11"/>
        <v>0415808</v>
      </c>
      <c r="B747" s="101" t="s">
        <v>18</v>
      </c>
      <c r="C747" s="101" t="s">
        <v>158</v>
      </c>
      <c r="D747" s="101" t="s">
        <v>186</v>
      </c>
      <c r="E747" s="101" t="s">
        <v>17</v>
      </c>
    </row>
    <row r="748" spans="1:5" x14ac:dyDescent="0.3">
      <c r="A748" t="str">
        <f t="shared" si="11"/>
        <v>0415809</v>
      </c>
      <c r="B748" s="101" t="s">
        <v>18</v>
      </c>
      <c r="C748" s="101" t="s">
        <v>158</v>
      </c>
      <c r="D748" s="101" t="s">
        <v>187</v>
      </c>
      <c r="E748" s="101" t="s">
        <v>17</v>
      </c>
    </row>
    <row r="749" spans="1:5" x14ac:dyDescent="0.3">
      <c r="A749" t="str">
        <f t="shared" si="11"/>
        <v>0415810</v>
      </c>
      <c r="B749" s="101" t="s">
        <v>18</v>
      </c>
      <c r="C749" s="101" t="s">
        <v>158</v>
      </c>
      <c r="D749" s="101" t="s">
        <v>188</v>
      </c>
      <c r="E749" s="101" t="s">
        <v>17</v>
      </c>
    </row>
    <row r="750" spans="1:5" x14ac:dyDescent="0.3">
      <c r="A750" t="str">
        <f t="shared" si="11"/>
        <v>0415534</v>
      </c>
      <c r="B750" s="101" t="s">
        <v>18</v>
      </c>
      <c r="C750" s="101" t="s">
        <v>158</v>
      </c>
      <c r="D750" s="101" t="s">
        <v>350</v>
      </c>
      <c r="E750" s="101" t="s">
        <v>17</v>
      </c>
    </row>
    <row r="751" spans="1:5" x14ac:dyDescent="0.3">
      <c r="A751" t="str">
        <f t="shared" si="11"/>
        <v>0415535</v>
      </c>
      <c r="B751" s="101" t="s">
        <v>18</v>
      </c>
      <c r="C751" s="101" t="s">
        <v>158</v>
      </c>
      <c r="D751" s="101" t="s">
        <v>410</v>
      </c>
      <c r="E751" s="101" t="s">
        <v>17</v>
      </c>
    </row>
    <row r="752" spans="1:5" x14ac:dyDescent="0.3">
      <c r="A752" t="str">
        <f t="shared" si="11"/>
        <v>0415519</v>
      </c>
      <c r="B752" s="101" t="s">
        <v>18</v>
      </c>
      <c r="C752" s="101" t="s">
        <v>158</v>
      </c>
      <c r="D752" s="101" t="s">
        <v>383</v>
      </c>
      <c r="E752" s="101" t="s">
        <v>17</v>
      </c>
    </row>
    <row r="753" spans="1:5" x14ac:dyDescent="0.3">
      <c r="A753" t="str">
        <f t="shared" si="11"/>
        <v>0415520</v>
      </c>
      <c r="B753" s="101" t="s">
        <v>18</v>
      </c>
      <c r="C753" s="101" t="s">
        <v>158</v>
      </c>
      <c r="D753" s="101" t="s">
        <v>404</v>
      </c>
      <c r="E753" s="101" t="s">
        <v>17</v>
      </c>
    </row>
    <row r="754" spans="1:5" x14ac:dyDescent="0.3">
      <c r="A754" t="str">
        <f t="shared" si="11"/>
        <v>0415522</v>
      </c>
      <c r="B754" s="101" t="s">
        <v>18</v>
      </c>
      <c r="C754" s="101" t="s">
        <v>158</v>
      </c>
      <c r="D754" s="101" t="s">
        <v>345</v>
      </c>
      <c r="E754" s="101" t="s">
        <v>17</v>
      </c>
    </row>
    <row r="755" spans="1:5" x14ac:dyDescent="0.3">
      <c r="A755" t="str">
        <f t="shared" si="11"/>
        <v>0415523</v>
      </c>
      <c r="B755" s="101" t="s">
        <v>18</v>
      </c>
      <c r="C755" s="101" t="s">
        <v>158</v>
      </c>
      <c r="D755" s="101" t="s">
        <v>408</v>
      </c>
      <c r="E755" s="101" t="s">
        <v>17</v>
      </c>
    </row>
    <row r="756" spans="1:5" x14ac:dyDescent="0.3">
      <c r="A756" t="str">
        <f t="shared" si="11"/>
        <v>0415525</v>
      </c>
      <c r="B756" s="101" t="s">
        <v>18</v>
      </c>
      <c r="C756" s="101" t="s">
        <v>158</v>
      </c>
      <c r="D756" s="101" t="s">
        <v>394</v>
      </c>
      <c r="E756" s="101" t="s">
        <v>17</v>
      </c>
    </row>
    <row r="757" spans="1:5" x14ac:dyDescent="0.3">
      <c r="A757" t="str">
        <f t="shared" si="11"/>
        <v>0415526</v>
      </c>
      <c r="B757" s="101" t="s">
        <v>18</v>
      </c>
      <c r="C757" s="101" t="s">
        <v>158</v>
      </c>
      <c r="D757" s="101" t="s">
        <v>379</v>
      </c>
      <c r="E757" s="101" t="s">
        <v>17</v>
      </c>
    </row>
    <row r="758" spans="1:5" x14ac:dyDescent="0.3">
      <c r="A758" t="str">
        <f t="shared" si="11"/>
        <v>0415528</v>
      </c>
      <c r="B758" s="101" t="s">
        <v>18</v>
      </c>
      <c r="C758" s="101" t="s">
        <v>158</v>
      </c>
      <c r="D758" s="101" t="s">
        <v>381</v>
      </c>
      <c r="E758" s="101" t="s">
        <v>17</v>
      </c>
    </row>
    <row r="759" spans="1:5" x14ac:dyDescent="0.3">
      <c r="A759" t="str">
        <f t="shared" si="11"/>
        <v>0415529</v>
      </c>
      <c r="B759" s="101" t="s">
        <v>18</v>
      </c>
      <c r="C759" s="101" t="s">
        <v>158</v>
      </c>
      <c r="D759" s="101" t="s">
        <v>364</v>
      </c>
      <c r="E759" s="101" t="s">
        <v>17</v>
      </c>
    </row>
    <row r="760" spans="1:5" x14ac:dyDescent="0.3">
      <c r="A760" t="str">
        <f t="shared" si="11"/>
        <v>0415043</v>
      </c>
      <c r="B760" s="101" t="s">
        <v>18</v>
      </c>
      <c r="C760" s="101" t="s">
        <v>158</v>
      </c>
      <c r="D760" s="101" t="s">
        <v>419</v>
      </c>
      <c r="E760" s="101" t="s">
        <v>19</v>
      </c>
    </row>
    <row r="761" spans="1:5" x14ac:dyDescent="0.3">
      <c r="A761" t="str">
        <f t="shared" si="11"/>
        <v>0415543</v>
      </c>
      <c r="B761" s="101" t="s">
        <v>18</v>
      </c>
      <c r="C761" s="101" t="s">
        <v>158</v>
      </c>
      <c r="D761" s="101" t="s">
        <v>347</v>
      </c>
      <c r="E761" s="101" t="s">
        <v>19</v>
      </c>
    </row>
    <row r="762" spans="1:5" x14ac:dyDescent="0.3">
      <c r="A762" t="str">
        <f t="shared" si="11"/>
        <v>0415011</v>
      </c>
      <c r="B762" s="101" t="s">
        <v>18</v>
      </c>
      <c r="C762" s="101" t="s">
        <v>158</v>
      </c>
      <c r="D762" s="101" t="s">
        <v>402</v>
      </c>
      <c r="E762" s="101" t="s">
        <v>17</v>
      </c>
    </row>
    <row r="763" spans="1:5" x14ac:dyDescent="0.3">
      <c r="A763" t="str">
        <f t="shared" si="11"/>
        <v>0415012</v>
      </c>
      <c r="B763" s="101" t="s">
        <v>18</v>
      </c>
      <c r="C763" s="101" t="s">
        <v>158</v>
      </c>
      <c r="D763" s="101" t="s">
        <v>392</v>
      </c>
      <c r="E763" s="101" t="s">
        <v>17</v>
      </c>
    </row>
    <row r="764" spans="1:5" x14ac:dyDescent="0.3">
      <c r="A764" t="str">
        <f t="shared" si="11"/>
        <v>0415013</v>
      </c>
      <c r="B764" s="101" t="s">
        <v>18</v>
      </c>
      <c r="C764" s="101" t="s">
        <v>158</v>
      </c>
      <c r="D764" s="101" t="s">
        <v>403</v>
      </c>
      <c r="E764" s="101" t="s">
        <v>17</v>
      </c>
    </row>
    <row r="765" spans="1:5" x14ac:dyDescent="0.3">
      <c r="A765" t="str">
        <f t="shared" si="11"/>
        <v>0415014</v>
      </c>
      <c r="B765" s="101" t="s">
        <v>18</v>
      </c>
      <c r="C765" s="101" t="s">
        <v>158</v>
      </c>
      <c r="D765" s="101" t="s">
        <v>531</v>
      </c>
      <c r="E765" s="101" t="s">
        <v>17</v>
      </c>
    </row>
    <row r="766" spans="1:5" x14ac:dyDescent="0.3">
      <c r="A766" t="str">
        <f t="shared" si="11"/>
        <v>0415822</v>
      </c>
      <c r="B766" s="101" t="s">
        <v>18</v>
      </c>
      <c r="C766" s="101" t="s">
        <v>158</v>
      </c>
      <c r="D766" s="101" t="s">
        <v>532</v>
      </c>
      <c r="E766" s="101" t="s">
        <v>17</v>
      </c>
    </row>
    <row r="767" spans="1:5" x14ac:dyDescent="0.3">
      <c r="A767" t="str">
        <f t="shared" si="11"/>
        <v>0415823</v>
      </c>
      <c r="B767" s="101" t="s">
        <v>18</v>
      </c>
      <c r="C767" s="101" t="s">
        <v>158</v>
      </c>
      <c r="D767" s="101" t="s">
        <v>533</v>
      </c>
      <c r="E767" s="101" t="s">
        <v>17</v>
      </c>
    </row>
    <row r="768" spans="1:5" x14ac:dyDescent="0.3">
      <c r="A768" t="str">
        <f t="shared" si="11"/>
        <v>0415511</v>
      </c>
      <c r="B768" s="101" t="s">
        <v>18</v>
      </c>
      <c r="C768" s="101" t="s">
        <v>158</v>
      </c>
      <c r="D768" s="101" t="s">
        <v>386</v>
      </c>
      <c r="E768" s="101" t="s">
        <v>17</v>
      </c>
    </row>
    <row r="769" spans="1:5" x14ac:dyDescent="0.3">
      <c r="A769" t="str">
        <f t="shared" si="11"/>
        <v>0415512</v>
      </c>
      <c r="B769" s="101" t="s">
        <v>18</v>
      </c>
      <c r="C769" s="101" t="s">
        <v>158</v>
      </c>
      <c r="D769" s="101" t="s">
        <v>398</v>
      </c>
      <c r="E769" s="101" t="s">
        <v>17</v>
      </c>
    </row>
    <row r="770" spans="1:5" x14ac:dyDescent="0.3">
      <c r="A770" t="str">
        <f t="shared" si="11"/>
        <v>0415513</v>
      </c>
      <c r="B770" s="101" t="s">
        <v>18</v>
      </c>
      <c r="C770" s="101" t="s">
        <v>158</v>
      </c>
      <c r="D770" s="101" t="s">
        <v>387</v>
      </c>
      <c r="E770" s="101" t="s">
        <v>17</v>
      </c>
    </row>
    <row r="771" spans="1:5" x14ac:dyDescent="0.3">
      <c r="A771" t="str">
        <f t="shared" ref="A771:A834" si="12">CONCATENATE(B771,C771,D771,F771)</f>
        <v>0415514</v>
      </c>
      <c r="B771" s="101" t="s">
        <v>18</v>
      </c>
      <c r="C771" s="101" t="s">
        <v>158</v>
      </c>
      <c r="D771" s="101" t="s">
        <v>388</v>
      </c>
      <c r="E771" s="101" t="s">
        <v>17</v>
      </c>
    </row>
    <row r="772" spans="1:5" x14ac:dyDescent="0.3">
      <c r="A772" t="str">
        <f t="shared" si="12"/>
        <v>0415539</v>
      </c>
      <c r="B772" s="101" t="s">
        <v>18</v>
      </c>
      <c r="C772" s="101" t="s">
        <v>158</v>
      </c>
      <c r="D772" s="101" t="s">
        <v>378</v>
      </c>
      <c r="E772" s="101" t="s">
        <v>17</v>
      </c>
    </row>
    <row r="773" spans="1:5" x14ac:dyDescent="0.3">
      <c r="A773" t="str">
        <f t="shared" si="12"/>
        <v>0415540</v>
      </c>
      <c r="B773" s="101" t="s">
        <v>18</v>
      </c>
      <c r="C773" s="101" t="s">
        <v>158</v>
      </c>
      <c r="D773" s="101" t="s">
        <v>411</v>
      </c>
      <c r="E773" s="101" t="s">
        <v>17</v>
      </c>
    </row>
    <row r="774" spans="1:5" x14ac:dyDescent="0.3">
      <c r="A774" t="str">
        <f t="shared" si="12"/>
        <v>0515801</v>
      </c>
      <c r="B774" s="101" t="s">
        <v>313</v>
      </c>
      <c r="C774" s="101" t="s">
        <v>158</v>
      </c>
      <c r="D774" s="101" t="s">
        <v>144</v>
      </c>
      <c r="E774" s="101" t="s">
        <v>139</v>
      </c>
    </row>
    <row r="775" spans="1:5" x14ac:dyDescent="0.3">
      <c r="A775" t="str">
        <f t="shared" si="12"/>
        <v>0515500</v>
      </c>
      <c r="B775" s="101" t="s">
        <v>313</v>
      </c>
      <c r="C775" s="101" t="s">
        <v>158</v>
      </c>
      <c r="D775" s="101" t="s">
        <v>146</v>
      </c>
      <c r="E775" s="101" t="s">
        <v>139</v>
      </c>
    </row>
    <row r="776" spans="1:5" x14ac:dyDescent="0.3">
      <c r="A776" t="str">
        <f t="shared" si="12"/>
        <v>0515811</v>
      </c>
      <c r="B776" s="101" t="s">
        <v>313</v>
      </c>
      <c r="C776" s="101" t="s">
        <v>158</v>
      </c>
      <c r="D776" s="101" t="s">
        <v>189</v>
      </c>
      <c r="E776" s="101" t="s">
        <v>17</v>
      </c>
    </row>
    <row r="777" spans="1:5" x14ac:dyDescent="0.3">
      <c r="A777" t="str">
        <f t="shared" si="12"/>
        <v>0515812</v>
      </c>
      <c r="B777" s="101" t="s">
        <v>313</v>
      </c>
      <c r="C777" s="101" t="s">
        <v>158</v>
      </c>
      <c r="D777" s="101" t="s">
        <v>190</v>
      </c>
      <c r="E777" s="101" t="s">
        <v>17</v>
      </c>
    </row>
    <row r="778" spans="1:5" x14ac:dyDescent="0.3">
      <c r="A778" t="str">
        <f t="shared" si="12"/>
        <v>0515517</v>
      </c>
      <c r="B778" s="101" t="s">
        <v>313</v>
      </c>
      <c r="C778" s="101" t="s">
        <v>158</v>
      </c>
      <c r="D778" s="101" t="s">
        <v>390</v>
      </c>
      <c r="E778" s="101" t="s">
        <v>17</v>
      </c>
    </row>
    <row r="779" spans="1:5" x14ac:dyDescent="0.3">
      <c r="A779" t="str">
        <f t="shared" si="12"/>
        <v>0515518</v>
      </c>
      <c r="B779" s="101" t="s">
        <v>313</v>
      </c>
      <c r="C779" s="101" t="s">
        <v>158</v>
      </c>
      <c r="D779" s="101" t="s">
        <v>382</v>
      </c>
      <c r="E779" s="101" t="s">
        <v>17</v>
      </c>
    </row>
    <row r="780" spans="1:5" x14ac:dyDescent="0.3">
      <c r="A780" t="str">
        <f t="shared" si="12"/>
        <v>0615801</v>
      </c>
      <c r="B780" s="101" t="s">
        <v>317</v>
      </c>
      <c r="C780" s="101" t="s">
        <v>158</v>
      </c>
      <c r="D780" s="101" t="s">
        <v>144</v>
      </c>
      <c r="E780" s="101" t="s">
        <v>139</v>
      </c>
    </row>
    <row r="781" spans="1:5" x14ac:dyDescent="0.3">
      <c r="A781" t="str">
        <f t="shared" si="12"/>
        <v>0615500</v>
      </c>
      <c r="B781" s="101" t="s">
        <v>317</v>
      </c>
      <c r="C781" s="101" t="s">
        <v>158</v>
      </c>
      <c r="D781" s="101" t="s">
        <v>146</v>
      </c>
      <c r="E781" s="101" t="s">
        <v>139</v>
      </c>
    </row>
    <row r="782" spans="1:5" x14ac:dyDescent="0.3">
      <c r="A782" t="str">
        <f t="shared" si="12"/>
        <v>0615811</v>
      </c>
      <c r="B782" s="101" t="s">
        <v>317</v>
      </c>
      <c r="C782" s="101" t="s">
        <v>158</v>
      </c>
      <c r="D782" s="101" t="s">
        <v>189</v>
      </c>
      <c r="E782" s="101" t="s">
        <v>17</v>
      </c>
    </row>
    <row r="783" spans="1:5" x14ac:dyDescent="0.3">
      <c r="A783" t="str">
        <f t="shared" si="12"/>
        <v>0615812</v>
      </c>
      <c r="B783" s="101" t="s">
        <v>317</v>
      </c>
      <c r="C783" s="101" t="s">
        <v>158</v>
      </c>
      <c r="D783" s="101" t="s">
        <v>190</v>
      </c>
      <c r="E783" s="101" t="s">
        <v>17</v>
      </c>
    </row>
    <row r="784" spans="1:5" x14ac:dyDescent="0.3">
      <c r="A784" t="str">
        <f t="shared" si="12"/>
        <v>0615517</v>
      </c>
      <c r="B784" s="101" t="s">
        <v>317</v>
      </c>
      <c r="C784" s="101" t="s">
        <v>158</v>
      </c>
      <c r="D784" s="101" t="s">
        <v>390</v>
      </c>
      <c r="E784" s="101" t="s">
        <v>17</v>
      </c>
    </row>
    <row r="785" spans="1:5" x14ac:dyDescent="0.3">
      <c r="A785" t="str">
        <f t="shared" si="12"/>
        <v>0615518</v>
      </c>
      <c r="B785" s="101" t="s">
        <v>317</v>
      </c>
      <c r="C785" s="101" t="s">
        <v>158</v>
      </c>
      <c r="D785" s="101" t="s">
        <v>382</v>
      </c>
      <c r="E785" s="101" t="s">
        <v>17</v>
      </c>
    </row>
    <row r="786" spans="1:5" x14ac:dyDescent="0.3">
      <c r="A786" t="str">
        <f t="shared" si="12"/>
        <v>0715801</v>
      </c>
      <c r="B786" s="101" t="s">
        <v>319</v>
      </c>
      <c r="C786" s="101" t="s">
        <v>158</v>
      </c>
      <c r="D786" s="101" t="s">
        <v>144</v>
      </c>
      <c r="E786" s="101" t="s">
        <v>139</v>
      </c>
    </row>
    <row r="787" spans="1:5" x14ac:dyDescent="0.3">
      <c r="A787" t="str">
        <f t="shared" si="12"/>
        <v>0715500</v>
      </c>
      <c r="B787" s="101" t="s">
        <v>319</v>
      </c>
      <c r="C787" s="101" t="s">
        <v>158</v>
      </c>
      <c r="D787" s="101" t="s">
        <v>146</v>
      </c>
      <c r="E787" s="101" t="s">
        <v>139</v>
      </c>
    </row>
    <row r="788" spans="1:5" x14ac:dyDescent="0.3">
      <c r="A788" t="str">
        <f t="shared" si="12"/>
        <v>0715811</v>
      </c>
      <c r="B788" s="101" t="s">
        <v>319</v>
      </c>
      <c r="C788" s="101" t="s">
        <v>158</v>
      </c>
      <c r="D788" s="101" t="s">
        <v>189</v>
      </c>
      <c r="E788" s="101" t="s">
        <v>17</v>
      </c>
    </row>
    <row r="789" spans="1:5" x14ac:dyDescent="0.3">
      <c r="A789" t="str">
        <f t="shared" si="12"/>
        <v>0715812</v>
      </c>
      <c r="B789" s="101" t="s">
        <v>319</v>
      </c>
      <c r="C789" s="101" t="s">
        <v>158</v>
      </c>
      <c r="D789" s="101" t="s">
        <v>190</v>
      </c>
      <c r="E789" s="101" t="s">
        <v>17</v>
      </c>
    </row>
    <row r="790" spans="1:5" x14ac:dyDescent="0.3">
      <c r="A790" t="str">
        <f t="shared" si="12"/>
        <v>0715517</v>
      </c>
      <c r="B790" s="101" t="s">
        <v>319</v>
      </c>
      <c r="C790" s="101" t="s">
        <v>158</v>
      </c>
      <c r="D790" s="101" t="s">
        <v>390</v>
      </c>
      <c r="E790" s="101" t="s">
        <v>17</v>
      </c>
    </row>
    <row r="791" spans="1:5" x14ac:dyDescent="0.3">
      <c r="A791" t="str">
        <f t="shared" si="12"/>
        <v>0715518</v>
      </c>
      <c r="B791" s="101" t="s">
        <v>319</v>
      </c>
      <c r="C791" s="101" t="s">
        <v>158</v>
      </c>
      <c r="D791" s="101" t="s">
        <v>382</v>
      </c>
      <c r="E791" s="101" t="s">
        <v>17</v>
      </c>
    </row>
    <row r="792" spans="1:5" x14ac:dyDescent="0.3">
      <c r="A792" t="str">
        <f t="shared" si="12"/>
        <v>0815801</v>
      </c>
      <c r="B792" s="101" t="s">
        <v>320</v>
      </c>
      <c r="C792" s="101" t="s">
        <v>158</v>
      </c>
      <c r="D792" s="101" t="s">
        <v>144</v>
      </c>
      <c r="E792" s="101" t="s">
        <v>139</v>
      </c>
    </row>
    <row r="793" spans="1:5" x14ac:dyDescent="0.3">
      <c r="A793" t="str">
        <f t="shared" si="12"/>
        <v>0815500</v>
      </c>
      <c r="B793" s="101" t="s">
        <v>320</v>
      </c>
      <c r="C793" s="101" t="s">
        <v>158</v>
      </c>
      <c r="D793" s="101" t="s">
        <v>146</v>
      </c>
      <c r="E793" s="101" t="s">
        <v>139</v>
      </c>
    </row>
    <row r="794" spans="1:5" x14ac:dyDescent="0.3">
      <c r="A794" t="str">
        <f t="shared" si="12"/>
        <v>0815811</v>
      </c>
      <c r="B794" s="101" t="s">
        <v>320</v>
      </c>
      <c r="C794" s="101" t="s">
        <v>158</v>
      </c>
      <c r="D794" s="101" t="s">
        <v>189</v>
      </c>
      <c r="E794" s="101" t="s">
        <v>17</v>
      </c>
    </row>
    <row r="795" spans="1:5" x14ac:dyDescent="0.3">
      <c r="A795" t="str">
        <f t="shared" si="12"/>
        <v>0815812</v>
      </c>
      <c r="B795" s="101" t="s">
        <v>320</v>
      </c>
      <c r="C795" s="101" t="s">
        <v>158</v>
      </c>
      <c r="D795" s="101" t="s">
        <v>190</v>
      </c>
      <c r="E795" s="101" t="s">
        <v>17</v>
      </c>
    </row>
    <row r="796" spans="1:5" x14ac:dyDescent="0.3">
      <c r="A796" t="str">
        <f t="shared" si="12"/>
        <v>0815517</v>
      </c>
      <c r="B796" s="101" t="s">
        <v>320</v>
      </c>
      <c r="C796" s="101" t="s">
        <v>158</v>
      </c>
      <c r="D796" s="101" t="s">
        <v>390</v>
      </c>
      <c r="E796" s="101" t="s">
        <v>17</v>
      </c>
    </row>
    <row r="797" spans="1:5" x14ac:dyDescent="0.3">
      <c r="A797" t="str">
        <f t="shared" si="12"/>
        <v>0815518</v>
      </c>
      <c r="B797" s="101" t="s">
        <v>320</v>
      </c>
      <c r="C797" s="101" t="s">
        <v>158</v>
      </c>
      <c r="D797" s="101" t="s">
        <v>382</v>
      </c>
      <c r="E797" s="101" t="s">
        <v>17</v>
      </c>
    </row>
    <row r="798" spans="1:5" x14ac:dyDescent="0.3">
      <c r="A798" t="str">
        <f t="shared" si="12"/>
        <v>0316801</v>
      </c>
      <c r="B798" s="101" t="s">
        <v>16</v>
      </c>
      <c r="C798" s="101" t="s">
        <v>160</v>
      </c>
      <c r="D798" s="101" t="s">
        <v>144</v>
      </c>
      <c r="E798" s="101" t="s">
        <v>139</v>
      </c>
    </row>
    <row r="799" spans="1:5" x14ac:dyDescent="0.3">
      <c r="A799" t="str">
        <f t="shared" si="12"/>
        <v>0316500</v>
      </c>
      <c r="B799" s="101" t="s">
        <v>16</v>
      </c>
      <c r="C799" s="101" t="s">
        <v>160</v>
      </c>
      <c r="D799" s="101" t="s">
        <v>146</v>
      </c>
      <c r="E799" s="101" t="s">
        <v>139</v>
      </c>
    </row>
    <row r="800" spans="1:5" x14ac:dyDescent="0.3">
      <c r="A800" t="str">
        <f t="shared" si="12"/>
        <v>0316006</v>
      </c>
      <c r="B800" s="101" t="s">
        <v>16</v>
      </c>
      <c r="C800" s="101" t="s">
        <v>160</v>
      </c>
      <c r="D800" s="101" t="s">
        <v>400</v>
      </c>
      <c r="E800" s="101" t="s">
        <v>17</v>
      </c>
    </row>
    <row r="801" spans="1:5" x14ac:dyDescent="0.3">
      <c r="A801" t="str">
        <f t="shared" si="12"/>
        <v>0316021</v>
      </c>
      <c r="B801" s="101" t="s">
        <v>16</v>
      </c>
      <c r="C801" s="101" t="s">
        <v>160</v>
      </c>
      <c r="D801" s="101" t="s">
        <v>477</v>
      </c>
      <c r="E801" s="101" t="s">
        <v>17</v>
      </c>
    </row>
    <row r="802" spans="1:5" x14ac:dyDescent="0.3">
      <c r="A802" t="str">
        <f t="shared" si="12"/>
        <v>0316811</v>
      </c>
      <c r="B802" s="101" t="s">
        <v>16</v>
      </c>
      <c r="C802" s="101" t="s">
        <v>160</v>
      </c>
      <c r="D802" s="101" t="s">
        <v>189</v>
      </c>
      <c r="E802" s="101" t="s">
        <v>17</v>
      </c>
    </row>
    <row r="803" spans="1:5" x14ac:dyDescent="0.3">
      <c r="A803" t="str">
        <f t="shared" si="12"/>
        <v>0316812</v>
      </c>
      <c r="B803" s="101" t="s">
        <v>16</v>
      </c>
      <c r="C803" s="101" t="s">
        <v>160</v>
      </c>
      <c r="D803" s="101" t="s">
        <v>190</v>
      </c>
      <c r="E803" s="101" t="s">
        <v>17</v>
      </c>
    </row>
    <row r="804" spans="1:5" x14ac:dyDescent="0.3">
      <c r="A804" t="str">
        <f t="shared" si="12"/>
        <v>0316813</v>
      </c>
      <c r="B804" s="101" t="s">
        <v>16</v>
      </c>
      <c r="C804" s="101" t="s">
        <v>160</v>
      </c>
      <c r="D804" s="101" t="s">
        <v>541</v>
      </c>
      <c r="E804" s="101" t="s">
        <v>17</v>
      </c>
    </row>
    <row r="805" spans="1:5" x14ac:dyDescent="0.3">
      <c r="A805" t="str">
        <f t="shared" si="12"/>
        <v>0316814</v>
      </c>
      <c r="B805" s="101" t="s">
        <v>16</v>
      </c>
      <c r="C805" s="101" t="s">
        <v>160</v>
      </c>
      <c r="D805" s="101" t="s">
        <v>333</v>
      </c>
      <c r="E805" s="101" t="s">
        <v>17</v>
      </c>
    </row>
    <row r="806" spans="1:5" x14ac:dyDescent="0.3">
      <c r="A806" t="str">
        <f t="shared" si="12"/>
        <v>0316522</v>
      </c>
      <c r="B806" s="101" t="s">
        <v>16</v>
      </c>
      <c r="C806" s="101" t="s">
        <v>160</v>
      </c>
      <c r="D806" s="101" t="s">
        <v>345</v>
      </c>
      <c r="E806" s="101" t="s">
        <v>17</v>
      </c>
    </row>
    <row r="807" spans="1:5" x14ac:dyDescent="0.3">
      <c r="A807" t="str">
        <f t="shared" si="12"/>
        <v>0316523</v>
      </c>
      <c r="B807" s="101" t="s">
        <v>16</v>
      </c>
      <c r="C807" s="101" t="s">
        <v>160</v>
      </c>
      <c r="D807" s="101" t="s">
        <v>408</v>
      </c>
      <c r="E807" s="101" t="s">
        <v>17</v>
      </c>
    </row>
    <row r="808" spans="1:5" x14ac:dyDescent="0.3">
      <c r="A808" t="str">
        <f t="shared" si="12"/>
        <v>0316535</v>
      </c>
      <c r="B808" s="101" t="s">
        <v>16</v>
      </c>
      <c r="C808" s="101" t="s">
        <v>160</v>
      </c>
      <c r="D808" s="101" t="s">
        <v>410</v>
      </c>
      <c r="E808" s="101" t="s">
        <v>17</v>
      </c>
    </row>
    <row r="809" spans="1:5" x14ac:dyDescent="0.3">
      <c r="A809" t="str">
        <f t="shared" si="12"/>
        <v>0316567</v>
      </c>
      <c r="B809" s="101" t="s">
        <v>16</v>
      </c>
      <c r="C809" s="101" t="s">
        <v>160</v>
      </c>
      <c r="D809" s="101" t="s">
        <v>426</v>
      </c>
      <c r="E809" s="101" t="s">
        <v>17</v>
      </c>
    </row>
    <row r="810" spans="1:5" x14ac:dyDescent="0.3">
      <c r="A810" t="str">
        <f t="shared" si="12"/>
        <v>0316570</v>
      </c>
      <c r="B810" s="101" t="s">
        <v>16</v>
      </c>
      <c r="C810" s="101" t="s">
        <v>160</v>
      </c>
      <c r="D810" s="101" t="s">
        <v>429</v>
      </c>
      <c r="E810" s="101" t="s">
        <v>17</v>
      </c>
    </row>
    <row r="811" spans="1:5" x14ac:dyDescent="0.3">
      <c r="A811" t="str">
        <f t="shared" si="12"/>
        <v>0316005</v>
      </c>
      <c r="B811" s="101" t="s">
        <v>16</v>
      </c>
      <c r="C811" s="101" t="s">
        <v>160</v>
      </c>
      <c r="D811" s="101" t="s">
        <v>399</v>
      </c>
      <c r="E811" s="101" t="s">
        <v>140</v>
      </c>
    </row>
    <row r="812" spans="1:5" x14ac:dyDescent="0.3">
      <c r="A812" t="str">
        <f t="shared" si="12"/>
        <v>0316027</v>
      </c>
      <c r="B812" s="101" t="s">
        <v>16</v>
      </c>
      <c r="C812" s="101" t="s">
        <v>160</v>
      </c>
      <c r="D812" s="101" t="s">
        <v>545</v>
      </c>
      <c r="E812" s="101" t="s">
        <v>140</v>
      </c>
    </row>
    <row r="813" spans="1:5" x14ac:dyDescent="0.3">
      <c r="A813" t="str">
        <f t="shared" si="12"/>
        <v>0316028</v>
      </c>
      <c r="B813" s="101" t="s">
        <v>16</v>
      </c>
      <c r="C813" s="101" t="s">
        <v>160</v>
      </c>
      <c r="D813" s="101" t="s">
        <v>368</v>
      </c>
      <c r="E813" s="101" t="s">
        <v>140</v>
      </c>
    </row>
    <row r="814" spans="1:5" x14ac:dyDescent="0.3">
      <c r="A814" t="str">
        <f t="shared" si="12"/>
        <v>0316029</v>
      </c>
      <c r="B814" s="101" t="s">
        <v>16</v>
      </c>
      <c r="C814" s="101" t="s">
        <v>160</v>
      </c>
      <c r="D814" s="101" t="s">
        <v>355</v>
      </c>
      <c r="E814" s="101" t="s">
        <v>140</v>
      </c>
    </row>
    <row r="815" spans="1:5" x14ac:dyDescent="0.3">
      <c r="A815" t="str">
        <f t="shared" si="12"/>
        <v>0316524</v>
      </c>
      <c r="B815" s="101" t="s">
        <v>16</v>
      </c>
      <c r="C815" s="101" t="s">
        <v>160</v>
      </c>
      <c r="D815" s="101" t="s">
        <v>351</v>
      </c>
      <c r="E815" s="101" t="s">
        <v>140</v>
      </c>
    </row>
    <row r="816" spans="1:5" x14ac:dyDescent="0.3">
      <c r="A816" t="str">
        <f t="shared" si="12"/>
        <v>0316573</v>
      </c>
      <c r="B816" s="101" t="s">
        <v>16</v>
      </c>
      <c r="C816" s="101" t="s">
        <v>160</v>
      </c>
      <c r="D816" s="101" t="s">
        <v>432</v>
      </c>
      <c r="E816" s="101" t="s">
        <v>140</v>
      </c>
    </row>
    <row r="817" spans="1:5" x14ac:dyDescent="0.3">
      <c r="A817" t="str">
        <f t="shared" si="12"/>
        <v>0316574</v>
      </c>
      <c r="B817" s="101" t="s">
        <v>16</v>
      </c>
      <c r="C817" s="101" t="s">
        <v>160</v>
      </c>
      <c r="D817" s="101" t="s">
        <v>433</v>
      </c>
      <c r="E817" s="101" t="s">
        <v>140</v>
      </c>
    </row>
    <row r="818" spans="1:5" x14ac:dyDescent="0.3">
      <c r="A818" t="str">
        <f t="shared" si="12"/>
        <v>0316575</v>
      </c>
      <c r="B818" s="101" t="s">
        <v>16</v>
      </c>
      <c r="C818" s="101" t="s">
        <v>160</v>
      </c>
      <c r="D818" s="101" t="s">
        <v>434</v>
      </c>
      <c r="E818" s="101" t="s">
        <v>140</v>
      </c>
    </row>
    <row r="819" spans="1:5" x14ac:dyDescent="0.3">
      <c r="A819" t="str">
        <f t="shared" si="12"/>
        <v>0316019</v>
      </c>
      <c r="B819" s="101" t="s">
        <v>16</v>
      </c>
      <c r="C819" s="101" t="s">
        <v>160</v>
      </c>
      <c r="D819" s="101" t="s">
        <v>393</v>
      </c>
      <c r="E819" s="101" t="s">
        <v>19</v>
      </c>
    </row>
    <row r="820" spans="1:5" x14ac:dyDescent="0.3">
      <c r="A820" t="str">
        <f t="shared" si="12"/>
        <v>0316536</v>
      </c>
      <c r="B820" s="101" t="s">
        <v>16</v>
      </c>
      <c r="C820" s="101" t="s">
        <v>160</v>
      </c>
      <c r="D820" s="101" t="s">
        <v>352</v>
      </c>
      <c r="E820" s="101" t="s">
        <v>19</v>
      </c>
    </row>
    <row r="821" spans="1:5" x14ac:dyDescent="0.3">
      <c r="A821" t="str">
        <f t="shared" si="12"/>
        <v>0316001</v>
      </c>
      <c r="B821" s="101" t="s">
        <v>16</v>
      </c>
      <c r="C821" s="101" t="s">
        <v>160</v>
      </c>
      <c r="D821" s="101" t="s">
        <v>549</v>
      </c>
      <c r="E821" s="101" t="s">
        <v>17</v>
      </c>
    </row>
    <row r="822" spans="1:5" x14ac:dyDescent="0.3">
      <c r="A822" t="str">
        <f t="shared" si="12"/>
        <v>0316510</v>
      </c>
      <c r="B822" s="101" t="s">
        <v>16</v>
      </c>
      <c r="C822" s="101" t="s">
        <v>160</v>
      </c>
      <c r="D822" s="101" t="s">
        <v>385</v>
      </c>
      <c r="E822" s="101" t="s">
        <v>17</v>
      </c>
    </row>
    <row r="823" spans="1:5" x14ac:dyDescent="0.3">
      <c r="A823" t="str">
        <f t="shared" si="12"/>
        <v>0316511</v>
      </c>
      <c r="B823" s="101" t="s">
        <v>16</v>
      </c>
      <c r="C823" s="101" t="s">
        <v>160</v>
      </c>
      <c r="D823" s="101" t="s">
        <v>386</v>
      </c>
      <c r="E823" s="101" t="s">
        <v>17</v>
      </c>
    </row>
    <row r="824" spans="1:5" x14ac:dyDescent="0.3">
      <c r="A824" t="str">
        <f t="shared" si="12"/>
        <v>0316512</v>
      </c>
      <c r="B824" s="101" t="s">
        <v>16</v>
      </c>
      <c r="C824" s="101" t="s">
        <v>160</v>
      </c>
      <c r="D824" s="101" t="s">
        <v>398</v>
      </c>
      <c r="E824" s="101" t="s">
        <v>17</v>
      </c>
    </row>
    <row r="825" spans="1:5" x14ac:dyDescent="0.3">
      <c r="A825" t="str">
        <f t="shared" si="12"/>
        <v>0316515</v>
      </c>
      <c r="B825" s="101" t="s">
        <v>16</v>
      </c>
      <c r="C825" s="101" t="s">
        <v>160</v>
      </c>
      <c r="D825" s="101" t="s">
        <v>407</v>
      </c>
      <c r="E825" s="101" t="s">
        <v>17</v>
      </c>
    </row>
    <row r="826" spans="1:5" x14ac:dyDescent="0.3">
      <c r="A826" t="str">
        <f t="shared" si="12"/>
        <v>0316516</v>
      </c>
      <c r="B826" s="101" t="s">
        <v>16</v>
      </c>
      <c r="C826" s="101" t="s">
        <v>160</v>
      </c>
      <c r="D826" s="101" t="s">
        <v>389</v>
      </c>
      <c r="E826" s="101" t="s">
        <v>17</v>
      </c>
    </row>
    <row r="827" spans="1:5" x14ac:dyDescent="0.3">
      <c r="A827" t="str">
        <f t="shared" si="12"/>
        <v>0316517</v>
      </c>
      <c r="B827" s="101" t="s">
        <v>16</v>
      </c>
      <c r="C827" s="101" t="s">
        <v>160</v>
      </c>
      <c r="D827" s="101" t="s">
        <v>390</v>
      </c>
      <c r="E827" s="101" t="s">
        <v>17</v>
      </c>
    </row>
    <row r="828" spans="1:5" x14ac:dyDescent="0.3">
      <c r="A828" t="str">
        <f t="shared" si="12"/>
        <v>0316520</v>
      </c>
      <c r="B828" s="101" t="s">
        <v>16</v>
      </c>
      <c r="C828" s="101" t="s">
        <v>160</v>
      </c>
      <c r="D828" s="101" t="s">
        <v>404</v>
      </c>
      <c r="E828" s="101" t="s">
        <v>17</v>
      </c>
    </row>
    <row r="829" spans="1:5" x14ac:dyDescent="0.3">
      <c r="A829" t="str">
        <f t="shared" si="12"/>
        <v>0316521</v>
      </c>
      <c r="B829" s="101" t="s">
        <v>16</v>
      </c>
      <c r="C829" s="101" t="s">
        <v>160</v>
      </c>
      <c r="D829" s="101" t="s">
        <v>384</v>
      </c>
      <c r="E829" s="101" t="s">
        <v>17</v>
      </c>
    </row>
    <row r="830" spans="1:5" x14ac:dyDescent="0.3">
      <c r="A830" t="str">
        <f t="shared" si="12"/>
        <v>0316558</v>
      </c>
      <c r="B830" s="101" t="s">
        <v>16</v>
      </c>
      <c r="C830" s="101" t="s">
        <v>160</v>
      </c>
      <c r="D830" s="101" t="s">
        <v>362</v>
      </c>
      <c r="E830" s="101" t="s">
        <v>17</v>
      </c>
    </row>
    <row r="831" spans="1:5" x14ac:dyDescent="0.3">
      <c r="A831" t="str">
        <f t="shared" si="12"/>
        <v>0316561</v>
      </c>
      <c r="B831" s="101" t="s">
        <v>16</v>
      </c>
      <c r="C831" s="101" t="s">
        <v>160</v>
      </c>
      <c r="D831" s="101" t="s">
        <v>376</v>
      </c>
      <c r="E831" s="101" t="s">
        <v>17</v>
      </c>
    </row>
    <row r="832" spans="1:5" x14ac:dyDescent="0.3">
      <c r="A832" t="str">
        <f t="shared" si="12"/>
        <v>0316564</v>
      </c>
      <c r="B832" s="101" t="s">
        <v>16</v>
      </c>
      <c r="C832" s="101" t="s">
        <v>160</v>
      </c>
      <c r="D832" s="101" t="s">
        <v>423</v>
      </c>
      <c r="E832" s="101" t="s">
        <v>17</v>
      </c>
    </row>
    <row r="833" spans="1:5" x14ac:dyDescent="0.3">
      <c r="A833" t="str">
        <f t="shared" si="12"/>
        <v>0416801</v>
      </c>
      <c r="B833" s="101" t="s">
        <v>18</v>
      </c>
      <c r="C833" s="101" t="s">
        <v>160</v>
      </c>
      <c r="D833" s="101" t="s">
        <v>144</v>
      </c>
      <c r="E833" s="101" t="s">
        <v>139</v>
      </c>
    </row>
    <row r="834" spans="1:5" x14ac:dyDescent="0.3">
      <c r="A834" t="str">
        <f t="shared" si="12"/>
        <v>0416500</v>
      </c>
      <c r="B834" s="101" t="s">
        <v>18</v>
      </c>
      <c r="C834" s="101" t="s">
        <v>160</v>
      </c>
      <c r="D834" s="101" t="s">
        <v>146</v>
      </c>
      <c r="E834" s="101" t="s">
        <v>139</v>
      </c>
    </row>
    <row r="835" spans="1:5" x14ac:dyDescent="0.3">
      <c r="A835" t="str">
        <f t="shared" ref="A835:A898" si="13">CONCATENATE(B835,C835,D835,F835)</f>
        <v>0416006</v>
      </c>
      <c r="B835" s="101" t="s">
        <v>18</v>
      </c>
      <c r="C835" s="101" t="s">
        <v>160</v>
      </c>
      <c r="D835" s="101" t="s">
        <v>400</v>
      </c>
      <c r="E835" s="101" t="s">
        <v>17</v>
      </c>
    </row>
    <row r="836" spans="1:5" x14ac:dyDescent="0.3">
      <c r="A836" t="str">
        <f t="shared" si="13"/>
        <v>0416021</v>
      </c>
      <c r="B836" s="101" t="s">
        <v>18</v>
      </c>
      <c r="C836" s="101" t="s">
        <v>160</v>
      </c>
      <c r="D836" s="101" t="s">
        <v>477</v>
      </c>
      <c r="E836" s="101" t="s">
        <v>17</v>
      </c>
    </row>
    <row r="837" spans="1:5" x14ac:dyDescent="0.3">
      <c r="A837" t="str">
        <f t="shared" si="13"/>
        <v>0416811</v>
      </c>
      <c r="B837" s="101" t="s">
        <v>18</v>
      </c>
      <c r="C837" s="101" t="s">
        <v>160</v>
      </c>
      <c r="D837" s="101" t="s">
        <v>189</v>
      </c>
      <c r="E837" s="101" t="s">
        <v>17</v>
      </c>
    </row>
    <row r="838" spans="1:5" x14ac:dyDescent="0.3">
      <c r="A838" t="str">
        <f t="shared" si="13"/>
        <v>0416812</v>
      </c>
      <c r="B838" s="101" t="s">
        <v>18</v>
      </c>
      <c r="C838" s="101" t="s">
        <v>160</v>
      </c>
      <c r="D838" s="101" t="s">
        <v>190</v>
      </c>
      <c r="E838" s="101" t="s">
        <v>17</v>
      </c>
    </row>
    <row r="839" spans="1:5" x14ac:dyDescent="0.3">
      <c r="A839" t="str">
        <f t="shared" si="13"/>
        <v>0416813</v>
      </c>
      <c r="B839" s="101" t="s">
        <v>18</v>
      </c>
      <c r="C839" s="101" t="s">
        <v>160</v>
      </c>
      <c r="D839" s="101" t="s">
        <v>541</v>
      </c>
      <c r="E839" s="101" t="s">
        <v>17</v>
      </c>
    </row>
    <row r="840" spans="1:5" x14ac:dyDescent="0.3">
      <c r="A840" t="str">
        <f t="shared" si="13"/>
        <v>0416814</v>
      </c>
      <c r="B840" s="101" t="s">
        <v>18</v>
      </c>
      <c r="C840" s="101" t="s">
        <v>160</v>
      </c>
      <c r="D840" s="101" t="s">
        <v>333</v>
      </c>
      <c r="E840" s="101" t="s">
        <v>17</v>
      </c>
    </row>
    <row r="841" spans="1:5" x14ac:dyDescent="0.3">
      <c r="A841" t="str">
        <f t="shared" si="13"/>
        <v>0416522</v>
      </c>
      <c r="B841" s="101" t="s">
        <v>18</v>
      </c>
      <c r="C841" s="101" t="s">
        <v>160</v>
      </c>
      <c r="D841" s="101" t="s">
        <v>345</v>
      </c>
      <c r="E841" s="101" t="s">
        <v>17</v>
      </c>
    </row>
    <row r="842" spans="1:5" x14ac:dyDescent="0.3">
      <c r="A842" t="str">
        <f t="shared" si="13"/>
        <v>0416523</v>
      </c>
      <c r="B842" s="101" t="s">
        <v>18</v>
      </c>
      <c r="C842" s="101" t="s">
        <v>160</v>
      </c>
      <c r="D842" s="101" t="s">
        <v>408</v>
      </c>
      <c r="E842" s="101" t="s">
        <v>17</v>
      </c>
    </row>
    <row r="843" spans="1:5" x14ac:dyDescent="0.3">
      <c r="A843" t="str">
        <f t="shared" si="13"/>
        <v>0416535</v>
      </c>
      <c r="B843" s="101" t="s">
        <v>18</v>
      </c>
      <c r="C843" s="101" t="s">
        <v>160</v>
      </c>
      <c r="D843" s="101" t="s">
        <v>410</v>
      </c>
      <c r="E843" s="101" t="s">
        <v>17</v>
      </c>
    </row>
    <row r="844" spans="1:5" x14ac:dyDescent="0.3">
      <c r="A844" t="str">
        <f t="shared" si="13"/>
        <v>0416567</v>
      </c>
      <c r="B844" s="101" t="s">
        <v>18</v>
      </c>
      <c r="C844" s="101" t="s">
        <v>160</v>
      </c>
      <c r="D844" s="101" t="s">
        <v>426</v>
      </c>
      <c r="E844" s="101" t="s">
        <v>17</v>
      </c>
    </row>
    <row r="845" spans="1:5" x14ac:dyDescent="0.3">
      <c r="A845" t="str">
        <f t="shared" si="13"/>
        <v>0416570</v>
      </c>
      <c r="B845" s="101" t="s">
        <v>18</v>
      </c>
      <c r="C845" s="101" t="s">
        <v>160</v>
      </c>
      <c r="D845" s="101" t="s">
        <v>429</v>
      </c>
      <c r="E845" s="101" t="s">
        <v>17</v>
      </c>
    </row>
    <row r="846" spans="1:5" x14ac:dyDescent="0.3">
      <c r="A846" t="str">
        <f t="shared" si="13"/>
        <v>0416005</v>
      </c>
      <c r="B846" s="101" t="s">
        <v>18</v>
      </c>
      <c r="C846" s="101" t="s">
        <v>160</v>
      </c>
      <c r="D846" s="101" t="s">
        <v>399</v>
      </c>
      <c r="E846" s="101" t="s">
        <v>140</v>
      </c>
    </row>
    <row r="847" spans="1:5" x14ac:dyDescent="0.3">
      <c r="A847" t="str">
        <f t="shared" si="13"/>
        <v>0416027</v>
      </c>
      <c r="B847" s="101" t="s">
        <v>18</v>
      </c>
      <c r="C847" s="101" t="s">
        <v>160</v>
      </c>
      <c r="D847" s="101" t="s">
        <v>545</v>
      </c>
      <c r="E847" s="101" t="s">
        <v>140</v>
      </c>
    </row>
    <row r="848" spans="1:5" x14ac:dyDescent="0.3">
      <c r="A848" t="str">
        <f t="shared" si="13"/>
        <v>0416028</v>
      </c>
      <c r="B848" s="101" t="s">
        <v>18</v>
      </c>
      <c r="C848" s="101" t="s">
        <v>160</v>
      </c>
      <c r="D848" s="101" t="s">
        <v>368</v>
      </c>
      <c r="E848" s="101" t="s">
        <v>140</v>
      </c>
    </row>
    <row r="849" spans="1:5" x14ac:dyDescent="0.3">
      <c r="A849" t="str">
        <f t="shared" si="13"/>
        <v>0416029</v>
      </c>
      <c r="B849" s="101" t="s">
        <v>18</v>
      </c>
      <c r="C849" s="101" t="s">
        <v>160</v>
      </c>
      <c r="D849" s="101" t="s">
        <v>355</v>
      </c>
      <c r="E849" s="101" t="s">
        <v>140</v>
      </c>
    </row>
    <row r="850" spans="1:5" x14ac:dyDescent="0.3">
      <c r="A850" t="str">
        <f t="shared" si="13"/>
        <v>0416524</v>
      </c>
      <c r="B850" s="101" t="s">
        <v>18</v>
      </c>
      <c r="C850" s="101" t="s">
        <v>160</v>
      </c>
      <c r="D850" s="101" t="s">
        <v>351</v>
      </c>
      <c r="E850" s="101" t="s">
        <v>140</v>
      </c>
    </row>
    <row r="851" spans="1:5" x14ac:dyDescent="0.3">
      <c r="A851" t="str">
        <f t="shared" si="13"/>
        <v>0416573</v>
      </c>
      <c r="B851" s="101" t="s">
        <v>18</v>
      </c>
      <c r="C851" s="101" t="s">
        <v>160</v>
      </c>
      <c r="D851" s="101" t="s">
        <v>432</v>
      </c>
      <c r="E851" s="101" t="s">
        <v>140</v>
      </c>
    </row>
    <row r="852" spans="1:5" x14ac:dyDescent="0.3">
      <c r="A852" t="str">
        <f t="shared" si="13"/>
        <v>0416574</v>
      </c>
      <c r="B852" s="101" t="s">
        <v>18</v>
      </c>
      <c r="C852" s="101" t="s">
        <v>160</v>
      </c>
      <c r="D852" s="101" t="s">
        <v>433</v>
      </c>
      <c r="E852" s="101" t="s">
        <v>140</v>
      </c>
    </row>
    <row r="853" spans="1:5" x14ac:dyDescent="0.3">
      <c r="A853" t="str">
        <f t="shared" si="13"/>
        <v>0416575</v>
      </c>
      <c r="B853" s="101" t="s">
        <v>18</v>
      </c>
      <c r="C853" s="101" t="s">
        <v>160</v>
      </c>
      <c r="D853" s="101" t="s">
        <v>434</v>
      </c>
      <c r="E853" s="101" t="s">
        <v>140</v>
      </c>
    </row>
    <row r="854" spans="1:5" x14ac:dyDescent="0.3">
      <c r="A854" t="str">
        <f t="shared" si="13"/>
        <v>0416019</v>
      </c>
      <c r="B854" s="101" t="s">
        <v>18</v>
      </c>
      <c r="C854" s="101" t="s">
        <v>160</v>
      </c>
      <c r="D854" s="101" t="s">
        <v>393</v>
      </c>
      <c r="E854" s="101" t="s">
        <v>19</v>
      </c>
    </row>
    <row r="855" spans="1:5" x14ac:dyDescent="0.3">
      <c r="A855" t="str">
        <f t="shared" si="13"/>
        <v>0416536</v>
      </c>
      <c r="B855" s="101" t="s">
        <v>18</v>
      </c>
      <c r="C855" s="101" t="s">
        <v>160</v>
      </c>
      <c r="D855" s="101" t="s">
        <v>352</v>
      </c>
      <c r="E855" s="101" t="s">
        <v>19</v>
      </c>
    </row>
    <row r="856" spans="1:5" x14ac:dyDescent="0.3">
      <c r="A856" t="str">
        <f t="shared" si="13"/>
        <v>0416001</v>
      </c>
      <c r="B856" s="101" t="s">
        <v>18</v>
      </c>
      <c r="C856" s="101" t="s">
        <v>160</v>
      </c>
      <c r="D856" s="101" t="s">
        <v>549</v>
      </c>
      <c r="E856" s="101" t="s">
        <v>17</v>
      </c>
    </row>
    <row r="857" spans="1:5" x14ac:dyDescent="0.3">
      <c r="A857" t="str">
        <f t="shared" si="13"/>
        <v>0416510</v>
      </c>
      <c r="B857" s="101" t="s">
        <v>18</v>
      </c>
      <c r="C857" s="101" t="s">
        <v>160</v>
      </c>
      <c r="D857" s="101" t="s">
        <v>385</v>
      </c>
      <c r="E857" s="101" t="s">
        <v>17</v>
      </c>
    </row>
    <row r="858" spans="1:5" x14ac:dyDescent="0.3">
      <c r="A858" t="str">
        <f t="shared" si="13"/>
        <v>0416511</v>
      </c>
      <c r="B858" s="101" t="s">
        <v>18</v>
      </c>
      <c r="C858" s="101" t="s">
        <v>160</v>
      </c>
      <c r="D858" s="101" t="s">
        <v>386</v>
      </c>
      <c r="E858" s="101" t="s">
        <v>17</v>
      </c>
    </row>
    <row r="859" spans="1:5" x14ac:dyDescent="0.3">
      <c r="A859" t="str">
        <f t="shared" si="13"/>
        <v>0416512</v>
      </c>
      <c r="B859" s="101" t="s">
        <v>18</v>
      </c>
      <c r="C859" s="101" t="s">
        <v>160</v>
      </c>
      <c r="D859" s="101" t="s">
        <v>398</v>
      </c>
      <c r="E859" s="101" t="s">
        <v>17</v>
      </c>
    </row>
    <row r="860" spans="1:5" x14ac:dyDescent="0.3">
      <c r="A860" t="str">
        <f t="shared" si="13"/>
        <v>0416515</v>
      </c>
      <c r="B860" s="101" t="s">
        <v>18</v>
      </c>
      <c r="C860" s="101" t="s">
        <v>160</v>
      </c>
      <c r="D860" s="101" t="s">
        <v>407</v>
      </c>
      <c r="E860" s="101" t="s">
        <v>17</v>
      </c>
    </row>
    <row r="861" spans="1:5" x14ac:dyDescent="0.3">
      <c r="A861" t="str">
        <f t="shared" si="13"/>
        <v>0416516</v>
      </c>
      <c r="B861" s="101" t="s">
        <v>18</v>
      </c>
      <c r="C861" s="101" t="s">
        <v>160</v>
      </c>
      <c r="D861" s="101" t="s">
        <v>389</v>
      </c>
      <c r="E861" s="101" t="s">
        <v>17</v>
      </c>
    </row>
    <row r="862" spans="1:5" x14ac:dyDescent="0.3">
      <c r="A862" t="str">
        <f t="shared" si="13"/>
        <v>0416517</v>
      </c>
      <c r="B862" s="101" t="s">
        <v>18</v>
      </c>
      <c r="C862" s="101" t="s">
        <v>160</v>
      </c>
      <c r="D862" s="101" t="s">
        <v>390</v>
      </c>
      <c r="E862" s="101" t="s">
        <v>17</v>
      </c>
    </row>
    <row r="863" spans="1:5" x14ac:dyDescent="0.3">
      <c r="A863" t="str">
        <f t="shared" si="13"/>
        <v>0416520</v>
      </c>
      <c r="B863" s="101" t="s">
        <v>18</v>
      </c>
      <c r="C863" s="101" t="s">
        <v>160</v>
      </c>
      <c r="D863" s="101" t="s">
        <v>404</v>
      </c>
      <c r="E863" s="101" t="s">
        <v>17</v>
      </c>
    </row>
    <row r="864" spans="1:5" x14ac:dyDescent="0.3">
      <c r="A864" t="str">
        <f t="shared" si="13"/>
        <v>0416521</v>
      </c>
      <c r="B864" s="101" t="s">
        <v>18</v>
      </c>
      <c r="C864" s="101" t="s">
        <v>160</v>
      </c>
      <c r="D864" s="101" t="s">
        <v>384</v>
      </c>
      <c r="E864" s="101" t="s">
        <v>17</v>
      </c>
    </row>
    <row r="865" spans="1:5" x14ac:dyDescent="0.3">
      <c r="A865" t="str">
        <f t="shared" si="13"/>
        <v>0416558</v>
      </c>
      <c r="B865" s="101" t="s">
        <v>18</v>
      </c>
      <c r="C865" s="101" t="s">
        <v>160</v>
      </c>
      <c r="D865" s="101" t="s">
        <v>362</v>
      </c>
      <c r="E865" s="101" t="s">
        <v>17</v>
      </c>
    </row>
    <row r="866" spans="1:5" x14ac:dyDescent="0.3">
      <c r="A866" t="str">
        <f t="shared" si="13"/>
        <v>0416561</v>
      </c>
      <c r="B866" s="101" t="s">
        <v>18</v>
      </c>
      <c r="C866" s="101" t="s">
        <v>160</v>
      </c>
      <c r="D866" s="101" t="s">
        <v>376</v>
      </c>
      <c r="E866" s="101" t="s">
        <v>17</v>
      </c>
    </row>
    <row r="867" spans="1:5" x14ac:dyDescent="0.3">
      <c r="A867" t="str">
        <f t="shared" si="13"/>
        <v>0416564</v>
      </c>
      <c r="B867" s="101" t="s">
        <v>18</v>
      </c>
      <c r="C867" s="101" t="s">
        <v>160</v>
      </c>
      <c r="D867" s="101" t="s">
        <v>423</v>
      </c>
      <c r="E867" s="101" t="s">
        <v>17</v>
      </c>
    </row>
    <row r="868" spans="1:5" x14ac:dyDescent="0.3">
      <c r="A868" t="str">
        <f t="shared" si="13"/>
        <v>0516801</v>
      </c>
      <c r="B868" s="101" t="s">
        <v>313</v>
      </c>
      <c r="C868" s="101" t="s">
        <v>160</v>
      </c>
      <c r="D868" s="101" t="s">
        <v>144</v>
      </c>
      <c r="E868" s="101" t="s">
        <v>139</v>
      </c>
    </row>
    <row r="869" spans="1:5" x14ac:dyDescent="0.3">
      <c r="A869" t="str">
        <f t="shared" si="13"/>
        <v>0516500</v>
      </c>
      <c r="B869" s="101" t="s">
        <v>313</v>
      </c>
      <c r="C869" s="101" t="s">
        <v>160</v>
      </c>
      <c r="D869" s="101" t="s">
        <v>146</v>
      </c>
      <c r="E869" s="101" t="s">
        <v>139</v>
      </c>
    </row>
    <row r="870" spans="1:5" x14ac:dyDescent="0.3">
      <c r="A870" t="str">
        <f t="shared" si="13"/>
        <v>0516807</v>
      </c>
      <c r="B870" s="101" t="s">
        <v>313</v>
      </c>
      <c r="C870" s="101" t="s">
        <v>160</v>
      </c>
      <c r="D870" s="101" t="s">
        <v>185</v>
      </c>
      <c r="E870" s="101" t="s">
        <v>17</v>
      </c>
    </row>
    <row r="871" spans="1:5" x14ac:dyDescent="0.3">
      <c r="A871" t="str">
        <f t="shared" si="13"/>
        <v>0516808</v>
      </c>
      <c r="B871" s="101" t="s">
        <v>313</v>
      </c>
      <c r="C871" s="101" t="s">
        <v>160</v>
      </c>
      <c r="D871" s="101" t="s">
        <v>186</v>
      </c>
      <c r="E871" s="101" t="s">
        <v>17</v>
      </c>
    </row>
    <row r="872" spans="1:5" x14ac:dyDescent="0.3">
      <c r="A872" t="str">
        <f t="shared" si="13"/>
        <v>0516548</v>
      </c>
      <c r="B872" s="101" t="s">
        <v>313</v>
      </c>
      <c r="C872" s="101" t="s">
        <v>160</v>
      </c>
      <c r="D872" s="101" t="s">
        <v>354</v>
      </c>
      <c r="E872" s="101" t="s">
        <v>17</v>
      </c>
    </row>
    <row r="873" spans="1:5" x14ac:dyDescent="0.3">
      <c r="A873" t="str">
        <f t="shared" si="13"/>
        <v>0516549</v>
      </c>
      <c r="B873" s="101" t="s">
        <v>313</v>
      </c>
      <c r="C873" s="101" t="s">
        <v>160</v>
      </c>
      <c r="D873" s="101" t="s">
        <v>348</v>
      </c>
      <c r="E873" s="101" t="s">
        <v>17</v>
      </c>
    </row>
    <row r="874" spans="1:5" x14ac:dyDescent="0.3">
      <c r="A874" t="str">
        <f t="shared" si="13"/>
        <v>0516015</v>
      </c>
      <c r="B874" s="101" t="s">
        <v>313</v>
      </c>
      <c r="C874" s="101" t="s">
        <v>160</v>
      </c>
      <c r="D874" s="101" t="s">
        <v>321</v>
      </c>
      <c r="E874" s="101" t="s">
        <v>17</v>
      </c>
    </row>
    <row r="875" spans="1:5" x14ac:dyDescent="0.3">
      <c r="A875" t="str">
        <f t="shared" si="13"/>
        <v>0516555</v>
      </c>
      <c r="B875" s="101" t="s">
        <v>313</v>
      </c>
      <c r="C875" s="101" t="s">
        <v>160</v>
      </c>
      <c r="D875" s="101" t="s">
        <v>418</v>
      </c>
      <c r="E875" s="101" t="s">
        <v>17</v>
      </c>
    </row>
    <row r="876" spans="1:5" x14ac:dyDescent="0.3">
      <c r="A876" t="str">
        <f t="shared" si="13"/>
        <v>0616801</v>
      </c>
      <c r="B876" s="101" t="s">
        <v>317</v>
      </c>
      <c r="C876" s="101" t="s">
        <v>160</v>
      </c>
      <c r="D876" s="101" t="s">
        <v>144</v>
      </c>
      <c r="E876" s="101" t="s">
        <v>139</v>
      </c>
    </row>
    <row r="877" spans="1:5" x14ac:dyDescent="0.3">
      <c r="A877" t="str">
        <f t="shared" si="13"/>
        <v>0616500</v>
      </c>
      <c r="B877" s="101" t="s">
        <v>317</v>
      </c>
      <c r="C877" s="101" t="s">
        <v>160</v>
      </c>
      <c r="D877" s="101" t="s">
        <v>146</v>
      </c>
      <c r="E877" s="101" t="s">
        <v>139</v>
      </c>
    </row>
    <row r="878" spans="1:5" x14ac:dyDescent="0.3">
      <c r="A878" t="str">
        <f t="shared" si="13"/>
        <v>0616807</v>
      </c>
      <c r="B878" s="101" t="s">
        <v>317</v>
      </c>
      <c r="C878" s="101" t="s">
        <v>160</v>
      </c>
      <c r="D878" s="101" t="s">
        <v>185</v>
      </c>
      <c r="E878" s="101" t="s">
        <v>17</v>
      </c>
    </row>
    <row r="879" spans="1:5" x14ac:dyDescent="0.3">
      <c r="A879" t="str">
        <f t="shared" si="13"/>
        <v>0616808</v>
      </c>
      <c r="B879" s="101" t="s">
        <v>317</v>
      </c>
      <c r="C879" s="101" t="s">
        <v>160</v>
      </c>
      <c r="D879" s="101" t="s">
        <v>186</v>
      </c>
      <c r="E879" s="101" t="s">
        <v>17</v>
      </c>
    </row>
    <row r="880" spans="1:5" x14ac:dyDescent="0.3">
      <c r="A880" t="str">
        <f t="shared" si="13"/>
        <v>0616548</v>
      </c>
      <c r="B880" s="101" t="s">
        <v>317</v>
      </c>
      <c r="C880" s="101" t="s">
        <v>160</v>
      </c>
      <c r="D880" s="101" t="s">
        <v>354</v>
      </c>
      <c r="E880" s="101" t="s">
        <v>17</v>
      </c>
    </row>
    <row r="881" spans="1:5" x14ac:dyDescent="0.3">
      <c r="A881" t="str">
        <f t="shared" si="13"/>
        <v>0616549</v>
      </c>
      <c r="B881" s="101" t="s">
        <v>317</v>
      </c>
      <c r="C881" s="101" t="s">
        <v>160</v>
      </c>
      <c r="D881" s="101" t="s">
        <v>348</v>
      </c>
      <c r="E881" s="101" t="s">
        <v>17</v>
      </c>
    </row>
    <row r="882" spans="1:5" x14ac:dyDescent="0.3">
      <c r="A882" t="str">
        <f t="shared" si="13"/>
        <v>0616015</v>
      </c>
      <c r="B882" s="101" t="s">
        <v>317</v>
      </c>
      <c r="C882" s="101" t="s">
        <v>160</v>
      </c>
      <c r="D882" s="101" t="s">
        <v>321</v>
      </c>
      <c r="E882" s="101" t="s">
        <v>17</v>
      </c>
    </row>
    <row r="883" spans="1:5" x14ac:dyDescent="0.3">
      <c r="A883" t="str">
        <f t="shared" si="13"/>
        <v>0616555</v>
      </c>
      <c r="B883" s="101" t="s">
        <v>317</v>
      </c>
      <c r="C883" s="101" t="s">
        <v>160</v>
      </c>
      <c r="D883" s="101" t="s">
        <v>418</v>
      </c>
      <c r="E883" s="101" t="s">
        <v>17</v>
      </c>
    </row>
    <row r="884" spans="1:5" x14ac:dyDescent="0.3">
      <c r="A884" t="str">
        <f t="shared" si="13"/>
        <v>0716801</v>
      </c>
      <c r="B884" s="101" t="s">
        <v>319</v>
      </c>
      <c r="C884" s="101" t="s">
        <v>160</v>
      </c>
      <c r="D884" s="101" t="s">
        <v>144</v>
      </c>
      <c r="E884" s="101" t="s">
        <v>139</v>
      </c>
    </row>
    <row r="885" spans="1:5" x14ac:dyDescent="0.3">
      <c r="A885" t="str">
        <f t="shared" si="13"/>
        <v>0716500</v>
      </c>
      <c r="B885" s="101" t="s">
        <v>319</v>
      </c>
      <c r="C885" s="101" t="s">
        <v>160</v>
      </c>
      <c r="D885" s="101" t="s">
        <v>146</v>
      </c>
      <c r="E885" s="101" t="s">
        <v>139</v>
      </c>
    </row>
    <row r="886" spans="1:5" x14ac:dyDescent="0.3">
      <c r="A886" t="str">
        <f t="shared" si="13"/>
        <v>0716807</v>
      </c>
      <c r="B886" s="101" t="s">
        <v>319</v>
      </c>
      <c r="C886" s="101" t="s">
        <v>160</v>
      </c>
      <c r="D886" s="101" t="s">
        <v>185</v>
      </c>
      <c r="E886" s="101" t="s">
        <v>17</v>
      </c>
    </row>
    <row r="887" spans="1:5" x14ac:dyDescent="0.3">
      <c r="A887" t="str">
        <f t="shared" si="13"/>
        <v>0716808</v>
      </c>
      <c r="B887" s="101" t="s">
        <v>319</v>
      </c>
      <c r="C887" s="101" t="s">
        <v>160</v>
      </c>
      <c r="D887" s="101" t="s">
        <v>186</v>
      </c>
      <c r="E887" s="101" t="s">
        <v>17</v>
      </c>
    </row>
    <row r="888" spans="1:5" x14ac:dyDescent="0.3">
      <c r="A888" t="str">
        <f t="shared" si="13"/>
        <v>0716548</v>
      </c>
      <c r="B888" s="101" t="s">
        <v>319</v>
      </c>
      <c r="C888" s="101" t="s">
        <v>160</v>
      </c>
      <c r="D888" s="101" t="s">
        <v>354</v>
      </c>
      <c r="E888" s="101" t="s">
        <v>17</v>
      </c>
    </row>
    <row r="889" spans="1:5" x14ac:dyDescent="0.3">
      <c r="A889" t="str">
        <f t="shared" si="13"/>
        <v>0716549</v>
      </c>
      <c r="B889" s="101" t="s">
        <v>319</v>
      </c>
      <c r="C889" s="101" t="s">
        <v>160</v>
      </c>
      <c r="D889" s="101" t="s">
        <v>348</v>
      </c>
      <c r="E889" s="101" t="s">
        <v>17</v>
      </c>
    </row>
    <row r="890" spans="1:5" x14ac:dyDescent="0.3">
      <c r="A890" t="str">
        <f t="shared" si="13"/>
        <v>0716015</v>
      </c>
      <c r="B890" s="101" t="s">
        <v>319</v>
      </c>
      <c r="C890" s="101" t="s">
        <v>160</v>
      </c>
      <c r="D890" s="101" t="s">
        <v>321</v>
      </c>
      <c r="E890" s="101" t="s">
        <v>17</v>
      </c>
    </row>
    <row r="891" spans="1:5" x14ac:dyDescent="0.3">
      <c r="A891" t="str">
        <f t="shared" si="13"/>
        <v>0716555</v>
      </c>
      <c r="B891" s="101" t="s">
        <v>319</v>
      </c>
      <c r="C891" s="101" t="s">
        <v>160</v>
      </c>
      <c r="D891" s="101" t="s">
        <v>418</v>
      </c>
      <c r="E891" s="101" t="s">
        <v>17</v>
      </c>
    </row>
    <row r="892" spans="1:5" x14ac:dyDescent="0.3">
      <c r="A892" t="str">
        <f t="shared" si="13"/>
        <v>0816801</v>
      </c>
      <c r="B892" s="101" t="s">
        <v>320</v>
      </c>
      <c r="C892" s="101" t="s">
        <v>160</v>
      </c>
      <c r="D892" s="101" t="s">
        <v>144</v>
      </c>
      <c r="E892" s="101" t="s">
        <v>139</v>
      </c>
    </row>
    <row r="893" spans="1:5" x14ac:dyDescent="0.3">
      <c r="A893" t="str">
        <f t="shared" si="13"/>
        <v>0816500</v>
      </c>
      <c r="B893" s="101" t="s">
        <v>320</v>
      </c>
      <c r="C893" s="101" t="s">
        <v>160</v>
      </c>
      <c r="D893" s="101" t="s">
        <v>146</v>
      </c>
      <c r="E893" s="101" t="s">
        <v>139</v>
      </c>
    </row>
    <row r="894" spans="1:5" x14ac:dyDescent="0.3">
      <c r="A894" t="str">
        <f t="shared" si="13"/>
        <v>0816807</v>
      </c>
      <c r="B894" s="101" t="s">
        <v>320</v>
      </c>
      <c r="C894" s="101" t="s">
        <v>160</v>
      </c>
      <c r="D894" s="101" t="s">
        <v>185</v>
      </c>
      <c r="E894" s="101" t="s">
        <v>17</v>
      </c>
    </row>
    <row r="895" spans="1:5" x14ac:dyDescent="0.3">
      <c r="A895" t="str">
        <f t="shared" si="13"/>
        <v>0816808</v>
      </c>
      <c r="B895" s="101" t="s">
        <v>320</v>
      </c>
      <c r="C895" s="101" t="s">
        <v>160</v>
      </c>
      <c r="D895" s="101" t="s">
        <v>186</v>
      </c>
      <c r="E895" s="101" t="s">
        <v>17</v>
      </c>
    </row>
    <row r="896" spans="1:5" x14ac:dyDescent="0.3">
      <c r="A896" t="str">
        <f t="shared" si="13"/>
        <v>0816548</v>
      </c>
      <c r="B896" s="101" t="s">
        <v>320</v>
      </c>
      <c r="C896" s="101" t="s">
        <v>160</v>
      </c>
      <c r="D896" s="101" t="s">
        <v>354</v>
      </c>
      <c r="E896" s="101" t="s">
        <v>17</v>
      </c>
    </row>
    <row r="897" spans="1:5" x14ac:dyDescent="0.3">
      <c r="A897" t="str">
        <f t="shared" si="13"/>
        <v>0816549</v>
      </c>
      <c r="B897" s="101" t="s">
        <v>320</v>
      </c>
      <c r="C897" s="101" t="s">
        <v>160</v>
      </c>
      <c r="D897" s="101" t="s">
        <v>348</v>
      </c>
      <c r="E897" s="101" t="s">
        <v>17</v>
      </c>
    </row>
    <row r="898" spans="1:5" x14ac:dyDescent="0.3">
      <c r="A898" t="str">
        <f t="shared" si="13"/>
        <v>0816015</v>
      </c>
      <c r="B898" s="101" t="s">
        <v>320</v>
      </c>
      <c r="C898" s="101" t="s">
        <v>160</v>
      </c>
      <c r="D898" s="101" t="s">
        <v>321</v>
      </c>
      <c r="E898" s="101" t="s">
        <v>17</v>
      </c>
    </row>
    <row r="899" spans="1:5" x14ac:dyDescent="0.3">
      <c r="A899" t="str">
        <f t="shared" ref="A899:A962" si="14">CONCATENATE(B899,C899,D899,F899)</f>
        <v>0816555</v>
      </c>
      <c r="B899" s="101" t="s">
        <v>320</v>
      </c>
      <c r="C899" s="101" t="s">
        <v>160</v>
      </c>
      <c r="D899" s="101" t="s">
        <v>418</v>
      </c>
      <c r="E899" s="101" t="s">
        <v>17</v>
      </c>
    </row>
    <row r="900" spans="1:5" x14ac:dyDescent="0.3">
      <c r="A900" t="str">
        <f t="shared" si="14"/>
        <v>0317801</v>
      </c>
      <c r="B900" s="101" t="s">
        <v>16</v>
      </c>
      <c r="C900" s="101" t="s">
        <v>162</v>
      </c>
      <c r="D900" s="101" t="s">
        <v>144</v>
      </c>
      <c r="E900" s="101" t="s">
        <v>139</v>
      </c>
    </row>
    <row r="901" spans="1:5" x14ac:dyDescent="0.3">
      <c r="A901" t="str">
        <f t="shared" si="14"/>
        <v>0317500</v>
      </c>
      <c r="B901" s="101" t="s">
        <v>16</v>
      </c>
      <c r="C901" s="101" t="s">
        <v>162</v>
      </c>
      <c r="D901" s="101" t="s">
        <v>146</v>
      </c>
      <c r="E901" s="101" t="s">
        <v>139</v>
      </c>
    </row>
    <row r="902" spans="1:5" x14ac:dyDescent="0.3">
      <c r="A902" t="str">
        <f t="shared" si="14"/>
        <v>0317014</v>
      </c>
      <c r="B902" s="101" t="s">
        <v>16</v>
      </c>
      <c r="C902" s="101" t="s">
        <v>162</v>
      </c>
      <c r="D902" s="101" t="s">
        <v>531</v>
      </c>
      <c r="E902" s="101" t="s">
        <v>17</v>
      </c>
    </row>
    <row r="903" spans="1:5" x14ac:dyDescent="0.3">
      <c r="A903" t="str">
        <f t="shared" si="14"/>
        <v>0317015</v>
      </c>
      <c r="B903" s="101" t="s">
        <v>16</v>
      </c>
      <c r="C903" s="101" t="s">
        <v>162</v>
      </c>
      <c r="D903" s="101" t="s">
        <v>321</v>
      </c>
      <c r="E903" s="101" t="s">
        <v>17</v>
      </c>
    </row>
    <row r="904" spans="1:5" x14ac:dyDescent="0.3">
      <c r="A904" t="str">
        <f t="shared" si="14"/>
        <v>0317017</v>
      </c>
      <c r="B904" s="101" t="s">
        <v>16</v>
      </c>
      <c r="C904" s="101" t="s">
        <v>162</v>
      </c>
      <c r="D904" s="101" t="s">
        <v>575</v>
      </c>
      <c r="E904" s="101" t="s">
        <v>17</v>
      </c>
    </row>
    <row r="905" spans="1:5" x14ac:dyDescent="0.3">
      <c r="A905" t="str">
        <f t="shared" si="14"/>
        <v>0317018</v>
      </c>
      <c r="B905" s="101" t="s">
        <v>16</v>
      </c>
      <c r="C905" s="101" t="s">
        <v>162</v>
      </c>
      <c r="D905" s="101" t="s">
        <v>576</v>
      </c>
      <c r="E905" s="101" t="s">
        <v>17</v>
      </c>
    </row>
    <row r="906" spans="1:5" x14ac:dyDescent="0.3">
      <c r="A906" t="str">
        <f t="shared" si="14"/>
        <v>0317020</v>
      </c>
      <c r="B906" s="101" t="s">
        <v>16</v>
      </c>
      <c r="C906" s="101" t="s">
        <v>162</v>
      </c>
      <c r="D906" s="101" t="s">
        <v>577</v>
      </c>
      <c r="E906" s="101" t="s">
        <v>17</v>
      </c>
    </row>
    <row r="907" spans="1:5" x14ac:dyDescent="0.3">
      <c r="A907" t="str">
        <f t="shared" si="14"/>
        <v>0317021</v>
      </c>
      <c r="B907" s="101" t="s">
        <v>16</v>
      </c>
      <c r="C907" s="101" t="s">
        <v>162</v>
      </c>
      <c r="D907" s="101" t="s">
        <v>477</v>
      </c>
      <c r="E907" s="101" t="s">
        <v>17</v>
      </c>
    </row>
    <row r="908" spans="1:5" x14ac:dyDescent="0.3">
      <c r="A908" t="str">
        <f t="shared" si="14"/>
        <v>0317023</v>
      </c>
      <c r="B908" s="101" t="s">
        <v>16</v>
      </c>
      <c r="C908" s="101" t="s">
        <v>162</v>
      </c>
      <c r="D908" s="101" t="s">
        <v>480</v>
      </c>
      <c r="E908" s="101" t="s">
        <v>17</v>
      </c>
    </row>
    <row r="909" spans="1:5" x14ac:dyDescent="0.3">
      <c r="A909" t="str">
        <f t="shared" si="14"/>
        <v>0317024</v>
      </c>
      <c r="B909" s="101" t="s">
        <v>16</v>
      </c>
      <c r="C909" s="101" t="s">
        <v>162</v>
      </c>
      <c r="D909" s="101" t="s">
        <v>481</v>
      </c>
      <c r="E909" s="101" t="s">
        <v>17</v>
      </c>
    </row>
    <row r="910" spans="1:5" x14ac:dyDescent="0.3">
      <c r="A910" t="str">
        <f t="shared" si="14"/>
        <v>0317026</v>
      </c>
      <c r="B910" s="101" t="s">
        <v>16</v>
      </c>
      <c r="C910" s="101" t="s">
        <v>162</v>
      </c>
      <c r="D910" s="101" t="s">
        <v>579</v>
      </c>
      <c r="E910" s="101" t="s">
        <v>17</v>
      </c>
    </row>
    <row r="911" spans="1:5" x14ac:dyDescent="0.3">
      <c r="A911" t="str">
        <f t="shared" si="14"/>
        <v>0317027</v>
      </c>
      <c r="B911" s="101" t="s">
        <v>16</v>
      </c>
      <c r="C911" s="101" t="s">
        <v>162</v>
      </c>
      <c r="D911" s="101" t="s">
        <v>545</v>
      </c>
      <c r="E911" s="101" t="s">
        <v>17</v>
      </c>
    </row>
    <row r="912" spans="1:5" x14ac:dyDescent="0.3">
      <c r="A912" t="str">
        <f t="shared" si="14"/>
        <v>0317029</v>
      </c>
      <c r="B912" s="101" t="s">
        <v>16</v>
      </c>
      <c r="C912" s="101" t="s">
        <v>162</v>
      </c>
      <c r="D912" s="101" t="s">
        <v>355</v>
      </c>
      <c r="E912" s="101" t="s">
        <v>17</v>
      </c>
    </row>
    <row r="913" spans="1:5" x14ac:dyDescent="0.3">
      <c r="A913" t="str">
        <f t="shared" si="14"/>
        <v>0317030</v>
      </c>
      <c r="B913" s="101" t="s">
        <v>16</v>
      </c>
      <c r="C913" s="101" t="s">
        <v>162</v>
      </c>
      <c r="D913" s="101" t="s">
        <v>357</v>
      </c>
      <c r="E913" s="101" t="s">
        <v>17</v>
      </c>
    </row>
    <row r="914" spans="1:5" x14ac:dyDescent="0.3">
      <c r="A914" t="str">
        <f t="shared" si="14"/>
        <v>0317032</v>
      </c>
      <c r="B914" s="101" t="s">
        <v>16</v>
      </c>
      <c r="C914" s="101" t="s">
        <v>162</v>
      </c>
      <c r="D914" s="101" t="s">
        <v>370</v>
      </c>
      <c r="E914" s="101" t="s">
        <v>17</v>
      </c>
    </row>
    <row r="915" spans="1:5" x14ac:dyDescent="0.3">
      <c r="A915" t="str">
        <f t="shared" si="14"/>
        <v>0317033</v>
      </c>
      <c r="B915" s="101" t="s">
        <v>16</v>
      </c>
      <c r="C915" s="101" t="s">
        <v>162</v>
      </c>
      <c r="D915" s="101" t="s">
        <v>327</v>
      </c>
      <c r="E915" s="101" t="s">
        <v>17</v>
      </c>
    </row>
    <row r="916" spans="1:5" x14ac:dyDescent="0.3">
      <c r="A916" t="str">
        <f t="shared" si="14"/>
        <v>0317035</v>
      </c>
      <c r="B916" s="101" t="s">
        <v>16</v>
      </c>
      <c r="C916" s="101" t="s">
        <v>162</v>
      </c>
      <c r="D916" s="101" t="s">
        <v>497</v>
      </c>
      <c r="E916" s="101" t="s">
        <v>17</v>
      </c>
    </row>
    <row r="917" spans="1:5" x14ac:dyDescent="0.3">
      <c r="A917" t="str">
        <f t="shared" si="14"/>
        <v>0317036</v>
      </c>
      <c r="B917" s="101" t="s">
        <v>16</v>
      </c>
      <c r="C917" s="101" t="s">
        <v>162</v>
      </c>
      <c r="D917" s="101" t="s">
        <v>580</v>
      </c>
      <c r="E917" s="101" t="s">
        <v>17</v>
      </c>
    </row>
    <row r="918" spans="1:5" x14ac:dyDescent="0.3">
      <c r="A918" t="str">
        <f t="shared" si="14"/>
        <v>0317038</v>
      </c>
      <c r="B918" s="101" t="s">
        <v>16</v>
      </c>
      <c r="C918" s="101" t="s">
        <v>162</v>
      </c>
      <c r="D918" s="101" t="s">
        <v>581</v>
      </c>
      <c r="E918" s="101" t="s">
        <v>17</v>
      </c>
    </row>
    <row r="919" spans="1:5" x14ac:dyDescent="0.3">
      <c r="A919" t="str">
        <f t="shared" si="14"/>
        <v>0317039</v>
      </c>
      <c r="B919" s="101" t="s">
        <v>16</v>
      </c>
      <c r="C919" s="101" t="s">
        <v>162</v>
      </c>
      <c r="D919" s="101" t="s">
        <v>582</v>
      </c>
      <c r="E919" s="101" t="s">
        <v>17</v>
      </c>
    </row>
    <row r="920" spans="1:5" x14ac:dyDescent="0.3">
      <c r="A920" t="str">
        <f t="shared" si="14"/>
        <v>0317041</v>
      </c>
      <c r="B920" s="101" t="s">
        <v>16</v>
      </c>
      <c r="C920" s="101" t="s">
        <v>162</v>
      </c>
      <c r="D920" s="101" t="s">
        <v>583</v>
      </c>
      <c r="E920" s="101" t="s">
        <v>17</v>
      </c>
    </row>
    <row r="921" spans="1:5" x14ac:dyDescent="0.3">
      <c r="A921" t="str">
        <f t="shared" si="14"/>
        <v>0317042</v>
      </c>
      <c r="B921" s="101" t="s">
        <v>16</v>
      </c>
      <c r="C921" s="101" t="s">
        <v>162</v>
      </c>
      <c r="D921" s="101" t="s">
        <v>584</v>
      </c>
      <c r="E921" s="101" t="s">
        <v>17</v>
      </c>
    </row>
    <row r="922" spans="1:5" x14ac:dyDescent="0.3">
      <c r="A922" t="str">
        <f t="shared" si="14"/>
        <v>0317044</v>
      </c>
      <c r="B922" s="101" t="s">
        <v>16</v>
      </c>
      <c r="C922" s="101" t="s">
        <v>162</v>
      </c>
      <c r="D922" s="101" t="s">
        <v>420</v>
      </c>
      <c r="E922" s="101" t="s">
        <v>17</v>
      </c>
    </row>
    <row r="923" spans="1:5" x14ac:dyDescent="0.3">
      <c r="A923" t="str">
        <f t="shared" si="14"/>
        <v>0317045</v>
      </c>
      <c r="B923" s="101" t="s">
        <v>16</v>
      </c>
      <c r="C923" s="101" t="s">
        <v>162</v>
      </c>
      <c r="D923" s="101" t="s">
        <v>453</v>
      </c>
      <c r="E923" s="101" t="s">
        <v>17</v>
      </c>
    </row>
    <row r="924" spans="1:5" x14ac:dyDescent="0.3">
      <c r="A924" t="str">
        <f t="shared" si="14"/>
        <v>0317047</v>
      </c>
      <c r="B924" s="101" t="s">
        <v>16</v>
      </c>
      <c r="C924" s="101" t="s">
        <v>162</v>
      </c>
      <c r="D924" s="101" t="s">
        <v>585</v>
      </c>
      <c r="E924" s="101" t="s">
        <v>17</v>
      </c>
    </row>
    <row r="925" spans="1:5" x14ac:dyDescent="0.3">
      <c r="A925" t="str">
        <f t="shared" si="14"/>
        <v>0317048</v>
      </c>
      <c r="B925" s="101" t="s">
        <v>16</v>
      </c>
      <c r="C925" s="101" t="s">
        <v>162</v>
      </c>
      <c r="D925" s="101" t="s">
        <v>586</v>
      </c>
      <c r="E925" s="101" t="s">
        <v>17</v>
      </c>
    </row>
    <row r="926" spans="1:5" x14ac:dyDescent="0.3">
      <c r="A926" t="str">
        <f t="shared" si="14"/>
        <v>0317050</v>
      </c>
      <c r="B926" s="101" t="s">
        <v>16</v>
      </c>
      <c r="C926" s="101" t="s">
        <v>162</v>
      </c>
      <c r="D926" s="101" t="s">
        <v>587</v>
      </c>
      <c r="E926" s="101" t="s">
        <v>17</v>
      </c>
    </row>
    <row r="927" spans="1:5" x14ac:dyDescent="0.3">
      <c r="A927" t="str">
        <f t="shared" si="14"/>
        <v>0317051</v>
      </c>
      <c r="B927" s="101" t="s">
        <v>16</v>
      </c>
      <c r="C927" s="101" t="s">
        <v>162</v>
      </c>
      <c r="D927" s="101" t="s">
        <v>588</v>
      </c>
      <c r="E927" s="101" t="s">
        <v>17</v>
      </c>
    </row>
    <row r="928" spans="1:5" x14ac:dyDescent="0.3">
      <c r="A928" t="str">
        <f t="shared" si="14"/>
        <v>0317089</v>
      </c>
      <c r="B928" s="101" t="s">
        <v>16</v>
      </c>
      <c r="C928" s="101" t="s">
        <v>162</v>
      </c>
      <c r="D928" s="101" t="s">
        <v>589</v>
      </c>
      <c r="E928" s="101" t="s">
        <v>17</v>
      </c>
    </row>
    <row r="929" spans="1:5" x14ac:dyDescent="0.3">
      <c r="A929" t="str">
        <f t="shared" si="14"/>
        <v>0317090</v>
      </c>
      <c r="B929" s="101" t="s">
        <v>16</v>
      </c>
      <c r="C929" s="101" t="s">
        <v>162</v>
      </c>
      <c r="D929" s="101" t="s">
        <v>590</v>
      </c>
      <c r="E929" s="101" t="s">
        <v>17</v>
      </c>
    </row>
    <row r="930" spans="1:5" x14ac:dyDescent="0.3">
      <c r="A930" t="str">
        <f t="shared" si="14"/>
        <v>0317563</v>
      </c>
      <c r="B930" s="101" t="s">
        <v>16</v>
      </c>
      <c r="C930" s="101" t="s">
        <v>162</v>
      </c>
      <c r="D930" s="101" t="s">
        <v>422</v>
      </c>
      <c r="E930" s="101" t="s">
        <v>17</v>
      </c>
    </row>
    <row r="931" spans="1:5" x14ac:dyDescent="0.3">
      <c r="A931" t="str">
        <f t="shared" si="14"/>
        <v>0317564</v>
      </c>
      <c r="B931" s="101" t="s">
        <v>16</v>
      </c>
      <c r="C931" s="101" t="s">
        <v>162</v>
      </c>
      <c r="D931" s="101" t="s">
        <v>423</v>
      </c>
      <c r="E931" s="101" t="s">
        <v>17</v>
      </c>
    </row>
    <row r="932" spans="1:5" x14ac:dyDescent="0.3">
      <c r="A932" t="str">
        <f t="shared" si="14"/>
        <v>0317566</v>
      </c>
      <c r="B932" s="101" t="s">
        <v>16</v>
      </c>
      <c r="C932" s="101" t="s">
        <v>162</v>
      </c>
      <c r="D932" s="101" t="s">
        <v>425</v>
      </c>
      <c r="E932" s="101" t="s">
        <v>17</v>
      </c>
    </row>
    <row r="933" spans="1:5" x14ac:dyDescent="0.3">
      <c r="A933" t="str">
        <f t="shared" si="14"/>
        <v>0317567</v>
      </c>
      <c r="B933" s="101" t="s">
        <v>16</v>
      </c>
      <c r="C933" s="101" t="s">
        <v>162</v>
      </c>
      <c r="D933" s="101" t="s">
        <v>426</v>
      </c>
      <c r="E933" s="101" t="s">
        <v>17</v>
      </c>
    </row>
    <row r="934" spans="1:5" x14ac:dyDescent="0.3">
      <c r="A934" t="str">
        <f t="shared" si="14"/>
        <v>0317569</v>
      </c>
      <c r="B934" s="101" t="s">
        <v>16</v>
      </c>
      <c r="C934" s="101" t="s">
        <v>162</v>
      </c>
      <c r="D934" s="101" t="s">
        <v>428</v>
      </c>
      <c r="E934" s="101" t="s">
        <v>17</v>
      </c>
    </row>
    <row r="935" spans="1:5" x14ac:dyDescent="0.3">
      <c r="A935" t="str">
        <f t="shared" si="14"/>
        <v>0317570</v>
      </c>
      <c r="B935" s="101" t="s">
        <v>16</v>
      </c>
      <c r="C935" s="101" t="s">
        <v>162</v>
      </c>
      <c r="D935" s="101" t="s">
        <v>429</v>
      </c>
      <c r="E935" s="101" t="s">
        <v>17</v>
      </c>
    </row>
    <row r="936" spans="1:5" x14ac:dyDescent="0.3">
      <c r="A936" t="str">
        <f t="shared" si="14"/>
        <v>0317572</v>
      </c>
      <c r="B936" s="101" t="s">
        <v>16</v>
      </c>
      <c r="C936" s="101" t="s">
        <v>162</v>
      </c>
      <c r="D936" s="101" t="s">
        <v>431</v>
      </c>
      <c r="E936" s="101" t="s">
        <v>17</v>
      </c>
    </row>
    <row r="937" spans="1:5" x14ac:dyDescent="0.3">
      <c r="A937" t="str">
        <f t="shared" si="14"/>
        <v>0317573</v>
      </c>
      <c r="B937" s="101" t="s">
        <v>16</v>
      </c>
      <c r="C937" s="101" t="s">
        <v>162</v>
      </c>
      <c r="D937" s="101" t="s">
        <v>432</v>
      </c>
      <c r="E937" s="101" t="s">
        <v>17</v>
      </c>
    </row>
    <row r="938" spans="1:5" x14ac:dyDescent="0.3">
      <c r="A938" t="str">
        <f t="shared" si="14"/>
        <v>0317575</v>
      </c>
      <c r="B938" s="101" t="s">
        <v>16</v>
      </c>
      <c r="C938" s="101" t="s">
        <v>162</v>
      </c>
      <c r="D938" s="101" t="s">
        <v>434</v>
      </c>
      <c r="E938" s="101" t="s">
        <v>17</v>
      </c>
    </row>
    <row r="939" spans="1:5" x14ac:dyDescent="0.3">
      <c r="A939" t="str">
        <f t="shared" si="14"/>
        <v>0317576</v>
      </c>
      <c r="B939" s="101" t="s">
        <v>16</v>
      </c>
      <c r="C939" s="101" t="s">
        <v>162</v>
      </c>
      <c r="D939" s="101" t="s">
        <v>435</v>
      </c>
      <c r="E939" s="101" t="s">
        <v>17</v>
      </c>
    </row>
    <row r="940" spans="1:5" x14ac:dyDescent="0.3">
      <c r="A940" t="str">
        <f t="shared" si="14"/>
        <v>0317578</v>
      </c>
      <c r="B940" s="101" t="s">
        <v>16</v>
      </c>
      <c r="C940" s="101" t="s">
        <v>162</v>
      </c>
      <c r="D940" s="101" t="s">
        <v>437</v>
      </c>
      <c r="E940" s="101" t="s">
        <v>17</v>
      </c>
    </row>
    <row r="941" spans="1:5" x14ac:dyDescent="0.3">
      <c r="A941" t="str">
        <f t="shared" si="14"/>
        <v>0317579</v>
      </c>
      <c r="B941" s="101" t="s">
        <v>16</v>
      </c>
      <c r="C941" s="101" t="s">
        <v>162</v>
      </c>
      <c r="D941" s="101" t="s">
        <v>438</v>
      </c>
      <c r="E941" s="101" t="s">
        <v>17</v>
      </c>
    </row>
    <row r="942" spans="1:5" x14ac:dyDescent="0.3">
      <c r="A942" t="str">
        <f t="shared" si="14"/>
        <v>0317581</v>
      </c>
      <c r="B942" s="101" t="s">
        <v>16</v>
      </c>
      <c r="C942" s="101" t="s">
        <v>162</v>
      </c>
      <c r="D942" s="101" t="s">
        <v>440</v>
      </c>
      <c r="E942" s="101" t="s">
        <v>17</v>
      </c>
    </row>
    <row r="943" spans="1:5" x14ac:dyDescent="0.3">
      <c r="A943" t="str">
        <f t="shared" si="14"/>
        <v>0317582</v>
      </c>
      <c r="B943" s="101" t="s">
        <v>16</v>
      </c>
      <c r="C943" s="101" t="s">
        <v>162</v>
      </c>
      <c r="D943" s="101" t="s">
        <v>441</v>
      </c>
      <c r="E943" s="101" t="s">
        <v>17</v>
      </c>
    </row>
    <row r="944" spans="1:5" x14ac:dyDescent="0.3">
      <c r="A944" t="str">
        <f t="shared" si="14"/>
        <v>0317584</v>
      </c>
      <c r="B944" s="101" t="s">
        <v>16</v>
      </c>
      <c r="C944" s="101" t="s">
        <v>162</v>
      </c>
      <c r="D944" s="101" t="s">
        <v>443</v>
      </c>
      <c r="E944" s="101" t="s">
        <v>17</v>
      </c>
    </row>
    <row r="945" spans="1:5" x14ac:dyDescent="0.3">
      <c r="A945" t="str">
        <f t="shared" si="14"/>
        <v>0317585</v>
      </c>
      <c r="B945" s="101" t="s">
        <v>16</v>
      </c>
      <c r="C945" s="101" t="s">
        <v>162</v>
      </c>
      <c r="D945" s="101" t="s">
        <v>444</v>
      </c>
      <c r="E945" s="101" t="s">
        <v>17</v>
      </c>
    </row>
    <row r="946" spans="1:5" x14ac:dyDescent="0.3">
      <c r="A946" t="str">
        <f t="shared" si="14"/>
        <v>0317587</v>
      </c>
      <c r="B946" s="101" t="s">
        <v>16</v>
      </c>
      <c r="C946" s="101" t="s">
        <v>162</v>
      </c>
      <c r="D946" s="101" t="s">
        <v>446</v>
      </c>
      <c r="E946" s="101" t="s">
        <v>17</v>
      </c>
    </row>
    <row r="947" spans="1:5" x14ac:dyDescent="0.3">
      <c r="A947" t="str">
        <f t="shared" si="14"/>
        <v>0317588</v>
      </c>
      <c r="B947" s="101" t="s">
        <v>16</v>
      </c>
      <c r="C947" s="101" t="s">
        <v>162</v>
      </c>
      <c r="D947" s="101" t="s">
        <v>447</v>
      </c>
      <c r="E947" s="101" t="s">
        <v>17</v>
      </c>
    </row>
    <row r="948" spans="1:5" x14ac:dyDescent="0.3">
      <c r="A948" t="str">
        <f t="shared" si="14"/>
        <v>0317590</v>
      </c>
      <c r="B948" s="101" t="s">
        <v>16</v>
      </c>
      <c r="C948" s="101" t="s">
        <v>162</v>
      </c>
      <c r="D948" s="101" t="s">
        <v>449</v>
      </c>
      <c r="E948" s="101" t="s">
        <v>17</v>
      </c>
    </row>
    <row r="949" spans="1:5" x14ac:dyDescent="0.3">
      <c r="A949" t="str">
        <f t="shared" si="14"/>
        <v>0317591</v>
      </c>
      <c r="B949" s="101" t="s">
        <v>16</v>
      </c>
      <c r="C949" s="101" t="s">
        <v>162</v>
      </c>
      <c r="D949" s="101" t="s">
        <v>450</v>
      </c>
      <c r="E949" s="101" t="s">
        <v>17</v>
      </c>
    </row>
    <row r="950" spans="1:5" x14ac:dyDescent="0.3">
      <c r="A950" t="str">
        <f t="shared" si="14"/>
        <v>0317593</v>
      </c>
      <c r="B950" s="101" t="s">
        <v>16</v>
      </c>
      <c r="C950" s="101" t="s">
        <v>162</v>
      </c>
      <c r="D950" s="101" t="s">
        <v>452</v>
      </c>
      <c r="E950" s="101" t="s">
        <v>17</v>
      </c>
    </row>
    <row r="951" spans="1:5" x14ac:dyDescent="0.3">
      <c r="A951" t="str">
        <f t="shared" si="14"/>
        <v>0317594</v>
      </c>
      <c r="B951" s="101" t="s">
        <v>16</v>
      </c>
      <c r="C951" s="101" t="s">
        <v>162</v>
      </c>
      <c r="D951" s="101" t="s">
        <v>454</v>
      </c>
      <c r="E951" s="101" t="s">
        <v>17</v>
      </c>
    </row>
    <row r="952" spans="1:5" x14ac:dyDescent="0.3">
      <c r="A952" t="str">
        <f t="shared" si="14"/>
        <v>0317596</v>
      </c>
      <c r="B952" s="101" t="s">
        <v>16</v>
      </c>
      <c r="C952" s="101" t="s">
        <v>162</v>
      </c>
      <c r="D952" s="101" t="s">
        <v>457</v>
      </c>
      <c r="E952" s="101" t="s">
        <v>17</v>
      </c>
    </row>
    <row r="953" spans="1:5" x14ac:dyDescent="0.3">
      <c r="A953" t="str">
        <f t="shared" si="14"/>
        <v>0317597</v>
      </c>
      <c r="B953" s="101" t="s">
        <v>16</v>
      </c>
      <c r="C953" s="101" t="s">
        <v>162</v>
      </c>
      <c r="D953" s="101" t="s">
        <v>458</v>
      </c>
      <c r="E953" s="101" t="s">
        <v>17</v>
      </c>
    </row>
    <row r="954" spans="1:5" x14ac:dyDescent="0.3">
      <c r="A954" t="str">
        <f t="shared" si="14"/>
        <v>0317599</v>
      </c>
      <c r="B954" s="101" t="s">
        <v>16</v>
      </c>
      <c r="C954" s="101" t="s">
        <v>162</v>
      </c>
      <c r="D954" s="101" t="s">
        <v>460</v>
      </c>
      <c r="E954" s="101" t="s">
        <v>17</v>
      </c>
    </row>
    <row r="955" spans="1:5" x14ac:dyDescent="0.3">
      <c r="A955" t="str">
        <f t="shared" si="14"/>
        <v>0317600</v>
      </c>
      <c r="B955" s="101" t="s">
        <v>16</v>
      </c>
      <c r="C955" s="101" t="s">
        <v>162</v>
      </c>
      <c r="D955" s="101" t="s">
        <v>230</v>
      </c>
      <c r="E955" s="101" t="s">
        <v>17</v>
      </c>
    </row>
    <row r="956" spans="1:5" x14ac:dyDescent="0.3">
      <c r="A956" t="str">
        <f t="shared" si="14"/>
        <v>0317638</v>
      </c>
      <c r="B956" s="101" t="s">
        <v>16</v>
      </c>
      <c r="C956" s="101" t="s">
        <v>162</v>
      </c>
      <c r="D956" s="101" t="s">
        <v>280</v>
      </c>
      <c r="E956" s="101" t="s">
        <v>17</v>
      </c>
    </row>
    <row r="957" spans="1:5" x14ac:dyDescent="0.3">
      <c r="A957" t="str">
        <f t="shared" si="14"/>
        <v>0317639</v>
      </c>
      <c r="B957" s="101" t="s">
        <v>16</v>
      </c>
      <c r="C957" s="101" t="s">
        <v>162</v>
      </c>
      <c r="D957" s="101" t="s">
        <v>281</v>
      </c>
      <c r="E957" s="101" t="s">
        <v>17</v>
      </c>
    </row>
    <row r="958" spans="1:5" x14ac:dyDescent="0.3">
      <c r="A958" t="str">
        <f t="shared" si="14"/>
        <v>0317723</v>
      </c>
      <c r="B958" s="101" t="s">
        <v>16</v>
      </c>
      <c r="C958" s="101" t="s">
        <v>162</v>
      </c>
      <c r="D958" s="101" t="s">
        <v>529</v>
      </c>
      <c r="E958" s="101" t="s">
        <v>17</v>
      </c>
    </row>
    <row r="959" spans="1:5" x14ac:dyDescent="0.3">
      <c r="A959" t="str">
        <f t="shared" si="14"/>
        <v>0317094</v>
      </c>
      <c r="B959" s="101" t="s">
        <v>16</v>
      </c>
      <c r="C959" s="101" t="s">
        <v>162</v>
      </c>
      <c r="D959" s="101" t="s">
        <v>591</v>
      </c>
      <c r="E959" s="101" t="s">
        <v>19</v>
      </c>
    </row>
    <row r="960" spans="1:5" x14ac:dyDescent="0.3">
      <c r="A960" t="str">
        <f t="shared" si="14"/>
        <v>0317095</v>
      </c>
      <c r="B960" s="101" t="s">
        <v>16</v>
      </c>
      <c r="C960" s="101" t="s">
        <v>162</v>
      </c>
      <c r="D960" s="101" t="s">
        <v>592</v>
      </c>
      <c r="E960" s="101" t="s">
        <v>19</v>
      </c>
    </row>
    <row r="961" spans="1:5" x14ac:dyDescent="0.3">
      <c r="A961" t="str">
        <f t="shared" si="14"/>
        <v>0317688</v>
      </c>
      <c r="B961" s="101" t="s">
        <v>16</v>
      </c>
      <c r="C961" s="101" t="s">
        <v>162</v>
      </c>
      <c r="D961" s="101" t="s">
        <v>300</v>
      </c>
      <c r="E961" s="101" t="s">
        <v>19</v>
      </c>
    </row>
    <row r="962" spans="1:5" x14ac:dyDescent="0.3">
      <c r="A962" t="str">
        <f t="shared" si="14"/>
        <v>0317689</v>
      </c>
      <c r="B962" s="101" t="s">
        <v>16</v>
      </c>
      <c r="C962" s="101" t="s">
        <v>162</v>
      </c>
      <c r="D962" s="101" t="s">
        <v>301</v>
      </c>
      <c r="E962" s="101" t="s">
        <v>19</v>
      </c>
    </row>
    <row r="963" spans="1:5" x14ac:dyDescent="0.3">
      <c r="A963" t="str">
        <f t="shared" ref="A963:A1026" si="15">CONCATENATE(B963,C963,D963,F963)</f>
        <v>0317649</v>
      </c>
      <c r="B963" s="101" t="s">
        <v>16</v>
      </c>
      <c r="C963" s="101" t="s">
        <v>162</v>
      </c>
      <c r="D963" s="101" t="s">
        <v>200</v>
      </c>
      <c r="E963" s="101" t="s">
        <v>17</v>
      </c>
    </row>
    <row r="964" spans="1:5" x14ac:dyDescent="0.3">
      <c r="A964" t="str">
        <f t="shared" si="15"/>
        <v>0317650</v>
      </c>
      <c r="B964" s="101" t="s">
        <v>16</v>
      </c>
      <c r="C964" s="101" t="s">
        <v>162</v>
      </c>
      <c r="D964" s="101" t="s">
        <v>487</v>
      </c>
      <c r="E964" s="101" t="s">
        <v>17</v>
      </c>
    </row>
    <row r="965" spans="1:5" x14ac:dyDescent="0.3">
      <c r="A965" t="str">
        <f t="shared" si="15"/>
        <v>0317673</v>
      </c>
      <c r="B965" s="101" t="s">
        <v>16</v>
      </c>
      <c r="C965" s="101" t="s">
        <v>162</v>
      </c>
      <c r="D965" s="101" t="s">
        <v>503</v>
      </c>
      <c r="E965" s="101" t="s">
        <v>17</v>
      </c>
    </row>
    <row r="966" spans="1:5" x14ac:dyDescent="0.3">
      <c r="A966" t="str">
        <f t="shared" si="15"/>
        <v>0317674</v>
      </c>
      <c r="B966" s="101" t="s">
        <v>16</v>
      </c>
      <c r="C966" s="101" t="s">
        <v>162</v>
      </c>
      <c r="D966" s="101" t="s">
        <v>504</v>
      </c>
      <c r="E966" s="101" t="s">
        <v>17</v>
      </c>
    </row>
    <row r="967" spans="1:5" x14ac:dyDescent="0.3">
      <c r="A967" t="str">
        <f t="shared" si="15"/>
        <v>0317676</v>
      </c>
      <c r="B967" s="101" t="s">
        <v>16</v>
      </c>
      <c r="C967" s="101" t="s">
        <v>162</v>
      </c>
      <c r="D967" s="101" t="s">
        <v>204</v>
      </c>
      <c r="E967" s="101" t="s">
        <v>17</v>
      </c>
    </row>
    <row r="968" spans="1:5" x14ac:dyDescent="0.3">
      <c r="A968" t="str">
        <f t="shared" si="15"/>
        <v>0317670</v>
      </c>
      <c r="B968" s="101" t="s">
        <v>16</v>
      </c>
      <c r="C968" s="101" t="s">
        <v>162</v>
      </c>
      <c r="D968" s="101" t="s">
        <v>500</v>
      </c>
      <c r="E968" s="101" t="s">
        <v>17</v>
      </c>
    </row>
    <row r="969" spans="1:5" x14ac:dyDescent="0.3">
      <c r="A969" t="str">
        <f t="shared" si="15"/>
        <v>0317671</v>
      </c>
      <c r="B969" s="101" t="s">
        <v>16</v>
      </c>
      <c r="C969" s="101" t="s">
        <v>162</v>
      </c>
      <c r="D969" s="101" t="s">
        <v>501</v>
      </c>
      <c r="E969" s="101" t="s">
        <v>17</v>
      </c>
    </row>
    <row r="970" spans="1:5" x14ac:dyDescent="0.3">
      <c r="A970" t="str">
        <f t="shared" si="15"/>
        <v>0317698</v>
      </c>
      <c r="B970" s="101" t="s">
        <v>16</v>
      </c>
      <c r="C970" s="101" t="s">
        <v>162</v>
      </c>
      <c r="D970" s="101" t="s">
        <v>507</v>
      </c>
      <c r="E970" s="101" t="s">
        <v>17</v>
      </c>
    </row>
    <row r="971" spans="1:5" x14ac:dyDescent="0.3">
      <c r="A971" t="str">
        <f t="shared" si="15"/>
        <v>0317699</v>
      </c>
      <c r="B971" s="101" t="s">
        <v>16</v>
      </c>
      <c r="C971" s="101" t="s">
        <v>162</v>
      </c>
      <c r="D971" s="101" t="s">
        <v>508</v>
      </c>
      <c r="E971" s="101" t="s">
        <v>17</v>
      </c>
    </row>
    <row r="972" spans="1:5" x14ac:dyDescent="0.3">
      <c r="A972" t="str">
        <f t="shared" si="15"/>
        <v>0317677</v>
      </c>
      <c r="B972" s="101" t="s">
        <v>16</v>
      </c>
      <c r="C972" s="101" t="s">
        <v>162</v>
      </c>
      <c r="D972" s="101" t="s">
        <v>205</v>
      </c>
      <c r="E972" s="101" t="s">
        <v>17</v>
      </c>
    </row>
    <row r="973" spans="1:5" x14ac:dyDescent="0.3">
      <c r="A973" t="str">
        <f t="shared" si="15"/>
        <v>0317679</v>
      </c>
      <c r="B973" s="101" t="s">
        <v>16</v>
      </c>
      <c r="C973" s="101" t="s">
        <v>162</v>
      </c>
      <c r="D973" s="101" t="s">
        <v>207</v>
      </c>
      <c r="E973" s="101" t="s">
        <v>17</v>
      </c>
    </row>
    <row r="974" spans="1:5" x14ac:dyDescent="0.3">
      <c r="A974" t="str">
        <f t="shared" si="15"/>
        <v>0317680</v>
      </c>
      <c r="B974" s="101" t="s">
        <v>16</v>
      </c>
      <c r="C974" s="101" t="s">
        <v>162</v>
      </c>
      <c r="D974" s="101" t="s">
        <v>271</v>
      </c>
      <c r="E974" s="101" t="s">
        <v>17</v>
      </c>
    </row>
    <row r="975" spans="1:5" x14ac:dyDescent="0.3">
      <c r="A975" t="str">
        <f t="shared" si="15"/>
        <v>0317682</v>
      </c>
      <c r="B975" s="101" t="s">
        <v>16</v>
      </c>
      <c r="C975" s="101" t="s">
        <v>162</v>
      </c>
      <c r="D975" s="101" t="s">
        <v>208</v>
      </c>
      <c r="E975" s="101" t="s">
        <v>17</v>
      </c>
    </row>
    <row r="976" spans="1:5" x14ac:dyDescent="0.3">
      <c r="A976" t="str">
        <f t="shared" si="15"/>
        <v>0317683</v>
      </c>
      <c r="B976" s="101" t="s">
        <v>16</v>
      </c>
      <c r="C976" s="101" t="s">
        <v>162</v>
      </c>
      <c r="D976" s="101" t="s">
        <v>209</v>
      </c>
      <c r="E976" s="101" t="s">
        <v>17</v>
      </c>
    </row>
    <row r="977" spans="1:5" x14ac:dyDescent="0.3">
      <c r="A977" t="str">
        <f t="shared" si="15"/>
        <v>0317701</v>
      </c>
      <c r="B977" s="101" t="s">
        <v>16</v>
      </c>
      <c r="C977" s="101" t="s">
        <v>162</v>
      </c>
      <c r="D977" s="101" t="s">
        <v>510</v>
      </c>
      <c r="E977" s="101" t="s">
        <v>17</v>
      </c>
    </row>
    <row r="978" spans="1:5" x14ac:dyDescent="0.3">
      <c r="A978" t="str">
        <f t="shared" si="15"/>
        <v>0317702</v>
      </c>
      <c r="B978" s="101" t="s">
        <v>16</v>
      </c>
      <c r="C978" s="101" t="s">
        <v>162</v>
      </c>
      <c r="D978" s="101" t="s">
        <v>511</v>
      </c>
      <c r="E978" s="101" t="s">
        <v>17</v>
      </c>
    </row>
    <row r="979" spans="1:5" x14ac:dyDescent="0.3">
      <c r="A979" t="str">
        <f t="shared" si="15"/>
        <v>0317704</v>
      </c>
      <c r="B979" s="101" t="s">
        <v>16</v>
      </c>
      <c r="C979" s="101" t="s">
        <v>162</v>
      </c>
      <c r="D979" s="101" t="s">
        <v>513</v>
      </c>
      <c r="E979" s="101" t="s">
        <v>17</v>
      </c>
    </row>
    <row r="980" spans="1:5" x14ac:dyDescent="0.3">
      <c r="A980" t="str">
        <f t="shared" si="15"/>
        <v>0317705</v>
      </c>
      <c r="B980" s="101" t="s">
        <v>16</v>
      </c>
      <c r="C980" s="101" t="s">
        <v>162</v>
      </c>
      <c r="D980" s="101" t="s">
        <v>514</v>
      </c>
      <c r="E980" s="101" t="s">
        <v>17</v>
      </c>
    </row>
    <row r="981" spans="1:5" x14ac:dyDescent="0.3">
      <c r="A981" t="str">
        <f t="shared" si="15"/>
        <v>0317658</v>
      </c>
      <c r="B981" s="101" t="s">
        <v>16</v>
      </c>
      <c r="C981" s="101" t="s">
        <v>162</v>
      </c>
      <c r="D981" s="101" t="s">
        <v>214</v>
      </c>
      <c r="E981" s="101" t="s">
        <v>17</v>
      </c>
    </row>
    <row r="982" spans="1:5" x14ac:dyDescent="0.3">
      <c r="A982" t="str">
        <f t="shared" si="15"/>
        <v>0317659</v>
      </c>
      <c r="B982" s="101" t="s">
        <v>16</v>
      </c>
      <c r="C982" s="101" t="s">
        <v>162</v>
      </c>
      <c r="D982" s="101" t="s">
        <v>215</v>
      </c>
      <c r="E982" s="101" t="s">
        <v>17</v>
      </c>
    </row>
    <row r="983" spans="1:5" x14ac:dyDescent="0.3">
      <c r="A983" t="str">
        <f t="shared" si="15"/>
        <v>0317661</v>
      </c>
      <c r="B983" s="101" t="s">
        <v>16</v>
      </c>
      <c r="C983" s="101" t="s">
        <v>162</v>
      </c>
      <c r="D983" s="101" t="s">
        <v>217</v>
      </c>
      <c r="E983" s="101" t="s">
        <v>17</v>
      </c>
    </row>
    <row r="984" spans="1:5" x14ac:dyDescent="0.3">
      <c r="A984" t="str">
        <f t="shared" si="15"/>
        <v>0317662</v>
      </c>
      <c r="B984" s="101" t="s">
        <v>16</v>
      </c>
      <c r="C984" s="101" t="s">
        <v>162</v>
      </c>
      <c r="D984" s="101" t="s">
        <v>493</v>
      </c>
      <c r="E984" s="101" t="s">
        <v>17</v>
      </c>
    </row>
    <row r="985" spans="1:5" x14ac:dyDescent="0.3">
      <c r="A985" t="str">
        <f t="shared" si="15"/>
        <v>0317664</v>
      </c>
      <c r="B985" s="101" t="s">
        <v>16</v>
      </c>
      <c r="C985" s="101" t="s">
        <v>162</v>
      </c>
      <c r="D985" s="101" t="s">
        <v>495</v>
      </c>
      <c r="E985" s="101" t="s">
        <v>17</v>
      </c>
    </row>
    <row r="986" spans="1:5" x14ac:dyDescent="0.3">
      <c r="A986" t="str">
        <f t="shared" si="15"/>
        <v>0317665</v>
      </c>
      <c r="B986" s="101" t="s">
        <v>16</v>
      </c>
      <c r="C986" s="101" t="s">
        <v>162</v>
      </c>
      <c r="D986" s="101" t="s">
        <v>496</v>
      </c>
      <c r="E986" s="101" t="s">
        <v>17</v>
      </c>
    </row>
    <row r="987" spans="1:5" x14ac:dyDescent="0.3">
      <c r="A987" t="str">
        <f t="shared" si="15"/>
        <v>0317667</v>
      </c>
      <c r="B987" s="101" t="s">
        <v>16</v>
      </c>
      <c r="C987" s="101" t="s">
        <v>162</v>
      </c>
      <c r="D987" s="101" t="s">
        <v>203</v>
      </c>
      <c r="E987" s="101" t="s">
        <v>17</v>
      </c>
    </row>
    <row r="988" spans="1:5" x14ac:dyDescent="0.3">
      <c r="A988" t="str">
        <f t="shared" si="15"/>
        <v>0317668</v>
      </c>
      <c r="B988" s="101" t="s">
        <v>16</v>
      </c>
      <c r="C988" s="101" t="s">
        <v>162</v>
      </c>
      <c r="D988" s="101" t="s">
        <v>498</v>
      </c>
      <c r="E988" s="101" t="s">
        <v>17</v>
      </c>
    </row>
    <row r="989" spans="1:5" x14ac:dyDescent="0.3">
      <c r="A989" t="str">
        <f t="shared" si="15"/>
        <v>0317118</v>
      </c>
      <c r="B989" s="101" t="s">
        <v>16</v>
      </c>
      <c r="C989" s="101" t="s">
        <v>162</v>
      </c>
      <c r="D989" s="101" t="s">
        <v>247</v>
      </c>
      <c r="E989" s="101" t="s">
        <v>17</v>
      </c>
    </row>
    <row r="990" spans="1:5" x14ac:dyDescent="0.3">
      <c r="A990" t="str">
        <f t="shared" si="15"/>
        <v>0317513</v>
      </c>
      <c r="B990" s="101" t="s">
        <v>16</v>
      </c>
      <c r="C990" s="101" t="s">
        <v>162</v>
      </c>
      <c r="D990" s="101" t="s">
        <v>387</v>
      </c>
      <c r="E990" s="101" t="s">
        <v>17</v>
      </c>
    </row>
    <row r="991" spans="1:5" x14ac:dyDescent="0.3">
      <c r="A991" t="str">
        <f t="shared" si="15"/>
        <v>0317515</v>
      </c>
      <c r="B991" s="101" t="s">
        <v>16</v>
      </c>
      <c r="C991" s="101" t="s">
        <v>162</v>
      </c>
      <c r="D991" s="101" t="s">
        <v>407</v>
      </c>
      <c r="E991" s="101" t="s">
        <v>17</v>
      </c>
    </row>
    <row r="992" spans="1:5" x14ac:dyDescent="0.3">
      <c r="A992" t="str">
        <f t="shared" si="15"/>
        <v>0317517</v>
      </c>
      <c r="B992" s="101" t="s">
        <v>16</v>
      </c>
      <c r="C992" s="101" t="s">
        <v>162</v>
      </c>
      <c r="D992" s="101" t="s">
        <v>390</v>
      </c>
      <c r="E992" s="101" t="s">
        <v>17</v>
      </c>
    </row>
    <row r="993" spans="1:5" x14ac:dyDescent="0.3">
      <c r="A993" t="str">
        <f t="shared" si="15"/>
        <v>0317519</v>
      </c>
      <c r="B993" s="101" t="s">
        <v>16</v>
      </c>
      <c r="C993" s="101" t="s">
        <v>162</v>
      </c>
      <c r="D993" s="101" t="s">
        <v>383</v>
      </c>
      <c r="E993" s="101" t="s">
        <v>17</v>
      </c>
    </row>
    <row r="994" spans="1:5" x14ac:dyDescent="0.3">
      <c r="A994" t="str">
        <f t="shared" si="15"/>
        <v>0317521</v>
      </c>
      <c r="B994" s="101" t="s">
        <v>16</v>
      </c>
      <c r="C994" s="101" t="s">
        <v>162</v>
      </c>
      <c r="D994" s="101" t="s">
        <v>384</v>
      </c>
      <c r="E994" s="101" t="s">
        <v>17</v>
      </c>
    </row>
    <row r="995" spans="1:5" x14ac:dyDescent="0.3">
      <c r="A995" t="str">
        <f t="shared" si="15"/>
        <v>0317523</v>
      </c>
      <c r="B995" s="101" t="s">
        <v>16</v>
      </c>
      <c r="C995" s="101" t="s">
        <v>162</v>
      </c>
      <c r="D995" s="101" t="s">
        <v>408</v>
      </c>
      <c r="E995" s="101" t="s">
        <v>17</v>
      </c>
    </row>
    <row r="996" spans="1:5" x14ac:dyDescent="0.3">
      <c r="A996" t="str">
        <f t="shared" si="15"/>
        <v>0317525</v>
      </c>
      <c r="B996" s="101" t="s">
        <v>16</v>
      </c>
      <c r="C996" s="101" t="s">
        <v>162</v>
      </c>
      <c r="D996" s="101" t="s">
        <v>394</v>
      </c>
      <c r="E996" s="101" t="s">
        <v>17</v>
      </c>
    </row>
    <row r="997" spans="1:5" x14ac:dyDescent="0.3">
      <c r="A997" t="str">
        <f t="shared" si="15"/>
        <v>0317527</v>
      </c>
      <c r="B997" s="101" t="s">
        <v>16</v>
      </c>
      <c r="C997" s="101" t="s">
        <v>162</v>
      </c>
      <c r="D997" s="101" t="s">
        <v>380</v>
      </c>
      <c r="E997" s="101" t="s">
        <v>17</v>
      </c>
    </row>
    <row r="998" spans="1:5" x14ac:dyDescent="0.3">
      <c r="A998" t="str">
        <f t="shared" si="15"/>
        <v>0317529</v>
      </c>
      <c r="B998" s="101" t="s">
        <v>16</v>
      </c>
      <c r="C998" s="101" t="s">
        <v>162</v>
      </c>
      <c r="D998" s="101" t="s">
        <v>364</v>
      </c>
      <c r="E998" s="101" t="s">
        <v>17</v>
      </c>
    </row>
    <row r="999" spans="1:5" x14ac:dyDescent="0.3">
      <c r="A999" t="str">
        <f t="shared" si="15"/>
        <v>0317531</v>
      </c>
      <c r="B999" s="101" t="s">
        <v>16</v>
      </c>
      <c r="C999" s="101" t="s">
        <v>162</v>
      </c>
      <c r="D999" s="101" t="s">
        <v>409</v>
      </c>
      <c r="E999" s="101" t="s">
        <v>17</v>
      </c>
    </row>
    <row r="1000" spans="1:5" x14ac:dyDescent="0.3">
      <c r="A1000" t="str">
        <f t="shared" si="15"/>
        <v>0317533</v>
      </c>
      <c r="B1000" s="101" t="s">
        <v>16</v>
      </c>
      <c r="C1000" s="101" t="s">
        <v>162</v>
      </c>
      <c r="D1000" s="101" t="s">
        <v>397</v>
      </c>
      <c r="E1000" s="101" t="s">
        <v>17</v>
      </c>
    </row>
    <row r="1001" spans="1:5" x14ac:dyDescent="0.3">
      <c r="A1001" t="str">
        <f t="shared" si="15"/>
        <v>0317535</v>
      </c>
      <c r="B1001" s="101" t="s">
        <v>16</v>
      </c>
      <c r="C1001" s="101" t="s">
        <v>162</v>
      </c>
      <c r="D1001" s="101" t="s">
        <v>410</v>
      </c>
      <c r="E1001" s="101" t="s">
        <v>17</v>
      </c>
    </row>
    <row r="1002" spans="1:5" x14ac:dyDescent="0.3">
      <c r="A1002" t="str">
        <f t="shared" si="15"/>
        <v>0317537</v>
      </c>
      <c r="B1002" s="101" t="s">
        <v>16</v>
      </c>
      <c r="C1002" s="101" t="s">
        <v>162</v>
      </c>
      <c r="D1002" s="101" t="s">
        <v>395</v>
      </c>
      <c r="E1002" s="101" t="s">
        <v>17</v>
      </c>
    </row>
    <row r="1003" spans="1:5" x14ac:dyDescent="0.3">
      <c r="A1003" t="str">
        <f t="shared" si="15"/>
        <v>0317539</v>
      </c>
      <c r="B1003" s="101" t="s">
        <v>16</v>
      </c>
      <c r="C1003" s="101" t="s">
        <v>162</v>
      </c>
      <c r="D1003" s="101" t="s">
        <v>378</v>
      </c>
      <c r="E1003" s="101" t="s">
        <v>17</v>
      </c>
    </row>
    <row r="1004" spans="1:5" x14ac:dyDescent="0.3">
      <c r="A1004" t="str">
        <f t="shared" si="15"/>
        <v>0317541</v>
      </c>
      <c r="B1004" s="101" t="s">
        <v>16</v>
      </c>
      <c r="C1004" s="101" t="s">
        <v>162</v>
      </c>
      <c r="D1004" s="101" t="s">
        <v>325</v>
      </c>
      <c r="E1004" s="101" t="s">
        <v>17</v>
      </c>
    </row>
    <row r="1005" spans="1:5" x14ac:dyDescent="0.3">
      <c r="A1005" t="str">
        <f t="shared" si="15"/>
        <v>0317543</v>
      </c>
      <c r="B1005" s="101" t="s">
        <v>16</v>
      </c>
      <c r="C1005" s="101" t="s">
        <v>162</v>
      </c>
      <c r="D1005" s="101" t="s">
        <v>347</v>
      </c>
      <c r="E1005" s="101" t="s">
        <v>17</v>
      </c>
    </row>
    <row r="1006" spans="1:5" x14ac:dyDescent="0.3">
      <c r="A1006" t="str">
        <f t="shared" si="15"/>
        <v>0317545</v>
      </c>
      <c r="B1006" s="101" t="s">
        <v>16</v>
      </c>
      <c r="C1006" s="101" t="s">
        <v>162</v>
      </c>
      <c r="D1006" s="101" t="s">
        <v>413</v>
      </c>
      <c r="E1006" s="101" t="s">
        <v>17</v>
      </c>
    </row>
    <row r="1007" spans="1:5" x14ac:dyDescent="0.3">
      <c r="A1007" t="str">
        <f t="shared" si="15"/>
        <v>0317547</v>
      </c>
      <c r="B1007" s="101" t="s">
        <v>16</v>
      </c>
      <c r="C1007" s="101" t="s">
        <v>162</v>
      </c>
      <c r="D1007" s="101" t="s">
        <v>414</v>
      </c>
      <c r="E1007" s="101" t="s">
        <v>17</v>
      </c>
    </row>
    <row r="1008" spans="1:5" x14ac:dyDescent="0.3">
      <c r="A1008" t="str">
        <f t="shared" si="15"/>
        <v>0317549</v>
      </c>
      <c r="B1008" s="101" t="s">
        <v>16</v>
      </c>
      <c r="C1008" s="101" t="s">
        <v>162</v>
      </c>
      <c r="D1008" s="101" t="s">
        <v>348</v>
      </c>
      <c r="E1008" s="101" t="s">
        <v>17</v>
      </c>
    </row>
    <row r="1009" spans="1:5" x14ac:dyDescent="0.3">
      <c r="A1009" t="str">
        <f t="shared" si="15"/>
        <v>0317551</v>
      </c>
      <c r="B1009" s="101" t="s">
        <v>16</v>
      </c>
      <c r="C1009" s="101" t="s">
        <v>162</v>
      </c>
      <c r="D1009" s="101" t="s">
        <v>416</v>
      </c>
      <c r="E1009" s="101" t="s">
        <v>17</v>
      </c>
    </row>
    <row r="1010" spans="1:5" x14ac:dyDescent="0.3">
      <c r="A1010" t="str">
        <f t="shared" si="15"/>
        <v>0317553</v>
      </c>
      <c r="B1010" s="101" t="s">
        <v>16</v>
      </c>
      <c r="C1010" s="101" t="s">
        <v>162</v>
      </c>
      <c r="D1010" s="101" t="s">
        <v>417</v>
      </c>
      <c r="E1010" s="101" t="s">
        <v>17</v>
      </c>
    </row>
    <row r="1011" spans="1:5" x14ac:dyDescent="0.3">
      <c r="A1011" t="str">
        <f t="shared" si="15"/>
        <v>0317555</v>
      </c>
      <c r="B1011" s="101" t="s">
        <v>16</v>
      </c>
      <c r="C1011" s="101" t="s">
        <v>162</v>
      </c>
      <c r="D1011" s="101" t="s">
        <v>418</v>
      </c>
      <c r="E1011" s="101" t="s">
        <v>17</v>
      </c>
    </row>
    <row r="1012" spans="1:5" x14ac:dyDescent="0.3">
      <c r="A1012" t="str">
        <f t="shared" si="15"/>
        <v>0317557</v>
      </c>
      <c r="B1012" s="101" t="s">
        <v>16</v>
      </c>
      <c r="C1012" s="101" t="s">
        <v>162</v>
      </c>
      <c r="D1012" s="101" t="s">
        <v>343</v>
      </c>
      <c r="E1012" s="101" t="s">
        <v>17</v>
      </c>
    </row>
    <row r="1013" spans="1:5" x14ac:dyDescent="0.3">
      <c r="A1013" t="str">
        <f t="shared" si="15"/>
        <v>0317559</v>
      </c>
      <c r="B1013" s="101" t="s">
        <v>16</v>
      </c>
      <c r="C1013" s="101" t="s">
        <v>162</v>
      </c>
      <c r="D1013" s="101" t="s">
        <v>363</v>
      </c>
      <c r="E1013" s="101" t="s">
        <v>17</v>
      </c>
    </row>
    <row r="1014" spans="1:5" x14ac:dyDescent="0.3">
      <c r="A1014" t="str">
        <f t="shared" si="15"/>
        <v>0317561</v>
      </c>
      <c r="B1014" s="101" t="s">
        <v>16</v>
      </c>
      <c r="C1014" s="101" t="s">
        <v>162</v>
      </c>
      <c r="D1014" s="101" t="s">
        <v>376</v>
      </c>
      <c r="E1014" s="101" t="s">
        <v>17</v>
      </c>
    </row>
    <row r="1015" spans="1:5" x14ac:dyDescent="0.3">
      <c r="A1015" t="str">
        <f t="shared" si="15"/>
        <v>0317695</v>
      </c>
      <c r="B1015" s="101" t="s">
        <v>16</v>
      </c>
      <c r="C1015" s="101" t="s">
        <v>162</v>
      </c>
      <c r="D1015" s="101" t="s">
        <v>211</v>
      </c>
      <c r="E1015" s="101" t="s">
        <v>17</v>
      </c>
    </row>
    <row r="1016" spans="1:5" x14ac:dyDescent="0.3">
      <c r="A1016" t="str">
        <f t="shared" si="15"/>
        <v>0317696</v>
      </c>
      <c r="B1016" s="101" t="s">
        <v>16</v>
      </c>
      <c r="C1016" s="101" t="s">
        <v>162</v>
      </c>
      <c r="D1016" s="101" t="s">
        <v>505</v>
      </c>
      <c r="E1016" s="101" t="s">
        <v>17</v>
      </c>
    </row>
    <row r="1017" spans="1:5" x14ac:dyDescent="0.3">
      <c r="A1017" t="str">
        <f t="shared" si="15"/>
        <v>0317725</v>
      </c>
      <c r="B1017" s="101" t="s">
        <v>16</v>
      </c>
      <c r="C1017" s="101" t="s">
        <v>162</v>
      </c>
      <c r="D1017" s="101" t="s">
        <v>530</v>
      </c>
      <c r="E1017" s="101" t="s">
        <v>17</v>
      </c>
    </row>
    <row r="1018" spans="1:5" x14ac:dyDescent="0.3">
      <c r="A1018" t="str">
        <f t="shared" si="15"/>
        <v>0317685</v>
      </c>
      <c r="B1018" s="101" t="s">
        <v>16</v>
      </c>
      <c r="C1018" s="101" t="s">
        <v>162</v>
      </c>
      <c r="D1018" s="101" t="s">
        <v>296</v>
      </c>
      <c r="E1018" s="101" t="s">
        <v>19</v>
      </c>
    </row>
    <row r="1019" spans="1:5" x14ac:dyDescent="0.3">
      <c r="A1019" t="str">
        <f t="shared" si="15"/>
        <v>0317686</v>
      </c>
      <c r="B1019" s="101" t="s">
        <v>16</v>
      </c>
      <c r="C1019" s="101" t="s">
        <v>162</v>
      </c>
      <c r="D1019" s="101" t="s">
        <v>298</v>
      </c>
      <c r="E1019" s="101" t="s">
        <v>17</v>
      </c>
    </row>
    <row r="1020" spans="1:5" x14ac:dyDescent="0.3">
      <c r="A1020" t="str">
        <f t="shared" si="15"/>
        <v>0317687</v>
      </c>
      <c r="B1020" s="101" t="s">
        <v>16</v>
      </c>
      <c r="C1020" s="101" t="s">
        <v>162</v>
      </c>
      <c r="D1020" s="101" t="s">
        <v>299</v>
      </c>
      <c r="E1020" s="101" t="s">
        <v>17</v>
      </c>
    </row>
    <row r="1021" spans="1:5" x14ac:dyDescent="0.3">
      <c r="A1021" t="str">
        <f t="shared" si="15"/>
        <v>0417801</v>
      </c>
      <c r="B1021" s="101" t="s">
        <v>18</v>
      </c>
      <c r="C1021" s="101" t="s">
        <v>162</v>
      </c>
      <c r="D1021" s="101" t="s">
        <v>144</v>
      </c>
      <c r="E1021" s="101" t="s">
        <v>139</v>
      </c>
    </row>
    <row r="1022" spans="1:5" x14ac:dyDescent="0.3">
      <c r="A1022" t="str">
        <f t="shared" si="15"/>
        <v>0417500</v>
      </c>
      <c r="B1022" s="101" t="s">
        <v>18</v>
      </c>
      <c r="C1022" s="101" t="s">
        <v>162</v>
      </c>
      <c r="D1022" s="101" t="s">
        <v>146</v>
      </c>
      <c r="E1022" s="101" t="s">
        <v>139</v>
      </c>
    </row>
    <row r="1023" spans="1:5" x14ac:dyDescent="0.3">
      <c r="A1023" t="str">
        <f t="shared" si="15"/>
        <v>0417014</v>
      </c>
      <c r="B1023" s="101" t="s">
        <v>18</v>
      </c>
      <c r="C1023" s="101" t="s">
        <v>162</v>
      </c>
      <c r="D1023" s="101" t="s">
        <v>531</v>
      </c>
      <c r="E1023" s="101" t="s">
        <v>17</v>
      </c>
    </row>
    <row r="1024" spans="1:5" x14ac:dyDescent="0.3">
      <c r="A1024" t="str">
        <f t="shared" si="15"/>
        <v>0417015</v>
      </c>
      <c r="B1024" s="101" t="s">
        <v>18</v>
      </c>
      <c r="C1024" s="101" t="s">
        <v>162</v>
      </c>
      <c r="D1024" s="101" t="s">
        <v>321</v>
      </c>
      <c r="E1024" s="101" t="s">
        <v>17</v>
      </c>
    </row>
    <row r="1025" spans="1:5" x14ac:dyDescent="0.3">
      <c r="A1025" t="str">
        <f t="shared" si="15"/>
        <v>0417017</v>
      </c>
      <c r="B1025" s="101" t="s">
        <v>18</v>
      </c>
      <c r="C1025" s="101" t="s">
        <v>162</v>
      </c>
      <c r="D1025" s="101" t="s">
        <v>575</v>
      </c>
      <c r="E1025" s="101" t="s">
        <v>17</v>
      </c>
    </row>
    <row r="1026" spans="1:5" x14ac:dyDescent="0.3">
      <c r="A1026" t="str">
        <f t="shared" si="15"/>
        <v>0417018</v>
      </c>
      <c r="B1026" s="101" t="s">
        <v>18</v>
      </c>
      <c r="C1026" s="101" t="s">
        <v>162</v>
      </c>
      <c r="D1026" s="101" t="s">
        <v>576</v>
      </c>
      <c r="E1026" s="101" t="s">
        <v>17</v>
      </c>
    </row>
    <row r="1027" spans="1:5" x14ac:dyDescent="0.3">
      <c r="A1027" t="str">
        <f t="shared" ref="A1027:A1090" si="16">CONCATENATE(B1027,C1027,D1027,F1027)</f>
        <v>0417020</v>
      </c>
      <c r="B1027" s="101" t="s">
        <v>18</v>
      </c>
      <c r="C1027" s="101" t="s">
        <v>162</v>
      </c>
      <c r="D1027" s="101" t="s">
        <v>577</v>
      </c>
      <c r="E1027" s="101" t="s">
        <v>17</v>
      </c>
    </row>
    <row r="1028" spans="1:5" x14ac:dyDescent="0.3">
      <c r="A1028" t="str">
        <f t="shared" si="16"/>
        <v>0417021</v>
      </c>
      <c r="B1028" s="101" t="s">
        <v>18</v>
      </c>
      <c r="C1028" s="101" t="s">
        <v>162</v>
      </c>
      <c r="D1028" s="101" t="s">
        <v>477</v>
      </c>
      <c r="E1028" s="101" t="s">
        <v>17</v>
      </c>
    </row>
    <row r="1029" spans="1:5" x14ac:dyDescent="0.3">
      <c r="A1029" t="str">
        <f t="shared" si="16"/>
        <v>0417023</v>
      </c>
      <c r="B1029" s="101" t="s">
        <v>18</v>
      </c>
      <c r="C1029" s="101" t="s">
        <v>162</v>
      </c>
      <c r="D1029" s="101" t="s">
        <v>480</v>
      </c>
      <c r="E1029" s="101" t="s">
        <v>17</v>
      </c>
    </row>
    <row r="1030" spans="1:5" x14ac:dyDescent="0.3">
      <c r="A1030" t="str">
        <f t="shared" si="16"/>
        <v>0417024</v>
      </c>
      <c r="B1030" s="101" t="s">
        <v>18</v>
      </c>
      <c r="C1030" s="101" t="s">
        <v>162</v>
      </c>
      <c r="D1030" s="101" t="s">
        <v>481</v>
      </c>
      <c r="E1030" s="101" t="s">
        <v>17</v>
      </c>
    </row>
    <row r="1031" spans="1:5" x14ac:dyDescent="0.3">
      <c r="A1031" t="str">
        <f t="shared" si="16"/>
        <v>0417026</v>
      </c>
      <c r="B1031" s="101" t="s">
        <v>18</v>
      </c>
      <c r="C1031" s="101" t="s">
        <v>162</v>
      </c>
      <c r="D1031" s="101" t="s">
        <v>579</v>
      </c>
      <c r="E1031" s="101" t="s">
        <v>17</v>
      </c>
    </row>
    <row r="1032" spans="1:5" x14ac:dyDescent="0.3">
      <c r="A1032" t="str">
        <f t="shared" si="16"/>
        <v>0417027</v>
      </c>
      <c r="B1032" s="101" t="s">
        <v>18</v>
      </c>
      <c r="C1032" s="101" t="s">
        <v>162</v>
      </c>
      <c r="D1032" s="101" t="s">
        <v>545</v>
      </c>
      <c r="E1032" s="101" t="s">
        <v>17</v>
      </c>
    </row>
    <row r="1033" spans="1:5" x14ac:dyDescent="0.3">
      <c r="A1033" t="str">
        <f t="shared" si="16"/>
        <v>0417029</v>
      </c>
      <c r="B1033" s="101" t="s">
        <v>18</v>
      </c>
      <c r="C1033" s="101" t="s">
        <v>162</v>
      </c>
      <c r="D1033" s="101" t="s">
        <v>355</v>
      </c>
      <c r="E1033" s="101" t="s">
        <v>17</v>
      </c>
    </row>
    <row r="1034" spans="1:5" x14ac:dyDescent="0.3">
      <c r="A1034" t="str">
        <f t="shared" si="16"/>
        <v>0417030</v>
      </c>
      <c r="B1034" s="101" t="s">
        <v>18</v>
      </c>
      <c r="C1034" s="101" t="s">
        <v>162</v>
      </c>
      <c r="D1034" s="101" t="s">
        <v>357</v>
      </c>
      <c r="E1034" s="101" t="s">
        <v>17</v>
      </c>
    </row>
    <row r="1035" spans="1:5" x14ac:dyDescent="0.3">
      <c r="A1035" t="str">
        <f t="shared" si="16"/>
        <v>0417032</v>
      </c>
      <c r="B1035" s="101" t="s">
        <v>18</v>
      </c>
      <c r="C1035" s="101" t="s">
        <v>162</v>
      </c>
      <c r="D1035" s="101" t="s">
        <v>370</v>
      </c>
      <c r="E1035" s="101" t="s">
        <v>17</v>
      </c>
    </row>
    <row r="1036" spans="1:5" x14ac:dyDescent="0.3">
      <c r="A1036" t="str">
        <f t="shared" si="16"/>
        <v>0417033</v>
      </c>
      <c r="B1036" s="101" t="s">
        <v>18</v>
      </c>
      <c r="C1036" s="101" t="s">
        <v>162</v>
      </c>
      <c r="D1036" s="101" t="s">
        <v>327</v>
      </c>
      <c r="E1036" s="101" t="s">
        <v>17</v>
      </c>
    </row>
    <row r="1037" spans="1:5" x14ac:dyDescent="0.3">
      <c r="A1037" t="str">
        <f t="shared" si="16"/>
        <v>0417035</v>
      </c>
      <c r="B1037" s="101" t="s">
        <v>18</v>
      </c>
      <c r="C1037" s="101" t="s">
        <v>162</v>
      </c>
      <c r="D1037" s="101" t="s">
        <v>497</v>
      </c>
      <c r="E1037" s="101" t="s">
        <v>17</v>
      </c>
    </row>
    <row r="1038" spans="1:5" x14ac:dyDescent="0.3">
      <c r="A1038" t="str">
        <f t="shared" si="16"/>
        <v>0417036</v>
      </c>
      <c r="B1038" s="101" t="s">
        <v>18</v>
      </c>
      <c r="C1038" s="101" t="s">
        <v>162</v>
      </c>
      <c r="D1038" s="101" t="s">
        <v>580</v>
      </c>
      <c r="E1038" s="101" t="s">
        <v>17</v>
      </c>
    </row>
    <row r="1039" spans="1:5" x14ac:dyDescent="0.3">
      <c r="A1039" t="str">
        <f t="shared" si="16"/>
        <v>0417038</v>
      </c>
      <c r="B1039" s="101" t="s">
        <v>18</v>
      </c>
      <c r="C1039" s="101" t="s">
        <v>162</v>
      </c>
      <c r="D1039" s="101" t="s">
        <v>581</v>
      </c>
      <c r="E1039" s="101" t="s">
        <v>17</v>
      </c>
    </row>
    <row r="1040" spans="1:5" x14ac:dyDescent="0.3">
      <c r="A1040" t="str">
        <f t="shared" si="16"/>
        <v>0417039</v>
      </c>
      <c r="B1040" s="101" t="s">
        <v>18</v>
      </c>
      <c r="C1040" s="101" t="s">
        <v>162</v>
      </c>
      <c r="D1040" s="101" t="s">
        <v>582</v>
      </c>
      <c r="E1040" s="101" t="s">
        <v>17</v>
      </c>
    </row>
    <row r="1041" spans="1:5" x14ac:dyDescent="0.3">
      <c r="A1041" t="str">
        <f t="shared" si="16"/>
        <v>0417041</v>
      </c>
      <c r="B1041" s="101" t="s">
        <v>18</v>
      </c>
      <c r="C1041" s="101" t="s">
        <v>162</v>
      </c>
      <c r="D1041" s="101" t="s">
        <v>583</v>
      </c>
      <c r="E1041" s="101" t="s">
        <v>17</v>
      </c>
    </row>
    <row r="1042" spans="1:5" x14ac:dyDescent="0.3">
      <c r="A1042" t="str">
        <f t="shared" si="16"/>
        <v>0417042</v>
      </c>
      <c r="B1042" s="101" t="s">
        <v>18</v>
      </c>
      <c r="C1042" s="101" t="s">
        <v>162</v>
      </c>
      <c r="D1042" s="101" t="s">
        <v>584</v>
      </c>
      <c r="E1042" s="101" t="s">
        <v>17</v>
      </c>
    </row>
    <row r="1043" spans="1:5" x14ac:dyDescent="0.3">
      <c r="A1043" t="str">
        <f t="shared" si="16"/>
        <v>0417044</v>
      </c>
      <c r="B1043" s="101" t="s">
        <v>18</v>
      </c>
      <c r="C1043" s="101" t="s">
        <v>162</v>
      </c>
      <c r="D1043" s="101" t="s">
        <v>420</v>
      </c>
      <c r="E1043" s="101" t="s">
        <v>17</v>
      </c>
    </row>
    <row r="1044" spans="1:5" x14ac:dyDescent="0.3">
      <c r="A1044" t="str">
        <f t="shared" si="16"/>
        <v>0417045</v>
      </c>
      <c r="B1044" s="101" t="s">
        <v>18</v>
      </c>
      <c r="C1044" s="101" t="s">
        <v>162</v>
      </c>
      <c r="D1044" s="101" t="s">
        <v>453</v>
      </c>
      <c r="E1044" s="101" t="s">
        <v>17</v>
      </c>
    </row>
    <row r="1045" spans="1:5" x14ac:dyDescent="0.3">
      <c r="A1045" t="str">
        <f t="shared" si="16"/>
        <v>0417047</v>
      </c>
      <c r="B1045" s="101" t="s">
        <v>18</v>
      </c>
      <c r="C1045" s="101" t="s">
        <v>162</v>
      </c>
      <c r="D1045" s="101" t="s">
        <v>585</v>
      </c>
      <c r="E1045" s="101" t="s">
        <v>17</v>
      </c>
    </row>
    <row r="1046" spans="1:5" x14ac:dyDescent="0.3">
      <c r="A1046" t="str">
        <f t="shared" si="16"/>
        <v>0417048</v>
      </c>
      <c r="B1046" s="101" t="s">
        <v>18</v>
      </c>
      <c r="C1046" s="101" t="s">
        <v>162</v>
      </c>
      <c r="D1046" s="101" t="s">
        <v>586</v>
      </c>
      <c r="E1046" s="101" t="s">
        <v>17</v>
      </c>
    </row>
    <row r="1047" spans="1:5" x14ac:dyDescent="0.3">
      <c r="A1047" t="str">
        <f t="shared" si="16"/>
        <v>0417050</v>
      </c>
      <c r="B1047" s="101" t="s">
        <v>18</v>
      </c>
      <c r="C1047" s="101" t="s">
        <v>162</v>
      </c>
      <c r="D1047" s="101" t="s">
        <v>587</v>
      </c>
      <c r="E1047" s="101" t="s">
        <v>17</v>
      </c>
    </row>
    <row r="1048" spans="1:5" x14ac:dyDescent="0.3">
      <c r="A1048" t="str">
        <f t="shared" si="16"/>
        <v>0417051</v>
      </c>
      <c r="B1048" s="101" t="s">
        <v>18</v>
      </c>
      <c r="C1048" s="101" t="s">
        <v>162</v>
      </c>
      <c r="D1048" s="101" t="s">
        <v>588</v>
      </c>
      <c r="E1048" s="101" t="s">
        <v>17</v>
      </c>
    </row>
    <row r="1049" spans="1:5" x14ac:dyDescent="0.3">
      <c r="A1049" t="str">
        <f t="shared" si="16"/>
        <v>0417089</v>
      </c>
      <c r="B1049" s="101" t="s">
        <v>18</v>
      </c>
      <c r="C1049" s="101" t="s">
        <v>162</v>
      </c>
      <c r="D1049" s="101" t="s">
        <v>589</v>
      </c>
      <c r="E1049" s="101" t="s">
        <v>17</v>
      </c>
    </row>
    <row r="1050" spans="1:5" x14ac:dyDescent="0.3">
      <c r="A1050" t="str">
        <f t="shared" si="16"/>
        <v>0417090</v>
      </c>
      <c r="B1050" s="101" t="s">
        <v>18</v>
      </c>
      <c r="C1050" s="101" t="s">
        <v>162</v>
      </c>
      <c r="D1050" s="101" t="s">
        <v>590</v>
      </c>
      <c r="E1050" s="101" t="s">
        <v>17</v>
      </c>
    </row>
    <row r="1051" spans="1:5" x14ac:dyDescent="0.3">
      <c r="A1051" t="str">
        <f t="shared" si="16"/>
        <v>0417563</v>
      </c>
      <c r="B1051" s="101" t="s">
        <v>18</v>
      </c>
      <c r="C1051" s="101" t="s">
        <v>162</v>
      </c>
      <c r="D1051" s="101" t="s">
        <v>422</v>
      </c>
      <c r="E1051" s="101" t="s">
        <v>17</v>
      </c>
    </row>
    <row r="1052" spans="1:5" x14ac:dyDescent="0.3">
      <c r="A1052" t="str">
        <f t="shared" si="16"/>
        <v>0417564</v>
      </c>
      <c r="B1052" s="101" t="s">
        <v>18</v>
      </c>
      <c r="C1052" s="101" t="s">
        <v>162</v>
      </c>
      <c r="D1052" s="101" t="s">
        <v>423</v>
      </c>
      <c r="E1052" s="101" t="s">
        <v>17</v>
      </c>
    </row>
    <row r="1053" spans="1:5" x14ac:dyDescent="0.3">
      <c r="A1053" t="str">
        <f t="shared" si="16"/>
        <v>0417566</v>
      </c>
      <c r="B1053" s="101" t="s">
        <v>18</v>
      </c>
      <c r="C1053" s="101" t="s">
        <v>162</v>
      </c>
      <c r="D1053" s="101" t="s">
        <v>425</v>
      </c>
      <c r="E1053" s="101" t="s">
        <v>17</v>
      </c>
    </row>
    <row r="1054" spans="1:5" x14ac:dyDescent="0.3">
      <c r="A1054" t="str">
        <f t="shared" si="16"/>
        <v>0417567</v>
      </c>
      <c r="B1054" s="101" t="s">
        <v>18</v>
      </c>
      <c r="C1054" s="101" t="s">
        <v>162</v>
      </c>
      <c r="D1054" s="101" t="s">
        <v>426</v>
      </c>
      <c r="E1054" s="101" t="s">
        <v>17</v>
      </c>
    </row>
    <row r="1055" spans="1:5" x14ac:dyDescent="0.3">
      <c r="A1055" t="str">
        <f t="shared" si="16"/>
        <v>0417569</v>
      </c>
      <c r="B1055" s="101" t="s">
        <v>18</v>
      </c>
      <c r="C1055" s="101" t="s">
        <v>162</v>
      </c>
      <c r="D1055" s="101" t="s">
        <v>428</v>
      </c>
      <c r="E1055" s="101" t="s">
        <v>17</v>
      </c>
    </row>
    <row r="1056" spans="1:5" x14ac:dyDescent="0.3">
      <c r="A1056" t="str">
        <f t="shared" si="16"/>
        <v>0417570</v>
      </c>
      <c r="B1056" s="101" t="s">
        <v>18</v>
      </c>
      <c r="C1056" s="101" t="s">
        <v>162</v>
      </c>
      <c r="D1056" s="101" t="s">
        <v>429</v>
      </c>
      <c r="E1056" s="101" t="s">
        <v>17</v>
      </c>
    </row>
    <row r="1057" spans="1:5" x14ac:dyDescent="0.3">
      <c r="A1057" t="str">
        <f t="shared" si="16"/>
        <v>0417572</v>
      </c>
      <c r="B1057" s="101" t="s">
        <v>18</v>
      </c>
      <c r="C1057" s="101" t="s">
        <v>162</v>
      </c>
      <c r="D1057" s="101" t="s">
        <v>431</v>
      </c>
      <c r="E1057" s="101" t="s">
        <v>17</v>
      </c>
    </row>
    <row r="1058" spans="1:5" x14ac:dyDescent="0.3">
      <c r="A1058" t="str">
        <f t="shared" si="16"/>
        <v>0417573</v>
      </c>
      <c r="B1058" s="101" t="s">
        <v>18</v>
      </c>
      <c r="C1058" s="101" t="s">
        <v>162</v>
      </c>
      <c r="D1058" s="101" t="s">
        <v>432</v>
      </c>
      <c r="E1058" s="101" t="s">
        <v>17</v>
      </c>
    </row>
    <row r="1059" spans="1:5" x14ac:dyDescent="0.3">
      <c r="A1059" t="str">
        <f t="shared" si="16"/>
        <v>0417575</v>
      </c>
      <c r="B1059" s="101" t="s">
        <v>18</v>
      </c>
      <c r="C1059" s="101" t="s">
        <v>162</v>
      </c>
      <c r="D1059" s="101" t="s">
        <v>434</v>
      </c>
      <c r="E1059" s="101" t="s">
        <v>17</v>
      </c>
    </row>
    <row r="1060" spans="1:5" x14ac:dyDescent="0.3">
      <c r="A1060" t="str">
        <f t="shared" si="16"/>
        <v>0417576</v>
      </c>
      <c r="B1060" s="101" t="s">
        <v>18</v>
      </c>
      <c r="C1060" s="101" t="s">
        <v>162</v>
      </c>
      <c r="D1060" s="101" t="s">
        <v>435</v>
      </c>
      <c r="E1060" s="101" t="s">
        <v>17</v>
      </c>
    </row>
    <row r="1061" spans="1:5" x14ac:dyDescent="0.3">
      <c r="A1061" t="str">
        <f t="shared" si="16"/>
        <v>0417578</v>
      </c>
      <c r="B1061" s="101" t="s">
        <v>18</v>
      </c>
      <c r="C1061" s="101" t="s">
        <v>162</v>
      </c>
      <c r="D1061" s="101" t="s">
        <v>437</v>
      </c>
      <c r="E1061" s="101" t="s">
        <v>17</v>
      </c>
    </row>
    <row r="1062" spans="1:5" x14ac:dyDescent="0.3">
      <c r="A1062" t="str">
        <f t="shared" si="16"/>
        <v>0417579</v>
      </c>
      <c r="B1062" s="101" t="s">
        <v>18</v>
      </c>
      <c r="C1062" s="101" t="s">
        <v>162</v>
      </c>
      <c r="D1062" s="101" t="s">
        <v>438</v>
      </c>
      <c r="E1062" s="101" t="s">
        <v>17</v>
      </c>
    </row>
    <row r="1063" spans="1:5" x14ac:dyDescent="0.3">
      <c r="A1063" t="str">
        <f t="shared" si="16"/>
        <v>0417581</v>
      </c>
      <c r="B1063" s="101" t="s">
        <v>18</v>
      </c>
      <c r="C1063" s="101" t="s">
        <v>162</v>
      </c>
      <c r="D1063" s="101" t="s">
        <v>440</v>
      </c>
      <c r="E1063" s="101" t="s">
        <v>17</v>
      </c>
    </row>
    <row r="1064" spans="1:5" x14ac:dyDescent="0.3">
      <c r="A1064" t="str">
        <f t="shared" si="16"/>
        <v>0417582</v>
      </c>
      <c r="B1064" s="101" t="s">
        <v>18</v>
      </c>
      <c r="C1064" s="101" t="s">
        <v>162</v>
      </c>
      <c r="D1064" s="101" t="s">
        <v>441</v>
      </c>
      <c r="E1064" s="101" t="s">
        <v>17</v>
      </c>
    </row>
    <row r="1065" spans="1:5" x14ac:dyDescent="0.3">
      <c r="A1065" t="str">
        <f t="shared" si="16"/>
        <v>0417584</v>
      </c>
      <c r="B1065" s="101" t="s">
        <v>18</v>
      </c>
      <c r="C1065" s="101" t="s">
        <v>162</v>
      </c>
      <c r="D1065" s="101" t="s">
        <v>443</v>
      </c>
      <c r="E1065" s="101" t="s">
        <v>17</v>
      </c>
    </row>
    <row r="1066" spans="1:5" x14ac:dyDescent="0.3">
      <c r="A1066" t="str">
        <f t="shared" si="16"/>
        <v>0417585</v>
      </c>
      <c r="B1066" s="101" t="s">
        <v>18</v>
      </c>
      <c r="C1066" s="101" t="s">
        <v>162</v>
      </c>
      <c r="D1066" s="101" t="s">
        <v>444</v>
      </c>
      <c r="E1066" s="101" t="s">
        <v>17</v>
      </c>
    </row>
    <row r="1067" spans="1:5" x14ac:dyDescent="0.3">
      <c r="A1067" t="str">
        <f t="shared" si="16"/>
        <v>0417587</v>
      </c>
      <c r="B1067" s="101" t="s">
        <v>18</v>
      </c>
      <c r="C1067" s="101" t="s">
        <v>162</v>
      </c>
      <c r="D1067" s="101" t="s">
        <v>446</v>
      </c>
      <c r="E1067" s="101" t="s">
        <v>17</v>
      </c>
    </row>
    <row r="1068" spans="1:5" x14ac:dyDescent="0.3">
      <c r="A1068" t="str">
        <f t="shared" si="16"/>
        <v>0417588</v>
      </c>
      <c r="B1068" s="101" t="s">
        <v>18</v>
      </c>
      <c r="C1068" s="101" t="s">
        <v>162</v>
      </c>
      <c r="D1068" s="101" t="s">
        <v>447</v>
      </c>
      <c r="E1068" s="101" t="s">
        <v>17</v>
      </c>
    </row>
    <row r="1069" spans="1:5" x14ac:dyDescent="0.3">
      <c r="A1069" t="str">
        <f t="shared" si="16"/>
        <v>0417590</v>
      </c>
      <c r="B1069" s="101" t="s">
        <v>18</v>
      </c>
      <c r="C1069" s="101" t="s">
        <v>162</v>
      </c>
      <c r="D1069" s="101" t="s">
        <v>449</v>
      </c>
      <c r="E1069" s="101" t="s">
        <v>17</v>
      </c>
    </row>
    <row r="1070" spans="1:5" x14ac:dyDescent="0.3">
      <c r="A1070" t="str">
        <f t="shared" si="16"/>
        <v>0417591</v>
      </c>
      <c r="B1070" s="101" t="s">
        <v>18</v>
      </c>
      <c r="C1070" s="101" t="s">
        <v>162</v>
      </c>
      <c r="D1070" s="101" t="s">
        <v>450</v>
      </c>
      <c r="E1070" s="101" t="s">
        <v>17</v>
      </c>
    </row>
    <row r="1071" spans="1:5" x14ac:dyDescent="0.3">
      <c r="A1071" t="str">
        <f t="shared" si="16"/>
        <v>0417593</v>
      </c>
      <c r="B1071" s="101" t="s">
        <v>18</v>
      </c>
      <c r="C1071" s="101" t="s">
        <v>162</v>
      </c>
      <c r="D1071" s="101" t="s">
        <v>452</v>
      </c>
      <c r="E1071" s="101" t="s">
        <v>17</v>
      </c>
    </row>
    <row r="1072" spans="1:5" x14ac:dyDescent="0.3">
      <c r="A1072" t="str">
        <f t="shared" si="16"/>
        <v>0417594</v>
      </c>
      <c r="B1072" s="101" t="s">
        <v>18</v>
      </c>
      <c r="C1072" s="101" t="s">
        <v>162</v>
      </c>
      <c r="D1072" s="101" t="s">
        <v>454</v>
      </c>
      <c r="E1072" s="101" t="s">
        <v>17</v>
      </c>
    </row>
    <row r="1073" spans="1:5" x14ac:dyDescent="0.3">
      <c r="A1073" t="str">
        <f t="shared" si="16"/>
        <v>0417596</v>
      </c>
      <c r="B1073" s="101" t="s">
        <v>18</v>
      </c>
      <c r="C1073" s="101" t="s">
        <v>162</v>
      </c>
      <c r="D1073" s="101" t="s">
        <v>457</v>
      </c>
      <c r="E1073" s="101" t="s">
        <v>17</v>
      </c>
    </row>
    <row r="1074" spans="1:5" x14ac:dyDescent="0.3">
      <c r="A1074" t="str">
        <f t="shared" si="16"/>
        <v>0417597</v>
      </c>
      <c r="B1074" s="101" t="s">
        <v>18</v>
      </c>
      <c r="C1074" s="101" t="s">
        <v>162</v>
      </c>
      <c r="D1074" s="101" t="s">
        <v>458</v>
      </c>
      <c r="E1074" s="101" t="s">
        <v>17</v>
      </c>
    </row>
    <row r="1075" spans="1:5" x14ac:dyDescent="0.3">
      <c r="A1075" t="str">
        <f t="shared" si="16"/>
        <v>0417599</v>
      </c>
      <c r="B1075" s="101" t="s">
        <v>18</v>
      </c>
      <c r="C1075" s="101" t="s">
        <v>162</v>
      </c>
      <c r="D1075" s="101" t="s">
        <v>460</v>
      </c>
      <c r="E1075" s="101" t="s">
        <v>17</v>
      </c>
    </row>
    <row r="1076" spans="1:5" x14ac:dyDescent="0.3">
      <c r="A1076" t="str">
        <f t="shared" si="16"/>
        <v>0417600</v>
      </c>
      <c r="B1076" s="101" t="s">
        <v>18</v>
      </c>
      <c r="C1076" s="101" t="s">
        <v>162</v>
      </c>
      <c r="D1076" s="101" t="s">
        <v>230</v>
      </c>
      <c r="E1076" s="101" t="s">
        <v>17</v>
      </c>
    </row>
    <row r="1077" spans="1:5" x14ac:dyDescent="0.3">
      <c r="A1077" t="str">
        <f t="shared" si="16"/>
        <v>0417638</v>
      </c>
      <c r="B1077" s="101" t="s">
        <v>18</v>
      </c>
      <c r="C1077" s="101" t="s">
        <v>162</v>
      </c>
      <c r="D1077" s="101" t="s">
        <v>280</v>
      </c>
      <c r="E1077" s="101" t="s">
        <v>17</v>
      </c>
    </row>
    <row r="1078" spans="1:5" x14ac:dyDescent="0.3">
      <c r="A1078" t="str">
        <f t="shared" si="16"/>
        <v>0417639</v>
      </c>
      <c r="B1078" s="101" t="s">
        <v>18</v>
      </c>
      <c r="C1078" s="101" t="s">
        <v>162</v>
      </c>
      <c r="D1078" s="101" t="s">
        <v>281</v>
      </c>
      <c r="E1078" s="101" t="s">
        <v>17</v>
      </c>
    </row>
    <row r="1079" spans="1:5" x14ac:dyDescent="0.3">
      <c r="A1079" t="str">
        <f t="shared" si="16"/>
        <v>0417723</v>
      </c>
      <c r="B1079" s="101" t="s">
        <v>18</v>
      </c>
      <c r="C1079" s="101" t="s">
        <v>162</v>
      </c>
      <c r="D1079" s="101" t="s">
        <v>529</v>
      </c>
      <c r="E1079" s="101" t="s">
        <v>17</v>
      </c>
    </row>
    <row r="1080" spans="1:5" x14ac:dyDescent="0.3">
      <c r="A1080" t="str">
        <f t="shared" si="16"/>
        <v>0417094</v>
      </c>
      <c r="B1080" s="101" t="s">
        <v>18</v>
      </c>
      <c r="C1080" s="101" t="s">
        <v>162</v>
      </c>
      <c r="D1080" s="101" t="s">
        <v>591</v>
      </c>
      <c r="E1080" s="101" t="s">
        <v>19</v>
      </c>
    </row>
    <row r="1081" spans="1:5" x14ac:dyDescent="0.3">
      <c r="A1081" t="str">
        <f t="shared" si="16"/>
        <v>0417095</v>
      </c>
      <c r="B1081" s="101" t="s">
        <v>18</v>
      </c>
      <c r="C1081" s="101" t="s">
        <v>162</v>
      </c>
      <c r="D1081" s="101" t="s">
        <v>592</v>
      </c>
      <c r="E1081" s="101" t="s">
        <v>19</v>
      </c>
    </row>
    <row r="1082" spans="1:5" x14ac:dyDescent="0.3">
      <c r="A1082" t="str">
        <f t="shared" si="16"/>
        <v>0417688</v>
      </c>
      <c r="B1082" s="101" t="s">
        <v>18</v>
      </c>
      <c r="C1082" s="101" t="s">
        <v>162</v>
      </c>
      <c r="D1082" s="101" t="s">
        <v>300</v>
      </c>
      <c r="E1082" s="101" t="s">
        <v>19</v>
      </c>
    </row>
    <row r="1083" spans="1:5" x14ac:dyDescent="0.3">
      <c r="A1083" t="str">
        <f t="shared" si="16"/>
        <v>0417689</v>
      </c>
      <c r="B1083" s="101" t="s">
        <v>18</v>
      </c>
      <c r="C1083" s="101" t="s">
        <v>162</v>
      </c>
      <c r="D1083" s="101" t="s">
        <v>301</v>
      </c>
      <c r="E1083" s="101" t="s">
        <v>19</v>
      </c>
    </row>
    <row r="1084" spans="1:5" x14ac:dyDescent="0.3">
      <c r="A1084" t="str">
        <f t="shared" si="16"/>
        <v>0417649</v>
      </c>
      <c r="B1084" s="101" t="s">
        <v>18</v>
      </c>
      <c r="C1084" s="101" t="s">
        <v>162</v>
      </c>
      <c r="D1084" s="101" t="s">
        <v>200</v>
      </c>
      <c r="E1084" s="101" t="s">
        <v>17</v>
      </c>
    </row>
    <row r="1085" spans="1:5" x14ac:dyDescent="0.3">
      <c r="A1085" t="str">
        <f t="shared" si="16"/>
        <v>0417650</v>
      </c>
      <c r="B1085" s="101" t="s">
        <v>18</v>
      </c>
      <c r="C1085" s="101" t="s">
        <v>162</v>
      </c>
      <c r="D1085" s="101" t="s">
        <v>487</v>
      </c>
      <c r="E1085" s="101" t="s">
        <v>139</v>
      </c>
    </row>
    <row r="1086" spans="1:5" x14ac:dyDescent="0.3">
      <c r="A1086" t="str">
        <f t="shared" si="16"/>
        <v>0417673</v>
      </c>
      <c r="B1086" s="101" t="s">
        <v>18</v>
      </c>
      <c r="C1086" s="101" t="s">
        <v>162</v>
      </c>
      <c r="D1086" s="101" t="s">
        <v>503</v>
      </c>
      <c r="E1086" s="101" t="s">
        <v>17</v>
      </c>
    </row>
    <row r="1087" spans="1:5" x14ac:dyDescent="0.3">
      <c r="A1087" t="str">
        <f t="shared" si="16"/>
        <v>0417674</v>
      </c>
      <c r="B1087" s="101" t="s">
        <v>18</v>
      </c>
      <c r="C1087" s="101" t="s">
        <v>162</v>
      </c>
      <c r="D1087" s="101" t="s">
        <v>504</v>
      </c>
      <c r="E1087" s="101" t="s">
        <v>17</v>
      </c>
    </row>
    <row r="1088" spans="1:5" x14ac:dyDescent="0.3">
      <c r="A1088" t="str">
        <f t="shared" si="16"/>
        <v>0417676</v>
      </c>
      <c r="B1088" s="101" t="s">
        <v>18</v>
      </c>
      <c r="C1088" s="101" t="s">
        <v>162</v>
      </c>
      <c r="D1088" s="101" t="s">
        <v>204</v>
      </c>
      <c r="E1088" s="101" t="s">
        <v>17</v>
      </c>
    </row>
    <row r="1089" spans="1:5" x14ac:dyDescent="0.3">
      <c r="A1089" t="str">
        <f t="shared" si="16"/>
        <v>0417670</v>
      </c>
      <c r="B1089" s="101" t="s">
        <v>18</v>
      </c>
      <c r="C1089" s="101" t="s">
        <v>162</v>
      </c>
      <c r="D1089" s="101" t="s">
        <v>500</v>
      </c>
      <c r="E1089" s="101" t="s">
        <v>17</v>
      </c>
    </row>
    <row r="1090" spans="1:5" x14ac:dyDescent="0.3">
      <c r="A1090" t="str">
        <f t="shared" si="16"/>
        <v>0417671</v>
      </c>
      <c r="B1090" s="101" t="s">
        <v>18</v>
      </c>
      <c r="C1090" s="101" t="s">
        <v>162</v>
      </c>
      <c r="D1090" s="101" t="s">
        <v>501</v>
      </c>
      <c r="E1090" s="101" t="s">
        <v>17</v>
      </c>
    </row>
    <row r="1091" spans="1:5" x14ac:dyDescent="0.3">
      <c r="A1091" t="str">
        <f t="shared" ref="A1091:A1154" si="17">CONCATENATE(B1091,C1091,D1091,F1091)</f>
        <v>0417698</v>
      </c>
      <c r="B1091" s="101" t="s">
        <v>18</v>
      </c>
      <c r="C1091" s="101" t="s">
        <v>162</v>
      </c>
      <c r="D1091" s="101" t="s">
        <v>507</v>
      </c>
      <c r="E1091" s="101" t="s">
        <v>17</v>
      </c>
    </row>
    <row r="1092" spans="1:5" x14ac:dyDescent="0.3">
      <c r="A1092" t="str">
        <f t="shared" si="17"/>
        <v>0417699</v>
      </c>
      <c r="B1092" s="101" t="s">
        <v>18</v>
      </c>
      <c r="C1092" s="101" t="s">
        <v>162</v>
      </c>
      <c r="D1092" s="101" t="s">
        <v>508</v>
      </c>
      <c r="E1092" s="101" t="s">
        <v>17</v>
      </c>
    </row>
    <row r="1093" spans="1:5" x14ac:dyDescent="0.3">
      <c r="A1093" t="str">
        <f t="shared" si="17"/>
        <v>0417677</v>
      </c>
      <c r="B1093" s="101" t="s">
        <v>18</v>
      </c>
      <c r="C1093" s="101" t="s">
        <v>162</v>
      </c>
      <c r="D1093" s="101" t="s">
        <v>205</v>
      </c>
      <c r="E1093" s="101" t="s">
        <v>17</v>
      </c>
    </row>
    <row r="1094" spans="1:5" x14ac:dyDescent="0.3">
      <c r="A1094" t="str">
        <f t="shared" si="17"/>
        <v>0417679</v>
      </c>
      <c r="B1094" s="101" t="s">
        <v>18</v>
      </c>
      <c r="C1094" s="101" t="s">
        <v>162</v>
      </c>
      <c r="D1094" s="101" t="s">
        <v>207</v>
      </c>
      <c r="E1094" s="101" t="s">
        <v>17</v>
      </c>
    </row>
    <row r="1095" spans="1:5" x14ac:dyDescent="0.3">
      <c r="A1095" t="str">
        <f t="shared" si="17"/>
        <v>0417680</v>
      </c>
      <c r="B1095" s="101" t="s">
        <v>18</v>
      </c>
      <c r="C1095" s="101" t="s">
        <v>162</v>
      </c>
      <c r="D1095" s="101" t="s">
        <v>271</v>
      </c>
      <c r="E1095" s="101" t="s">
        <v>17</v>
      </c>
    </row>
    <row r="1096" spans="1:5" x14ac:dyDescent="0.3">
      <c r="A1096" t="str">
        <f t="shared" si="17"/>
        <v>0417682</v>
      </c>
      <c r="B1096" s="101" t="s">
        <v>18</v>
      </c>
      <c r="C1096" s="101" t="s">
        <v>162</v>
      </c>
      <c r="D1096" s="101" t="s">
        <v>208</v>
      </c>
      <c r="E1096" s="101" t="s">
        <v>17</v>
      </c>
    </row>
    <row r="1097" spans="1:5" x14ac:dyDescent="0.3">
      <c r="A1097" t="str">
        <f t="shared" si="17"/>
        <v>0417683</v>
      </c>
      <c r="B1097" s="101" t="s">
        <v>18</v>
      </c>
      <c r="C1097" s="101" t="s">
        <v>162</v>
      </c>
      <c r="D1097" s="101" t="s">
        <v>209</v>
      </c>
      <c r="E1097" s="101" t="s">
        <v>17</v>
      </c>
    </row>
    <row r="1098" spans="1:5" x14ac:dyDescent="0.3">
      <c r="A1098" t="str">
        <f t="shared" si="17"/>
        <v>0417701</v>
      </c>
      <c r="B1098" s="101" t="s">
        <v>18</v>
      </c>
      <c r="C1098" s="101" t="s">
        <v>162</v>
      </c>
      <c r="D1098" s="101" t="s">
        <v>510</v>
      </c>
      <c r="E1098" s="101" t="s">
        <v>17</v>
      </c>
    </row>
    <row r="1099" spans="1:5" x14ac:dyDescent="0.3">
      <c r="A1099" t="str">
        <f t="shared" si="17"/>
        <v>0417702</v>
      </c>
      <c r="B1099" s="101" t="s">
        <v>18</v>
      </c>
      <c r="C1099" s="101" t="s">
        <v>162</v>
      </c>
      <c r="D1099" s="101" t="s">
        <v>511</v>
      </c>
      <c r="E1099" s="101" t="s">
        <v>17</v>
      </c>
    </row>
    <row r="1100" spans="1:5" x14ac:dyDescent="0.3">
      <c r="A1100" t="str">
        <f t="shared" si="17"/>
        <v>0417704</v>
      </c>
      <c r="B1100" s="101" t="s">
        <v>18</v>
      </c>
      <c r="C1100" s="101" t="s">
        <v>162</v>
      </c>
      <c r="D1100" s="101" t="s">
        <v>513</v>
      </c>
      <c r="E1100" s="101" t="s">
        <v>17</v>
      </c>
    </row>
    <row r="1101" spans="1:5" x14ac:dyDescent="0.3">
      <c r="A1101" t="str">
        <f t="shared" si="17"/>
        <v>0417705</v>
      </c>
      <c r="B1101" s="101" t="s">
        <v>18</v>
      </c>
      <c r="C1101" s="101" t="s">
        <v>162</v>
      </c>
      <c r="D1101" s="101" t="s">
        <v>514</v>
      </c>
      <c r="E1101" s="101" t="s">
        <v>17</v>
      </c>
    </row>
    <row r="1102" spans="1:5" x14ac:dyDescent="0.3">
      <c r="A1102" t="str">
        <f t="shared" si="17"/>
        <v>0417658</v>
      </c>
      <c r="B1102" s="101" t="s">
        <v>18</v>
      </c>
      <c r="C1102" s="101" t="s">
        <v>162</v>
      </c>
      <c r="D1102" s="101" t="s">
        <v>214</v>
      </c>
      <c r="E1102" s="101" t="s">
        <v>17</v>
      </c>
    </row>
    <row r="1103" spans="1:5" x14ac:dyDescent="0.3">
      <c r="A1103" t="str">
        <f t="shared" si="17"/>
        <v>0417659</v>
      </c>
      <c r="B1103" s="101" t="s">
        <v>18</v>
      </c>
      <c r="C1103" s="101" t="s">
        <v>162</v>
      </c>
      <c r="D1103" s="101" t="s">
        <v>215</v>
      </c>
      <c r="E1103" s="101" t="s">
        <v>17</v>
      </c>
    </row>
    <row r="1104" spans="1:5" x14ac:dyDescent="0.3">
      <c r="A1104" t="str">
        <f t="shared" si="17"/>
        <v>0417661</v>
      </c>
      <c r="B1104" s="101" t="s">
        <v>18</v>
      </c>
      <c r="C1104" s="101" t="s">
        <v>162</v>
      </c>
      <c r="D1104" s="101" t="s">
        <v>217</v>
      </c>
      <c r="E1104" s="101" t="s">
        <v>17</v>
      </c>
    </row>
    <row r="1105" spans="1:5" x14ac:dyDescent="0.3">
      <c r="A1105" t="str">
        <f t="shared" si="17"/>
        <v>0417662</v>
      </c>
      <c r="B1105" s="101" t="s">
        <v>18</v>
      </c>
      <c r="C1105" s="101" t="s">
        <v>162</v>
      </c>
      <c r="D1105" s="101" t="s">
        <v>493</v>
      </c>
      <c r="E1105" s="101" t="s">
        <v>17</v>
      </c>
    </row>
    <row r="1106" spans="1:5" x14ac:dyDescent="0.3">
      <c r="A1106" t="str">
        <f t="shared" si="17"/>
        <v>0417664</v>
      </c>
      <c r="B1106" s="101" t="s">
        <v>18</v>
      </c>
      <c r="C1106" s="101" t="s">
        <v>162</v>
      </c>
      <c r="D1106" s="101" t="s">
        <v>495</v>
      </c>
      <c r="E1106" s="101" t="s">
        <v>17</v>
      </c>
    </row>
    <row r="1107" spans="1:5" x14ac:dyDescent="0.3">
      <c r="A1107" t="str">
        <f t="shared" si="17"/>
        <v>0417665</v>
      </c>
      <c r="B1107" s="101" t="s">
        <v>18</v>
      </c>
      <c r="C1107" s="101" t="s">
        <v>162</v>
      </c>
      <c r="D1107" s="101" t="s">
        <v>496</v>
      </c>
      <c r="E1107" s="101" t="s">
        <v>17</v>
      </c>
    </row>
    <row r="1108" spans="1:5" x14ac:dyDescent="0.3">
      <c r="A1108" t="str">
        <f t="shared" si="17"/>
        <v>0417667</v>
      </c>
      <c r="B1108" s="101" t="s">
        <v>18</v>
      </c>
      <c r="C1108" s="101" t="s">
        <v>162</v>
      </c>
      <c r="D1108" s="101" t="s">
        <v>203</v>
      </c>
      <c r="E1108" s="101" t="s">
        <v>17</v>
      </c>
    </row>
    <row r="1109" spans="1:5" x14ac:dyDescent="0.3">
      <c r="A1109" t="str">
        <f t="shared" si="17"/>
        <v>0417668</v>
      </c>
      <c r="B1109" s="101" t="s">
        <v>18</v>
      </c>
      <c r="C1109" s="101" t="s">
        <v>162</v>
      </c>
      <c r="D1109" s="101" t="s">
        <v>498</v>
      </c>
      <c r="E1109" s="101" t="s">
        <v>17</v>
      </c>
    </row>
    <row r="1110" spans="1:5" x14ac:dyDescent="0.3">
      <c r="A1110" t="str">
        <f t="shared" si="17"/>
        <v>0417118</v>
      </c>
      <c r="B1110" s="101" t="s">
        <v>18</v>
      </c>
      <c r="C1110" s="101" t="s">
        <v>162</v>
      </c>
      <c r="D1110" s="101" t="s">
        <v>247</v>
      </c>
      <c r="E1110" s="101" t="s">
        <v>17</v>
      </c>
    </row>
    <row r="1111" spans="1:5" x14ac:dyDescent="0.3">
      <c r="A1111" t="str">
        <f t="shared" si="17"/>
        <v>0417513</v>
      </c>
      <c r="B1111" s="101" t="s">
        <v>18</v>
      </c>
      <c r="C1111" s="101" t="s">
        <v>162</v>
      </c>
      <c r="D1111" s="101" t="s">
        <v>387</v>
      </c>
      <c r="E1111" s="101" t="s">
        <v>17</v>
      </c>
    </row>
    <row r="1112" spans="1:5" x14ac:dyDescent="0.3">
      <c r="A1112" t="str">
        <f t="shared" si="17"/>
        <v>0417515</v>
      </c>
      <c r="B1112" s="101" t="s">
        <v>18</v>
      </c>
      <c r="C1112" s="101" t="s">
        <v>162</v>
      </c>
      <c r="D1112" s="101" t="s">
        <v>407</v>
      </c>
      <c r="E1112" s="101" t="s">
        <v>17</v>
      </c>
    </row>
    <row r="1113" spans="1:5" x14ac:dyDescent="0.3">
      <c r="A1113" t="str">
        <f t="shared" si="17"/>
        <v>0417517</v>
      </c>
      <c r="B1113" s="101" t="s">
        <v>18</v>
      </c>
      <c r="C1113" s="101" t="s">
        <v>162</v>
      </c>
      <c r="D1113" s="101" t="s">
        <v>390</v>
      </c>
      <c r="E1113" s="101" t="s">
        <v>17</v>
      </c>
    </row>
    <row r="1114" spans="1:5" x14ac:dyDescent="0.3">
      <c r="A1114" t="str">
        <f t="shared" si="17"/>
        <v>0417519</v>
      </c>
      <c r="B1114" s="101" t="s">
        <v>18</v>
      </c>
      <c r="C1114" s="101" t="s">
        <v>162</v>
      </c>
      <c r="D1114" s="101" t="s">
        <v>383</v>
      </c>
      <c r="E1114" s="101" t="s">
        <v>17</v>
      </c>
    </row>
    <row r="1115" spans="1:5" x14ac:dyDescent="0.3">
      <c r="A1115" t="str">
        <f t="shared" si="17"/>
        <v>0417521</v>
      </c>
      <c r="B1115" s="101" t="s">
        <v>18</v>
      </c>
      <c r="C1115" s="101" t="s">
        <v>162</v>
      </c>
      <c r="D1115" s="101" t="s">
        <v>384</v>
      </c>
      <c r="E1115" s="101" t="s">
        <v>17</v>
      </c>
    </row>
    <row r="1116" spans="1:5" x14ac:dyDescent="0.3">
      <c r="A1116" t="str">
        <f t="shared" si="17"/>
        <v>0417523</v>
      </c>
      <c r="B1116" s="101" t="s">
        <v>18</v>
      </c>
      <c r="C1116" s="101" t="s">
        <v>162</v>
      </c>
      <c r="D1116" s="101" t="s">
        <v>408</v>
      </c>
      <c r="E1116" s="101" t="s">
        <v>17</v>
      </c>
    </row>
    <row r="1117" spans="1:5" x14ac:dyDescent="0.3">
      <c r="A1117" t="str">
        <f t="shared" si="17"/>
        <v>0417525</v>
      </c>
      <c r="B1117" s="101" t="s">
        <v>18</v>
      </c>
      <c r="C1117" s="101" t="s">
        <v>162</v>
      </c>
      <c r="D1117" s="101" t="s">
        <v>394</v>
      </c>
      <c r="E1117" s="101" t="s">
        <v>17</v>
      </c>
    </row>
    <row r="1118" spans="1:5" x14ac:dyDescent="0.3">
      <c r="A1118" t="str">
        <f t="shared" si="17"/>
        <v>0417527</v>
      </c>
      <c r="B1118" s="101" t="s">
        <v>18</v>
      </c>
      <c r="C1118" s="101" t="s">
        <v>162</v>
      </c>
      <c r="D1118" s="101" t="s">
        <v>380</v>
      </c>
      <c r="E1118" s="101" t="s">
        <v>17</v>
      </c>
    </row>
    <row r="1119" spans="1:5" x14ac:dyDescent="0.3">
      <c r="A1119" t="str">
        <f t="shared" si="17"/>
        <v>0417529</v>
      </c>
      <c r="B1119" s="101" t="s">
        <v>18</v>
      </c>
      <c r="C1119" s="101" t="s">
        <v>162</v>
      </c>
      <c r="D1119" s="101" t="s">
        <v>364</v>
      </c>
      <c r="E1119" s="101" t="s">
        <v>17</v>
      </c>
    </row>
    <row r="1120" spans="1:5" x14ac:dyDescent="0.3">
      <c r="A1120" t="str">
        <f t="shared" si="17"/>
        <v>0417531</v>
      </c>
      <c r="B1120" s="101" t="s">
        <v>18</v>
      </c>
      <c r="C1120" s="101" t="s">
        <v>162</v>
      </c>
      <c r="D1120" s="101" t="s">
        <v>409</v>
      </c>
      <c r="E1120" s="101" t="s">
        <v>17</v>
      </c>
    </row>
    <row r="1121" spans="1:5" x14ac:dyDescent="0.3">
      <c r="A1121" t="str">
        <f t="shared" si="17"/>
        <v>0417533</v>
      </c>
      <c r="B1121" s="101" t="s">
        <v>18</v>
      </c>
      <c r="C1121" s="101" t="s">
        <v>162</v>
      </c>
      <c r="D1121" s="101" t="s">
        <v>397</v>
      </c>
      <c r="E1121" s="101" t="s">
        <v>17</v>
      </c>
    </row>
    <row r="1122" spans="1:5" x14ac:dyDescent="0.3">
      <c r="A1122" t="str">
        <f t="shared" si="17"/>
        <v>0417535</v>
      </c>
      <c r="B1122" s="101" t="s">
        <v>18</v>
      </c>
      <c r="C1122" s="101" t="s">
        <v>162</v>
      </c>
      <c r="D1122" s="101" t="s">
        <v>410</v>
      </c>
      <c r="E1122" s="101" t="s">
        <v>17</v>
      </c>
    </row>
    <row r="1123" spans="1:5" x14ac:dyDescent="0.3">
      <c r="A1123" t="str">
        <f t="shared" si="17"/>
        <v>0417537</v>
      </c>
      <c r="B1123" s="101" t="s">
        <v>18</v>
      </c>
      <c r="C1123" s="101" t="s">
        <v>162</v>
      </c>
      <c r="D1123" s="101" t="s">
        <v>395</v>
      </c>
      <c r="E1123" s="101" t="s">
        <v>17</v>
      </c>
    </row>
    <row r="1124" spans="1:5" x14ac:dyDescent="0.3">
      <c r="A1124" t="str">
        <f t="shared" si="17"/>
        <v>0417539</v>
      </c>
      <c r="B1124" s="101" t="s">
        <v>18</v>
      </c>
      <c r="C1124" s="101" t="s">
        <v>162</v>
      </c>
      <c r="D1124" s="101" t="s">
        <v>378</v>
      </c>
      <c r="E1124" s="101" t="s">
        <v>17</v>
      </c>
    </row>
    <row r="1125" spans="1:5" x14ac:dyDescent="0.3">
      <c r="A1125" t="str">
        <f t="shared" si="17"/>
        <v>0417541</v>
      </c>
      <c r="B1125" s="101" t="s">
        <v>18</v>
      </c>
      <c r="C1125" s="101" t="s">
        <v>162</v>
      </c>
      <c r="D1125" s="101" t="s">
        <v>325</v>
      </c>
      <c r="E1125" s="101" t="s">
        <v>17</v>
      </c>
    </row>
    <row r="1126" spans="1:5" x14ac:dyDescent="0.3">
      <c r="A1126" t="str">
        <f t="shared" si="17"/>
        <v>0417543</v>
      </c>
      <c r="B1126" s="101" t="s">
        <v>18</v>
      </c>
      <c r="C1126" s="101" t="s">
        <v>162</v>
      </c>
      <c r="D1126" s="101" t="s">
        <v>347</v>
      </c>
      <c r="E1126" s="101" t="s">
        <v>17</v>
      </c>
    </row>
    <row r="1127" spans="1:5" x14ac:dyDescent="0.3">
      <c r="A1127" t="str">
        <f t="shared" si="17"/>
        <v>0417545</v>
      </c>
      <c r="B1127" s="101" t="s">
        <v>18</v>
      </c>
      <c r="C1127" s="101" t="s">
        <v>162</v>
      </c>
      <c r="D1127" s="101" t="s">
        <v>413</v>
      </c>
      <c r="E1127" s="101" t="s">
        <v>17</v>
      </c>
    </row>
    <row r="1128" spans="1:5" x14ac:dyDescent="0.3">
      <c r="A1128" t="str">
        <f t="shared" si="17"/>
        <v>0417547</v>
      </c>
      <c r="B1128" s="101" t="s">
        <v>18</v>
      </c>
      <c r="C1128" s="101" t="s">
        <v>162</v>
      </c>
      <c r="D1128" s="101" t="s">
        <v>414</v>
      </c>
      <c r="E1128" s="101" t="s">
        <v>17</v>
      </c>
    </row>
    <row r="1129" spans="1:5" x14ac:dyDescent="0.3">
      <c r="A1129" t="str">
        <f t="shared" si="17"/>
        <v>0417549</v>
      </c>
      <c r="B1129" s="101" t="s">
        <v>18</v>
      </c>
      <c r="C1129" s="101" t="s">
        <v>162</v>
      </c>
      <c r="D1129" s="101" t="s">
        <v>348</v>
      </c>
      <c r="E1129" s="101" t="s">
        <v>17</v>
      </c>
    </row>
    <row r="1130" spans="1:5" x14ac:dyDescent="0.3">
      <c r="A1130" t="str">
        <f t="shared" si="17"/>
        <v>0417551</v>
      </c>
      <c r="B1130" s="101" t="s">
        <v>18</v>
      </c>
      <c r="C1130" s="101" t="s">
        <v>162</v>
      </c>
      <c r="D1130" s="101" t="s">
        <v>416</v>
      </c>
      <c r="E1130" s="101" t="s">
        <v>17</v>
      </c>
    </row>
    <row r="1131" spans="1:5" x14ac:dyDescent="0.3">
      <c r="A1131" t="str">
        <f t="shared" si="17"/>
        <v>0417553</v>
      </c>
      <c r="B1131" s="101" t="s">
        <v>18</v>
      </c>
      <c r="C1131" s="101" t="s">
        <v>162</v>
      </c>
      <c r="D1131" s="101" t="s">
        <v>417</v>
      </c>
      <c r="E1131" s="101" t="s">
        <v>17</v>
      </c>
    </row>
    <row r="1132" spans="1:5" x14ac:dyDescent="0.3">
      <c r="A1132" t="str">
        <f t="shared" si="17"/>
        <v>0417555</v>
      </c>
      <c r="B1132" s="101" t="s">
        <v>18</v>
      </c>
      <c r="C1132" s="101" t="s">
        <v>162</v>
      </c>
      <c r="D1132" s="101" t="s">
        <v>418</v>
      </c>
      <c r="E1132" s="101" t="s">
        <v>17</v>
      </c>
    </row>
    <row r="1133" spans="1:5" x14ac:dyDescent="0.3">
      <c r="A1133" t="str">
        <f t="shared" si="17"/>
        <v>0417557</v>
      </c>
      <c r="B1133" s="101" t="s">
        <v>18</v>
      </c>
      <c r="C1133" s="101" t="s">
        <v>162</v>
      </c>
      <c r="D1133" s="101" t="s">
        <v>343</v>
      </c>
      <c r="E1133" s="101" t="s">
        <v>17</v>
      </c>
    </row>
    <row r="1134" spans="1:5" x14ac:dyDescent="0.3">
      <c r="A1134" t="str">
        <f t="shared" si="17"/>
        <v>0417559</v>
      </c>
      <c r="B1134" s="101" t="s">
        <v>18</v>
      </c>
      <c r="C1134" s="101" t="s">
        <v>162</v>
      </c>
      <c r="D1134" s="101" t="s">
        <v>363</v>
      </c>
      <c r="E1134" s="101" t="s">
        <v>17</v>
      </c>
    </row>
    <row r="1135" spans="1:5" x14ac:dyDescent="0.3">
      <c r="A1135" t="str">
        <f t="shared" si="17"/>
        <v>0417561</v>
      </c>
      <c r="B1135" s="101" t="s">
        <v>18</v>
      </c>
      <c r="C1135" s="101" t="s">
        <v>162</v>
      </c>
      <c r="D1135" s="101" t="s">
        <v>376</v>
      </c>
      <c r="E1135" s="101" t="s">
        <v>17</v>
      </c>
    </row>
    <row r="1136" spans="1:5" x14ac:dyDescent="0.3">
      <c r="A1136" t="str">
        <f t="shared" si="17"/>
        <v>0417695</v>
      </c>
      <c r="B1136" s="101" t="s">
        <v>18</v>
      </c>
      <c r="C1136" s="101" t="s">
        <v>162</v>
      </c>
      <c r="D1136" s="101" t="s">
        <v>211</v>
      </c>
      <c r="E1136" s="101" t="s">
        <v>17</v>
      </c>
    </row>
    <row r="1137" spans="1:5" x14ac:dyDescent="0.3">
      <c r="A1137" t="str">
        <f t="shared" si="17"/>
        <v>0417696</v>
      </c>
      <c r="B1137" s="101" t="s">
        <v>18</v>
      </c>
      <c r="C1137" s="101" t="s">
        <v>162</v>
      </c>
      <c r="D1137" s="101" t="s">
        <v>505</v>
      </c>
      <c r="E1137" s="101" t="s">
        <v>17</v>
      </c>
    </row>
    <row r="1138" spans="1:5" x14ac:dyDescent="0.3">
      <c r="A1138" t="str">
        <f t="shared" si="17"/>
        <v>0417725</v>
      </c>
      <c r="B1138" s="101" t="s">
        <v>18</v>
      </c>
      <c r="C1138" s="101" t="s">
        <v>162</v>
      </c>
      <c r="D1138" s="101" t="s">
        <v>530</v>
      </c>
      <c r="E1138" s="101" t="s">
        <v>17</v>
      </c>
    </row>
    <row r="1139" spans="1:5" x14ac:dyDescent="0.3">
      <c r="A1139" t="str">
        <f t="shared" si="17"/>
        <v>0417685</v>
      </c>
      <c r="B1139" s="101" t="s">
        <v>18</v>
      </c>
      <c r="C1139" s="101" t="s">
        <v>162</v>
      </c>
      <c r="D1139" s="101" t="s">
        <v>296</v>
      </c>
      <c r="E1139" s="101" t="s">
        <v>17</v>
      </c>
    </row>
    <row r="1140" spans="1:5" x14ac:dyDescent="0.3">
      <c r="A1140" t="str">
        <f t="shared" si="17"/>
        <v>0417686</v>
      </c>
      <c r="B1140" s="101" t="s">
        <v>18</v>
      </c>
      <c r="C1140" s="101" t="s">
        <v>162</v>
      </c>
      <c r="D1140" s="101" t="s">
        <v>298</v>
      </c>
      <c r="E1140" s="101" t="s">
        <v>17</v>
      </c>
    </row>
    <row r="1141" spans="1:5" x14ac:dyDescent="0.3">
      <c r="A1141" t="str">
        <f t="shared" si="17"/>
        <v>0417687</v>
      </c>
      <c r="B1141" s="101" t="s">
        <v>18</v>
      </c>
      <c r="C1141" s="101" t="s">
        <v>162</v>
      </c>
      <c r="D1141" s="101" t="s">
        <v>299</v>
      </c>
      <c r="E1141" s="101" t="s">
        <v>17</v>
      </c>
    </row>
    <row r="1142" spans="1:5" x14ac:dyDescent="0.3">
      <c r="A1142" t="str">
        <f t="shared" si="17"/>
        <v>0517097</v>
      </c>
      <c r="B1142" s="101" t="s">
        <v>313</v>
      </c>
      <c r="C1142" s="101" t="s">
        <v>162</v>
      </c>
      <c r="D1142" s="101" t="s">
        <v>593</v>
      </c>
      <c r="E1142" s="101" t="s">
        <v>17</v>
      </c>
    </row>
    <row r="1143" spans="1:5" x14ac:dyDescent="0.3">
      <c r="A1143" t="str">
        <f t="shared" si="17"/>
        <v>0517098</v>
      </c>
      <c r="B1143" s="101" t="s">
        <v>313</v>
      </c>
      <c r="C1143" s="101" t="s">
        <v>162</v>
      </c>
      <c r="D1143" s="101" t="s">
        <v>594</v>
      </c>
      <c r="E1143" s="101" t="s">
        <v>17</v>
      </c>
    </row>
    <row r="1144" spans="1:5" x14ac:dyDescent="0.3">
      <c r="A1144" t="str">
        <f t="shared" si="17"/>
        <v>0517099</v>
      </c>
      <c r="B1144" s="101" t="s">
        <v>313</v>
      </c>
      <c r="C1144" s="101" t="s">
        <v>162</v>
      </c>
      <c r="D1144" s="101" t="s">
        <v>595</v>
      </c>
      <c r="E1144" s="101" t="s">
        <v>17</v>
      </c>
    </row>
    <row r="1145" spans="1:5" x14ac:dyDescent="0.3">
      <c r="A1145" t="str">
        <f t="shared" si="17"/>
        <v>0517100</v>
      </c>
      <c r="B1145" s="101" t="s">
        <v>313</v>
      </c>
      <c r="C1145" s="101" t="s">
        <v>162</v>
      </c>
      <c r="D1145" s="101" t="s">
        <v>222</v>
      </c>
      <c r="E1145" s="101" t="s">
        <v>17</v>
      </c>
    </row>
    <row r="1146" spans="1:5" x14ac:dyDescent="0.3">
      <c r="A1146" t="str">
        <f t="shared" si="17"/>
        <v>0517112</v>
      </c>
      <c r="B1146" s="101" t="s">
        <v>313</v>
      </c>
      <c r="C1146" s="101" t="s">
        <v>162</v>
      </c>
      <c r="D1146" s="101" t="s">
        <v>242</v>
      </c>
      <c r="E1146" s="101" t="s">
        <v>17</v>
      </c>
    </row>
    <row r="1147" spans="1:5" x14ac:dyDescent="0.3">
      <c r="A1147" t="str">
        <f t="shared" si="17"/>
        <v>0517113</v>
      </c>
      <c r="B1147" s="101" t="s">
        <v>313</v>
      </c>
      <c r="C1147" s="101" t="s">
        <v>162</v>
      </c>
      <c r="D1147" s="101" t="s">
        <v>243</v>
      </c>
      <c r="E1147" s="101" t="s">
        <v>17</v>
      </c>
    </row>
    <row r="1148" spans="1:5" x14ac:dyDescent="0.3">
      <c r="A1148" t="str">
        <f t="shared" si="17"/>
        <v>0517691</v>
      </c>
      <c r="B1148" s="101" t="s">
        <v>313</v>
      </c>
      <c r="C1148" s="101" t="s">
        <v>162</v>
      </c>
      <c r="D1148" s="101" t="s">
        <v>221</v>
      </c>
      <c r="E1148" s="101" t="s">
        <v>17</v>
      </c>
    </row>
    <row r="1149" spans="1:5" x14ac:dyDescent="0.3">
      <c r="A1149" t="str">
        <f t="shared" si="17"/>
        <v>0517692</v>
      </c>
      <c r="B1149" s="101" t="s">
        <v>313</v>
      </c>
      <c r="C1149" s="101" t="s">
        <v>162</v>
      </c>
      <c r="D1149" s="101" t="s">
        <v>273</v>
      </c>
      <c r="E1149" s="101" t="s">
        <v>17</v>
      </c>
    </row>
    <row r="1150" spans="1:5" x14ac:dyDescent="0.3">
      <c r="A1150" t="str">
        <f t="shared" si="17"/>
        <v>0517693</v>
      </c>
      <c r="B1150" s="101" t="s">
        <v>313</v>
      </c>
      <c r="C1150" s="101" t="s">
        <v>162</v>
      </c>
      <c r="D1150" s="101" t="s">
        <v>274</v>
      </c>
      <c r="E1150" s="101" t="s">
        <v>17</v>
      </c>
    </row>
    <row r="1151" spans="1:5" x14ac:dyDescent="0.3">
      <c r="A1151" t="str">
        <f t="shared" si="17"/>
        <v>0517694</v>
      </c>
      <c r="B1151" s="101" t="s">
        <v>313</v>
      </c>
      <c r="C1151" s="101" t="s">
        <v>162</v>
      </c>
      <c r="D1151" s="101" t="s">
        <v>210</v>
      </c>
      <c r="E1151" s="101" t="s">
        <v>17</v>
      </c>
    </row>
    <row r="1152" spans="1:5" x14ac:dyDescent="0.3">
      <c r="A1152" t="str">
        <f t="shared" si="17"/>
        <v>0517710</v>
      </c>
      <c r="B1152" s="101" t="s">
        <v>313</v>
      </c>
      <c r="C1152" s="101" t="s">
        <v>162</v>
      </c>
      <c r="D1152" s="101" t="s">
        <v>519</v>
      </c>
      <c r="E1152" s="101" t="s">
        <v>17</v>
      </c>
    </row>
    <row r="1153" spans="1:5" x14ac:dyDescent="0.3">
      <c r="A1153" t="str">
        <f t="shared" si="17"/>
        <v>0517711</v>
      </c>
      <c r="B1153" s="101" t="s">
        <v>313</v>
      </c>
      <c r="C1153" s="101" t="s">
        <v>162</v>
      </c>
      <c r="D1153" s="101" t="s">
        <v>520</v>
      </c>
      <c r="E1153" s="101" t="s">
        <v>17</v>
      </c>
    </row>
    <row r="1154" spans="1:5" x14ac:dyDescent="0.3">
      <c r="A1154" t="str">
        <f t="shared" si="17"/>
        <v>0517110</v>
      </c>
      <c r="B1154" s="101" t="s">
        <v>313</v>
      </c>
      <c r="C1154" s="101" t="s">
        <v>162</v>
      </c>
      <c r="D1154" s="101" t="s">
        <v>240</v>
      </c>
      <c r="E1154" s="101" t="s">
        <v>139</v>
      </c>
    </row>
    <row r="1155" spans="1:5" x14ac:dyDescent="0.3">
      <c r="A1155" t="str">
        <f t="shared" ref="A1155:A1218" si="18">CONCATENATE(B1155,C1155,D1155,F1155)</f>
        <v>0517111</v>
      </c>
      <c r="B1155" s="101" t="s">
        <v>313</v>
      </c>
      <c r="C1155" s="101" t="s">
        <v>162</v>
      </c>
      <c r="D1155" s="101" t="s">
        <v>241</v>
      </c>
      <c r="E1155" s="101" t="s">
        <v>139</v>
      </c>
    </row>
    <row r="1156" spans="1:5" x14ac:dyDescent="0.3">
      <c r="A1156" t="str">
        <f t="shared" si="18"/>
        <v>0517707</v>
      </c>
      <c r="B1156" s="101" t="s">
        <v>313</v>
      </c>
      <c r="C1156" s="101" t="s">
        <v>162</v>
      </c>
      <c r="D1156" s="101" t="s">
        <v>516</v>
      </c>
      <c r="E1156" s="101" t="s">
        <v>139</v>
      </c>
    </row>
    <row r="1157" spans="1:5" x14ac:dyDescent="0.3">
      <c r="A1157" t="str">
        <f t="shared" si="18"/>
        <v>0517708</v>
      </c>
      <c r="B1157" s="101" t="s">
        <v>313</v>
      </c>
      <c r="C1157" s="101" t="s">
        <v>162</v>
      </c>
      <c r="D1157" s="101" t="s">
        <v>517</v>
      </c>
      <c r="E1157" s="101" t="s">
        <v>139</v>
      </c>
    </row>
    <row r="1158" spans="1:5" x14ac:dyDescent="0.3">
      <c r="A1158" t="str">
        <f t="shared" si="18"/>
        <v>0617097</v>
      </c>
      <c r="B1158" s="101" t="s">
        <v>317</v>
      </c>
      <c r="C1158" s="101" t="s">
        <v>162</v>
      </c>
      <c r="D1158" s="101" t="s">
        <v>593</v>
      </c>
      <c r="E1158" s="101" t="s">
        <v>17</v>
      </c>
    </row>
    <row r="1159" spans="1:5" x14ac:dyDescent="0.3">
      <c r="A1159" t="str">
        <f t="shared" si="18"/>
        <v>0617098</v>
      </c>
      <c r="B1159" s="101" t="s">
        <v>317</v>
      </c>
      <c r="C1159" s="101" t="s">
        <v>162</v>
      </c>
      <c r="D1159" s="101" t="s">
        <v>594</v>
      </c>
      <c r="E1159" s="101" t="s">
        <v>17</v>
      </c>
    </row>
    <row r="1160" spans="1:5" x14ac:dyDescent="0.3">
      <c r="A1160" t="str">
        <f t="shared" si="18"/>
        <v>0617099</v>
      </c>
      <c r="B1160" s="101" t="s">
        <v>317</v>
      </c>
      <c r="C1160" s="101" t="s">
        <v>162</v>
      </c>
      <c r="D1160" s="101" t="s">
        <v>595</v>
      </c>
      <c r="E1160" s="101" t="s">
        <v>17</v>
      </c>
    </row>
    <row r="1161" spans="1:5" x14ac:dyDescent="0.3">
      <c r="A1161" t="str">
        <f t="shared" si="18"/>
        <v>0617100</v>
      </c>
      <c r="B1161" s="101" t="s">
        <v>317</v>
      </c>
      <c r="C1161" s="101" t="s">
        <v>162</v>
      </c>
      <c r="D1161" s="101" t="s">
        <v>222</v>
      </c>
      <c r="E1161" s="101" t="s">
        <v>17</v>
      </c>
    </row>
    <row r="1162" spans="1:5" x14ac:dyDescent="0.3">
      <c r="A1162" t="str">
        <f t="shared" si="18"/>
        <v>0617112</v>
      </c>
      <c r="B1162" s="101" t="s">
        <v>317</v>
      </c>
      <c r="C1162" s="101" t="s">
        <v>162</v>
      </c>
      <c r="D1162" s="101" t="s">
        <v>242</v>
      </c>
      <c r="E1162" s="101" t="s">
        <v>17</v>
      </c>
    </row>
    <row r="1163" spans="1:5" x14ac:dyDescent="0.3">
      <c r="A1163" t="str">
        <f t="shared" si="18"/>
        <v>0617113</v>
      </c>
      <c r="B1163" s="101" t="s">
        <v>317</v>
      </c>
      <c r="C1163" s="101" t="s">
        <v>162</v>
      </c>
      <c r="D1163" s="101" t="s">
        <v>243</v>
      </c>
      <c r="E1163" s="101" t="s">
        <v>17</v>
      </c>
    </row>
    <row r="1164" spans="1:5" x14ac:dyDescent="0.3">
      <c r="A1164" t="str">
        <f t="shared" si="18"/>
        <v>0617691</v>
      </c>
      <c r="B1164" s="101" t="s">
        <v>317</v>
      </c>
      <c r="C1164" s="101" t="s">
        <v>162</v>
      </c>
      <c r="D1164" s="101" t="s">
        <v>221</v>
      </c>
      <c r="E1164" s="101" t="s">
        <v>17</v>
      </c>
    </row>
    <row r="1165" spans="1:5" x14ac:dyDescent="0.3">
      <c r="A1165" t="str">
        <f t="shared" si="18"/>
        <v>0617692</v>
      </c>
      <c r="B1165" s="101" t="s">
        <v>317</v>
      </c>
      <c r="C1165" s="101" t="s">
        <v>162</v>
      </c>
      <c r="D1165" s="101" t="s">
        <v>273</v>
      </c>
      <c r="E1165" s="101" t="s">
        <v>17</v>
      </c>
    </row>
    <row r="1166" spans="1:5" x14ac:dyDescent="0.3">
      <c r="A1166" t="str">
        <f t="shared" si="18"/>
        <v>0617693</v>
      </c>
      <c r="B1166" s="101" t="s">
        <v>317</v>
      </c>
      <c r="C1166" s="101" t="s">
        <v>162</v>
      </c>
      <c r="D1166" s="101" t="s">
        <v>274</v>
      </c>
      <c r="E1166" s="101" t="s">
        <v>17</v>
      </c>
    </row>
    <row r="1167" spans="1:5" x14ac:dyDescent="0.3">
      <c r="A1167" t="str">
        <f t="shared" si="18"/>
        <v>0617694</v>
      </c>
      <c r="B1167" s="101" t="s">
        <v>317</v>
      </c>
      <c r="C1167" s="101" t="s">
        <v>162</v>
      </c>
      <c r="D1167" s="101" t="s">
        <v>210</v>
      </c>
      <c r="E1167" s="101" t="s">
        <v>17</v>
      </c>
    </row>
    <row r="1168" spans="1:5" x14ac:dyDescent="0.3">
      <c r="A1168" t="str">
        <f t="shared" si="18"/>
        <v>0617710</v>
      </c>
      <c r="B1168" s="101" t="s">
        <v>317</v>
      </c>
      <c r="C1168" s="101" t="s">
        <v>162</v>
      </c>
      <c r="D1168" s="101" t="s">
        <v>519</v>
      </c>
      <c r="E1168" s="101" t="s">
        <v>17</v>
      </c>
    </row>
    <row r="1169" spans="1:5" x14ac:dyDescent="0.3">
      <c r="A1169" t="str">
        <f t="shared" si="18"/>
        <v>0617711</v>
      </c>
      <c r="B1169" s="101" t="s">
        <v>317</v>
      </c>
      <c r="C1169" s="101" t="s">
        <v>162</v>
      </c>
      <c r="D1169" s="101" t="s">
        <v>520</v>
      </c>
      <c r="E1169" s="101" t="s">
        <v>17</v>
      </c>
    </row>
    <row r="1170" spans="1:5" x14ac:dyDescent="0.3">
      <c r="A1170" t="str">
        <f t="shared" si="18"/>
        <v>0617110</v>
      </c>
      <c r="B1170" s="101" t="s">
        <v>317</v>
      </c>
      <c r="C1170" s="101" t="s">
        <v>162</v>
      </c>
      <c r="D1170" s="101" t="s">
        <v>240</v>
      </c>
      <c r="E1170" s="101" t="s">
        <v>139</v>
      </c>
    </row>
    <row r="1171" spans="1:5" x14ac:dyDescent="0.3">
      <c r="A1171" t="str">
        <f t="shared" si="18"/>
        <v>0617111</v>
      </c>
      <c r="B1171" s="101" t="s">
        <v>317</v>
      </c>
      <c r="C1171" s="101" t="s">
        <v>162</v>
      </c>
      <c r="D1171" s="101" t="s">
        <v>241</v>
      </c>
      <c r="E1171" s="101" t="s">
        <v>139</v>
      </c>
    </row>
    <row r="1172" spans="1:5" x14ac:dyDescent="0.3">
      <c r="A1172" t="str">
        <f t="shared" si="18"/>
        <v>0617707</v>
      </c>
      <c r="B1172" s="101" t="s">
        <v>317</v>
      </c>
      <c r="C1172" s="101" t="s">
        <v>162</v>
      </c>
      <c r="D1172" s="101" t="s">
        <v>516</v>
      </c>
      <c r="E1172" s="101" t="s">
        <v>139</v>
      </c>
    </row>
    <row r="1173" spans="1:5" x14ac:dyDescent="0.3">
      <c r="A1173" t="str">
        <f t="shared" si="18"/>
        <v>0617708</v>
      </c>
      <c r="B1173" s="101" t="s">
        <v>317</v>
      </c>
      <c r="C1173" s="101" t="s">
        <v>162</v>
      </c>
      <c r="D1173" s="101" t="s">
        <v>517</v>
      </c>
      <c r="E1173" s="101" t="s">
        <v>139</v>
      </c>
    </row>
    <row r="1174" spans="1:5" x14ac:dyDescent="0.3">
      <c r="A1174" t="str">
        <f t="shared" si="18"/>
        <v>0717097</v>
      </c>
      <c r="B1174" s="101" t="s">
        <v>319</v>
      </c>
      <c r="C1174" s="101" t="s">
        <v>162</v>
      </c>
      <c r="D1174" s="101" t="s">
        <v>593</v>
      </c>
      <c r="E1174" s="101" t="s">
        <v>17</v>
      </c>
    </row>
    <row r="1175" spans="1:5" x14ac:dyDescent="0.3">
      <c r="A1175" t="str">
        <f t="shared" si="18"/>
        <v>0717098</v>
      </c>
      <c r="B1175" s="101" t="s">
        <v>319</v>
      </c>
      <c r="C1175" s="101" t="s">
        <v>162</v>
      </c>
      <c r="D1175" s="101" t="s">
        <v>594</v>
      </c>
      <c r="E1175" s="101" t="s">
        <v>17</v>
      </c>
    </row>
    <row r="1176" spans="1:5" x14ac:dyDescent="0.3">
      <c r="A1176" t="str">
        <f t="shared" si="18"/>
        <v>0717099</v>
      </c>
      <c r="B1176" s="101" t="s">
        <v>319</v>
      </c>
      <c r="C1176" s="101" t="s">
        <v>162</v>
      </c>
      <c r="D1176" s="101" t="s">
        <v>595</v>
      </c>
      <c r="E1176" s="101" t="s">
        <v>17</v>
      </c>
    </row>
    <row r="1177" spans="1:5" x14ac:dyDescent="0.3">
      <c r="A1177" t="str">
        <f t="shared" si="18"/>
        <v>0717100</v>
      </c>
      <c r="B1177" s="101" t="s">
        <v>319</v>
      </c>
      <c r="C1177" s="101" t="s">
        <v>162</v>
      </c>
      <c r="D1177" s="101" t="s">
        <v>222</v>
      </c>
      <c r="E1177" s="101" t="s">
        <v>17</v>
      </c>
    </row>
    <row r="1178" spans="1:5" x14ac:dyDescent="0.3">
      <c r="A1178" t="str">
        <f t="shared" si="18"/>
        <v>0717112</v>
      </c>
      <c r="B1178" s="101" t="s">
        <v>319</v>
      </c>
      <c r="C1178" s="101" t="s">
        <v>162</v>
      </c>
      <c r="D1178" s="101" t="s">
        <v>242</v>
      </c>
      <c r="E1178" s="101" t="s">
        <v>17</v>
      </c>
    </row>
    <row r="1179" spans="1:5" x14ac:dyDescent="0.3">
      <c r="A1179" t="str">
        <f t="shared" si="18"/>
        <v>0717113</v>
      </c>
      <c r="B1179" s="101" t="s">
        <v>319</v>
      </c>
      <c r="C1179" s="101" t="s">
        <v>162</v>
      </c>
      <c r="D1179" s="101" t="s">
        <v>243</v>
      </c>
      <c r="E1179" s="101" t="s">
        <v>17</v>
      </c>
    </row>
    <row r="1180" spans="1:5" x14ac:dyDescent="0.3">
      <c r="A1180" t="str">
        <f t="shared" si="18"/>
        <v>0717691</v>
      </c>
      <c r="B1180" s="101" t="s">
        <v>319</v>
      </c>
      <c r="C1180" s="101" t="s">
        <v>162</v>
      </c>
      <c r="D1180" s="101" t="s">
        <v>221</v>
      </c>
      <c r="E1180" s="101" t="s">
        <v>17</v>
      </c>
    </row>
    <row r="1181" spans="1:5" x14ac:dyDescent="0.3">
      <c r="A1181" t="str">
        <f t="shared" si="18"/>
        <v>0717692</v>
      </c>
      <c r="B1181" s="101" t="s">
        <v>319</v>
      </c>
      <c r="C1181" s="101" t="s">
        <v>162</v>
      </c>
      <c r="D1181" s="101" t="s">
        <v>273</v>
      </c>
      <c r="E1181" s="101" t="s">
        <v>17</v>
      </c>
    </row>
    <row r="1182" spans="1:5" x14ac:dyDescent="0.3">
      <c r="A1182" t="str">
        <f t="shared" si="18"/>
        <v>0717693</v>
      </c>
      <c r="B1182" s="101" t="s">
        <v>319</v>
      </c>
      <c r="C1182" s="101" t="s">
        <v>162</v>
      </c>
      <c r="D1182" s="101" t="s">
        <v>274</v>
      </c>
      <c r="E1182" s="101" t="s">
        <v>17</v>
      </c>
    </row>
    <row r="1183" spans="1:5" x14ac:dyDescent="0.3">
      <c r="A1183" t="str">
        <f t="shared" si="18"/>
        <v>0717694</v>
      </c>
      <c r="B1183" s="101" t="s">
        <v>319</v>
      </c>
      <c r="C1183" s="101" t="s">
        <v>162</v>
      </c>
      <c r="D1183" s="101" t="s">
        <v>210</v>
      </c>
      <c r="E1183" s="101" t="s">
        <v>17</v>
      </c>
    </row>
    <row r="1184" spans="1:5" x14ac:dyDescent="0.3">
      <c r="A1184" t="str">
        <f t="shared" si="18"/>
        <v>0717710</v>
      </c>
      <c r="B1184" s="101" t="s">
        <v>319</v>
      </c>
      <c r="C1184" s="101" t="s">
        <v>162</v>
      </c>
      <c r="D1184" s="101" t="s">
        <v>519</v>
      </c>
      <c r="E1184" s="101" t="s">
        <v>17</v>
      </c>
    </row>
    <row r="1185" spans="1:5" x14ac:dyDescent="0.3">
      <c r="A1185" t="str">
        <f t="shared" si="18"/>
        <v>0717711</v>
      </c>
      <c r="B1185" s="101" t="s">
        <v>319</v>
      </c>
      <c r="C1185" s="101" t="s">
        <v>162</v>
      </c>
      <c r="D1185" s="101" t="s">
        <v>520</v>
      </c>
      <c r="E1185" s="101" t="s">
        <v>17</v>
      </c>
    </row>
    <row r="1186" spans="1:5" x14ac:dyDescent="0.3">
      <c r="A1186" t="str">
        <f t="shared" si="18"/>
        <v>0717110</v>
      </c>
      <c r="B1186" s="101" t="s">
        <v>319</v>
      </c>
      <c r="C1186" s="101" t="s">
        <v>162</v>
      </c>
      <c r="D1186" s="101" t="s">
        <v>240</v>
      </c>
      <c r="E1186" s="101" t="s">
        <v>139</v>
      </c>
    </row>
    <row r="1187" spans="1:5" x14ac:dyDescent="0.3">
      <c r="A1187" t="str">
        <f t="shared" si="18"/>
        <v>0717111</v>
      </c>
      <c r="B1187" s="101" t="s">
        <v>319</v>
      </c>
      <c r="C1187" s="101" t="s">
        <v>162</v>
      </c>
      <c r="D1187" s="101" t="s">
        <v>241</v>
      </c>
      <c r="E1187" s="101" t="s">
        <v>139</v>
      </c>
    </row>
    <row r="1188" spans="1:5" x14ac:dyDescent="0.3">
      <c r="A1188" t="str">
        <f t="shared" si="18"/>
        <v>0717707</v>
      </c>
      <c r="B1188" s="101" t="s">
        <v>319</v>
      </c>
      <c r="C1188" s="101" t="s">
        <v>162</v>
      </c>
      <c r="D1188" s="101" t="s">
        <v>516</v>
      </c>
      <c r="E1188" s="101" t="s">
        <v>139</v>
      </c>
    </row>
    <row r="1189" spans="1:5" x14ac:dyDescent="0.3">
      <c r="A1189" t="str">
        <f t="shared" si="18"/>
        <v>0717708</v>
      </c>
      <c r="B1189" s="101" t="s">
        <v>319</v>
      </c>
      <c r="C1189" s="101" t="s">
        <v>162</v>
      </c>
      <c r="D1189" s="101" t="s">
        <v>517</v>
      </c>
      <c r="E1189" s="101" t="s">
        <v>139</v>
      </c>
    </row>
    <row r="1190" spans="1:5" x14ac:dyDescent="0.3">
      <c r="A1190" t="str">
        <f t="shared" si="18"/>
        <v>0817097</v>
      </c>
      <c r="B1190" s="101" t="s">
        <v>320</v>
      </c>
      <c r="C1190" s="101" t="s">
        <v>162</v>
      </c>
      <c r="D1190" s="101" t="s">
        <v>593</v>
      </c>
      <c r="E1190" s="101" t="s">
        <v>17</v>
      </c>
    </row>
    <row r="1191" spans="1:5" x14ac:dyDescent="0.3">
      <c r="A1191" t="str">
        <f t="shared" si="18"/>
        <v>0817098</v>
      </c>
      <c r="B1191" s="101" t="s">
        <v>320</v>
      </c>
      <c r="C1191" s="101" t="s">
        <v>162</v>
      </c>
      <c r="D1191" s="101" t="s">
        <v>594</v>
      </c>
      <c r="E1191" s="101" t="s">
        <v>17</v>
      </c>
    </row>
    <row r="1192" spans="1:5" x14ac:dyDescent="0.3">
      <c r="A1192" t="str">
        <f t="shared" si="18"/>
        <v>0817099</v>
      </c>
      <c r="B1192" s="101" t="s">
        <v>320</v>
      </c>
      <c r="C1192" s="101" t="s">
        <v>162</v>
      </c>
      <c r="D1192" s="101" t="s">
        <v>595</v>
      </c>
      <c r="E1192" s="101" t="s">
        <v>17</v>
      </c>
    </row>
    <row r="1193" spans="1:5" x14ac:dyDescent="0.3">
      <c r="A1193" t="str">
        <f t="shared" si="18"/>
        <v>0817100</v>
      </c>
      <c r="B1193" s="101" t="s">
        <v>320</v>
      </c>
      <c r="C1193" s="101" t="s">
        <v>162</v>
      </c>
      <c r="D1193" s="101" t="s">
        <v>222</v>
      </c>
      <c r="E1193" s="101" t="s">
        <v>17</v>
      </c>
    </row>
    <row r="1194" spans="1:5" x14ac:dyDescent="0.3">
      <c r="A1194" t="str">
        <f t="shared" si="18"/>
        <v>0817112</v>
      </c>
      <c r="B1194" s="101" t="s">
        <v>320</v>
      </c>
      <c r="C1194" s="101" t="s">
        <v>162</v>
      </c>
      <c r="D1194" s="101" t="s">
        <v>242</v>
      </c>
      <c r="E1194" s="101" t="s">
        <v>17</v>
      </c>
    </row>
    <row r="1195" spans="1:5" x14ac:dyDescent="0.3">
      <c r="A1195" t="str">
        <f t="shared" si="18"/>
        <v>0817113</v>
      </c>
      <c r="B1195" s="101" t="s">
        <v>320</v>
      </c>
      <c r="C1195" s="101" t="s">
        <v>162</v>
      </c>
      <c r="D1195" s="101" t="s">
        <v>243</v>
      </c>
      <c r="E1195" s="101" t="s">
        <v>17</v>
      </c>
    </row>
    <row r="1196" spans="1:5" x14ac:dyDescent="0.3">
      <c r="A1196" t="str">
        <f t="shared" si="18"/>
        <v>0817691</v>
      </c>
      <c r="B1196" s="101" t="s">
        <v>320</v>
      </c>
      <c r="C1196" s="101" t="s">
        <v>162</v>
      </c>
      <c r="D1196" s="101" t="s">
        <v>221</v>
      </c>
      <c r="E1196" s="101" t="s">
        <v>17</v>
      </c>
    </row>
    <row r="1197" spans="1:5" x14ac:dyDescent="0.3">
      <c r="A1197" t="str">
        <f t="shared" si="18"/>
        <v>0817692</v>
      </c>
      <c r="B1197" s="101" t="s">
        <v>320</v>
      </c>
      <c r="C1197" s="101" t="s">
        <v>162</v>
      </c>
      <c r="D1197" s="101" t="s">
        <v>273</v>
      </c>
      <c r="E1197" s="101" t="s">
        <v>17</v>
      </c>
    </row>
    <row r="1198" spans="1:5" x14ac:dyDescent="0.3">
      <c r="A1198" t="str">
        <f t="shared" si="18"/>
        <v>0817693</v>
      </c>
      <c r="B1198" s="101" t="s">
        <v>320</v>
      </c>
      <c r="C1198" s="101" t="s">
        <v>162</v>
      </c>
      <c r="D1198" s="101" t="s">
        <v>274</v>
      </c>
      <c r="E1198" s="101" t="s">
        <v>17</v>
      </c>
    </row>
    <row r="1199" spans="1:5" x14ac:dyDescent="0.3">
      <c r="A1199" t="str">
        <f t="shared" si="18"/>
        <v>0817694</v>
      </c>
      <c r="B1199" s="101" t="s">
        <v>320</v>
      </c>
      <c r="C1199" s="101" t="s">
        <v>162</v>
      </c>
      <c r="D1199" s="101" t="s">
        <v>210</v>
      </c>
      <c r="E1199" s="101" t="s">
        <v>17</v>
      </c>
    </row>
    <row r="1200" spans="1:5" x14ac:dyDescent="0.3">
      <c r="A1200" t="str">
        <f t="shared" si="18"/>
        <v>0817710</v>
      </c>
      <c r="B1200" s="101" t="s">
        <v>320</v>
      </c>
      <c r="C1200" s="101" t="s">
        <v>162</v>
      </c>
      <c r="D1200" s="101" t="s">
        <v>519</v>
      </c>
      <c r="E1200" s="101" t="s">
        <v>17</v>
      </c>
    </row>
    <row r="1201" spans="1:5" x14ac:dyDescent="0.3">
      <c r="A1201" t="str">
        <f t="shared" si="18"/>
        <v>0817711</v>
      </c>
      <c r="B1201" s="101" t="s">
        <v>320</v>
      </c>
      <c r="C1201" s="101" t="s">
        <v>162</v>
      </c>
      <c r="D1201" s="101" t="s">
        <v>520</v>
      </c>
      <c r="E1201" s="101" t="s">
        <v>17</v>
      </c>
    </row>
    <row r="1202" spans="1:5" x14ac:dyDescent="0.3">
      <c r="A1202" t="str">
        <f t="shared" si="18"/>
        <v>0817110</v>
      </c>
      <c r="B1202" s="101" t="s">
        <v>320</v>
      </c>
      <c r="C1202" s="101" t="s">
        <v>162</v>
      </c>
      <c r="D1202" s="101" t="s">
        <v>240</v>
      </c>
      <c r="E1202" s="101" t="s">
        <v>139</v>
      </c>
    </row>
    <row r="1203" spans="1:5" x14ac:dyDescent="0.3">
      <c r="A1203" t="str">
        <f t="shared" si="18"/>
        <v>0817111</v>
      </c>
      <c r="B1203" s="101" t="s">
        <v>320</v>
      </c>
      <c r="C1203" s="101" t="s">
        <v>162</v>
      </c>
      <c r="D1203" s="101" t="s">
        <v>241</v>
      </c>
      <c r="E1203" s="101" t="s">
        <v>139</v>
      </c>
    </row>
    <row r="1204" spans="1:5" x14ac:dyDescent="0.3">
      <c r="A1204" t="str">
        <f t="shared" si="18"/>
        <v>0817707</v>
      </c>
      <c r="B1204" s="101" t="s">
        <v>320</v>
      </c>
      <c r="C1204" s="101" t="s">
        <v>162</v>
      </c>
      <c r="D1204" s="101" t="s">
        <v>516</v>
      </c>
      <c r="E1204" s="101" t="s">
        <v>139</v>
      </c>
    </row>
    <row r="1205" spans="1:5" x14ac:dyDescent="0.3">
      <c r="A1205" t="str">
        <f t="shared" si="18"/>
        <v>0817708</v>
      </c>
      <c r="B1205" s="101" t="s">
        <v>320</v>
      </c>
      <c r="C1205" s="101" t="s">
        <v>162</v>
      </c>
      <c r="D1205" s="101" t="s">
        <v>517</v>
      </c>
      <c r="E1205" s="101" t="s">
        <v>139</v>
      </c>
    </row>
    <row r="1206" spans="1:5" x14ac:dyDescent="0.3">
      <c r="A1206" t="str">
        <f t="shared" si="18"/>
        <v>0318801</v>
      </c>
      <c r="B1206" s="101" t="s">
        <v>16</v>
      </c>
      <c r="C1206" s="101" t="s">
        <v>164</v>
      </c>
      <c r="D1206" s="101" t="s">
        <v>144</v>
      </c>
      <c r="E1206" s="101" t="s">
        <v>139</v>
      </c>
    </row>
    <row r="1207" spans="1:5" x14ac:dyDescent="0.3">
      <c r="A1207" t="str">
        <f t="shared" si="18"/>
        <v>0318802</v>
      </c>
      <c r="B1207" s="101" t="s">
        <v>16</v>
      </c>
      <c r="C1207" s="101" t="s">
        <v>164</v>
      </c>
      <c r="D1207" s="101" t="s">
        <v>145</v>
      </c>
      <c r="E1207" s="101" t="s">
        <v>139</v>
      </c>
    </row>
    <row r="1208" spans="1:5" x14ac:dyDescent="0.3">
      <c r="A1208" t="str">
        <f t="shared" si="18"/>
        <v>0318500</v>
      </c>
      <c r="B1208" s="101" t="s">
        <v>16</v>
      </c>
      <c r="C1208" s="101" t="s">
        <v>164</v>
      </c>
      <c r="D1208" s="101" t="s">
        <v>146</v>
      </c>
      <c r="E1208" s="101" t="s">
        <v>139</v>
      </c>
    </row>
    <row r="1209" spans="1:5" x14ac:dyDescent="0.3">
      <c r="A1209" t="str">
        <f t="shared" si="18"/>
        <v>0318501</v>
      </c>
      <c r="B1209" s="101" t="s">
        <v>16</v>
      </c>
      <c r="C1209" s="101" t="s">
        <v>164</v>
      </c>
      <c r="D1209" s="101" t="s">
        <v>147</v>
      </c>
      <c r="E1209" s="101" t="s">
        <v>139</v>
      </c>
    </row>
    <row r="1210" spans="1:5" x14ac:dyDescent="0.3">
      <c r="A1210" t="str">
        <f t="shared" si="18"/>
        <v>0318826</v>
      </c>
      <c r="B1210" s="101" t="s">
        <v>16</v>
      </c>
      <c r="C1210" s="101" t="s">
        <v>164</v>
      </c>
      <c r="D1210" s="101" t="s">
        <v>359</v>
      </c>
      <c r="E1210" s="101" t="s">
        <v>19</v>
      </c>
    </row>
    <row r="1211" spans="1:5" x14ac:dyDescent="0.3">
      <c r="A1211" t="str">
        <f t="shared" si="18"/>
        <v>0318827</v>
      </c>
      <c r="B1211" s="101" t="s">
        <v>16</v>
      </c>
      <c r="C1211" s="101" t="s">
        <v>164</v>
      </c>
      <c r="D1211" s="101" t="s">
        <v>361</v>
      </c>
      <c r="E1211" s="101" t="s">
        <v>19</v>
      </c>
    </row>
    <row r="1212" spans="1:5" x14ac:dyDescent="0.3">
      <c r="A1212" t="str">
        <f t="shared" si="18"/>
        <v>0318680</v>
      </c>
      <c r="B1212" s="101" t="s">
        <v>16</v>
      </c>
      <c r="C1212" s="101" t="s">
        <v>164</v>
      </c>
      <c r="D1212" s="101" t="s">
        <v>271</v>
      </c>
      <c r="E1212" s="101" t="s">
        <v>19</v>
      </c>
    </row>
    <row r="1213" spans="1:5" x14ac:dyDescent="0.3">
      <c r="A1213" t="str">
        <f t="shared" si="18"/>
        <v>0318681</v>
      </c>
      <c r="B1213" s="101" t="s">
        <v>16</v>
      </c>
      <c r="C1213" s="101" t="s">
        <v>164</v>
      </c>
      <c r="D1213" s="101" t="s">
        <v>272</v>
      </c>
      <c r="E1213" s="101" t="s">
        <v>19</v>
      </c>
    </row>
    <row r="1214" spans="1:5" x14ac:dyDescent="0.3">
      <c r="A1214" t="str">
        <f t="shared" si="18"/>
        <v>0318001</v>
      </c>
      <c r="B1214" s="101" t="s">
        <v>16</v>
      </c>
      <c r="C1214" s="101" t="s">
        <v>164</v>
      </c>
      <c r="D1214" s="101" t="s">
        <v>549</v>
      </c>
      <c r="E1214" s="101" t="s">
        <v>17</v>
      </c>
    </row>
    <row r="1215" spans="1:5" x14ac:dyDescent="0.3">
      <c r="A1215" t="str">
        <f t="shared" si="18"/>
        <v>0318002</v>
      </c>
      <c r="B1215" s="101" t="s">
        <v>16</v>
      </c>
      <c r="C1215" s="101" t="s">
        <v>164</v>
      </c>
      <c r="D1215" s="101" t="s">
        <v>596</v>
      </c>
      <c r="E1215" s="101" t="s">
        <v>17</v>
      </c>
    </row>
    <row r="1216" spans="1:5" x14ac:dyDescent="0.3">
      <c r="A1216" t="str">
        <f t="shared" si="18"/>
        <v>0318003</v>
      </c>
      <c r="B1216" s="101" t="s">
        <v>16</v>
      </c>
      <c r="C1216" s="101" t="s">
        <v>164</v>
      </c>
      <c r="D1216" s="101" t="s">
        <v>597</v>
      </c>
      <c r="E1216" s="101" t="s">
        <v>17</v>
      </c>
    </row>
    <row r="1217" spans="1:5" x14ac:dyDescent="0.3">
      <c r="A1217" t="str">
        <f t="shared" si="18"/>
        <v>0318004</v>
      </c>
      <c r="B1217" s="101" t="s">
        <v>16</v>
      </c>
      <c r="C1217" s="101" t="s">
        <v>164</v>
      </c>
      <c r="D1217" s="101" t="s">
        <v>598</v>
      </c>
      <c r="E1217" s="101" t="s">
        <v>17</v>
      </c>
    </row>
    <row r="1218" spans="1:5" x14ac:dyDescent="0.3">
      <c r="A1218" t="str">
        <f t="shared" si="18"/>
        <v>0318005</v>
      </c>
      <c r="B1218" s="101" t="s">
        <v>16</v>
      </c>
      <c r="C1218" s="101" t="s">
        <v>164</v>
      </c>
      <c r="D1218" s="101" t="s">
        <v>399</v>
      </c>
      <c r="E1218" s="101" t="s">
        <v>17</v>
      </c>
    </row>
    <row r="1219" spans="1:5" x14ac:dyDescent="0.3">
      <c r="A1219" t="str">
        <f t="shared" ref="A1219:A1282" si="19">CONCATENATE(B1219,C1219,D1219,F1219)</f>
        <v>0318006</v>
      </c>
      <c r="B1219" s="101" t="s">
        <v>16</v>
      </c>
      <c r="C1219" s="101" t="s">
        <v>164</v>
      </c>
      <c r="D1219" s="101" t="s">
        <v>400</v>
      </c>
      <c r="E1219" s="101" t="s">
        <v>17</v>
      </c>
    </row>
    <row r="1220" spans="1:5" x14ac:dyDescent="0.3">
      <c r="A1220" t="str">
        <f t="shared" si="19"/>
        <v>0318007</v>
      </c>
      <c r="B1220" s="101" t="s">
        <v>16</v>
      </c>
      <c r="C1220" s="101" t="s">
        <v>164</v>
      </c>
      <c r="D1220" s="101" t="s">
        <v>401</v>
      </c>
      <c r="E1220" s="101" t="s">
        <v>17</v>
      </c>
    </row>
    <row r="1221" spans="1:5" x14ac:dyDescent="0.3">
      <c r="A1221" t="str">
        <f t="shared" si="19"/>
        <v>0318008</v>
      </c>
      <c r="B1221" s="101" t="s">
        <v>16</v>
      </c>
      <c r="C1221" s="101" t="s">
        <v>164</v>
      </c>
      <c r="D1221" s="101" t="s">
        <v>405</v>
      </c>
      <c r="E1221" s="101" t="s">
        <v>17</v>
      </c>
    </row>
    <row r="1222" spans="1:5" x14ac:dyDescent="0.3">
      <c r="A1222" t="str">
        <f t="shared" si="19"/>
        <v>0318009</v>
      </c>
      <c r="B1222" s="101" t="s">
        <v>16</v>
      </c>
      <c r="C1222" s="101" t="s">
        <v>164</v>
      </c>
      <c r="D1222" s="101" t="s">
        <v>406</v>
      </c>
      <c r="E1222" s="101" t="s">
        <v>17</v>
      </c>
    </row>
    <row r="1223" spans="1:5" x14ac:dyDescent="0.3">
      <c r="A1223" t="str">
        <f t="shared" si="19"/>
        <v>0318010</v>
      </c>
      <c r="B1223" s="101" t="s">
        <v>16</v>
      </c>
      <c r="C1223" s="101" t="s">
        <v>164</v>
      </c>
      <c r="D1223" s="101" t="s">
        <v>599</v>
      </c>
      <c r="E1223" s="101" t="s">
        <v>17</v>
      </c>
    </row>
    <row r="1224" spans="1:5" x14ac:dyDescent="0.3">
      <c r="A1224" t="str">
        <f t="shared" si="19"/>
        <v>0318011</v>
      </c>
      <c r="B1224" s="101" t="s">
        <v>16</v>
      </c>
      <c r="C1224" s="101" t="s">
        <v>164</v>
      </c>
      <c r="D1224" s="101" t="s">
        <v>402</v>
      </c>
      <c r="E1224" s="101" t="s">
        <v>17</v>
      </c>
    </row>
    <row r="1225" spans="1:5" x14ac:dyDescent="0.3">
      <c r="A1225" t="str">
        <f t="shared" si="19"/>
        <v>0318012</v>
      </c>
      <c r="B1225" s="101" t="s">
        <v>16</v>
      </c>
      <c r="C1225" s="101" t="s">
        <v>164</v>
      </c>
      <c r="D1225" s="101" t="s">
        <v>392</v>
      </c>
      <c r="E1225" s="101" t="s">
        <v>17</v>
      </c>
    </row>
    <row r="1226" spans="1:5" x14ac:dyDescent="0.3">
      <c r="A1226" t="str">
        <f t="shared" si="19"/>
        <v>0318013</v>
      </c>
      <c r="B1226" s="101" t="s">
        <v>16</v>
      </c>
      <c r="C1226" s="101" t="s">
        <v>164</v>
      </c>
      <c r="D1226" s="101" t="s">
        <v>403</v>
      </c>
      <c r="E1226" s="101" t="s">
        <v>17</v>
      </c>
    </row>
    <row r="1227" spans="1:5" x14ac:dyDescent="0.3">
      <c r="A1227" t="str">
        <f t="shared" si="19"/>
        <v>0318014</v>
      </c>
      <c r="B1227" s="101" t="s">
        <v>16</v>
      </c>
      <c r="C1227" s="101" t="s">
        <v>164</v>
      </c>
      <c r="D1227" s="101" t="s">
        <v>531</v>
      </c>
      <c r="E1227" s="101" t="s">
        <v>17</v>
      </c>
    </row>
    <row r="1228" spans="1:5" x14ac:dyDescent="0.3">
      <c r="A1228" t="str">
        <f t="shared" si="19"/>
        <v>0318015</v>
      </c>
      <c r="B1228" s="101" t="s">
        <v>16</v>
      </c>
      <c r="C1228" s="101" t="s">
        <v>164</v>
      </c>
      <c r="D1228" s="101" t="s">
        <v>321</v>
      </c>
      <c r="E1228" s="101" t="s">
        <v>17</v>
      </c>
    </row>
    <row r="1229" spans="1:5" x14ac:dyDescent="0.3">
      <c r="A1229" t="str">
        <f t="shared" si="19"/>
        <v>0318016</v>
      </c>
      <c r="B1229" s="101" t="s">
        <v>16</v>
      </c>
      <c r="C1229" s="101" t="s">
        <v>164</v>
      </c>
      <c r="D1229" s="101" t="s">
        <v>396</v>
      </c>
      <c r="E1229" s="101" t="s">
        <v>17</v>
      </c>
    </row>
    <row r="1230" spans="1:5" x14ac:dyDescent="0.3">
      <c r="A1230" t="str">
        <f t="shared" si="19"/>
        <v>0318017</v>
      </c>
      <c r="B1230" s="101" t="s">
        <v>16</v>
      </c>
      <c r="C1230" s="101" t="s">
        <v>164</v>
      </c>
      <c r="D1230" s="101" t="s">
        <v>575</v>
      </c>
      <c r="E1230" s="101" t="s">
        <v>17</v>
      </c>
    </row>
    <row r="1231" spans="1:5" x14ac:dyDescent="0.3">
      <c r="A1231" t="str">
        <f t="shared" si="19"/>
        <v>0318018</v>
      </c>
      <c r="B1231" s="101" t="s">
        <v>16</v>
      </c>
      <c r="C1231" s="101" t="s">
        <v>164</v>
      </c>
      <c r="D1231" s="101" t="s">
        <v>576</v>
      </c>
      <c r="E1231" s="101" t="s">
        <v>17</v>
      </c>
    </row>
    <row r="1232" spans="1:5" x14ac:dyDescent="0.3">
      <c r="A1232" t="str">
        <f t="shared" si="19"/>
        <v>0318019</v>
      </c>
      <c r="B1232" s="101" t="s">
        <v>16</v>
      </c>
      <c r="C1232" s="101" t="s">
        <v>164</v>
      </c>
      <c r="D1232" s="101" t="s">
        <v>393</v>
      </c>
      <c r="E1232" s="101" t="s">
        <v>17</v>
      </c>
    </row>
    <row r="1233" spans="1:5" x14ac:dyDescent="0.3">
      <c r="A1233" t="str">
        <f t="shared" si="19"/>
        <v>0318020</v>
      </c>
      <c r="B1233" s="101" t="s">
        <v>16</v>
      </c>
      <c r="C1233" s="101" t="s">
        <v>164</v>
      </c>
      <c r="D1233" s="101" t="s">
        <v>577</v>
      </c>
      <c r="E1233" s="101" t="s">
        <v>17</v>
      </c>
    </row>
    <row r="1234" spans="1:5" x14ac:dyDescent="0.3">
      <c r="A1234" t="str">
        <f t="shared" si="19"/>
        <v>0318021</v>
      </c>
      <c r="B1234" s="101" t="s">
        <v>16</v>
      </c>
      <c r="C1234" s="101" t="s">
        <v>164</v>
      </c>
      <c r="D1234" s="101" t="s">
        <v>477</v>
      </c>
      <c r="E1234" s="101" t="s">
        <v>17</v>
      </c>
    </row>
    <row r="1235" spans="1:5" x14ac:dyDescent="0.3">
      <c r="A1235" t="str">
        <f t="shared" si="19"/>
        <v>0318022</v>
      </c>
      <c r="B1235" s="101" t="s">
        <v>16</v>
      </c>
      <c r="C1235" s="101" t="s">
        <v>164</v>
      </c>
      <c r="D1235" s="101" t="s">
        <v>322</v>
      </c>
      <c r="E1235" s="101" t="s">
        <v>17</v>
      </c>
    </row>
    <row r="1236" spans="1:5" x14ac:dyDescent="0.3">
      <c r="A1236" t="str">
        <f t="shared" si="19"/>
        <v>0318023</v>
      </c>
      <c r="B1236" s="101" t="s">
        <v>16</v>
      </c>
      <c r="C1236" s="101" t="s">
        <v>164</v>
      </c>
      <c r="D1236" s="101" t="s">
        <v>480</v>
      </c>
      <c r="E1236" s="101" t="s">
        <v>17</v>
      </c>
    </row>
    <row r="1237" spans="1:5" x14ac:dyDescent="0.3">
      <c r="A1237" t="str">
        <f t="shared" si="19"/>
        <v>0318588</v>
      </c>
      <c r="B1237" s="101" t="s">
        <v>16</v>
      </c>
      <c r="C1237" s="101" t="s">
        <v>164</v>
      </c>
      <c r="D1237" s="101" t="s">
        <v>447</v>
      </c>
      <c r="E1237" s="101" t="s">
        <v>17</v>
      </c>
    </row>
    <row r="1238" spans="1:5" x14ac:dyDescent="0.3">
      <c r="A1238" t="str">
        <f t="shared" si="19"/>
        <v>0318590</v>
      </c>
      <c r="B1238" s="101" t="s">
        <v>16</v>
      </c>
      <c r="C1238" s="101" t="s">
        <v>164</v>
      </c>
      <c r="D1238" s="101" t="s">
        <v>449</v>
      </c>
      <c r="E1238" s="101" t="s">
        <v>17</v>
      </c>
    </row>
    <row r="1239" spans="1:5" x14ac:dyDescent="0.3">
      <c r="A1239" t="str">
        <f t="shared" si="19"/>
        <v>0318592</v>
      </c>
      <c r="B1239" s="101" t="s">
        <v>16</v>
      </c>
      <c r="C1239" s="101" t="s">
        <v>164</v>
      </c>
      <c r="D1239" s="101" t="s">
        <v>451</v>
      </c>
      <c r="E1239" s="101" t="s">
        <v>17</v>
      </c>
    </row>
    <row r="1240" spans="1:5" x14ac:dyDescent="0.3">
      <c r="A1240" t="str">
        <f t="shared" si="19"/>
        <v>0318593</v>
      </c>
      <c r="B1240" s="101" t="s">
        <v>16</v>
      </c>
      <c r="C1240" s="101" t="s">
        <v>164</v>
      </c>
      <c r="D1240" s="101" t="s">
        <v>452</v>
      </c>
      <c r="E1240" s="101" t="s">
        <v>17</v>
      </c>
    </row>
    <row r="1241" spans="1:5" x14ac:dyDescent="0.3">
      <c r="A1241" t="str">
        <f t="shared" si="19"/>
        <v>0318594</v>
      </c>
      <c r="B1241" s="101" t="s">
        <v>16</v>
      </c>
      <c r="C1241" s="101" t="s">
        <v>164</v>
      </c>
      <c r="D1241" s="101" t="s">
        <v>454</v>
      </c>
      <c r="E1241" s="101" t="s">
        <v>17</v>
      </c>
    </row>
    <row r="1242" spans="1:5" x14ac:dyDescent="0.3">
      <c r="A1242" t="str">
        <f t="shared" si="19"/>
        <v>0318595</v>
      </c>
      <c r="B1242" s="101" t="s">
        <v>16</v>
      </c>
      <c r="C1242" s="101" t="s">
        <v>164</v>
      </c>
      <c r="D1242" s="101" t="s">
        <v>456</v>
      </c>
      <c r="E1242" s="101" t="s">
        <v>17</v>
      </c>
    </row>
    <row r="1243" spans="1:5" x14ac:dyDescent="0.3">
      <c r="A1243" t="str">
        <f t="shared" si="19"/>
        <v>0318596</v>
      </c>
      <c r="B1243" s="101" t="s">
        <v>16</v>
      </c>
      <c r="C1243" s="101" t="s">
        <v>164</v>
      </c>
      <c r="D1243" s="101" t="s">
        <v>457</v>
      </c>
      <c r="E1243" s="101" t="s">
        <v>17</v>
      </c>
    </row>
    <row r="1244" spans="1:5" x14ac:dyDescent="0.3">
      <c r="A1244" t="str">
        <f t="shared" si="19"/>
        <v>0318597</v>
      </c>
      <c r="B1244" s="101" t="s">
        <v>16</v>
      </c>
      <c r="C1244" s="101" t="s">
        <v>164</v>
      </c>
      <c r="D1244" s="101" t="s">
        <v>458</v>
      </c>
      <c r="E1244" s="101" t="s">
        <v>17</v>
      </c>
    </row>
    <row r="1245" spans="1:5" x14ac:dyDescent="0.3">
      <c r="A1245" t="str">
        <f t="shared" si="19"/>
        <v>0318598</v>
      </c>
      <c r="B1245" s="101" t="s">
        <v>16</v>
      </c>
      <c r="C1245" s="101" t="s">
        <v>164</v>
      </c>
      <c r="D1245" s="101" t="s">
        <v>459</v>
      </c>
      <c r="E1245" s="101" t="s">
        <v>17</v>
      </c>
    </row>
    <row r="1246" spans="1:5" x14ac:dyDescent="0.3">
      <c r="A1246" t="str">
        <f t="shared" si="19"/>
        <v>0318599</v>
      </c>
      <c r="B1246" s="101" t="s">
        <v>16</v>
      </c>
      <c r="C1246" s="101" t="s">
        <v>164</v>
      </c>
      <c r="D1246" s="101" t="s">
        <v>460</v>
      </c>
      <c r="E1246" s="101" t="s">
        <v>17</v>
      </c>
    </row>
    <row r="1247" spans="1:5" x14ac:dyDescent="0.3">
      <c r="A1247" t="str">
        <f t="shared" si="19"/>
        <v>0318600</v>
      </c>
      <c r="B1247" s="101" t="s">
        <v>16</v>
      </c>
      <c r="C1247" s="101" t="s">
        <v>164</v>
      </c>
      <c r="D1247" s="101" t="s">
        <v>230</v>
      </c>
      <c r="E1247" s="101" t="s">
        <v>17</v>
      </c>
    </row>
    <row r="1248" spans="1:5" x14ac:dyDescent="0.3">
      <c r="A1248" t="str">
        <f t="shared" si="19"/>
        <v>0318601</v>
      </c>
      <c r="B1248" s="101" t="s">
        <v>16</v>
      </c>
      <c r="C1248" s="101" t="s">
        <v>164</v>
      </c>
      <c r="D1248" s="101" t="s">
        <v>231</v>
      </c>
      <c r="E1248" s="101" t="s">
        <v>17</v>
      </c>
    </row>
    <row r="1249" spans="1:5" x14ac:dyDescent="0.3">
      <c r="A1249" t="str">
        <f t="shared" si="19"/>
        <v>0318602</v>
      </c>
      <c r="B1249" s="101" t="s">
        <v>16</v>
      </c>
      <c r="C1249" s="101" t="s">
        <v>164</v>
      </c>
      <c r="D1249" s="101" t="s">
        <v>461</v>
      </c>
      <c r="E1249" s="101" t="s">
        <v>17</v>
      </c>
    </row>
    <row r="1250" spans="1:5" x14ac:dyDescent="0.3">
      <c r="A1250" t="str">
        <f t="shared" si="19"/>
        <v>0318603</v>
      </c>
      <c r="B1250" s="101" t="s">
        <v>16</v>
      </c>
      <c r="C1250" s="101" t="s">
        <v>164</v>
      </c>
      <c r="D1250" s="101" t="s">
        <v>462</v>
      </c>
      <c r="E1250" s="101" t="s">
        <v>17</v>
      </c>
    </row>
    <row r="1251" spans="1:5" x14ac:dyDescent="0.3">
      <c r="A1251" t="str">
        <f t="shared" si="19"/>
        <v>0318604</v>
      </c>
      <c r="B1251" s="101" t="s">
        <v>16</v>
      </c>
      <c r="C1251" s="101" t="s">
        <v>164</v>
      </c>
      <c r="D1251" s="101" t="s">
        <v>463</v>
      </c>
      <c r="E1251" s="101" t="s">
        <v>17</v>
      </c>
    </row>
    <row r="1252" spans="1:5" x14ac:dyDescent="0.3">
      <c r="A1252" t="str">
        <f t="shared" si="19"/>
        <v>0318605</v>
      </c>
      <c r="B1252" s="101" t="s">
        <v>16</v>
      </c>
      <c r="C1252" s="101" t="s">
        <v>164</v>
      </c>
      <c r="D1252" s="101" t="s">
        <v>464</v>
      </c>
      <c r="E1252" s="101" t="s">
        <v>17</v>
      </c>
    </row>
    <row r="1253" spans="1:5" x14ac:dyDescent="0.3">
      <c r="A1253" t="str">
        <f t="shared" si="19"/>
        <v>0318606</v>
      </c>
      <c r="B1253" s="101" t="s">
        <v>16</v>
      </c>
      <c r="C1253" s="101" t="s">
        <v>164</v>
      </c>
      <c r="D1253" s="101" t="s">
        <v>465</v>
      </c>
      <c r="E1253" s="101" t="s">
        <v>17</v>
      </c>
    </row>
    <row r="1254" spans="1:5" x14ac:dyDescent="0.3">
      <c r="A1254" t="str">
        <f t="shared" si="19"/>
        <v>0318607</v>
      </c>
      <c r="B1254" s="101" t="s">
        <v>16</v>
      </c>
      <c r="C1254" s="101" t="s">
        <v>164</v>
      </c>
      <c r="D1254" s="101" t="s">
        <v>466</v>
      </c>
      <c r="E1254" s="101" t="s">
        <v>17</v>
      </c>
    </row>
    <row r="1255" spans="1:5" x14ac:dyDescent="0.3">
      <c r="A1255" t="str">
        <f t="shared" si="19"/>
        <v>0318608</v>
      </c>
      <c r="B1255" s="101" t="s">
        <v>16</v>
      </c>
      <c r="C1255" s="101" t="s">
        <v>164</v>
      </c>
      <c r="D1255" s="101" t="s">
        <v>289</v>
      </c>
      <c r="E1255" s="101" t="s">
        <v>17</v>
      </c>
    </row>
    <row r="1256" spans="1:5" x14ac:dyDescent="0.3">
      <c r="A1256" t="str">
        <f t="shared" si="19"/>
        <v>0318609</v>
      </c>
      <c r="B1256" s="101" t="s">
        <v>16</v>
      </c>
      <c r="C1256" s="101" t="s">
        <v>164</v>
      </c>
      <c r="D1256" s="101" t="s">
        <v>290</v>
      </c>
      <c r="E1256" s="101" t="s">
        <v>17</v>
      </c>
    </row>
    <row r="1257" spans="1:5" x14ac:dyDescent="0.3">
      <c r="A1257" t="str">
        <f t="shared" si="19"/>
        <v>0318610</v>
      </c>
      <c r="B1257" s="101" t="s">
        <v>16</v>
      </c>
      <c r="C1257" s="101" t="s">
        <v>164</v>
      </c>
      <c r="D1257" s="101" t="s">
        <v>467</v>
      </c>
      <c r="E1257" s="101" t="s">
        <v>17</v>
      </c>
    </row>
    <row r="1258" spans="1:5" x14ac:dyDescent="0.3">
      <c r="A1258" t="str">
        <f t="shared" si="19"/>
        <v>0318611</v>
      </c>
      <c r="B1258" s="101" t="s">
        <v>16</v>
      </c>
      <c r="C1258" s="101" t="s">
        <v>164</v>
      </c>
      <c r="D1258" s="101" t="s">
        <v>468</v>
      </c>
      <c r="E1258" s="101" t="s">
        <v>17</v>
      </c>
    </row>
    <row r="1259" spans="1:5" x14ac:dyDescent="0.3">
      <c r="A1259" t="str">
        <f t="shared" si="19"/>
        <v>0318612</v>
      </c>
      <c r="B1259" s="101" t="s">
        <v>16</v>
      </c>
      <c r="C1259" s="101" t="s">
        <v>164</v>
      </c>
      <c r="D1259" s="101" t="s">
        <v>469</v>
      </c>
      <c r="E1259" s="101" t="s">
        <v>17</v>
      </c>
    </row>
    <row r="1260" spans="1:5" x14ac:dyDescent="0.3">
      <c r="A1260" t="str">
        <f t="shared" si="19"/>
        <v>0318613</v>
      </c>
      <c r="B1260" s="101" t="s">
        <v>16</v>
      </c>
      <c r="C1260" s="101" t="s">
        <v>164</v>
      </c>
      <c r="D1260" s="101" t="s">
        <v>470</v>
      </c>
      <c r="E1260" s="101" t="s">
        <v>17</v>
      </c>
    </row>
    <row r="1261" spans="1:5" x14ac:dyDescent="0.3">
      <c r="A1261" t="str">
        <f t="shared" si="19"/>
        <v>0318614</v>
      </c>
      <c r="B1261" s="101" t="s">
        <v>16</v>
      </c>
      <c r="C1261" s="101" t="s">
        <v>164</v>
      </c>
      <c r="D1261" s="101" t="s">
        <v>291</v>
      </c>
      <c r="E1261" s="101" t="s">
        <v>17</v>
      </c>
    </row>
    <row r="1262" spans="1:5" x14ac:dyDescent="0.3">
      <c r="A1262" t="str">
        <f t="shared" si="19"/>
        <v>0318615</v>
      </c>
      <c r="B1262" s="101" t="s">
        <v>16</v>
      </c>
      <c r="C1262" s="101" t="s">
        <v>164</v>
      </c>
      <c r="D1262" s="101" t="s">
        <v>292</v>
      </c>
      <c r="E1262" s="101" t="s">
        <v>17</v>
      </c>
    </row>
    <row r="1263" spans="1:5" x14ac:dyDescent="0.3">
      <c r="A1263" t="str">
        <f t="shared" si="19"/>
        <v>0318616</v>
      </c>
      <c r="B1263" s="101" t="s">
        <v>16</v>
      </c>
      <c r="C1263" s="101" t="s">
        <v>164</v>
      </c>
      <c r="D1263" s="101" t="s">
        <v>471</v>
      </c>
      <c r="E1263" s="101" t="s">
        <v>17</v>
      </c>
    </row>
    <row r="1264" spans="1:5" x14ac:dyDescent="0.3">
      <c r="A1264" t="str">
        <f t="shared" si="19"/>
        <v>0318617</v>
      </c>
      <c r="B1264" s="101" t="s">
        <v>16</v>
      </c>
      <c r="C1264" s="101" t="s">
        <v>164</v>
      </c>
      <c r="D1264" s="101" t="s">
        <v>472</v>
      </c>
      <c r="E1264" s="101" t="s">
        <v>17</v>
      </c>
    </row>
    <row r="1265" spans="1:5" x14ac:dyDescent="0.3">
      <c r="A1265" t="str">
        <f t="shared" si="19"/>
        <v>0318618</v>
      </c>
      <c r="B1265" s="101" t="s">
        <v>16</v>
      </c>
      <c r="C1265" s="101" t="s">
        <v>164</v>
      </c>
      <c r="D1265" s="101" t="s">
        <v>473</v>
      </c>
      <c r="E1265" s="101" t="s">
        <v>17</v>
      </c>
    </row>
    <row r="1266" spans="1:5" x14ac:dyDescent="0.3">
      <c r="A1266" t="str">
        <f t="shared" si="19"/>
        <v>0318619</v>
      </c>
      <c r="B1266" s="101" t="s">
        <v>16</v>
      </c>
      <c r="C1266" s="101" t="s">
        <v>164</v>
      </c>
      <c r="D1266" s="101" t="s">
        <v>474</v>
      </c>
      <c r="E1266" s="101" t="s">
        <v>17</v>
      </c>
    </row>
    <row r="1267" spans="1:5" x14ac:dyDescent="0.3">
      <c r="A1267" t="str">
        <f t="shared" si="19"/>
        <v>0318620</v>
      </c>
      <c r="B1267" s="101" t="s">
        <v>16</v>
      </c>
      <c r="C1267" s="101" t="s">
        <v>164</v>
      </c>
      <c r="D1267" s="101" t="s">
        <v>475</v>
      </c>
      <c r="E1267" s="101" t="s">
        <v>17</v>
      </c>
    </row>
    <row r="1268" spans="1:5" x14ac:dyDescent="0.3">
      <c r="A1268" t="str">
        <f t="shared" si="19"/>
        <v>0318621</v>
      </c>
      <c r="B1268" s="101" t="s">
        <v>16</v>
      </c>
      <c r="C1268" s="101" t="s">
        <v>164</v>
      </c>
      <c r="D1268" s="101" t="s">
        <v>476</v>
      </c>
      <c r="E1268" s="101" t="s">
        <v>17</v>
      </c>
    </row>
    <row r="1269" spans="1:5" x14ac:dyDescent="0.3">
      <c r="A1269" t="str">
        <f t="shared" si="19"/>
        <v>0318622</v>
      </c>
      <c r="B1269" s="101" t="s">
        <v>16</v>
      </c>
      <c r="C1269" s="101" t="s">
        <v>164</v>
      </c>
      <c r="D1269" s="101" t="s">
        <v>315</v>
      </c>
      <c r="E1269" s="101" t="s">
        <v>17</v>
      </c>
    </row>
    <row r="1270" spans="1:5" x14ac:dyDescent="0.3">
      <c r="A1270" t="str">
        <f t="shared" si="19"/>
        <v>0318623</v>
      </c>
      <c r="B1270" s="101" t="s">
        <v>16</v>
      </c>
      <c r="C1270" s="101" t="s">
        <v>164</v>
      </c>
      <c r="D1270" s="101" t="s">
        <v>316</v>
      </c>
      <c r="E1270" s="101" t="s">
        <v>17</v>
      </c>
    </row>
    <row r="1271" spans="1:5" x14ac:dyDescent="0.3">
      <c r="A1271" t="str">
        <f t="shared" si="19"/>
        <v>0318624</v>
      </c>
      <c r="B1271" s="101" t="s">
        <v>16</v>
      </c>
      <c r="C1271" s="101" t="s">
        <v>164</v>
      </c>
      <c r="D1271" s="101" t="s">
        <v>191</v>
      </c>
      <c r="E1271" s="101" t="s">
        <v>17</v>
      </c>
    </row>
    <row r="1272" spans="1:5" x14ac:dyDescent="0.3">
      <c r="A1272" t="str">
        <f t="shared" si="19"/>
        <v>0318625</v>
      </c>
      <c r="B1272" s="101" t="s">
        <v>16</v>
      </c>
      <c r="C1272" s="101" t="s">
        <v>164</v>
      </c>
      <c r="D1272" s="101" t="s">
        <v>192</v>
      </c>
      <c r="E1272" s="101" t="s">
        <v>17</v>
      </c>
    </row>
    <row r="1273" spans="1:5" x14ac:dyDescent="0.3">
      <c r="A1273" t="str">
        <f t="shared" si="19"/>
        <v>0318626</v>
      </c>
      <c r="B1273" s="101" t="s">
        <v>16</v>
      </c>
      <c r="C1273" s="101" t="s">
        <v>164</v>
      </c>
      <c r="D1273" s="101" t="s">
        <v>193</v>
      </c>
      <c r="E1273" s="101" t="s">
        <v>17</v>
      </c>
    </row>
    <row r="1274" spans="1:5" x14ac:dyDescent="0.3">
      <c r="A1274" t="str">
        <f t="shared" si="19"/>
        <v>0318627</v>
      </c>
      <c r="B1274" s="101" t="s">
        <v>16</v>
      </c>
      <c r="C1274" s="101" t="s">
        <v>164</v>
      </c>
      <c r="D1274" s="101" t="s">
        <v>194</v>
      </c>
      <c r="E1274" s="101" t="s">
        <v>17</v>
      </c>
    </row>
    <row r="1275" spans="1:5" x14ac:dyDescent="0.3">
      <c r="A1275" t="str">
        <f t="shared" si="19"/>
        <v>0318628</v>
      </c>
      <c r="B1275" s="101" t="s">
        <v>16</v>
      </c>
      <c r="C1275" s="101" t="s">
        <v>164</v>
      </c>
      <c r="D1275" s="101" t="s">
        <v>478</v>
      </c>
      <c r="E1275" s="101" t="s">
        <v>17</v>
      </c>
    </row>
    <row r="1276" spans="1:5" x14ac:dyDescent="0.3">
      <c r="A1276" t="str">
        <f t="shared" si="19"/>
        <v>0318629</v>
      </c>
      <c r="B1276" s="101" t="s">
        <v>16</v>
      </c>
      <c r="C1276" s="101" t="s">
        <v>164</v>
      </c>
      <c r="D1276" s="101" t="s">
        <v>479</v>
      </c>
      <c r="E1276" s="101" t="s">
        <v>17</v>
      </c>
    </row>
    <row r="1277" spans="1:5" x14ac:dyDescent="0.3">
      <c r="A1277" t="str">
        <f t="shared" si="19"/>
        <v>0318630</v>
      </c>
      <c r="B1277" s="101" t="s">
        <v>16</v>
      </c>
      <c r="C1277" s="101" t="s">
        <v>164</v>
      </c>
      <c r="D1277" s="101" t="s">
        <v>218</v>
      </c>
      <c r="E1277" s="101" t="s">
        <v>17</v>
      </c>
    </row>
    <row r="1278" spans="1:5" x14ac:dyDescent="0.3">
      <c r="A1278" t="str">
        <f t="shared" si="19"/>
        <v>0318631</v>
      </c>
      <c r="B1278" s="101" t="s">
        <v>16</v>
      </c>
      <c r="C1278" s="101" t="s">
        <v>164</v>
      </c>
      <c r="D1278" s="101" t="s">
        <v>219</v>
      </c>
      <c r="E1278" s="101" t="s">
        <v>17</v>
      </c>
    </row>
    <row r="1279" spans="1:5" x14ac:dyDescent="0.3">
      <c r="A1279" t="str">
        <f t="shared" si="19"/>
        <v>0318632</v>
      </c>
      <c r="B1279" s="101" t="s">
        <v>16</v>
      </c>
      <c r="C1279" s="101" t="s">
        <v>164</v>
      </c>
      <c r="D1279" s="101" t="s">
        <v>293</v>
      </c>
      <c r="E1279" s="101" t="s">
        <v>17</v>
      </c>
    </row>
    <row r="1280" spans="1:5" x14ac:dyDescent="0.3">
      <c r="A1280" t="str">
        <f t="shared" si="19"/>
        <v>0318633</v>
      </c>
      <c r="B1280" s="101" t="s">
        <v>16</v>
      </c>
      <c r="C1280" s="101" t="s">
        <v>164</v>
      </c>
      <c r="D1280" s="101" t="s">
        <v>294</v>
      </c>
      <c r="E1280" s="101" t="s">
        <v>17</v>
      </c>
    </row>
    <row r="1281" spans="1:5" x14ac:dyDescent="0.3">
      <c r="A1281" t="str">
        <f t="shared" si="19"/>
        <v>0318634</v>
      </c>
      <c r="B1281" s="101" t="s">
        <v>16</v>
      </c>
      <c r="C1281" s="101" t="s">
        <v>164</v>
      </c>
      <c r="D1281" s="101" t="s">
        <v>483</v>
      </c>
      <c r="E1281" s="101" t="s">
        <v>17</v>
      </c>
    </row>
    <row r="1282" spans="1:5" x14ac:dyDescent="0.3">
      <c r="A1282" t="str">
        <f t="shared" si="19"/>
        <v>0318692</v>
      </c>
      <c r="B1282" s="101" t="s">
        <v>16</v>
      </c>
      <c r="C1282" s="101" t="s">
        <v>164</v>
      </c>
      <c r="D1282" s="101" t="s">
        <v>273</v>
      </c>
      <c r="E1282" s="101" t="s">
        <v>17</v>
      </c>
    </row>
    <row r="1283" spans="1:5" x14ac:dyDescent="0.3">
      <c r="A1283" t="str">
        <f t="shared" ref="A1283:A1346" si="20">CONCATENATE(B1283,C1283,D1283,F1283)</f>
        <v>0318693</v>
      </c>
      <c r="B1283" s="101" t="s">
        <v>16</v>
      </c>
      <c r="C1283" s="101" t="s">
        <v>164</v>
      </c>
      <c r="D1283" s="101" t="s">
        <v>274</v>
      </c>
      <c r="E1283" s="101" t="s">
        <v>17</v>
      </c>
    </row>
    <row r="1284" spans="1:5" x14ac:dyDescent="0.3">
      <c r="A1284" t="str">
        <f t="shared" si="20"/>
        <v>0318694</v>
      </c>
      <c r="B1284" s="101" t="s">
        <v>16</v>
      </c>
      <c r="C1284" s="101" t="s">
        <v>164</v>
      </c>
      <c r="D1284" s="101" t="s">
        <v>210</v>
      </c>
      <c r="E1284" s="101" t="s">
        <v>17</v>
      </c>
    </row>
    <row r="1285" spans="1:5" x14ac:dyDescent="0.3">
      <c r="A1285" t="str">
        <f t="shared" si="20"/>
        <v>0318695</v>
      </c>
      <c r="B1285" s="101" t="s">
        <v>16</v>
      </c>
      <c r="C1285" s="101" t="s">
        <v>164</v>
      </c>
      <c r="D1285" s="101" t="s">
        <v>211</v>
      </c>
      <c r="E1285" s="101" t="s">
        <v>17</v>
      </c>
    </row>
    <row r="1286" spans="1:5" x14ac:dyDescent="0.3">
      <c r="A1286" t="str">
        <f t="shared" si="20"/>
        <v>0318696</v>
      </c>
      <c r="B1286" s="101" t="s">
        <v>16</v>
      </c>
      <c r="C1286" s="101" t="s">
        <v>164</v>
      </c>
      <c r="D1286" s="101" t="s">
        <v>505</v>
      </c>
      <c r="E1286" s="101" t="s">
        <v>17</v>
      </c>
    </row>
    <row r="1287" spans="1:5" x14ac:dyDescent="0.3">
      <c r="A1287" t="str">
        <f t="shared" si="20"/>
        <v>0318697</v>
      </c>
      <c r="B1287" s="101" t="s">
        <v>16</v>
      </c>
      <c r="C1287" s="101" t="s">
        <v>164</v>
      </c>
      <c r="D1287" s="101" t="s">
        <v>506</v>
      </c>
      <c r="E1287" s="101" t="s">
        <v>17</v>
      </c>
    </row>
    <row r="1288" spans="1:5" x14ac:dyDescent="0.3">
      <c r="A1288" t="str">
        <f t="shared" si="20"/>
        <v>0318698</v>
      </c>
      <c r="B1288" s="101" t="s">
        <v>16</v>
      </c>
      <c r="C1288" s="101" t="s">
        <v>164</v>
      </c>
      <c r="D1288" s="101" t="s">
        <v>507</v>
      </c>
      <c r="E1288" s="101" t="s">
        <v>17</v>
      </c>
    </row>
    <row r="1289" spans="1:5" x14ac:dyDescent="0.3">
      <c r="A1289" t="str">
        <f t="shared" si="20"/>
        <v>0318699</v>
      </c>
      <c r="B1289" s="101" t="s">
        <v>16</v>
      </c>
      <c r="C1289" s="101" t="s">
        <v>164</v>
      </c>
      <c r="D1289" s="101" t="s">
        <v>508</v>
      </c>
      <c r="E1289" s="101" t="s">
        <v>17</v>
      </c>
    </row>
    <row r="1290" spans="1:5" x14ac:dyDescent="0.3">
      <c r="A1290" t="str">
        <f t="shared" si="20"/>
        <v>0318700</v>
      </c>
      <c r="B1290" s="101" t="s">
        <v>16</v>
      </c>
      <c r="C1290" s="101" t="s">
        <v>164</v>
      </c>
      <c r="D1290" s="101" t="s">
        <v>509</v>
      </c>
      <c r="E1290" s="101" t="s">
        <v>17</v>
      </c>
    </row>
    <row r="1291" spans="1:5" x14ac:dyDescent="0.3">
      <c r="A1291" t="str">
        <f t="shared" si="20"/>
        <v>0318701</v>
      </c>
      <c r="B1291" s="101" t="s">
        <v>16</v>
      </c>
      <c r="C1291" s="101" t="s">
        <v>164</v>
      </c>
      <c r="D1291" s="101" t="s">
        <v>510</v>
      </c>
      <c r="E1291" s="101" t="s">
        <v>17</v>
      </c>
    </row>
    <row r="1292" spans="1:5" x14ac:dyDescent="0.3">
      <c r="A1292" t="str">
        <f t="shared" si="20"/>
        <v>0318702</v>
      </c>
      <c r="B1292" s="101" t="s">
        <v>16</v>
      </c>
      <c r="C1292" s="101" t="s">
        <v>164</v>
      </c>
      <c r="D1292" s="101" t="s">
        <v>511</v>
      </c>
      <c r="E1292" s="101" t="s">
        <v>17</v>
      </c>
    </row>
    <row r="1293" spans="1:5" x14ac:dyDescent="0.3">
      <c r="A1293" t="str">
        <f t="shared" si="20"/>
        <v>0318703</v>
      </c>
      <c r="B1293" s="101" t="s">
        <v>16</v>
      </c>
      <c r="C1293" s="101" t="s">
        <v>164</v>
      </c>
      <c r="D1293" s="101" t="s">
        <v>512</v>
      </c>
      <c r="E1293" s="101" t="s">
        <v>17</v>
      </c>
    </row>
    <row r="1294" spans="1:5" x14ac:dyDescent="0.3">
      <c r="A1294" t="str">
        <f t="shared" si="20"/>
        <v>0318704</v>
      </c>
      <c r="B1294" s="101" t="s">
        <v>16</v>
      </c>
      <c r="C1294" s="101" t="s">
        <v>164</v>
      </c>
      <c r="D1294" s="101" t="s">
        <v>513</v>
      </c>
      <c r="E1294" s="101" t="s">
        <v>17</v>
      </c>
    </row>
    <row r="1295" spans="1:5" x14ac:dyDescent="0.3">
      <c r="A1295" t="str">
        <f t="shared" si="20"/>
        <v>0318705</v>
      </c>
      <c r="B1295" s="101" t="s">
        <v>16</v>
      </c>
      <c r="C1295" s="101" t="s">
        <v>164</v>
      </c>
      <c r="D1295" s="101" t="s">
        <v>514</v>
      </c>
      <c r="E1295" s="101" t="s">
        <v>17</v>
      </c>
    </row>
    <row r="1296" spans="1:5" x14ac:dyDescent="0.3">
      <c r="A1296" t="str">
        <f t="shared" si="20"/>
        <v>0318706</v>
      </c>
      <c r="B1296" s="101" t="s">
        <v>16</v>
      </c>
      <c r="C1296" s="101" t="s">
        <v>164</v>
      </c>
      <c r="D1296" s="101" t="s">
        <v>515</v>
      </c>
      <c r="E1296" s="101" t="s">
        <v>17</v>
      </c>
    </row>
    <row r="1297" spans="1:5" x14ac:dyDescent="0.3">
      <c r="A1297" t="str">
        <f t="shared" si="20"/>
        <v>0318707</v>
      </c>
      <c r="B1297" s="101" t="s">
        <v>16</v>
      </c>
      <c r="C1297" s="101" t="s">
        <v>164</v>
      </c>
      <c r="D1297" s="101" t="s">
        <v>516</v>
      </c>
      <c r="E1297" s="101" t="s">
        <v>17</v>
      </c>
    </row>
    <row r="1298" spans="1:5" x14ac:dyDescent="0.3">
      <c r="A1298" t="str">
        <f t="shared" si="20"/>
        <v>0318708</v>
      </c>
      <c r="B1298" s="101" t="s">
        <v>16</v>
      </c>
      <c r="C1298" s="101" t="s">
        <v>164</v>
      </c>
      <c r="D1298" s="101" t="s">
        <v>517</v>
      </c>
      <c r="E1298" s="101" t="s">
        <v>17</v>
      </c>
    </row>
    <row r="1299" spans="1:5" x14ac:dyDescent="0.3">
      <c r="A1299" t="str">
        <f t="shared" si="20"/>
        <v>0318709</v>
      </c>
      <c r="B1299" s="101" t="s">
        <v>16</v>
      </c>
      <c r="C1299" s="101" t="s">
        <v>164</v>
      </c>
      <c r="D1299" s="101" t="s">
        <v>518</v>
      </c>
      <c r="E1299" s="101" t="s">
        <v>17</v>
      </c>
    </row>
    <row r="1300" spans="1:5" x14ac:dyDescent="0.3">
      <c r="A1300" t="str">
        <f t="shared" si="20"/>
        <v>0318710</v>
      </c>
      <c r="B1300" s="101" t="s">
        <v>16</v>
      </c>
      <c r="C1300" s="101" t="s">
        <v>164</v>
      </c>
      <c r="D1300" s="101" t="s">
        <v>519</v>
      </c>
      <c r="E1300" s="101" t="s">
        <v>17</v>
      </c>
    </row>
    <row r="1301" spans="1:5" x14ac:dyDescent="0.3">
      <c r="A1301" t="str">
        <f t="shared" si="20"/>
        <v>0318711</v>
      </c>
      <c r="B1301" s="101" t="s">
        <v>16</v>
      </c>
      <c r="C1301" s="101" t="s">
        <v>164</v>
      </c>
      <c r="D1301" s="101" t="s">
        <v>520</v>
      </c>
      <c r="E1301" s="101" t="s">
        <v>17</v>
      </c>
    </row>
    <row r="1302" spans="1:5" x14ac:dyDescent="0.3">
      <c r="A1302" t="str">
        <f t="shared" si="20"/>
        <v>0318712</v>
      </c>
      <c r="B1302" s="101" t="s">
        <v>16</v>
      </c>
      <c r="C1302" s="101" t="s">
        <v>164</v>
      </c>
      <c r="D1302" s="101" t="s">
        <v>521</v>
      </c>
      <c r="E1302" s="101" t="s">
        <v>17</v>
      </c>
    </row>
    <row r="1303" spans="1:5" x14ac:dyDescent="0.3">
      <c r="A1303" t="str">
        <f t="shared" si="20"/>
        <v>0318713</v>
      </c>
      <c r="B1303" s="101" t="s">
        <v>16</v>
      </c>
      <c r="C1303" s="101" t="s">
        <v>164</v>
      </c>
      <c r="D1303" s="101" t="s">
        <v>522</v>
      </c>
      <c r="E1303" s="101" t="s">
        <v>17</v>
      </c>
    </row>
    <row r="1304" spans="1:5" x14ac:dyDescent="0.3">
      <c r="A1304" t="str">
        <f t="shared" si="20"/>
        <v>0318714</v>
      </c>
      <c r="B1304" s="101" t="s">
        <v>16</v>
      </c>
      <c r="C1304" s="101" t="s">
        <v>164</v>
      </c>
      <c r="D1304" s="101" t="s">
        <v>523</v>
      </c>
      <c r="E1304" s="101" t="s">
        <v>17</v>
      </c>
    </row>
    <row r="1305" spans="1:5" x14ac:dyDescent="0.3">
      <c r="A1305" t="str">
        <f t="shared" si="20"/>
        <v>0318512</v>
      </c>
      <c r="B1305" s="101" t="s">
        <v>16</v>
      </c>
      <c r="C1305" s="101" t="s">
        <v>164</v>
      </c>
      <c r="D1305" s="101" t="s">
        <v>398</v>
      </c>
      <c r="E1305" s="101" t="s">
        <v>19</v>
      </c>
    </row>
    <row r="1306" spans="1:5" x14ac:dyDescent="0.3">
      <c r="A1306" t="str">
        <f t="shared" si="20"/>
        <v>0318514</v>
      </c>
      <c r="B1306" s="101" t="s">
        <v>16</v>
      </c>
      <c r="C1306" s="101" t="s">
        <v>164</v>
      </c>
      <c r="D1306" s="101" t="s">
        <v>388</v>
      </c>
      <c r="E1306" s="101" t="s">
        <v>19</v>
      </c>
    </row>
    <row r="1307" spans="1:5" x14ac:dyDescent="0.3">
      <c r="A1307" t="str">
        <f t="shared" si="20"/>
        <v>0318516</v>
      </c>
      <c r="B1307" s="101" t="s">
        <v>16</v>
      </c>
      <c r="C1307" s="101" t="s">
        <v>164</v>
      </c>
      <c r="D1307" s="101" t="s">
        <v>389</v>
      </c>
      <c r="E1307" s="101" t="s">
        <v>19</v>
      </c>
    </row>
    <row r="1308" spans="1:5" x14ac:dyDescent="0.3">
      <c r="A1308" t="str">
        <f t="shared" si="20"/>
        <v>0318518</v>
      </c>
      <c r="B1308" s="101" t="s">
        <v>16</v>
      </c>
      <c r="C1308" s="101" t="s">
        <v>164</v>
      </c>
      <c r="D1308" s="101" t="s">
        <v>382</v>
      </c>
      <c r="E1308" s="101" t="s">
        <v>19</v>
      </c>
    </row>
    <row r="1309" spans="1:5" x14ac:dyDescent="0.3">
      <c r="A1309" t="str">
        <f t="shared" si="20"/>
        <v>0318520</v>
      </c>
      <c r="B1309" s="101" t="s">
        <v>16</v>
      </c>
      <c r="C1309" s="101" t="s">
        <v>164</v>
      </c>
      <c r="D1309" s="101" t="s">
        <v>404</v>
      </c>
      <c r="E1309" s="101" t="s">
        <v>19</v>
      </c>
    </row>
    <row r="1310" spans="1:5" x14ac:dyDescent="0.3">
      <c r="A1310" t="str">
        <f t="shared" si="20"/>
        <v>0318521</v>
      </c>
      <c r="B1310" s="101" t="s">
        <v>16</v>
      </c>
      <c r="C1310" s="101" t="s">
        <v>164</v>
      </c>
      <c r="D1310" s="101" t="s">
        <v>384</v>
      </c>
      <c r="E1310" s="101" t="s">
        <v>19</v>
      </c>
    </row>
    <row r="1311" spans="1:5" x14ac:dyDescent="0.3">
      <c r="A1311" t="str">
        <f t="shared" si="20"/>
        <v>0318522</v>
      </c>
      <c r="B1311" s="101" t="s">
        <v>16</v>
      </c>
      <c r="C1311" s="101" t="s">
        <v>164</v>
      </c>
      <c r="D1311" s="101" t="s">
        <v>345</v>
      </c>
      <c r="E1311" s="101" t="s">
        <v>19</v>
      </c>
    </row>
    <row r="1312" spans="1:5" x14ac:dyDescent="0.3">
      <c r="A1312" t="str">
        <f t="shared" si="20"/>
        <v>0318523</v>
      </c>
      <c r="B1312" s="101" t="s">
        <v>16</v>
      </c>
      <c r="C1312" s="101" t="s">
        <v>164</v>
      </c>
      <c r="D1312" s="101" t="s">
        <v>408</v>
      </c>
      <c r="E1312" s="101" t="s">
        <v>19</v>
      </c>
    </row>
    <row r="1313" spans="1:5" x14ac:dyDescent="0.3">
      <c r="A1313" t="str">
        <f t="shared" si="20"/>
        <v>0318524</v>
      </c>
      <c r="B1313" s="101" t="s">
        <v>16</v>
      </c>
      <c r="C1313" s="101" t="s">
        <v>164</v>
      </c>
      <c r="D1313" s="101" t="s">
        <v>351</v>
      </c>
      <c r="E1313" s="101" t="s">
        <v>19</v>
      </c>
    </row>
    <row r="1314" spans="1:5" x14ac:dyDescent="0.3">
      <c r="A1314" t="str">
        <f t="shared" si="20"/>
        <v>0318525</v>
      </c>
      <c r="B1314" s="101" t="s">
        <v>16</v>
      </c>
      <c r="C1314" s="101" t="s">
        <v>164</v>
      </c>
      <c r="D1314" s="101" t="s">
        <v>394</v>
      </c>
      <c r="E1314" s="101" t="s">
        <v>19</v>
      </c>
    </row>
    <row r="1315" spans="1:5" x14ac:dyDescent="0.3">
      <c r="A1315" t="str">
        <f t="shared" si="20"/>
        <v>0318526</v>
      </c>
      <c r="B1315" s="101" t="s">
        <v>16</v>
      </c>
      <c r="C1315" s="101" t="s">
        <v>164</v>
      </c>
      <c r="D1315" s="101" t="s">
        <v>379</v>
      </c>
      <c r="E1315" s="101" t="s">
        <v>19</v>
      </c>
    </row>
    <row r="1316" spans="1:5" x14ac:dyDescent="0.3">
      <c r="A1316" t="str">
        <f t="shared" si="20"/>
        <v>0318527</v>
      </c>
      <c r="B1316" s="101" t="s">
        <v>16</v>
      </c>
      <c r="C1316" s="101" t="s">
        <v>164</v>
      </c>
      <c r="D1316" s="101" t="s">
        <v>380</v>
      </c>
      <c r="E1316" s="101" t="s">
        <v>19</v>
      </c>
    </row>
    <row r="1317" spans="1:5" x14ac:dyDescent="0.3">
      <c r="A1317" t="str">
        <f t="shared" si="20"/>
        <v>0318528</v>
      </c>
      <c r="B1317" s="101" t="s">
        <v>16</v>
      </c>
      <c r="C1317" s="101" t="s">
        <v>164</v>
      </c>
      <c r="D1317" s="101" t="s">
        <v>381</v>
      </c>
      <c r="E1317" s="101" t="s">
        <v>19</v>
      </c>
    </row>
    <row r="1318" spans="1:5" x14ac:dyDescent="0.3">
      <c r="A1318" t="str">
        <f t="shared" si="20"/>
        <v>0318529</v>
      </c>
      <c r="B1318" s="101" t="s">
        <v>16</v>
      </c>
      <c r="C1318" s="101" t="s">
        <v>164</v>
      </c>
      <c r="D1318" s="101" t="s">
        <v>364</v>
      </c>
      <c r="E1318" s="101" t="s">
        <v>19</v>
      </c>
    </row>
    <row r="1319" spans="1:5" x14ac:dyDescent="0.3">
      <c r="A1319" t="str">
        <f t="shared" si="20"/>
        <v>0318530</v>
      </c>
      <c r="B1319" s="101" t="s">
        <v>16</v>
      </c>
      <c r="C1319" s="101" t="s">
        <v>164</v>
      </c>
      <c r="D1319" s="101" t="s">
        <v>377</v>
      </c>
      <c r="E1319" s="101" t="s">
        <v>19</v>
      </c>
    </row>
    <row r="1320" spans="1:5" x14ac:dyDescent="0.3">
      <c r="A1320" t="str">
        <f t="shared" si="20"/>
        <v>0318531</v>
      </c>
      <c r="B1320" s="101" t="s">
        <v>16</v>
      </c>
      <c r="C1320" s="101" t="s">
        <v>164</v>
      </c>
      <c r="D1320" s="101" t="s">
        <v>409</v>
      </c>
      <c r="E1320" s="101" t="s">
        <v>19</v>
      </c>
    </row>
    <row r="1321" spans="1:5" x14ac:dyDescent="0.3">
      <c r="A1321" t="str">
        <f t="shared" si="20"/>
        <v>0318532</v>
      </c>
      <c r="B1321" s="101" t="s">
        <v>16</v>
      </c>
      <c r="C1321" s="101" t="s">
        <v>164</v>
      </c>
      <c r="D1321" s="101" t="s">
        <v>323</v>
      </c>
      <c r="E1321" s="101" t="s">
        <v>19</v>
      </c>
    </row>
    <row r="1322" spans="1:5" x14ac:dyDescent="0.3">
      <c r="A1322" t="str">
        <f t="shared" si="20"/>
        <v>0318533</v>
      </c>
      <c r="B1322" s="101" t="s">
        <v>16</v>
      </c>
      <c r="C1322" s="101" t="s">
        <v>164</v>
      </c>
      <c r="D1322" s="101" t="s">
        <v>397</v>
      </c>
      <c r="E1322" s="101" t="s">
        <v>19</v>
      </c>
    </row>
    <row r="1323" spans="1:5" x14ac:dyDescent="0.3">
      <c r="A1323" t="str">
        <f t="shared" si="20"/>
        <v>0318534</v>
      </c>
      <c r="B1323" s="101" t="s">
        <v>16</v>
      </c>
      <c r="C1323" s="101" t="s">
        <v>164</v>
      </c>
      <c r="D1323" s="101" t="s">
        <v>350</v>
      </c>
      <c r="E1323" s="101" t="s">
        <v>19</v>
      </c>
    </row>
    <row r="1324" spans="1:5" x14ac:dyDescent="0.3">
      <c r="A1324" t="str">
        <f t="shared" si="20"/>
        <v>0318535</v>
      </c>
      <c r="B1324" s="101" t="s">
        <v>16</v>
      </c>
      <c r="C1324" s="101" t="s">
        <v>164</v>
      </c>
      <c r="D1324" s="101" t="s">
        <v>410</v>
      </c>
      <c r="E1324" s="101" t="s">
        <v>19</v>
      </c>
    </row>
    <row r="1325" spans="1:5" x14ac:dyDescent="0.3">
      <c r="A1325" t="str">
        <f t="shared" si="20"/>
        <v>0318536</v>
      </c>
      <c r="B1325" s="101" t="s">
        <v>16</v>
      </c>
      <c r="C1325" s="101" t="s">
        <v>164</v>
      </c>
      <c r="D1325" s="101" t="s">
        <v>352</v>
      </c>
      <c r="E1325" s="101" t="s">
        <v>19</v>
      </c>
    </row>
    <row r="1326" spans="1:5" x14ac:dyDescent="0.3">
      <c r="A1326" t="str">
        <f t="shared" si="20"/>
        <v>0318537</v>
      </c>
      <c r="B1326" s="101" t="s">
        <v>16</v>
      </c>
      <c r="C1326" s="101" t="s">
        <v>164</v>
      </c>
      <c r="D1326" s="101" t="s">
        <v>395</v>
      </c>
      <c r="E1326" s="101" t="s">
        <v>19</v>
      </c>
    </row>
    <row r="1327" spans="1:5" x14ac:dyDescent="0.3">
      <c r="A1327" t="str">
        <f t="shared" si="20"/>
        <v>0318538</v>
      </c>
      <c r="B1327" s="101" t="s">
        <v>16</v>
      </c>
      <c r="C1327" s="101" t="s">
        <v>164</v>
      </c>
      <c r="D1327" s="101" t="s">
        <v>365</v>
      </c>
      <c r="E1327" s="101" t="s">
        <v>19</v>
      </c>
    </row>
    <row r="1328" spans="1:5" x14ac:dyDescent="0.3">
      <c r="A1328" t="str">
        <f t="shared" si="20"/>
        <v>0318539</v>
      </c>
      <c r="B1328" s="101" t="s">
        <v>16</v>
      </c>
      <c r="C1328" s="101" t="s">
        <v>164</v>
      </c>
      <c r="D1328" s="101" t="s">
        <v>378</v>
      </c>
      <c r="E1328" s="101" t="s">
        <v>19</v>
      </c>
    </row>
    <row r="1329" spans="1:5" x14ac:dyDescent="0.3">
      <c r="A1329" t="str">
        <f t="shared" si="20"/>
        <v>0318540</v>
      </c>
      <c r="B1329" s="101" t="s">
        <v>16</v>
      </c>
      <c r="C1329" s="101" t="s">
        <v>164</v>
      </c>
      <c r="D1329" s="101" t="s">
        <v>411</v>
      </c>
      <c r="E1329" s="101" t="s">
        <v>19</v>
      </c>
    </row>
    <row r="1330" spans="1:5" x14ac:dyDescent="0.3">
      <c r="A1330" t="str">
        <f t="shared" si="20"/>
        <v>0318541</v>
      </c>
      <c r="B1330" s="101" t="s">
        <v>16</v>
      </c>
      <c r="C1330" s="101" t="s">
        <v>164</v>
      </c>
      <c r="D1330" s="101" t="s">
        <v>325</v>
      </c>
      <c r="E1330" s="101" t="s">
        <v>19</v>
      </c>
    </row>
    <row r="1331" spans="1:5" x14ac:dyDescent="0.3">
      <c r="A1331" t="str">
        <f t="shared" si="20"/>
        <v>0318542</v>
      </c>
      <c r="B1331" s="101" t="s">
        <v>16</v>
      </c>
      <c r="C1331" s="101" t="s">
        <v>164</v>
      </c>
      <c r="D1331" s="101" t="s">
        <v>353</v>
      </c>
      <c r="E1331" s="101" t="s">
        <v>19</v>
      </c>
    </row>
    <row r="1332" spans="1:5" x14ac:dyDescent="0.3">
      <c r="A1332" t="str">
        <f t="shared" si="20"/>
        <v>0318543</v>
      </c>
      <c r="B1332" s="101" t="s">
        <v>16</v>
      </c>
      <c r="C1332" s="101" t="s">
        <v>164</v>
      </c>
      <c r="D1332" s="101" t="s">
        <v>347</v>
      </c>
      <c r="E1332" s="101" t="s">
        <v>19</v>
      </c>
    </row>
    <row r="1333" spans="1:5" x14ac:dyDescent="0.3">
      <c r="A1333" t="str">
        <f t="shared" si="20"/>
        <v>0318544</v>
      </c>
      <c r="B1333" s="101" t="s">
        <v>16</v>
      </c>
      <c r="C1333" s="101" t="s">
        <v>164</v>
      </c>
      <c r="D1333" s="101" t="s">
        <v>412</v>
      </c>
      <c r="E1333" s="101" t="s">
        <v>19</v>
      </c>
    </row>
    <row r="1334" spans="1:5" x14ac:dyDescent="0.3">
      <c r="A1334" t="str">
        <f t="shared" si="20"/>
        <v>0318545</v>
      </c>
      <c r="B1334" s="101" t="s">
        <v>16</v>
      </c>
      <c r="C1334" s="101" t="s">
        <v>164</v>
      </c>
      <c r="D1334" s="101" t="s">
        <v>413</v>
      </c>
      <c r="E1334" s="101" t="s">
        <v>19</v>
      </c>
    </row>
    <row r="1335" spans="1:5" x14ac:dyDescent="0.3">
      <c r="A1335" t="str">
        <f t="shared" si="20"/>
        <v>0318546</v>
      </c>
      <c r="B1335" s="101" t="s">
        <v>16</v>
      </c>
      <c r="C1335" s="101" t="s">
        <v>164</v>
      </c>
      <c r="D1335" s="101" t="s">
        <v>373</v>
      </c>
      <c r="E1335" s="101" t="s">
        <v>19</v>
      </c>
    </row>
    <row r="1336" spans="1:5" x14ac:dyDescent="0.3">
      <c r="A1336" t="str">
        <f t="shared" si="20"/>
        <v>0318547</v>
      </c>
      <c r="B1336" s="101" t="s">
        <v>16</v>
      </c>
      <c r="C1336" s="101" t="s">
        <v>164</v>
      </c>
      <c r="D1336" s="101" t="s">
        <v>414</v>
      </c>
      <c r="E1336" s="101" t="s">
        <v>19</v>
      </c>
    </row>
    <row r="1337" spans="1:5" x14ac:dyDescent="0.3">
      <c r="A1337" t="str">
        <f t="shared" si="20"/>
        <v>0318548</v>
      </c>
      <c r="B1337" s="101" t="s">
        <v>16</v>
      </c>
      <c r="C1337" s="101" t="s">
        <v>164</v>
      </c>
      <c r="D1337" s="101" t="s">
        <v>354</v>
      </c>
      <c r="E1337" s="101" t="s">
        <v>19</v>
      </c>
    </row>
    <row r="1338" spans="1:5" x14ac:dyDescent="0.3">
      <c r="A1338" t="str">
        <f t="shared" si="20"/>
        <v>0318549</v>
      </c>
      <c r="B1338" s="101" t="s">
        <v>16</v>
      </c>
      <c r="C1338" s="101" t="s">
        <v>164</v>
      </c>
      <c r="D1338" s="101" t="s">
        <v>348</v>
      </c>
      <c r="E1338" s="101" t="s">
        <v>19</v>
      </c>
    </row>
    <row r="1339" spans="1:5" x14ac:dyDescent="0.3">
      <c r="A1339" t="str">
        <f t="shared" si="20"/>
        <v>0318550</v>
      </c>
      <c r="B1339" s="101" t="s">
        <v>16</v>
      </c>
      <c r="C1339" s="101" t="s">
        <v>164</v>
      </c>
      <c r="D1339" s="101" t="s">
        <v>415</v>
      </c>
      <c r="E1339" s="101" t="s">
        <v>19</v>
      </c>
    </row>
    <row r="1340" spans="1:5" x14ac:dyDescent="0.3">
      <c r="A1340" t="str">
        <f t="shared" si="20"/>
        <v>0318551</v>
      </c>
      <c r="B1340" s="101" t="s">
        <v>16</v>
      </c>
      <c r="C1340" s="101" t="s">
        <v>164</v>
      </c>
      <c r="D1340" s="101" t="s">
        <v>416</v>
      </c>
      <c r="E1340" s="101" t="s">
        <v>19</v>
      </c>
    </row>
    <row r="1341" spans="1:5" x14ac:dyDescent="0.3">
      <c r="A1341" t="str">
        <f t="shared" si="20"/>
        <v>0318552</v>
      </c>
      <c r="B1341" s="101" t="s">
        <v>16</v>
      </c>
      <c r="C1341" s="101" t="s">
        <v>164</v>
      </c>
      <c r="D1341" s="101" t="s">
        <v>374</v>
      </c>
      <c r="E1341" s="101" t="s">
        <v>19</v>
      </c>
    </row>
    <row r="1342" spans="1:5" x14ac:dyDescent="0.3">
      <c r="A1342" t="str">
        <f t="shared" si="20"/>
        <v>0318553</v>
      </c>
      <c r="B1342" s="101" t="s">
        <v>16</v>
      </c>
      <c r="C1342" s="101" t="s">
        <v>164</v>
      </c>
      <c r="D1342" s="101" t="s">
        <v>417</v>
      </c>
      <c r="E1342" s="101" t="s">
        <v>19</v>
      </c>
    </row>
    <row r="1343" spans="1:5" x14ac:dyDescent="0.3">
      <c r="A1343" t="str">
        <f t="shared" si="20"/>
        <v>0318554</v>
      </c>
      <c r="B1343" s="101" t="s">
        <v>16</v>
      </c>
      <c r="C1343" s="101" t="s">
        <v>164</v>
      </c>
      <c r="D1343" s="101" t="s">
        <v>391</v>
      </c>
      <c r="E1343" s="101" t="s">
        <v>19</v>
      </c>
    </row>
    <row r="1344" spans="1:5" x14ac:dyDescent="0.3">
      <c r="A1344" t="str">
        <f t="shared" si="20"/>
        <v>0318556</v>
      </c>
      <c r="B1344" s="101" t="s">
        <v>16</v>
      </c>
      <c r="C1344" s="101" t="s">
        <v>164</v>
      </c>
      <c r="D1344" s="101" t="s">
        <v>342</v>
      </c>
      <c r="E1344" s="101" t="s">
        <v>19</v>
      </c>
    </row>
    <row r="1345" spans="1:5" x14ac:dyDescent="0.3">
      <c r="A1345" t="str">
        <f t="shared" si="20"/>
        <v>0318557</v>
      </c>
      <c r="B1345" s="101" t="s">
        <v>16</v>
      </c>
      <c r="C1345" s="101" t="s">
        <v>164</v>
      </c>
      <c r="D1345" s="101" t="s">
        <v>343</v>
      </c>
      <c r="E1345" s="101" t="s">
        <v>19</v>
      </c>
    </row>
    <row r="1346" spans="1:5" x14ac:dyDescent="0.3">
      <c r="A1346" t="str">
        <f t="shared" si="20"/>
        <v>0318558</v>
      </c>
      <c r="B1346" s="101" t="s">
        <v>16</v>
      </c>
      <c r="C1346" s="101" t="s">
        <v>164</v>
      </c>
      <c r="D1346" s="101" t="s">
        <v>362</v>
      </c>
      <c r="E1346" s="101" t="s">
        <v>19</v>
      </c>
    </row>
    <row r="1347" spans="1:5" x14ac:dyDescent="0.3">
      <c r="A1347" t="str">
        <f t="shared" ref="A1347:A1410" si="21">CONCATENATE(B1347,C1347,D1347,F1347)</f>
        <v>0318559</v>
      </c>
      <c r="B1347" s="101" t="s">
        <v>16</v>
      </c>
      <c r="C1347" s="101" t="s">
        <v>164</v>
      </c>
      <c r="D1347" s="101" t="s">
        <v>363</v>
      </c>
      <c r="E1347" s="101" t="s">
        <v>19</v>
      </c>
    </row>
    <row r="1348" spans="1:5" x14ac:dyDescent="0.3">
      <c r="A1348" t="str">
        <f t="shared" si="21"/>
        <v>0318560</v>
      </c>
      <c r="B1348" s="101" t="s">
        <v>16</v>
      </c>
      <c r="C1348" s="101" t="s">
        <v>164</v>
      </c>
      <c r="D1348" s="101" t="s">
        <v>375</v>
      </c>
      <c r="E1348" s="101" t="s">
        <v>19</v>
      </c>
    </row>
    <row r="1349" spans="1:5" x14ac:dyDescent="0.3">
      <c r="A1349" t="str">
        <f t="shared" si="21"/>
        <v>0318561</v>
      </c>
      <c r="B1349" s="101" t="s">
        <v>16</v>
      </c>
      <c r="C1349" s="101" t="s">
        <v>164</v>
      </c>
      <c r="D1349" s="101" t="s">
        <v>376</v>
      </c>
      <c r="E1349" s="101" t="s">
        <v>19</v>
      </c>
    </row>
    <row r="1350" spans="1:5" x14ac:dyDescent="0.3">
      <c r="A1350" t="str">
        <f t="shared" si="21"/>
        <v>0318562</v>
      </c>
      <c r="B1350" s="101" t="s">
        <v>16</v>
      </c>
      <c r="C1350" s="101" t="s">
        <v>164</v>
      </c>
      <c r="D1350" s="101" t="s">
        <v>421</v>
      </c>
      <c r="E1350" s="101" t="s">
        <v>19</v>
      </c>
    </row>
    <row r="1351" spans="1:5" x14ac:dyDescent="0.3">
      <c r="A1351" t="str">
        <f t="shared" si="21"/>
        <v>0318563</v>
      </c>
      <c r="B1351" s="101" t="s">
        <v>16</v>
      </c>
      <c r="C1351" s="101" t="s">
        <v>164</v>
      </c>
      <c r="D1351" s="101" t="s">
        <v>422</v>
      </c>
      <c r="E1351" s="101" t="s">
        <v>19</v>
      </c>
    </row>
    <row r="1352" spans="1:5" x14ac:dyDescent="0.3">
      <c r="A1352" t="str">
        <f t="shared" si="21"/>
        <v>0318564</v>
      </c>
      <c r="B1352" s="101" t="s">
        <v>16</v>
      </c>
      <c r="C1352" s="101" t="s">
        <v>164</v>
      </c>
      <c r="D1352" s="101" t="s">
        <v>423</v>
      </c>
      <c r="E1352" s="101" t="s">
        <v>19</v>
      </c>
    </row>
    <row r="1353" spans="1:5" x14ac:dyDescent="0.3">
      <c r="A1353" t="str">
        <f t="shared" si="21"/>
        <v>0318565</v>
      </c>
      <c r="B1353" s="101" t="s">
        <v>16</v>
      </c>
      <c r="C1353" s="101" t="s">
        <v>164</v>
      </c>
      <c r="D1353" s="101" t="s">
        <v>424</v>
      </c>
      <c r="E1353" s="101" t="s">
        <v>19</v>
      </c>
    </row>
    <row r="1354" spans="1:5" x14ac:dyDescent="0.3">
      <c r="A1354" t="str">
        <f t="shared" si="21"/>
        <v>0318566</v>
      </c>
      <c r="B1354" s="101" t="s">
        <v>16</v>
      </c>
      <c r="C1354" s="101" t="s">
        <v>164</v>
      </c>
      <c r="D1354" s="101" t="s">
        <v>425</v>
      </c>
      <c r="E1354" s="101" t="s">
        <v>19</v>
      </c>
    </row>
    <row r="1355" spans="1:5" x14ac:dyDescent="0.3">
      <c r="A1355" t="str">
        <f t="shared" si="21"/>
        <v>0318567</v>
      </c>
      <c r="B1355" s="101" t="s">
        <v>16</v>
      </c>
      <c r="C1355" s="101" t="s">
        <v>164</v>
      </c>
      <c r="D1355" s="101" t="s">
        <v>426</v>
      </c>
      <c r="E1355" s="101" t="s">
        <v>19</v>
      </c>
    </row>
    <row r="1356" spans="1:5" x14ac:dyDescent="0.3">
      <c r="A1356" t="str">
        <f t="shared" si="21"/>
        <v>0318568</v>
      </c>
      <c r="B1356" s="101" t="s">
        <v>16</v>
      </c>
      <c r="C1356" s="101" t="s">
        <v>164</v>
      </c>
      <c r="D1356" s="101" t="s">
        <v>427</v>
      </c>
      <c r="E1356" s="101" t="s">
        <v>19</v>
      </c>
    </row>
    <row r="1357" spans="1:5" x14ac:dyDescent="0.3">
      <c r="A1357" t="str">
        <f t="shared" si="21"/>
        <v>0318569</v>
      </c>
      <c r="B1357" s="101" t="s">
        <v>16</v>
      </c>
      <c r="C1357" s="101" t="s">
        <v>164</v>
      </c>
      <c r="D1357" s="101" t="s">
        <v>428</v>
      </c>
      <c r="E1357" s="101" t="s">
        <v>19</v>
      </c>
    </row>
    <row r="1358" spans="1:5" x14ac:dyDescent="0.3">
      <c r="A1358" t="str">
        <f t="shared" si="21"/>
        <v>0318570</v>
      </c>
      <c r="B1358" s="101" t="s">
        <v>16</v>
      </c>
      <c r="C1358" s="101" t="s">
        <v>164</v>
      </c>
      <c r="D1358" s="101" t="s">
        <v>429</v>
      </c>
      <c r="E1358" s="101" t="s">
        <v>19</v>
      </c>
    </row>
    <row r="1359" spans="1:5" x14ac:dyDescent="0.3">
      <c r="A1359" t="str">
        <f t="shared" si="21"/>
        <v>0318571</v>
      </c>
      <c r="B1359" s="101" t="s">
        <v>16</v>
      </c>
      <c r="C1359" s="101" t="s">
        <v>164</v>
      </c>
      <c r="D1359" s="101" t="s">
        <v>430</v>
      </c>
      <c r="E1359" s="101" t="s">
        <v>19</v>
      </c>
    </row>
    <row r="1360" spans="1:5" x14ac:dyDescent="0.3">
      <c r="A1360" t="str">
        <f t="shared" si="21"/>
        <v>0318572</v>
      </c>
      <c r="B1360" s="101" t="s">
        <v>16</v>
      </c>
      <c r="C1360" s="101" t="s">
        <v>164</v>
      </c>
      <c r="D1360" s="101" t="s">
        <v>431</v>
      </c>
      <c r="E1360" s="101" t="s">
        <v>19</v>
      </c>
    </row>
    <row r="1361" spans="1:5" x14ac:dyDescent="0.3">
      <c r="A1361" t="str">
        <f t="shared" si="21"/>
        <v>0318573</v>
      </c>
      <c r="B1361" s="101" t="s">
        <v>16</v>
      </c>
      <c r="C1361" s="101" t="s">
        <v>164</v>
      </c>
      <c r="D1361" s="101" t="s">
        <v>432</v>
      </c>
      <c r="E1361" s="101" t="s">
        <v>19</v>
      </c>
    </row>
    <row r="1362" spans="1:5" x14ac:dyDescent="0.3">
      <c r="A1362" t="str">
        <f t="shared" si="21"/>
        <v>0318574</v>
      </c>
      <c r="B1362" s="101" t="s">
        <v>16</v>
      </c>
      <c r="C1362" s="101" t="s">
        <v>164</v>
      </c>
      <c r="D1362" s="101" t="s">
        <v>433</v>
      </c>
      <c r="E1362" s="101" t="s">
        <v>19</v>
      </c>
    </row>
    <row r="1363" spans="1:5" x14ac:dyDescent="0.3">
      <c r="A1363" t="str">
        <f t="shared" si="21"/>
        <v>0318575</v>
      </c>
      <c r="B1363" s="101" t="s">
        <v>16</v>
      </c>
      <c r="C1363" s="101" t="s">
        <v>164</v>
      </c>
      <c r="D1363" s="101" t="s">
        <v>434</v>
      </c>
      <c r="E1363" s="101" t="s">
        <v>19</v>
      </c>
    </row>
    <row r="1364" spans="1:5" x14ac:dyDescent="0.3">
      <c r="A1364" t="str">
        <f t="shared" si="21"/>
        <v>0318576</v>
      </c>
      <c r="B1364" s="101" t="s">
        <v>16</v>
      </c>
      <c r="C1364" s="101" t="s">
        <v>164</v>
      </c>
      <c r="D1364" s="101" t="s">
        <v>435</v>
      </c>
      <c r="E1364" s="101" t="s">
        <v>19</v>
      </c>
    </row>
    <row r="1365" spans="1:5" x14ac:dyDescent="0.3">
      <c r="A1365" t="str">
        <f t="shared" si="21"/>
        <v>0318577</v>
      </c>
      <c r="B1365" s="101" t="s">
        <v>16</v>
      </c>
      <c r="C1365" s="101" t="s">
        <v>164</v>
      </c>
      <c r="D1365" s="101" t="s">
        <v>436</v>
      </c>
      <c r="E1365" s="101" t="s">
        <v>19</v>
      </c>
    </row>
    <row r="1366" spans="1:5" x14ac:dyDescent="0.3">
      <c r="A1366" t="str">
        <f t="shared" si="21"/>
        <v>0318578</v>
      </c>
      <c r="B1366" s="101" t="s">
        <v>16</v>
      </c>
      <c r="C1366" s="101" t="s">
        <v>164</v>
      </c>
      <c r="D1366" s="101" t="s">
        <v>437</v>
      </c>
      <c r="E1366" s="101" t="s">
        <v>19</v>
      </c>
    </row>
    <row r="1367" spans="1:5" x14ac:dyDescent="0.3">
      <c r="A1367" t="str">
        <f t="shared" si="21"/>
        <v>0318579</v>
      </c>
      <c r="B1367" s="101" t="s">
        <v>16</v>
      </c>
      <c r="C1367" s="101" t="s">
        <v>164</v>
      </c>
      <c r="D1367" s="101" t="s">
        <v>438</v>
      </c>
      <c r="E1367" s="101" t="s">
        <v>19</v>
      </c>
    </row>
    <row r="1368" spans="1:5" x14ac:dyDescent="0.3">
      <c r="A1368" t="str">
        <f t="shared" si="21"/>
        <v>0318580</v>
      </c>
      <c r="B1368" s="101" t="s">
        <v>16</v>
      </c>
      <c r="C1368" s="101" t="s">
        <v>164</v>
      </c>
      <c r="D1368" s="101" t="s">
        <v>439</v>
      </c>
      <c r="E1368" s="101" t="s">
        <v>19</v>
      </c>
    </row>
    <row r="1369" spans="1:5" x14ac:dyDescent="0.3">
      <c r="A1369" t="str">
        <f t="shared" si="21"/>
        <v>0318581</v>
      </c>
      <c r="B1369" s="101" t="s">
        <v>16</v>
      </c>
      <c r="C1369" s="101" t="s">
        <v>164</v>
      </c>
      <c r="D1369" s="101" t="s">
        <v>440</v>
      </c>
      <c r="E1369" s="101" t="s">
        <v>19</v>
      </c>
    </row>
    <row r="1370" spans="1:5" x14ac:dyDescent="0.3">
      <c r="A1370" t="str">
        <f t="shared" si="21"/>
        <v>0318582</v>
      </c>
      <c r="B1370" s="101" t="s">
        <v>16</v>
      </c>
      <c r="C1370" s="101" t="s">
        <v>164</v>
      </c>
      <c r="D1370" s="101" t="s">
        <v>441</v>
      </c>
      <c r="E1370" s="101" t="s">
        <v>19</v>
      </c>
    </row>
    <row r="1371" spans="1:5" x14ac:dyDescent="0.3">
      <c r="A1371" t="str">
        <f t="shared" si="21"/>
        <v>0318583</v>
      </c>
      <c r="B1371" s="101" t="s">
        <v>16</v>
      </c>
      <c r="C1371" s="101" t="s">
        <v>164</v>
      </c>
      <c r="D1371" s="101" t="s">
        <v>442</v>
      </c>
      <c r="E1371" s="101" t="s">
        <v>19</v>
      </c>
    </row>
    <row r="1372" spans="1:5" x14ac:dyDescent="0.3">
      <c r="A1372" t="str">
        <f t="shared" si="21"/>
        <v>0318584</v>
      </c>
      <c r="B1372" s="101" t="s">
        <v>16</v>
      </c>
      <c r="C1372" s="101" t="s">
        <v>164</v>
      </c>
      <c r="D1372" s="101" t="s">
        <v>443</v>
      </c>
      <c r="E1372" s="101" t="s">
        <v>19</v>
      </c>
    </row>
    <row r="1373" spans="1:5" x14ac:dyDescent="0.3">
      <c r="A1373" t="str">
        <f t="shared" si="21"/>
        <v>0318585</v>
      </c>
      <c r="B1373" s="101" t="s">
        <v>16</v>
      </c>
      <c r="C1373" s="101" t="s">
        <v>164</v>
      </c>
      <c r="D1373" s="101" t="s">
        <v>444</v>
      </c>
      <c r="E1373" s="101" t="s">
        <v>19</v>
      </c>
    </row>
    <row r="1374" spans="1:5" x14ac:dyDescent="0.3">
      <c r="A1374" t="str">
        <f t="shared" si="21"/>
        <v>0318586</v>
      </c>
      <c r="B1374" s="101" t="s">
        <v>16</v>
      </c>
      <c r="C1374" s="101" t="s">
        <v>164</v>
      </c>
      <c r="D1374" s="101" t="s">
        <v>445</v>
      </c>
      <c r="E1374" s="101" t="s">
        <v>19</v>
      </c>
    </row>
    <row r="1375" spans="1:5" x14ac:dyDescent="0.3">
      <c r="A1375" t="str">
        <f t="shared" si="21"/>
        <v>0418801</v>
      </c>
      <c r="B1375" s="101" t="s">
        <v>18</v>
      </c>
      <c r="C1375" s="101" t="s">
        <v>164</v>
      </c>
      <c r="D1375" s="101" t="s">
        <v>144</v>
      </c>
      <c r="E1375" s="101" t="s">
        <v>139</v>
      </c>
    </row>
    <row r="1376" spans="1:5" x14ac:dyDescent="0.3">
      <c r="A1376" t="str">
        <f t="shared" si="21"/>
        <v>0418802</v>
      </c>
      <c r="B1376" s="101" t="s">
        <v>18</v>
      </c>
      <c r="C1376" s="101" t="s">
        <v>164</v>
      </c>
      <c r="D1376" s="101" t="s">
        <v>145</v>
      </c>
      <c r="E1376" s="101" t="s">
        <v>139</v>
      </c>
    </row>
    <row r="1377" spans="1:5" x14ac:dyDescent="0.3">
      <c r="A1377" t="str">
        <f t="shared" si="21"/>
        <v>0418826</v>
      </c>
      <c r="B1377" s="101" t="s">
        <v>18</v>
      </c>
      <c r="C1377" s="101" t="s">
        <v>164</v>
      </c>
      <c r="D1377" s="101" t="s">
        <v>359</v>
      </c>
      <c r="E1377" s="101" t="s">
        <v>19</v>
      </c>
    </row>
    <row r="1378" spans="1:5" x14ac:dyDescent="0.3">
      <c r="A1378" t="str">
        <f t="shared" si="21"/>
        <v>0418827</v>
      </c>
      <c r="B1378" s="101" t="s">
        <v>18</v>
      </c>
      <c r="C1378" s="101" t="s">
        <v>164</v>
      </c>
      <c r="D1378" s="101" t="s">
        <v>361</v>
      </c>
      <c r="E1378" s="101" t="s">
        <v>19</v>
      </c>
    </row>
    <row r="1379" spans="1:5" x14ac:dyDescent="0.3">
      <c r="A1379" t="str">
        <f t="shared" si="21"/>
        <v>0418680</v>
      </c>
      <c r="B1379" s="101" t="s">
        <v>18</v>
      </c>
      <c r="C1379" s="101" t="s">
        <v>164</v>
      </c>
      <c r="D1379" s="101" t="s">
        <v>271</v>
      </c>
      <c r="E1379" s="101" t="s">
        <v>19</v>
      </c>
    </row>
    <row r="1380" spans="1:5" x14ac:dyDescent="0.3">
      <c r="A1380" t="str">
        <f t="shared" si="21"/>
        <v>0418681</v>
      </c>
      <c r="B1380" s="101" t="s">
        <v>18</v>
      </c>
      <c r="C1380" s="101" t="s">
        <v>164</v>
      </c>
      <c r="D1380" s="101" t="s">
        <v>272</v>
      </c>
      <c r="E1380" s="101" t="s">
        <v>19</v>
      </c>
    </row>
    <row r="1381" spans="1:5" x14ac:dyDescent="0.3">
      <c r="A1381" t="str">
        <f t="shared" si="21"/>
        <v>0418001</v>
      </c>
      <c r="B1381" s="101" t="s">
        <v>18</v>
      </c>
      <c r="C1381" s="101" t="s">
        <v>164</v>
      </c>
      <c r="D1381" s="101" t="s">
        <v>549</v>
      </c>
      <c r="E1381" s="101" t="s">
        <v>17</v>
      </c>
    </row>
    <row r="1382" spans="1:5" x14ac:dyDescent="0.3">
      <c r="A1382" t="str">
        <f t="shared" si="21"/>
        <v>0418002</v>
      </c>
      <c r="B1382" s="101" t="s">
        <v>18</v>
      </c>
      <c r="C1382" s="101" t="s">
        <v>164</v>
      </c>
      <c r="D1382" s="101" t="s">
        <v>596</v>
      </c>
      <c r="E1382" s="101" t="s">
        <v>17</v>
      </c>
    </row>
    <row r="1383" spans="1:5" x14ac:dyDescent="0.3">
      <c r="A1383" t="str">
        <f t="shared" si="21"/>
        <v>0418003</v>
      </c>
      <c r="B1383" s="101" t="s">
        <v>18</v>
      </c>
      <c r="C1383" s="101" t="s">
        <v>164</v>
      </c>
      <c r="D1383" s="101" t="s">
        <v>597</v>
      </c>
      <c r="E1383" s="101" t="s">
        <v>17</v>
      </c>
    </row>
    <row r="1384" spans="1:5" x14ac:dyDescent="0.3">
      <c r="A1384" t="str">
        <f t="shared" si="21"/>
        <v>0418004</v>
      </c>
      <c r="B1384" s="101" t="s">
        <v>18</v>
      </c>
      <c r="C1384" s="101" t="s">
        <v>164</v>
      </c>
      <c r="D1384" s="101" t="s">
        <v>598</v>
      </c>
      <c r="E1384" s="101" t="s">
        <v>17</v>
      </c>
    </row>
    <row r="1385" spans="1:5" x14ac:dyDescent="0.3">
      <c r="A1385" t="str">
        <f t="shared" si="21"/>
        <v>0418005</v>
      </c>
      <c r="B1385" s="101" t="s">
        <v>18</v>
      </c>
      <c r="C1385" s="101" t="s">
        <v>164</v>
      </c>
      <c r="D1385" s="101" t="s">
        <v>399</v>
      </c>
      <c r="E1385" s="101" t="s">
        <v>17</v>
      </c>
    </row>
    <row r="1386" spans="1:5" x14ac:dyDescent="0.3">
      <c r="A1386" t="str">
        <f t="shared" si="21"/>
        <v>0418006</v>
      </c>
      <c r="B1386" s="101" t="s">
        <v>18</v>
      </c>
      <c r="C1386" s="101" t="s">
        <v>164</v>
      </c>
      <c r="D1386" s="101" t="s">
        <v>400</v>
      </c>
      <c r="E1386" s="101" t="s">
        <v>17</v>
      </c>
    </row>
    <row r="1387" spans="1:5" x14ac:dyDescent="0.3">
      <c r="A1387" t="str">
        <f t="shared" si="21"/>
        <v>0418007</v>
      </c>
      <c r="B1387" s="101" t="s">
        <v>18</v>
      </c>
      <c r="C1387" s="101" t="s">
        <v>164</v>
      </c>
      <c r="D1387" s="101" t="s">
        <v>401</v>
      </c>
      <c r="E1387" s="101" t="s">
        <v>17</v>
      </c>
    </row>
    <row r="1388" spans="1:5" x14ac:dyDescent="0.3">
      <c r="A1388" t="str">
        <f t="shared" si="21"/>
        <v>0418008</v>
      </c>
      <c r="B1388" s="101" t="s">
        <v>18</v>
      </c>
      <c r="C1388" s="101" t="s">
        <v>164</v>
      </c>
      <c r="D1388" s="101" t="s">
        <v>405</v>
      </c>
      <c r="E1388" s="101" t="s">
        <v>17</v>
      </c>
    </row>
    <row r="1389" spans="1:5" x14ac:dyDescent="0.3">
      <c r="A1389" t="str">
        <f t="shared" si="21"/>
        <v>0418009</v>
      </c>
      <c r="B1389" s="101" t="s">
        <v>18</v>
      </c>
      <c r="C1389" s="101" t="s">
        <v>164</v>
      </c>
      <c r="D1389" s="101" t="s">
        <v>406</v>
      </c>
      <c r="E1389" s="101" t="s">
        <v>17</v>
      </c>
    </row>
    <row r="1390" spans="1:5" x14ac:dyDescent="0.3">
      <c r="A1390" t="str">
        <f t="shared" si="21"/>
        <v>0418010</v>
      </c>
      <c r="B1390" s="101" t="s">
        <v>18</v>
      </c>
      <c r="C1390" s="101" t="s">
        <v>164</v>
      </c>
      <c r="D1390" s="101" t="s">
        <v>599</v>
      </c>
      <c r="E1390" s="101" t="s">
        <v>17</v>
      </c>
    </row>
    <row r="1391" spans="1:5" x14ac:dyDescent="0.3">
      <c r="A1391" t="str">
        <f t="shared" si="21"/>
        <v>0418011</v>
      </c>
      <c r="B1391" s="101" t="s">
        <v>18</v>
      </c>
      <c r="C1391" s="101" t="s">
        <v>164</v>
      </c>
      <c r="D1391" s="101" t="s">
        <v>402</v>
      </c>
      <c r="E1391" s="101" t="s">
        <v>17</v>
      </c>
    </row>
    <row r="1392" spans="1:5" x14ac:dyDescent="0.3">
      <c r="A1392" t="str">
        <f t="shared" si="21"/>
        <v>0418012</v>
      </c>
      <c r="B1392" s="101" t="s">
        <v>18</v>
      </c>
      <c r="C1392" s="101" t="s">
        <v>164</v>
      </c>
      <c r="D1392" s="101" t="s">
        <v>392</v>
      </c>
      <c r="E1392" s="101" t="s">
        <v>17</v>
      </c>
    </row>
    <row r="1393" spans="1:5" x14ac:dyDescent="0.3">
      <c r="A1393" t="str">
        <f t="shared" si="21"/>
        <v>0418013</v>
      </c>
      <c r="B1393" s="101" t="s">
        <v>18</v>
      </c>
      <c r="C1393" s="101" t="s">
        <v>164</v>
      </c>
      <c r="D1393" s="101" t="s">
        <v>403</v>
      </c>
      <c r="E1393" s="101" t="s">
        <v>17</v>
      </c>
    </row>
    <row r="1394" spans="1:5" x14ac:dyDescent="0.3">
      <c r="A1394" t="str">
        <f t="shared" si="21"/>
        <v>0418014</v>
      </c>
      <c r="B1394" s="101" t="s">
        <v>18</v>
      </c>
      <c r="C1394" s="101" t="s">
        <v>164</v>
      </c>
      <c r="D1394" s="101" t="s">
        <v>531</v>
      </c>
      <c r="E1394" s="101" t="s">
        <v>17</v>
      </c>
    </row>
    <row r="1395" spans="1:5" x14ac:dyDescent="0.3">
      <c r="A1395" t="str">
        <f t="shared" si="21"/>
        <v>0418015</v>
      </c>
      <c r="B1395" s="101" t="s">
        <v>18</v>
      </c>
      <c r="C1395" s="101" t="s">
        <v>164</v>
      </c>
      <c r="D1395" s="101" t="s">
        <v>321</v>
      </c>
      <c r="E1395" s="101" t="s">
        <v>17</v>
      </c>
    </row>
    <row r="1396" spans="1:5" x14ac:dyDescent="0.3">
      <c r="A1396" t="str">
        <f t="shared" si="21"/>
        <v>0418016</v>
      </c>
      <c r="B1396" s="101" t="s">
        <v>18</v>
      </c>
      <c r="C1396" s="101" t="s">
        <v>164</v>
      </c>
      <c r="D1396" s="101" t="s">
        <v>396</v>
      </c>
      <c r="E1396" s="101" t="s">
        <v>17</v>
      </c>
    </row>
    <row r="1397" spans="1:5" x14ac:dyDescent="0.3">
      <c r="A1397" t="str">
        <f t="shared" si="21"/>
        <v>0418017</v>
      </c>
      <c r="B1397" s="101" t="s">
        <v>18</v>
      </c>
      <c r="C1397" s="101" t="s">
        <v>164</v>
      </c>
      <c r="D1397" s="101" t="s">
        <v>575</v>
      </c>
      <c r="E1397" s="101" t="s">
        <v>17</v>
      </c>
    </row>
    <row r="1398" spans="1:5" x14ac:dyDescent="0.3">
      <c r="A1398" t="str">
        <f t="shared" si="21"/>
        <v>0418018</v>
      </c>
      <c r="B1398" s="101" t="s">
        <v>18</v>
      </c>
      <c r="C1398" s="101" t="s">
        <v>164</v>
      </c>
      <c r="D1398" s="101" t="s">
        <v>576</v>
      </c>
      <c r="E1398" s="101" t="s">
        <v>17</v>
      </c>
    </row>
    <row r="1399" spans="1:5" x14ac:dyDescent="0.3">
      <c r="A1399" t="str">
        <f t="shared" si="21"/>
        <v>0418019</v>
      </c>
      <c r="B1399" s="101" t="s">
        <v>18</v>
      </c>
      <c r="C1399" s="101" t="s">
        <v>164</v>
      </c>
      <c r="D1399" s="101" t="s">
        <v>393</v>
      </c>
      <c r="E1399" s="101" t="s">
        <v>17</v>
      </c>
    </row>
    <row r="1400" spans="1:5" x14ac:dyDescent="0.3">
      <c r="A1400" t="str">
        <f t="shared" si="21"/>
        <v>0418020</v>
      </c>
      <c r="B1400" s="101" t="s">
        <v>18</v>
      </c>
      <c r="C1400" s="101" t="s">
        <v>164</v>
      </c>
      <c r="D1400" s="101" t="s">
        <v>577</v>
      </c>
      <c r="E1400" s="101" t="s">
        <v>17</v>
      </c>
    </row>
    <row r="1401" spans="1:5" x14ac:dyDescent="0.3">
      <c r="A1401" t="str">
        <f t="shared" si="21"/>
        <v>0418021</v>
      </c>
      <c r="B1401" s="101" t="s">
        <v>18</v>
      </c>
      <c r="C1401" s="101" t="s">
        <v>164</v>
      </c>
      <c r="D1401" s="101" t="s">
        <v>477</v>
      </c>
      <c r="E1401" s="101" t="s">
        <v>17</v>
      </c>
    </row>
    <row r="1402" spans="1:5" x14ac:dyDescent="0.3">
      <c r="A1402" t="str">
        <f t="shared" si="21"/>
        <v>0418022</v>
      </c>
      <c r="B1402" s="101" t="s">
        <v>18</v>
      </c>
      <c r="C1402" s="101" t="s">
        <v>164</v>
      </c>
      <c r="D1402" s="101" t="s">
        <v>322</v>
      </c>
      <c r="E1402" s="101" t="s">
        <v>17</v>
      </c>
    </row>
    <row r="1403" spans="1:5" x14ac:dyDescent="0.3">
      <c r="A1403" t="str">
        <f t="shared" si="21"/>
        <v>0418023</v>
      </c>
      <c r="B1403" s="101" t="s">
        <v>18</v>
      </c>
      <c r="C1403" s="101" t="s">
        <v>164</v>
      </c>
      <c r="D1403" s="101" t="s">
        <v>480</v>
      </c>
      <c r="E1403" s="101" t="s">
        <v>17</v>
      </c>
    </row>
    <row r="1404" spans="1:5" x14ac:dyDescent="0.3">
      <c r="A1404" t="str">
        <f t="shared" si="21"/>
        <v>0418588</v>
      </c>
      <c r="B1404" s="101" t="s">
        <v>18</v>
      </c>
      <c r="C1404" s="101" t="s">
        <v>164</v>
      </c>
      <c r="D1404" s="101" t="s">
        <v>447</v>
      </c>
      <c r="E1404" s="101" t="s">
        <v>17</v>
      </c>
    </row>
    <row r="1405" spans="1:5" x14ac:dyDescent="0.3">
      <c r="A1405" t="str">
        <f t="shared" si="21"/>
        <v>0418590</v>
      </c>
      <c r="B1405" s="101" t="s">
        <v>18</v>
      </c>
      <c r="C1405" s="101" t="s">
        <v>164</v>
      </c>
      <c r="D1405" s="101" t="s">
        <v>449</v>
      </c>
      <c r="E1405" s="101" t="s">
        <v>17</v>
      </c>
    </row>
    <row r="1406" spans="1:5" x14ac:dyDescent="0.3">
      <c r="A1406" t="str">
        <f t="shared" si="21"/>
        <v>0418592</v>
      </c>
      <c r="B1406" s="101" t="s">
        <v>18</v>
      </c>
      <c r="C1406" s="101" t="s">
        <v>164</v>
      </c>
      <c r="D1406" s="101" t="s">
        <v>451</v>
      </c>
      <c r="E1406" s="101" t="s">
        <v>17</v>
      </c>
    </row>
    <row r="1407" spans="1:5" x14ac:dyDescent="0.3">
      <c r="A1407" t="str">
        <f t="shared" si="21"/>
        <v>0418593</v>
      </c>
      <c r="B1407" s="101" t="s">
        <v>18</v>
      </c>
      <c r="C1407" s="101" t="s">
        <v>164</v>
      </c>
      <c r="D1407" s="101" t="s">
        <v>452</v>
      </c>
      <c r="E1407" s="101" t="s">
        <v>17</v>
      </c>
    </row>
    <row r="1408" spans="1:5" x14ac:dyDescent="0.3">
      <c r="A1408" t="str">
        <f t="shared" si="21"/>
        <v>0418594</v>
      </c>
      <c r="B1408" s="101" t="s">
        <v>18</v>
      </c>
      <c r="C1408" s="101" t="s">
        <v>164</v>
      </c>
      <c r="D1408" s="101" t="s">
        <v>454</v>
      </c>
      <c r="E1408" s="101" t="s">
        <v>17</v>
      </c>
    </row>
    <row r="1409" spans="1:5" x14ac:dyDescent="0.3">
      <c r="A1409" t="str">
        <f t="shared" si="21"/>
        <v>0418595</v>
      </c>
      <c r="B1409" s="101" t="s">
        <v>18</v>
      </c>
      <c r="C1409" s="101" t="s">
        <v>164</v>
      </c>
      <c r="D1409" s="101" t="s">
        <v>456</v>
      </c>
      <c r="E1409" s="101" t="s">
        <v>17</v>
      </c>
    </row>
    <row r="1410" spans="1:5" x14ac:dyDescent="0.3">
      <c r="A1410" t="str">
        <f t="shared" si="21"/>
        <v>0418596</v>
      </c>
      <c r="B1410" s="101" t="s">
        <v>18</v>
      </c>
      <c r="C1410" s="101" t="s">
        <v>164</v>
      </c>
      <c r="D1410" s="101" t="s">
        <v>457</v>
      </c>
      <c r="E1410" s="101" t="s">
        <v>17</v>
      </c>
    </row>
    <row r="1411" spans="1:5" x14ac:dyDescent="0.3">
      <c r="A1411" t="str">
        <f t="shared" ref="A1411:A1474" si="22">CONCATENATE(B1411,C1411,D1411,F1411)</f>
        <v>0418597</v>
      </c>
      <c r="B1411" s="101" t="s">
        <v>18</v>
      </c>
      <c r="C1411" s="101" t="s">
        <v>164</v>
      </c>
      <c r="D1411" s="101" t="s">
        <v>458</v>
      </c>
      <c r="E1411" s="101" t="s">
        <v>17</v>
      </c>
    </row>
    <row r="1412" spans="1:5" x14ac:dyDescent="0.3">
      <c r="A1412" t="str">
        <f t="shared" si="22"/>
        <v>0418598</v>
      </c>
      <c r="B1412" s="101" t="s">
        <v>18</v>
      </c>
      <c r="C1412" s="101" t="s">
        <v>164</v>
      </c>
      <c r="D1412" s="101" t="s">
        <v>459</v>
      </c>
      <c r="E1412" s="101" t="s">
        <v>17</v>
      </c>
    </row>
    <row r="1413" spans="1:5" x14ac:dyDescent="0.3">
      <c r="A1413" t="str">
        <f t="shared" si="22"/>
        <v>0418599</v>
      </c>
      <c r="B1413" s="101" t="s">
        <v>18</v>
      </c>
      <c r="C1413" s="101" t="s">
        <v>164</v>
      </c>
      <c r="D1413" s="101" t="s">
        <v>460</v>
      </c>
      <c r="E1413" s="101" t="s">
        <v>17</v>
      </c>
    </row>
    <row r="1414" spans="1:5" x14ac:dyDescent="0.3">
      <c r="A1414" t="str">
        <f t="shared" si="22"/>
        <v>0418600</v>
      </c>
      <c r="B1414" s="101" t="s">
        <v>18</v>
      </c>
      <c r="C1414" s="101" t="s">
        <v>164</v>
      </c>
      <c r="D1414" s="101" t="s">
        <v>230</v>
      </c>
      <c r="E1414" s="101" t="s">
        <v>17</v>
      </c>
    </row>
    <row r="1415" spans="1:5" x14ac:dyDescent="0.3">
      <c r="A1415" t="str">
        <f t="shared" si="22"/>
        <v>0418601</v>
      </c>
      <c r="B1415" s="101" t="s">
        <v>18</v>
      </c>
      <c r="C1415" s="101" t="s">
        <v>164</v>
      </c>
      <c r="D1415" s="101" t="s">
        <v>231</v>
      </c>
      <c r="E1415" s="101" t="s">
        <v>17</v>
      </c>
    </row>
    <row r="1416" spans="1:5" x14ac:dyDescent="0.3">
      <c r="A1416" t="str">
        <f t="shared" si="22"/>
        <v>0418602</v>
      </c>
      <c r="B1416" s="101" t="s">
        <v>18</v>
      </c>
      <c r="C1416" s="101" t="s">
        <v>164</v>
      </c>
      <c r="D1416" s="101" t="s">
        <v>461</v>
      </c>
      <c r="E1416" s="101" t="s">
        <v>17</v>
      </c>
    </row>
    <row r="1417" spans="1:5" x14ac:dyDescent="0.3">
      <c r="A1417" t="str">
        <f t="shared" si="22"/>
        <v>0418603</v>
      </c>
      <c r="B1417" s="101" t="s">
        <v>18</v>
      </c>
      <c r="C1417" s="101" t="s">
        <v>164</v>
      </c>
      <c r="D1417" s="101" t="s">
        <v>462</v>
      </c>
      <c r="E1417" s="101" t="s">
        <v>17</v>
      </c>
    </row>
    <row r="1418" spans="1:5" x14ac:dyDescent="0.3">
      <c r="A1418" t="str">
        <f t="shared" si="22"/>
        <v>0418604</v>
      </c>
      <c r="B1418" s="101" t="s">
        <v>18</v>
      </c>
      <c r="C1418" s="101" t="s">
        <v>164</v>
      </c>
      <c r="D1418" s="101" t="s">
        <v>463</v>
      </c>
      <c r="E1418" s="101" t="s">
        <v>17</v>
      </c>
    </row>
    <row r="1419" spans="1:5" x14ac:dyDescent="0.3">
      <c r="A1419" t="str">
        <f t="shared" si="22"/>
        <v>0418605</v>
      </c>
      <c r="B1419" s="101" t="s">
        <v>18</v>
      </c>
      <c r="C1419" s="101" t="s">
        <v>164</v>
      </c>
      <c r="D1419" s="101" t="s">
        <v>464</v>
      </c>
      <c r="E1419" s="101" t="s">
        <v>17</v>
      </c>
    </row>
    <row r="1420" spans="1:5" x14ac:dyDescent="0.3">
      <c r="A1420" t="str">
        <f t="shared" si="22"/>
        <v>0418606</v>
      </c>
      <c r="B1420" s="101" t="s">
        <v>18</v>
      </c>
      <c r="C1420" s="101" t="s">
        <v>164</v>
      </c>
      <c r="D1420" s="101" t="s">
        <v>465</v>
      </c>
      <c r="E1420" s="101" t="s">
        <v>17</v>
      </c>
    </row>
    <row r="1421" spans="1:5" x14ac:dyDescent="0.3">
      <c r="A1421" t="str">
        <f t="shared" si="22"/>
        <v>0418607</v>
      </c>
      <c r="B1421" s="101" t="s">
        <v>18</v>
      </c>
      <c r="C1421" s="101" t="s">
        <v>164</v>
      </c>
      <c r="D1421" s="101" t="s">
        <v>466</v>
      </c>
      <c r="E1421" s="101" t="s">
        <v>17</v>
      </c>
    </row>
    <row r="1422" spans="1:5" x14ac:dyDescent="0.3">
      <c r="A1422" t="str">
        <f t="shared" si="22"/>
        <v>0418608</v>
      </c>
      <c r="B1422" s="101" t="s">
        <v>18</v>
      </c>
      <c r="C1422" s="101" t="s">
        <v>164</v>
      </c>
      <c r="D1422" s="101" t="s">
        <v>289</v>
      </c>
      <c r="E1422" s="101" t="s">
        <v>17</v>
      </c>
    </row>
    <row r="1423" spans="1:5" x14ac:dyDescent="0.3">
      <c r="A1423" t="str">
        <f t="shared" si="22"/>
        <v>0418609</v>
      </c>
      <c r="B1423" s="101" t="s">
        <v>18</v>
      </c>
      <c r="C1423" s="101" t="s">
        <v>164</v>
      </c>
      <c r="D1423" s="101" t="s">
        <v>290</v>
      </c>
      <c r="E1423" s="101" t="s">
        <v>17</v>
      </c>
    </row>
    <row r="1424" spans="1:5" x14ac:dyDescent="0.3">
      <c r="A1424" t="str">
        <f t="shared" si="22"/>
        <v>0418610</v>
      </c>
      <c r="B1424" s="101" t="s">
        <v>18</v>
      </c>
      <c r="C1424" s="101" t="s">
        <v>164</v>
      </c>
      <c r="D1424" s="101" t="s">
        <v>467</v>
      </c>
      <c r="E1424" s="101" t="s">
        <v>17</v>
      </c>
    </row>
    <row r="1425" spans="1:5" x14ac:dyDescent="0.3">
      <c r="A1425" t="str">
        <f t="shared" si="22"/>
        <v>0418611</v>
      </c>
      <c r="B1425" s="101" t="s">
        <v>18</v>
      </c>
      <c r="C1425" s="101" t="s">
        <v>164</v>
      </c>
      <c r="D1425" s="101" t="s">
        <v>468</v>
      </c>
      <c r="E1425" s="101" t="s">
        <v>17</v>
      </c>
    </row>
    <row r="1426" spans="1:5" x14ac:dyDescent="0.3">
      <c r="A1426" t="str">
        <f t="shared" si="22"/>
        <v>0418612</v>
      </c>
      <c r="B1426" s="101" t="s">
        <v>18</v>
      </c>
      <c r="C1426" s="101" t="s">
        <v>164</v>
      </c>
      <c r="D1426" s="101" t="s">
        <v>469</v>
      </c>
      <c r="E1426" s="101" t="s">
        <v>17</v>
      </c>
    </row>
    <row r="1427" spans="1:5" x14ac:dyDescent="0.3">
      <c r="A1427" t="str">
        <f t="shared" si="22"/>
        <v>0418613</v>
      </c>
      <c r="B1427" s="101" t="s">
        <v>18</v>
      </c>
      <c r="C1427" s="101" t="s">
        <v>164</v>
      </c>
      <c r="D1427" s="101" t="s">
        <v>470</v>
      </c>
      <c r="E1427" s="101" t="s">
        <v>17</v>
      </c>
    </row>
    <row r="1428" spans="1:5" x14ac:dyDescent="0.3">
      <c r="A1428" t="str">
        <f t="shared" si="22"/>
        <v>0418614</v>
      </c>
      <c r="B1428" s="101" t="s">
        <v>18</v>
      </c>
      <c r="C1428" s="101" t="s">
        <v>164</v>
      </c>
      <c r="D1428" s="101" t="s">
        <v>291</v>
      </c>
      <c r="E1428" s="101" t="s">
        <v>17</v>
      </c>
    </row>
    <row r="1429" spans="1:5" x14ac:dyDescent="0.3">
      <c r="A1429" t="str">
        <f t="shared" si="22"/>
        <v>0418615</v>
      </c>
      <c r="B1429" s="101" t="s">
        <v>18</v>
      </c>
      <c r="C1429" s="101" t="s">
        <v>164</v>
      </c>
      <c r="D1429" s="101" t="s">
        <v>292</v>
      </c>
      <c r="E1429" s="101" t="s">
        <v>17</v>
      </c>
    </row>
    <row r="1430" spans="1:5" x14ac:dyDescent="0.3">
      <c r="A1430" t="str">
        <f t="shared" si="22"/>
        <v>0418616</v>
      </c>
      <c r="B1430" s="101" t="s">
        <v>18</v>
      </c>
      <c r="C1430" s="101" t="s">
        <v>164</v>
      </c>
      <c r="D1430" s="101" t="s">
        <v>471</v>
      </c>
      <c r="E1430" s="101" t="s">
        <v>17</v>
      </c>
    </row>
    <row r="1431" spans="1:5" x14ac:dyDescent="0.3">
      <c r="A1431" t="str">
        <f t="shared" si="22"/>
        <v>0418617</v>
      </c>
      <c r="B1431" s="101" t="s">
        <v>18</v>
      </c>
      <c r="C1431" s="101" t="s">
        <v>164</v>
      </c>
      <c r="D1431" s="101" t="s">
        <v>472</v>
      </c>
      <c r="E1431" s="101" t="s">
        <v>17</v>
      </c>
    </row>
    <row r="1432" spans="1:5" x14ac:dyDescent="0.3">
      <c r="A1432" t="str">
        <f t="shared" si="22"/>
        <v>0418618</v>
      </c>
      <c r="B1432" s="101" t="s">
        <v>18</v>
      </c>
      <c r="C1432" s="101" t="s">
        <v>164</v>
      </c>
      <c r="D1432" s="101" t="s">
        <v>473</v>
      </c>
      <c r="E1432" s="101" t="s">
        <v>17</v>
      </c>
    </row>
    <row r="1433" spans="1:5" x14ac:dyDescent="0.3">
      <c r="A1433" t="str">
        <f t="shared" si="22"/>
        <v>0418619</v>
      </c>
      <c r="B1433" s="101" t="s">
        <v>18</v>
      </c>
      <c r="C1433" s="101" t="s">
        <v>164</v>
      </c>
      <c r="D1433" s="101" t="s">
        <v>474</v>
      </c>
      <c r="E1433" s="101" t="s">
        <v>17</v>
      </c>
    </row>
    <row r="1434" spans="1:5" x14ac:dyDescent="0.3">
      <c r="A1434" t="str">
        <f t="shared" si="22"/>
        <v>0418620</v>
      </c>
      <c r="B1434" s="101" t="s">
        <v>18</v>
      </c>
      <c r="C1434" s="101" t="s">
        <v>164</v>
      </c>
      <c r="D1434" s="101" t="s">
        <v>475</v>
      </c>
      <c r="E1434" s="101" t="s">
        <v>17</v>
      </c>
    </row>
    <row r="1435" spans="1:5" x14ac:dyDescent="0.3">
      <c r="A1435" t="str">
        <f t="shared" si="22"/>
        <v>0418621</v>
      </c>
      <c r="B1435" s="101" t="s">
        <v>18</v>
      </c>
      <c r="C1435" s="101" t="s">
        <v>164</v>
      </c>
      <c r="D1435" s="101" t="s">
        <v>476</v>
      </c>
      <c r="E1435" s="101" t="s">
        <v>17</v>
      </c>
    </row>
    <row r="1436" spans="1:5" x14ac:dyDescent="0.3">
      <c r="A1436" t="str">
        <f t="shared" si="22"/>
        <v>0418622</v>
      </c>
      <c r="B1436" s="101" t="s">
        <v>18</v>
      </c>
      <c r="C1436" s="101" t="s">
        <v>164</v>
      </c>
      <c r="D1436" s="101" t="s">
        <v>315</v>
      </c>
      <c r="E1436" s="101" t="s">
        <v>17</v>
      </c>
    </row>
    <row r="1437" spans="1:5" x14ac:dyDescent="0.3">
      <c r="A1437" t="str">
        <f t="shared" si="22"/>
        <v>0418623</v>
      </c>
      <c r="B1437" s="101" t="s">
        <v>18</v>
      </c>
      <c r="C1437" s="101" t="s">
        <v>164</v>
      </c>
      <c r="D1437" s="101" t="s">
        <v>316</v>
      </c>
      <c r="E1437" s="101" t="s">
        <v>17</v>
      </c>
    </row>
    <row r="1438" spans="1:5" x14ac:dyDescent="0.3">
      <c r="A1438" t="str">
        <f t="shared" si="22"/>
        <v>0418624</v>
      </c>
      <c r="B1438" s="101" t="s">
        <v>18</v>
      </c>
      <c r="C1438" s="101" t="s">
        <v>164</v>
      </c>
      <c r="D1438" s="101" t="s">
        <v>191</v>
      </c>
      <c r="E1438" s="101" t="s">
        <v>17</v>
      </c>
    </row>
    <row r="1439" spans="1:5" x14ac:dyDescent="0.3">
      <c r="A1439" t="str">
        <f t="shared" si="22"/>
        <v>0418625</v>
      </c>
      <c r="B1439" s="101" t="s">
        <v>18</v>
      </c>
      <c r="C1439" s="101" t="s">
        <v>164</v>
      </c>
      <c r="D1439" s="101" t="s">
        <v>192</v>
      </c>
      <c r="E1439" s="101" t="s">
        <v>17</v>
      </c>
    </row>
    <row r="1440" spans="1:5" x14ac:dyDescent="0.3">
      <c r="A1440" t="str">
        <f t="shared" si="22"/>
        <v>0418626</v>
      </c>
      <c r="B1440" s="101" t="s">
        <v>18</v>
      </c>
      <c r="C1440" s="101" t="s">
        <v>164</v>
      </c>
      <c r="D1440" s="101" t="s">
        <v>193</v>
      </c>
      <c r="E1440" s="101" t="s">
        <v>17</v>
      </c>
    </row>
    <row r="1441" spans="1:5" x14ac:dyDescent="0.3">
      <c r="A1441" t="str">
        <f t="shared" si="22"/>
        <v>0418627</v>
      </c>
      <c r="B1441" s="101" t="s">
        <v>18</v>
      </c>
      <c r="C1441" s="101" t="s">
        <v>164</v>
      </c>
      <c r="D1441" s="101" t="s">
        <v>194</v>
      </c>
      <c r="E1441" s="101" t="s">
        <v>17</v>
      </c>
    </row>
    <row r="1442" spans="1:5" x14ac:dyDescent="0.3">
      <c r="A1442" t="str">
        <f t="shared" si="22"/>
        <v>0418628</v>
      </c>
      <c r="B1442" s="101" t="s">
        <v>18</v>
      </c>
      <c r="C1442" s="101" t="s">
        <v>164</v>
      </c>
      <c r="D1442" s="101" t="s">
        <v>478</v>
      </c>
      <c r="E1442" s="101" t="s">
        <v>17</v>
      </c>
    </row>
    <row r="1443" spans="1:5" x14ac:dyDescent="0.3">
      <c r="A1443" t="str">
        <f t="shared" si="22"/>
        <v>0418629</v>
      </c>
      <c r="B1443" s="101" t="s">
        <v>18</v>
      </c>
      <c r="C1443" s="101" t="s">
        <v>164</v>
      </c>
      <c r="D1443" s="101" t="s">
        <v>479</v>
      </c>
      <c r="E1443" s="101" t="s">
        <v>17</v>
      </c>
    </row>
    <row r="1444" spans="1:5" x14ac:dyDescent="0.3">
      <c r="A1444" t="str">
        <f t="shared" si="22"/>
        <v>0418630</v>
      </c>
      <c r="B1444" s="101" t="s">
        <v>18</v>
      </c>
      <c r="C1444" s="101" t="s">
        <v>164</v>
      </c>
      <c r="D1444" s="101" t="s">
        <v>218</v>
      </c>
      <c r="E1444" s="101" t="s">
        <v>17</v>
      </c>
    </row>
    <row r="1445" spans="1:5" x14ac:dyDescent="0.3">
      <c r="A1445" t="str">
        <f t="shared" si="22"/>
        <v>0418631</v>
      </c>
      <c r="B1445" s="101" t="s">
        <v>18</v>
      </c>
      <c r="C1445" s="101" t="s">
        <v>164</v>
      </c>
      <c r="D1445" s="101" t="s">
        <v>219</v>
      </c>
      <c r="E1445" s="101" t="s">
        <v>17</v>
      </c>
    </row>
    <row r="1446" spans="1:5" x14ac:dyDescent="0.3">
      <c r="A1446" t="str">
        <f t="shared" si="22"/>
        <v>0418632</v>
      </c>
      <c r="B1446" s="101" t="s">
        <v>18</v>
      </c>
      <c r="C1446" s="101" t="s">
        <v>164</v>
      </c>
      <c r="D1446" s="101" t="s">
        <v>293</v>
      </c>
      <c r="E1446" s="101" t="s">
        <v>17</v>
      </c>
    </row>
    <row r="1447" spans="1:5" x14ac:dyDescent="0.3">
      <c r="A1447" t="str">
        <f t="shared" si="22"/>
        <v>0418633</v>
      </c>
      <c r="B1447" s="101" t="s">
        <v>18</v>
      </c>
      <c r="C1447" s="101" t="s">
        <v>164</v>
      </c>
      <c r="D1447" s="101" t="s">
        <v>294</v>
      </c>
      <c r="E1447" s="101" t="s">
        <v>17</v>
      </c>
    </row>
    <row r="1448" spans="1:5" x14ac:dyDescent="0.3">
      <c r="A1448" t="str">
        <f t="shared" si="22"/>
        <v>0418634</v>
      </c>
      <c r="B1448" s="101" t="s">
        <v>18</v>
      </c>
      <c r="C1448" s="101" t="s">
        <v>164</v>
      </c>
      <c r="D1448" s="101" t="s">
        <v>483</v>
      </c>
      <c r="E1448" s="101" t="s">
        <v>17</v>
      </c>
    </row>
    <row r="1449" spans="1:5" x14ac:dyDescent="0.3">
      <c r="A1449" t="str">
        <f t="shared" si="22"/>
        <v>0418692</v>
      </c>
      <c r="B1449" s="101" t="s">
        <v>18</v>
      </c>
      <c r="C1449" s="101" t="s">
        <v>164</v>
      </c>
      <c r="D1449" s="101" t="s">
        <v>273</v>
      </c>
      <c r="E1449" s="101" t="s">
        <v>17</v>
      </c>
    </row>
    <row r="1450" spans="1:5" x14ac:dyDescent="0.3">
      <c r="A1450" t="str">
        <f t="shared" si="22"/>
        <v>0418693</v>
      </c>
      <c r="B1450" s="101" t="s">
        <v>18</v>
      </c>
      <c r="C1450" s="101" t="s">
        <v>164</v>
      </c>
      <c r="D1450" s="101" t="s">
        <v>274</v>
      </c>
      <c r="E1450" s="101" t="s">
        <v>17</v>
      </c>
    </row>
    <row r="1451" spans="1:5" x14ac:dyDescent="0.3">
      <c r="A1451" t="str">
        <f t="shared" si="22"/>
        <v>0418694</v>
      </c>
      <c r="B1451" s="101" t="s">
        <v>18</v>
      </c>
      <c r="C1451" s="101" t="s">
        <v>164</v>
      </c>
      <c r="D1451" s="101" t="s">
        <v>210</v>
      </c>
      <c r="E1451" s="101" t="s">
        <v>17</v>
      </c>
    </row>
    <row r="1452" spans="1:5" x14ac:dyDescent="0.3">
      <c r="A1452" t="str">
        <f t="shared" si="22"/>
        <v>0418695</v>
      </c>
      <c r="B1452" s="101" t="s">
        <v>18</v>
      </c>
      <c r="C1452" s="101" t="s">
        <v>164</v>
      </c>
      <c r="D1452" s="101" t="s">
        <v>211</v>
      </c>
      <c r="E1452" s="101" t="s">
        <v>17</v>
      </c>
    </row>
    <row r="1453" spans="1:5" x14ac:dyDescent="0.3">
      <c r="A1453" t="str">
        <f t="shared" si="22"/>
        <v>0418696</v>
      </c>
      <c r="B1453" s="101" t="s">
        <v>18</v>
      </c>
      <c r="C1453" s="101" t="s">
        <v>164</v>
      </c>
      <c r="D1453" s="101" t="s">
        <v>505</v>
      </c>
      <c r="E1453" s="101" t="s">
        <v>17</v>
      </c>
    </row>
    <row r="1454" spans="1:5" x14ac:dyDescent="0.3">
      <c r="A1454" t="str">
        <f t="shared" si="22"/>
        <v>0418697</v>
      </c>
      <c r="B1454" s="101" t="s">
        <v>18</v>
      </c>
      <c r="C1454" s="101" t="s">
        <v>164</v>
      </c>
      <c r="D1454" s="101" t="s">
        <v>506</v>
      </c>
      <c r="E1454" s="101" t="s">
        <v>17</v>
      </c>
    </row>
    <row r="1455" spans="1:5" x14ac:dyDescent="0.3">
      <c r="A1455" t="str">
        <f t="shared" si="22"/>
        <v>0418698</v>
      </c>
      <c r="B1455" s="101" t="s">
        <v>18</v>
      </c>
      <c r="C1455" s="101" t="s">
        <v>164</v>
      </c>
      <c r="D1455" s="101" t="s">
        <v>507</v>
      </c>
      <c r="E1455" s="101" t="s">
        <v>17</v>
      </c>
    </row>
    <row r="1456" spans="1:5" x14ac:dyDescent="0.3">
      <c r="A1456" t="str">
        <f t="shared" si="22"/>
        <v>0418699</v>
      </c>
      <c r="B1456" s="101" t="s">
        <v>18</v>
      </c>
      <c r="C1456" s="101" t="s">
        <v>164</v>
      </c>
      <c r="D1456" s="101" t="s">
        <v>508</v>
      </c>
      <c r="E1456" s="101" t="s">
        <v>17</v>
      </c>
    </row>
    <row r="1457" spans="1:5" x14ac:dyDescent="0.3">
      <c r="A1457" t="str">
        <f t="shared" si="22"/>
        <v>0418700</v>
      </c>
      <c r="B1457" s="101" t="s">
        <v>18</v>
      </c>
      <c r="C1457" s="101" t="s">
        <v>164</v>
      </c>
      <c r="D1457" s="101" t="s">
        <v>509</v>
      </c>
      <c r="E1457" s="101" t="s">
        <v>17</v>
      </c>
    </row>
    <row r="1458" spans="1:5" x14ac:dyDescent="0.3">
      <c r="A1458" t="str">
        <f t="shared" si="22"/>
        <v>0418701</v>
      </c>
      <c r="B1458" s="101" t="s">
        <v>18</v>
      </c>
      <c r="C1458" s="101" t="s">
        <v>164</v>
      </c>
      <c r="D1458" s="101" t="s">
        <v>510</v>
      </c>
      <c r="E1458" s="101" t="s">
        <v>17</v>
      </c>
    </row>
    <row r="1459" spans="1:5" x14ac:dyDescent="0.3">
      <c r="A1459" t="str">
        <f t="shared" si="22"/>
        <v>0418702</v>
      </c>
      <c r="B1459" s="101" t="s">
        <v>18</v>
      </c>
      <c r="C1459" s="101" t="s">
        <v>164</v>
      </c>
      <c r="D1459" s="101" t="s">
        <v>511</v>
      </c>
      <c r="E1459" s="101" t="s">
        <v>17</v>
      </c>
    </row>
    <row r="1460" spans="1:5" x14ac:dyDescent="0.3">
      <c r="A1460" t="str">
        <f t="shared" si="22"/>
        <v>0418703</v>
      </c>
      <c r="B1460" s="101" t="s">
        <v>18</v>
      </c>
      <c r="C1460" s="101" t="s">
        <v>164</v>
      </c>
      <c r="D1460" s="101" t="s">
        <v>512</v>
      </c>
      <c r="E1460" s="101" t="s">
        <v>17</v>
      </c>
    </row>
    <row r="1461" spans="1:5" x14ac:dyDescent="0.3">
      <c r="A1461" t="str">
        <f t="shared" si="22"/>
        <v>0418704</v>
      </c>
      <c r="B1461" s="101" t="s">
        <v>18</v>
      </c>
      <c r="C1461" s="101" t="s">
        <v>164</v>
      </c>
      <c r="D1461" s="101" t="s">
        <v>513</v>
      </c>
      <c r="E1461" s="101" t="s">
        <v>17</v>
      </c>
    </row>
    <row r="1462" spans="1:5" x14ac:dyDescent="0.3">
      <c r="A1462" t="str">
        <f t="shared" si="22"/>
        <v>0418705</v>
      </c>
      <c r="B1462" s="101" t="s">
        <v>18</v>
      </c>
      <c r="C1462" s="101" t="s">
        <v>164</v>
      </c>
      <c r="D1462" s="101" t="s">
        <v>514</v>
      </c>
      <c r="E1462" s="101" t="s">
        <v>17</v>
      </c>
    </row>
    <row r="1463" spans="1:5" x14ac:dyDescent="0.3">
      <c r="A1463" t="str">
        <f t="shared" si="22"/>
        <v>0418706</v>
      </c>
      <c r="B1463" s="101" t="s">
        <v>18</v>
      </c>
      <c r="C1463" s="101" t="s">
        <v>164</v>
      </c>
      <c r="D1463" s="101" t="s">
        <v>515</v>
      </c>
      <c r="E1463" s="101" t="s">
        <v>17</v>
      </c>
    </row>
    <row r="1464" spans="1:5" x14ac:dyDescent="0.3">
      <c r="A1464" t="str">
        <f t="shared" si="22"/>
        <v>0418707</v>
      </c>
      <c r="B1464" s="101" t="s">
        <v>18</v>
      </c>
      <c r="C1464" s="101" t="s">
        <v>164</v>
      </c>
      <c r="D1464" s="101" t="s">
        <v>516</v>
      </c>
      <c r="E1464" s="101" t="s">
        <v>17</v>
      </c>
    </row>
    <row r="1465" spans="1:5" x14ac:dyDescent="0.3">
      <c r="A1465" t="str">
        <f t="shared" si="22"/>
        <v>0418708</v>
      </c>
      <c r="B1465" s="101" t="s">
        <v>18</v>
      </c>
      <c r="C1465" s="101" t="s">
        <v>164</v>
      </c>
      <c r="D1465" s="101" t="s">
        <v>517</v>
      </c>
      <c r="E1465" s="101" t="s">
        <v>17</v>
      </c>
    </row>
    <row r="1466" spans="1:5" x14ac:dyDescent="0.3">
      <c r="A1466" t="str">
        <f t="shared" si="22"/>
        <v>0418709</v>
      </c>
      <c r="B1466" s="101" t="s">
        <v>18</v>
      </c>
      <c r="C1466" s="101" t="s">
        <v>164</v>
      </c>
      <c r="D1466" s="101" t="s">
        <v>518</v>
      </c>
      <c r="E1466" s="101" t="s">
        <v>17</v>
      </c>
    </row>
    <row r="1467" spans="1:5" x14ac:dyDescent="0.3">
      <c r="A1467" t="str">
        <f t="shared" si="22"/>
        <v>0418710</v>
      </c>
      <c r="B1467" s="101" t="s">
        <v>18</v>
      </c>
      <c r="C1467" s="101" t="s">
        <v>164</v>
      </c>
      <c r="D1467" s="101" t="s">
        <v>519</v>
      </c>
      <c r="E1467" s="101" t="s">
        <v>17</v>
      </c>
    </row>
    <row r="1468" spans="1:5" x14ac:dyDescent="0.3">
      <c r="A1468" t="str">
        <f t="shared" si="22"/>
        <v>0418711</v>
      </c>
      <c r="B1468" s="101" t="s">
        <v>18</v>
      </c>
      <c r="C1468" s="101" t="s">
        <v>164</v>
      </c>
      <c r="D1468" s="101" t="s">
        <v>520</v>
      </c>
      <c r="E1468" s="101" t="s">
        <v>17</v>
      </c>
    </row>
    <row r="1469" spans="1:5" x14ac:dyDescent="0.3">
      <c r="A1469" t="str">
        <f t="shared" si="22"/>
        <v>0418712</v>
      </c>
      <c r="B1469" s="101" t="s">
        <v>18</v>
      </c>
      <c r="C1469" s="101" t="s">
        <v>164</v>
      </c>
      <c r="D1469" s="101" t="s">
        <v>521</v>
      </c>
      <c r="E1469" s="101" t="s">
        <v>17</v>
      </c>
    </row>
    <row r="1470" spans="1:5" x14ac:dyDescent="0.3">
      <c r="A1470" t="str">
        <f t="shared" si="22"/>
        <v>0418713</v>
      </c>
      <c r="B1470" s="101" t="s">
        <v>18</v>
      </c>
      <c r="C1470" s="101" t="s">
        <v>164</v>
      </c>
      <c r="D1470" s="101" t="s">
        <v>522</v>
      </c>
      <c r="E1470" s="101" t="s">
        <v>17</v>
      </c>
    </row>
    <row r="1471" spans="1:5" x14ac:dyDescent="0.3">
      <c r="A1471" t="str">
        <f t="shared" si="22"/>
        <v>0418714</v>
      </c>
      <c r="B1471" s="101" t="s">
        <v>18</v>
      </c>
      <c r="C1471" s="101" t="s">
        <v>164</v>
      </c>
      <c r="D1471" s="101" t="s">
        <v>523</v>
      </c>
      <c r="E1471" s="101" t="s">
        <v>17</v>
      </c>
    </row>
    <row r="1472" spans="1:5" x14ac:dyDescent="0.3">
      <c r="A1472" t="str">
        <f t="shared" si="22"/>
        <v>0418512</v>
      </c>
      <c r="B1472" s="101" t="s">
        <v>18</v>
      </c>
      <c r="C1472" s="101" t="s">
        <v>164</v>
      </c>
      <c r="D1472" s="101" t="s">
        <v>398</v>
      </c>
      <c r="E1472" s="101" t="s">
        <v>19</v>
      </c>
    </row>
    <row r="1473" spans="1:5" x14ac:dyDescent="0.3">
      <c r="A1473" t="str">
        <f t="shared" si="22"/>
        <v>0418514</v>
      </c>
      <c r="B1473" s="101" t="s">
        <v>18</v>
      </c>
      <c r="C1473" s="101" t="s">
        <v>164</v>
      </c>
      <c r="D1473" s="101" t="s">
        <v>388</v>
      </c>
      <c r="E1473" s="101" t="s">
        <v>19</v>
      </c>
    </row>
    <row r="1474" spans="1:5" x14ac:dyDescent="0.3">
      <c r="A1474" t="str">
        <f t="shared" si="22"/>
        <v>0418516</v>
      </c>
      <c r="B1474" s="101" t="s">
        <v>18</v>
      </c>
      <c r="C1474" s="101" t="s">
        <v>164</v>
      </c>
      <c r="D1474" s="101" t="s">
        <v>389</v>
      </c>
      <c r="E1474" s="101" t="s">
        <v>19</v>
      </c>
    </row>
    <row r="1475" spans="1:5" x14ac:dyDescent="0.3">
      <c r="A1475" t="str">
        <f t="shared" ref="A1475:A1538" si="23">CONCATENATE(B1475,C1475,D1475,F1475)</f>
        <v>0418518</v>
      </c>
      <c r="B1475" s="101" t="s">
        <v>18</v>
      </c>
      <c r="C1475" s="101" t="s">
        <v>164</v>
      </c>
      <c r="D1475" s="101" t="s">
        <v>382</v>
      </c>
      <c r="E1475" s="101" t="s">
        <v>19</v>
      </c>
    </row>
    <row r="1476" spans="1:5" x14ac:dyDescent="0.3">
      <c r="A1476" t="str">
        <f t="shared" si="23"/>
        <v>0418520</v>
      </c>
      <c r="B1476" s="101" t="s">
        <v>18</v>
      </c>
      <c r="C1476" s="101" t="s">
        <v>164</v>
      </c>
      <c r="D1476" s="101" t="s">
        <v>404</v>
      </c>
      <c r="E1476" s="101" t="s">
        <v>19</v>
      </c>
    </row>
    <row r="1477" spans="1:5" x14ac:dyDescent="0.3">
      <c r="A1477" t="str">
        <f t="shared" si="23"/>
        <v>0418521</v>
      </c>
      <c r="B1477" s="101" t="s">
        <v>18</v>
      </c>
      <c r="C1477" s="101" t="s">
        <v>164</v>
      </c>
      <c r="D1477" s="101" t="s">
        <v>384</v>
      </c>
      <c r="E1477" s="101" t="s">
        <v>19</v>
      </c>
    </row>
    <row r="1478" spans="1:5" x14ac:dyDescent="0.3">
      <c r="A1478" t="str">
        <f t="shared" si="23"/>
        <v>0418522</v>
      </c>
      <c r="B1478" s="101" t="s">
        <v>18</v>
      </c>
      <c r="C1478" s="101" t="s">
        <v>164</v>
      </c>
      <c r="D1478" s="101" t="s">
        <v>345</v>
      </c>
      <c r="E1478" s="101" t="s">
        <v>19</v>
      </c>
    </row>
    <row r="1479" spans="1:5" x14ac:dyDescent="0.3">
      <c r="A1479" t="str">
        <f t="shared" si="23"/>
        <v>0418523</v>
      </c>
      <c r="B1479" s="101" t="s">
        <v>18</v>
      </c>
      <c r="C1479" s="101" t="s">
        <v>164</v>
      </c>
      <c r="D1479" s="101" t="s">
        <v>408</v>
      </c>
      <c r="E1479" s="101" t="s">
        <v>19</v>
      </c>
    </row>
    <row r="1480" spans="1:5" x14ac:dyDescent="0.3">
      <c r="A1480" t="str">
        <f t="shared" si="23"/>
        <v>0418524</v>
      </c>
      <c r="B1480" s="101" t="s">
        <v>18</v>
      </c>
      <c r="C1480" s="101" t="s">
        <v>164</v>
      </c>
      <c r="D1480" s="101" t="s">
        <v>351</v>
      </c>
      <c r="E1480" s="101" t="s">
        <v>19</v>
      </c>
    </row>
    <row r="1481" spans="1:5" x14ac:dyDescent="0.3">
      <c r="A1481" t="str">
        <f t="shared" si="23"/>
        <v>0418525</v>
      </c>
      <c r="B1481" s="101" t="s">
        <v>18</v>
      </c>
      <c r="C1481" s="101" t="s">
        <v>164</v>
      </c>
      <c r="D1481" s="101" t="s">
        <v>394</v>
      </c>
      <c r="E1481" s="101" t="s">
        <v>19</v>
      </c>
    </row>
    <row r="1482" spans="1:5" x14ac:dyDescent="0.3">
      <c r="A1482" t="str">
        <f t="shared" si="23"/>
        <v>0418526</v>
      </c>
      <c r="B1482" s="101" t="s">
        <v>18</v>
      </c>
      <c r="C1482" s="101" t="s">
        <v>164</v>
      </c>
      <c r="D1482" s="101" t="s">
        <v>379</v>
      </c>
      <c r="E1482" s="101" t="s">
        <v>19</v>
      </c>
    </row>
    <row r="1483" spans="1:5" x14ac:dyDescent="0.3">
      <c r="A1483" t="str">
        <f t="shared" si="23"/>
        <v>0418527</v>
      </c>
      <c r="B1483" s="101" t="s">
        <v>18</v>
      </c>
      <c r="C1483" s="101" t="s">
        <v>164</v>
      </c>
      <c r="D1483" s="101" t="s">
        <v>380</v>
      </c>
      <c r="E1483" s="101" t="s">
        <v>19</v>
      </c>
    </row>
    <row r="1484" spans="1:5" x14ac:dyDescent="0.3">
      <c r="A1484" t="str">
        <f t="shared" si="23"/>
        <v>0418528</v>
      </c>
      <c r="B1484" s="101" t="s">
        <v>18</v>
      </c>
      <c r="C1484" s="101" t="s">
        <v>164</v>
      </c>
      <c r="D1484" s="101" t="s">
        <v>381</v>
      </c>
      <c r="E1484" s="101" t="s">
        <v>19</v>
      </c>
    </row>
    <row r="1485" spans="1:5" x14ac:dyDescent="0.3">
      <c r="A1485" t="str">
        <f t="shared" si="23"/>
        <v>0418529</v>
      </c>
      <c r="B1485" s="101" t="s">
        <v>18</v>
      </c>
      <c r="C1485" s="101" t="s">
        <v>164</v>
      </c>
      <c r="D1485" s="101" t="s">
        <v>364</v>
      </c>
      <c r="E1485" s="101" t="s">
        <v>19</v>
      </c>
    </row>
    <row r="1486" spans="1:5" x14ac:dyDescent="0.3">
      <c r="A1486" t="str">
        <f t="shared" si="23"/>
        <v>0418530</v>
      </c>
      <c r="B1486" s="101" t="s">
        <v>18</v>
      </c>
      <c r="C1486" s="101" t="s">
        <v>164</v>
      </c>
      <c r="D1486" s="101" t="s">
        <v>377</v>
      </c>
      <c r="E1486" s="101" t="s">
        <v>19</v>
      </c>
    </row>
    <row r="1487" spans="1:5" x14ac:dyDescent="0.3">
      <c r="A1487" t="str">
        <f t="shared" si="23"/>
        <v>0418531</v>
      </c>
      <c r="B1487" s="101" t="s">
        <v>18</v>
      </c>
      <c r="C1487" s="101" t="s">
        <v>164</v>
      </c>
      <c r="D1487" s="101" t="s">
        <v>409</v>
      </c>
      <c r="E1487" s="101" t="s">
        <v>19</v>
      </c>
    </row>
    <row r="1488" spans="1:5" x14ac:dyDescent="0.3">
      <c r="A1488" t="str">
        <f t="shared" si="23"/>
        <v>0418532</v>
      </c>
      <c r="B1488" s="101" t="s">
        <v>18</v>
      </c>
      <c r="C1488" s="101" t="s">
        <v>164</v>
      </c>
      <c r="D1488" s="101" t="s">
        <v>323</v>
      </c>
      <c r="E1488" s="101" t="s">
        <v>19</v>
      </c>
    </row>
    <row r="1489" spans="1:5" x14ac:dyDescent="0.3">
      <c r="A1489" t="str">
        <f t="shared" si="23"/>
        <v>0418533</v>
      </c>
      <c r="B1489" s="101" t="s">
        <v>18</v>
      </c>
      <c r="C1489" s="101" t="s">
        <v>164</v>
      </c>
      <c r="D1489" s="101" t="s">
        <v>397</v>
      </c>
      <c r="E1489" s="101" t="s">
        <v>19</v>
      </c>
    </row>
    <row r="1490" spans="1:5" x14ac:dyDescent="0.3">
      <c r="A1490" t="str">
        <f t="shared" si="23"/>
        <v>0418534</v>
      </c>
      <c r="B1490" s="101" t="s">
        <v>18</v>
      </c>
      <c r="C1490" s="101" t="s">
        <v>164</v>
      </c>
      <c r="D1490" s="101" t="s">
        <v>350</v>
      </c>
      <c r="E1490" s="101" t="s">
        <v>19</v>
      </c>
    </row>
    <row r="1491" spans="1:5" x14ac:dyDescent="0.3">
      <c r="A1491" t="str">
        <f t="shared" si="23"/>
        <v>0418535</v>
      </c>
      <c r="B1491" s="101" t="s">
        <v>18</v>
      </c>
      <c r="C1491" s="101" t="s">
        <v>164</v>
      </c>
      <c r="D1491" s="101" t="s">
        <v>410</v>
      </c>
      <c r="E1491" s="101" t="s">
        <v>19</v>
      </c>
    </row>
    <row r="1492" spans="1:5" x14ac:dyDescent="0.3">
      <c r="A1492" t="str">
        <f t="shared" si="23"/>
        <v>0418536</v>
      </c>
      <c r="B1492" s="101" t="s">
        <v>18</v>
      </c>
      <c r="C1492" s="101" t="s">
        <v>164</v>
      </c>
      <c r="D1492" s="101" t="s">
        <v>352</v>
      </c>
      <c r="E1492" s="101" t="s">
        <v>19</v>
      </c>
    </row>
    <row r="1493" spans="1:5" x14ac:dyDescent="0.3">
      <c r="A1493" t="str">
        <f t="shared" si="23"/>
        <v>0418537</v>
      </c>
      <c r="B1493" s="101" t="s">
        <v>18</v>
      </c>
      <c r="C1493" s="101" t="s">
        <v>164</v>
      </c>
      <c r="D1493" s="101" t="s">
        <v>395</v>
      </c>
      <c r="E1493" s="101" t="s">
        <v>19</v>
      </c>
    </row>
    <row r="1494" spans="1:5" x14ac:dyDescent="0.3">
      <c r="A1494" t="str">
        <f t="shared" si="23"/>
        <v>0418538</v>
      </c>
      <c r="B1494" s="101" t="s">
        <v>18</v>
      </c>
      <c r="C1494" s="101" t="s">
        <v>164</v>
      </c>
      <c r="D1494" s="101" t="s">
        <v>365</v>
      </c>
      <c r="E1494" s="101" t="s">
        <v>19</v>
      </c>
    </row>
    <row r="1495" spans="1:5" x14ac:dyDescent="0.3">
      <c r="A1495" t="str">
        <f t="shared" si="23"/>
        <v>0418539</v>
      </c>
      <c r="B1495" s="101" t="s">
        <v>18</v>
      </c>
      <c r="C1495" s="101" t="s">
        <v>164</v>
      </c>
      <c r="D1495" s="101" t="s">
        <v>378</v>
      </c>
      <c r="E1495" s="101" t="s">
        <v>19</v>
      </c>
    </row>
    <row r="1496" spans="1:5" x14ac:dyDescent="0.3">
      <c r="A1496" t="str">
        <f t="shared" si="23"/>
        <v>0418540</v>
      </c>
      <c r="B1496" s="101" t="s">
        <v>18</v>
      </c>
      <c r="C1496" s="101" t="s">
        <v>164</v>
      </c>
      <c r="D1496" s="101" t="s">
        <v>411</v>
      </c>
      <c r="E1496" s="101" t="s">
        <v>19</v>
      </c>
    </row>
    <row r="1497" spans="1:5" x14ac:dyDescent="0.3">
      <c r="A1497" t="str">
        <f t="shared" si="23"/>
        <v>0418541</v>
      </c>
      <c r="B1497" s="101" t="s">
        <v>18</v>
      </c>
      <c r="C1497" s="101" t="s">
        <v>164</v>
      </c>
      <c r="D1497" s="101" t="s">
        <v>325</v>
      </c>
      <c r="E1497" s="101" t="s">
        <v>19</v>
      </c>
    </row>
    <row r="1498" spans="1:5" x14ac:dyDescent="0.3">
      <c r="A1498" t="str">
        <f t="shared" si="23"/>
        <v>0418542</v>
      </c>
      <c r="B1498" s="101" t="s">
        <v>18</v>
      </c>
      <c r="C1498" s="101" t="s">
        <v>164</v>
      </c>
      <c r="D1498" s="101" t="s">
        <v>353</v>
      </c>
      <c r="E1498" s="101" t="s">
        <v>19</v>
      </c>
    </row>
    <row r="1499" spans="1:5" x14ac:dyDescent="0.3">
      <c r="A1499" t="str">
        <f t="shared" si="23"/>
        <v>0418543</v>
      </c>
      <c r="B1499" s="101" t="s">
        <v>18</v>
      </c>
      <c r="C1499" s="101" t="s">
        <v>164</v>
      </c>
      <c r="D1499" s="101" t="s">
        <v>347</v>
      </c>
      <c r="E1499" s="101" t="s">
        <v>19</v>
      </c>
    </row>
    <row r="1500" spans="1:5" x14ac:dyDescent="0.3">
      <c r="A1500" t="str">
        <f t="shared" si="23"/>
        <v>0418544</v>
      </c>
      <c r="B1500" s="101" t="s">
        <v>18</v>
      </c>
      <c r="C1500" s="101" t="s">
        <v>164</v>
      </c>
      <c r="D1500" s="101" t="s">
        <v>412</v>
      </c>
      <c r="E1500" s="101" t="s">
        <v>19</v>
      </c>
    </row>
    <row r="1501" spans="1:5" x14ac:dyDescent="0.3">
      <c r="A1501" t="str">
        <f t="shared" si="23"/>
        <v>0418545</v>
      </c>
      <c r="B1501" s="101" t="s">
        <v>18</v>
      </c>
      <c r="C1501" s="101" t="s">
        <v>164</v>
      </c>
      <c r="D1501" s="101" t="s">
        <v>413</v>
      </c>
      <c r="E1501" s="101" t="s">
        <v>19</v>
      </c>
    </row>
    <row r="1502" spans="1:5" x14ac:dyDescent="0.3">
      <c r="A1502" t="str">
        <f t="shared" si="23"/>
        <v>0418546</v>
      </c>
      <c r="B1502" s="101" t="s">
        <v>18</v>
      </c>
      <c r="C1502" s="101" t="s">
        <v>164</v>
      </c>
      <c r="D1502" s="101" t="s">
        <v>373</v>
      </c>
      <c r="E1502" s="101" t="s">
        <v>19</v>
      </c>
    </row>
    <row r="1503" spans="1:5" x14ac:dyDescent="0.3">
      <c r="A1503" t="str">
        <f t="shared" si="23"/>
        <v>0418547</v>
      </c>
      <c r="B1503" s="101" t="s">
        <v>18</v>
      </c>
      <c r="C1503" s="101" t="s">
        <v>164</v>
      </c>
      <c r="D1503" s="101" t="s">
        <v>414</v>
      </c>
      <c r="E1503" s="101" t="s">
        <v>19</v>
      </c>
    </row>
    <row r="1504" spans="1:5" x14ac:dyDescent="0.3">
      <c r="A1504" t="str">
        <f t="shared" si="23"/>
        <v>0418548</v>
      </c>
      <c r="B1504" s="101" t="s">
        <v>18</v>
      </c>
      <c r="C1504" s="101" t="s">
        <v>164</v>
      </c>
      <c r="D1504" s="101" t="s">
        <v>354</v>
      </c>
      <c r="E1504" s="101" t="s">
        <v>19</v>
      </c>
    </row>
    <row r="1505" spans="1:5" x14ac:dyDescent="0.3">
      <c r="A1505" t="str">
        <f t="shared" si="23"/>
        <v>0418549</v>
      </c>
      <c r="B1505" s="101" t="s">
        <v>18</v>
      </c>
      <c r="C1505" s="101" t="s">
        <v>164</v>
      </c>
      <c r="D1505" s="101" t="s">
        <v>348</v>
      </c>
      <c r="E1505" s="101" t="s">
        <v>19</v>
      </c>
    </row>
    <row r="1506" spans="1:5" x14ac:dyDescent="0.3">
      <c r="A1506" t="str">
        <f t="shared" si="23"/>
        <v>0418550</v>
      </c>
      <c r="B1506" s="101" t="s">
        <v>18</v>
      </c>
      <c r="C1506" s="101" t="s">
        <v>164</v>
      </c>
      <c r="D1506" s="101" t="s">
        <v>415</v>
      </c>
      <c r="E1506" s="101" t="s">
        <v>19</v>
      </c>
    </row>
    <row r="1507" spans="1:5" x14ac:dyDescent="0.3">
      <c r="A1507" t="str">
        <f t="shared" si="23"/>
        <v>0418551</v>
      </c>
      <c r="B1507" s="101" t="s">
        <v>18</v>
      </c>
      <c r="C1507" s="101" t="s">
        <v>164</v>
      </c>
      <c r="D1507" s="101" t="s">
        <v>416</v>
      </c>
      <c r="E1507" s="101" t="s">
        <v>19</v>
      </c>
    </row>
    <row r="1508" spans="1:5" x14ac:dyDescent="0.3">
      <c r="A1508" t="str">
        <f t="shared" si="23"/>
        <v>0418552</v>
      </c>
      <c r="B1508" s="101" t="s">
        <v>18</v>
      </c>
      <c r="C1508" s="101" t="s">
        <v>164</v>
      </c>
      <c r="D1508" s="101" t="s">
        <v>374</v>
      </c>
      <c r="E1508" s="101" t="s">
        <v>19</v>
      </c>
    </row>
    <row r="1509" spans="1:5" x14ac:dyDescent="0.3">
      <c r="A1509" t="str">
        <f t="shared" si="23"/>
        <v>0418553</v>
      </c>
      <c r="B1509" s="101" t="s">
        <v>18</v>
      </c>
      <c r="C1509" s="101" t="s">
        <v>164</v>
      </c>
      <c r="D1509" s="101" t="s">
        <v>417</v>
      </c>
      <c r="E1509" s="101" t="s">
        <v>19</v>
      </c>
    </row>
    <row r="1510" spans="1:5" x14ac:dyDescent="0.3">
      <c r="A1510" t="str">
        <f t="shared" si="23"/>
        <v>0418554</v>
      </c>
      <c r="B1510" s="101" t="s">
        <v>18</v>
      </c>
      <c r="C1510" s="101" t="s">
        <v>164</v>
      </c>
      <c r="D1510" s="101" t="s">
        <v>391</v>
      </c>
      <c r="E1510" s="101" t="s">
        <v>19</v>
      </c>
    </row>
    <row r="1511" spans="1:5" x14ac:dyDescent="0.3">
      <c r="A1511" t="str">
        <f t="shared" si="23"/>
        <v>0418556</v>
      </c>
      <c r="B1511" s="101" t="s">
        <v>18</v>
      </c>
      <c r="C1511" s="101" t="s">
        <v>164</v>
      </c>
      <c r="D1511" s="101" t="s">
        <v>342</v>
      </c>
      <c r="E1511" s="101" t="s">
        <v>19</v>
      </c>
    </row>
    <row r="1512" spans="1:5" x14ac:dyDescent="0.3">
      <c r="A1512" t="str">
        <f t="shared" si="23"/>
        <v>0418557</v>
      </c>
      <c r="B1512" s="101" t="s">
        <v>18</v>
      </c>
      <c r="C1512" s="101" t="s">
        <v>164</v>
      </c>
      <c r="D1512" s="101" t="s">
        <v>343</v>
      </c>
      <c r="E1512" s="101" t="s">
        <v>19</v>
      </c>
    </row>
    <row r="1513" spans="1:5" x14ac:dyDescent="0.3">
      <c r="A1513" t="str">
        <f t="shared" si="23"/>
        <v>0418558</v>
      </c>
      <c r="B1513" s="101" t="s">
        <v>18</v>
      </c>
      <c r="C1513" s="101" t="s">
        <v>164</v>
      </c>
      <c r="D1513" s="101" t="s">
        <v>362</v>
      </c>
      <c r="E1513" s="101" t="s">
        <v>19</v>
      </c>
    </row>
    <row r="1514" spans="1:5" x14ac:dyDescent="0.3">
      <c r="A1514" t="str">
        <f t="shared" si="23"/>
        <v>0418559</v>
      </c>
      <c r="B1514" s="101" t="s">
        <v>18</v>
      </c>
      <c r="C1514" s="101" t="s">
        <v>164</v>
      </c>
      <c r="D1514" s="101" t="s">
        <v>363</v>
      </c>
      <c r="E1514" s="101" t="s">
        <v>19</v>
      </c>
    </row>
    <row r="1515" spans="1:5" x14ac:dyDescent="0.3">
      <c r="A1515" t="str">
        <f t="shared" si="23"/>
        <v>0418560</v>
      </c>
      <c r="B1515" s="101" t="s">
        <v>18</v>
      </c>
      <c r="C1515" s="101" t="s">
        <v>164</v>
      </c>
      <c r="D1515" s="101" t="s">
        <v>375</v>
      </c>
      <c r="E1515" s="101" t="s">
        <v>19</v>
      </c>
    </row>
    <row r="1516" spans="1:5" x14ac:dyDescent="0.3">
      <c r="A1516" t="str">
        <f t="shared" si="23"/>
        <v>0418561</v>
      </c>
      <c r="B1516" s="101" t="s">
        <v>18</v>
      </c>
      <c r="C1516" s="101" t="s">
        <v>164</v>
      </c>
      <c r="D1516" s="101" t="s">
        <v>376</v>
      </c>
      <c r="E1516" s="101" t="s">
        <v>19</v>
      </c>
    </row>
    <row r="1517" spans="1:5" x14ac:dyDescent="0.3">
      <c r="A1517" t="str">
        <f t="shared" si="23"/>
        <v>0418562</v>
      </c>
      <c r="B1517" s="101" t="s">
        <v>18</v>
      </c>
      <c r="C1517" s="101" t="s">
        <v>164</v>
      </c>
      <c r="D1517" s="101" t="s">
        <v>421</v>
      </c>
      <c r="E1517" s="101" t="s">
        <v>19</v>
      </c>
    </row>
    <row r="1518" spans="1:5" x14ac:dyDescent="0.3">
      <c r="A1518" t="str">
        <f t="shared" si="23"/>
        <v>0418563</v>
      </c>
      <c r="B1518" s="101" t="s">
        <v>18</v>
      </c>
      <c r="C1518" s="101" t="s">
        <v>164</v>
      </c>
      <c r="D1518" s="101" t="s">
        <v>422</v>
      </c>
      <c r="E1518" s="101" t="s">
        <v>19</v>
      </c>
    </row>
    <row r="1519" spans="1:5" x14ac:dyDescent="0.3">
      <c r="A1519" t="str">
        <f t="shared" si="23"/>
        <v>0418564</v>
      </c>
      <c r="B1519" s="101" t="s">
        <v>18</v>
      </c>
      <c r="C1519" s="101" t="s">
        <v>164</v>
      </c>
      <c r="D1519" s="101" t="s">
        <v>423</v>
      </c>
      <c r="E1519" s="101" t="s">
        <v>19</v>
      </c>
    </row>
    <row r="1520" spans="1:5" x14ac:dyDescent="0.3">
      <c r="A1520" t="str">
        <f t="shared" si="23"/>
        <v>0418565</v>
      </c>
      <c r="B1520" s="101" t="s">
        <v>18</v>
      </c>
      <c r="C1520" s="101" t="s">
        <v>164</v>
      </c>
      <c r="D1520" s="101" t="s">
        <v>424</v>
      </c>
      <c r="E1520" s="101" t="s">
        <v>19</v>
      </c>
    </row>
    <row r="1521" spans="1:5" x14ac:dyDescent="0.3">
      <c r="A1521" t="str">
        <f t="shared" si="23"/>
        <v>0418566</v>
      </c>
      <c r="B1521" s="101" t="s">
        <v>18</v>
      </c>
      <c r="C1521" s="101" t="s">
        <v>164</v>
      </c>
      <c r="D1521" s="101" t="s">
        <v>425</v>
      </c>
      <c r="E1521" s="101" t="s">
        <v>19</v>
      </c>
    </row>
    <row r="1522" spans="1:5" x14ac:dyDescent="0.3">
      <c r="A1522" t="str">
        <f t="shared" si="23"/>
        <v>0418567</v>
      </c>
      <c r="B1522" s="101" t="s">
        <v>18</v>
      </c>
      <c r="C1522" s="101" t="s">
        <v>164</v>
      </c>
      <c r="D1522" s="101" t="s">
        <v>426</v>
      </c>
      <c r="E1522" s="101" t="s">
        <v>19</v>
      </c>
    </row>
    <row r="1523" spans="1:5" x14ac:dyDescent="0.3">
      <c r="A1523" t="str">
        <f t="shared" si="23"/>
        <v>0418568</v>
      </c>
      <c r="B1523" s="101" t="s">
        <v>18</v>
      </c>
      <c r="C1523" s="101" t="s">
        <v>164</v>
      </c>
      <c r="D1523" s="101" t="s">
        <v>427</v>
      </c>
      <c r="E1523" s="101" t="s">
        <v>19</v>
      </c>
    </row>
    <row r="1524" spans="1:5" x14ac:dyDescent="0.3">
      <c r="A1524" t="str">
        <f t="shared" si="23"/>
        <v>0418569</v>
      </c>
      <c r="B1524" s="101" t="s">
        <v>18</v>
      </c>
      <c r="C1524" s="101" t="s">
        <v>164</v>
      </c>
      <c r="D1524" s="101" t="s">
        <v>428</v>
      </c>
      <c r="E1524" s="101" t="s">
        <v>19</v>
      </c>
    </row>
    <row r="1525" spans="1:5" x14ac:dyDescent="0.3">
      <c r="A1525" t="str">
        <f t="shared" si="23"/>
        <v>0418570</v>
      </c>
      <c r="B1525" s="101" t="s">
        <v>18</v>
      </c>
      <c r="C1525" s="101" t="s">
        <v>164</v>
      </c>
      <c r="D1525" s="101" t="s">
        <v>429</v>
      </c>
      <c r="E1525" s="101" t="s">
        <v>19</v>
      </c>
    </row>
    <row r="1526" spans="1:5" x14ac:dyDescent="0.3">
      <c r="A1526" t="str">
        <f t="shared" si="23"/>
        <v>0418571</v>
      </c>
      <c r="B1526" s="101" t="s">
        <v>18</v>
      </c>
      <c r="C1526" s="101" t="s">
        <v>164</v>
      </c>
      <c r="D1526" s="101" t="s">
        <v>430</v>
      </c>
      <c r="E1526" s="101" t="s">
        <v>19</v>
      </c>
    </row>
    <row r="1527" spans="1:5" x14ac:dyDescent="0.3">
      <c r="A1527" t="str">
        <f t="shared" si="23"/>
        <v>0418572</v>
      </c>
      <c r="B1527" s="101" t="s">
        <v>18</v>
      </c>
      <c r="C1527" s="101" t="s">
        <v>164</v>
      </c>
      <c r="D1527" s="101" t="s">
        <v>431</v>
      </c>
      <c r="E1527" s="101" t="s">
        <v>19</v>
      </c>
    </row>
    <row r="1528" spans="1:5" x14ac:dyDescent="0.3">
      <c r="A1528" t="str">
        <f t="shared" si="23"/>
        <v>0418573</v>
      </c>
      <c r="B1528" s="101" t="s">
        <v>18</v>
      </c>
      <c r="C1528" s="101" t="s">
        <v>164</v>
      </c>
      <c r="D1528" s="101" t="s">
        <v>432</v>
      </c>
      <c r="E1528" s="101" t="s">
        <v>19</v>
      </c>
    </row>
    <row r="1529" spans="1:5" x14ac:dyDescent="0.3">
      <c r="A1529" t="str">
        <f t="shared" si="23"/>
        <v>0418574</v>
      </c>
      <c r="B1529" s="101" t="s">
        <v>18</v>
      </c>
      <c r="C1529" s="101" t="s">
        <v>164</v>
      </c>
      <c r="D1529" s="101" t="s">
        <v>433</v>
      </c>
      <c r="E1529" s="101" t="s">
        <v>19</v>
      </c>
    </row>
    <row r="1530" spans="1:5" x14ac:dyDescent="0.3">
      <c r="A1530" t="str">
        <f t="shared" si="23"/>
        <v>0418575</v>
      </c>
      <c r="B1530" s="101" t="s">
        <v>18</v>
      </c>
      <c r="C1530" s="101" t="s">
        <v>164</v>
      </c>
      <c r="D1530" s="101" t="s">
        <v>434</v>
      </c>
      <c r="E1530" s="101" t="s">
        <v>19</v>
      </c>
    </row>
    <row r="1531" spans="1:5" x14ac:dyDescent="0.3">
      <c r="A1531" t="str">
        <f t="shared" si="23"/>
        <v>0418576</v>
      </c>
      <c r="B1531" s="101" t="s">
        <v>18</v>
      </c>
      <c r="C1531" s="101" t="s">
        <v>164</v>
      </c>
      <c r="D1531" s="101" t="s">
        <v>435</v>
      </c>
      <c r="E1531" s="101" t="s">
        <v>19</v>
      </c>
    </row>
    <row r="1532" spans="1:5" x14ac:dyDescent="0.3">
      <c r="A1532" t="str">
        <f t="shared" si="23"/>
        <v>0418577</v>
      </c>
      <c r="B1532" s="101" t="s">
        <v>18</v>
      </c>
      <c r="C1532" s="101" t="s">
        <v>164</v>
      </c>
      <c r="D1532" s="101" t="s">
        <v>436</v>
      </c>
      <c r="E1532" s="101" t="s">
        <v>19</v>
      </c>
    </row>
    <row r="1533" spans="1:5" x14ac:dyDescent="0.3">
      <c r="A1533" t="str">
        <f t="shared" si="23"/>
        <v>0418578</v>
      </c>
      <c r="B1533" s="101" t="s">
        <v>18</v>
      </c>
      <c r="C1533" s="101" t="s">
        <v>164</v>
      </c>
      <c r="D1533" s="101" t="s">
        <v>437</v>
      </c>
      <c r="E1533" s="101" t="s">
        <v>19</v>
      </c>
    </row>
    <row r="1534" spans="1:5" x14ac:dyDescent="0.3">
      <c r="A1534" t="str">
        <f t="shared" si="23"/>
        <v>0418579</v>
      </c>
      <c r="B1534" s="101" t="s">
        <v>18</v>
      </c>
      <c r="C1534" s="101" t="s">
        <v>164</v>
      </c>
      <c r="D1534" s="101" t="s">
        <v>438</v>
      </c>
      <c r="E1534" s="101" t="s">
        <v>19</v>
      </c>
    </row>
    <row r="1535" spans="1:5" x14ac:dyDescent="0.3">
      <c r="A1535" t="str">
        <f t="shared" si="23"/>
        <v>0418580</v>
      </c>
      <c r="B1535" s="101" t="s">
        <v>18</v>
      </c>
      <c r="C1535" s="101" t="s">
        <v>164</v>
      </c>
      <c r="D1535" s="101" t="s">
        <v>439</v>
      </c>
      <c r="E1535" s="101" t="s">
        <v>19</v>
      </c>
    </row>
    <row r="1536" spans="1:5" x14ac:dyDescent="0.3">
      <c r="A1536" t="str">
        <f t="shared" si="23"/>
        <v>0418581</v>
      </c>
      <c r="B1536" s="101" t="s">
        <v>18</v>
      </c>
      <c r="C1536" s="101" t="s">
        <v>164</v>
      </c>
      <c r="D1536" s="101" t="s">
        <v>440</v>
      </c>
      <c r="E1536" s="101" t="s">
        <v>19</v>
      </c>
    </row>
    <row r="1537" spans="1:5" x14ac:dyDescent="0.3">
      <c r="A1537" t="str">
        <f t="shared" si="23"/>
        <v>0418582</v>
      </c>
      <c r="B1537" s="101" t="s">
        <v>18</v>
      </c>
      <c r="C1537" s="101" t="s">
        <v>164</v>
      </c>
      <c r="D1537" s="101" t="s">
        <v>441</v>
      </c>
      <c r="E1537" s="101" t="s">
        <v>19</v>
      </c>
    </row>
    <row r="1538" spans="1:5" x14ac:dyDescent="0.3">
      <c r="A1538" t="str">
        <f t="shared" si="23"/>
        <v>0418583</v>
      </c>
      <c r="B1538" s="101" t="s">
        <v>18</v>
      </c>
      <c r="C1538" s="101" t="s">
        <v>164</v>
      </c>
      <c r="D1538" s="101" t="s">
        <v>442</v>
      </c>
      <c r="E1538" s="101" t="s">
        <v>19</v>
      </c>
    </row>
    <row r="1539" spans="1:5" x14ac:dyDescent="0.3">
      <c r="A1539" t="str">
        <f t="shared" ref="A1539:A1602" si="24">CONCATENATE(B1539,C1539,D1539,F1539)</f>
        <v>0418584</v>
      </c>
      <c r="B1539" s="101" t="s">
        <v>18</v>
      </c>
      <c r="C1539" s="101" t="s">
        <v>164</v>
      </c>
      <c r="D1539" s="101" t="s">
        <v>443</v>
      </c>
      <c r="E1539" s="101" t="s">
        <v>19</v>
      </c>
    </row>
    <row r="1540" spans="1:5" x14ac:dyDescent="0.3">
      <c r="A1540" t="str">
        <f t="shared" si="24"/>
        <v>0418585</v>
      </c>
      <c r="B1540" s="101" t="s">
        <v>18</v>
      </c>
      <c r="C1540" s="101" t="s">
        <v>164</v>
      </c>
      <c r="D1540" s="101" t="s">
        <v>444</v>
      </c>
      <c r="E1540" s="101" t="s">
        <v>19</v>
      </c>
    </row>
    <row r="1541" spans="1:5" x14ac:dyDescent="0.3">
      <c r="A1541" t="str">
        <f t="shared" si="24"/>
        <v>0418586</v>
      </c>
      <c r="B1541" s="101" t="s">
        <v>18</v>
      </c>
      <c r="C1541" s="101" t="s">
        <v>164</v>
      </c>
      <c r="D1541" s="101" t="s">
        <v>445</v>
      </c>
      <c r="E1541" s="101" t="s">
        <v>19</v>
      </c>
    </row>
    <row r="1542" spans="1:5" x14ac:dyDescent="0.3">
      <c r="A1542" t="str">
        <f t="shared" si="24"/>
        <v>0518801</v>
      </c>
      <c r="B1542" s="101" t="s">
        <v>313</v>
      </c>
      <c r="C1542" s="101" t="s">
        <v>164</v>
      </c>
      <c r="D1542" s="101" t="s">
        <v>144</v>
      </c>
      <c r="E1542" s="101" t="s">
        <v>139</v>
      </c>
    </row>
    <row r="1543" spans="1:5" x14ac:dyDescent="0.3">
      <c r="A1543" t="str">
        <f t="shared" si="24"/>
        <v>0518802</v>
      </c>
      <c r="B1543" s="101" t="s">
        <v>313</v>
      </c>
      <c r="C1543" s="101" t="s">
        <v>164</v>
      </c>
      <c r="D1543" s="101" t="s">
        <v>145</v>
      </c>
      <c r="E1543" s="101" t="s">
        <v>139</v>
      </c>
    </row>
    <row r="1544" spans="1:5" x14ac:dyDescent="0.3">
      <c r="A1544" t="str">
        <f t="shared" si="24"/>
        <v>0518500</v>
      </c>
      <c r="B1544" s="101" t="s">
        <v>313</v>
      </c>
      <c r="C1544" s="101" t="s">
        <v>164</v>
      </c>
      <c r="D1544" s="101" t="s">
        <v>146</v>
      </c>
      <c r="E1544" s="101" t="s">
        <v>139</v>
      </c>
    </row>
    <row r="1545" spans="1:5" x14ac:dyDescent="0.3">
      <c r="A1545" t="str">
        <f t="shared" si="24"/>
        <v>0518501</v>
      </c>
      <c r="B1545" s="101" t="s">
        <v>313</v>
      </c>
      <c r="C1545" s="101" t="s">
        <v>164</v>
      </c>
      <c r="D1545" s="101" t="s">
        <v>147</v>
      </c>
      <c r="E1545" s="101" t="s">
        <v>139</v>
      </c>
    </row>
    <row r="1546" spans="1:5" x14ac:dyDescent="0.3">
      <c r="A1546" t="str">
        <f t="shared" si="24"/>
        <v>0518071</v>
      </c>
      <c r="B1546" s="101" t="s">
        <v>313</v>
      </c>
      <c r="C1546" s="101" t="s">
        <v>164</v>
      </c>
      <c r="D1546" s="101" t="s">
        <v>600</v>
      </c>
      <c r="E1546" s="101" t="s">
        <v>140</v>
      </c>
    </row>
    <row r="1547" spans="1:5" x14ac:dyDescent="0.3">
      <c r="A1547" t="str">
        <f t="shared" si="24"/>
        <v>0518072</v>
      </c>
      <c r="B1547" s="101" t="s">
        <v>313</v>
      </c>
      <c r="C1547" s="101" t="s">
        <v>164</v>
      </c>
      <c r="D1547" s="101" t="s">
        <v>601</v>
      </c>
      <c r="E1547" s="101" t="s">
        <v>140</v>
      </c>
    </row>
    <row r="1548" spans="1:5" x14ac:dyDescent="0.3">
      <c r="A1548" t="str">
        <f t="shared" si="24"/>
        <v>0518690</v>
      </c>
      <c r="B1548" s="101" t="s">
        <v>313</v>
      </c>
      <c r="C1548" s="101" t="s">
        <v>164</v>
      </c>
      <c r="D1548" s="101" t="s">
        <v>220</v>
      </c>
      <c r="E1548" s="101" t="s">
        <v>140</v>
      </c>
    </row>
    <row r="1549" spans="1:5" x14ac:dyDescent="0.3">
      <c r="A1549" t="str">
        <f t="shared" si="24"/>
        <v>0518691</v>
      </c>
      <c r="B1549" s="101" t="s">
        <v>313</v>
      </c>
      <c r="C1549" s="101" t="s">
        <v>164</v>
      </c>
      <c r="D1549" s="101" t="s">
        <v>221</v>
      </c>
      <c r="E1549" s="101" t="s">
        <v>140</v>
      </c>
    </row>
    <row r="1550" spans="1:5" x14ac:dyDescent="0.3">
      <c r="A1550" t="str">
        <f t="shared" si="24"/>
        <v>0618801</v>
      </c>
      <c r="B1550" s="101" t="s">
        <v>317</v>
      </c>
      <c r="C1550" s="101" t="s">
        <v>164</v>
      </c>
      <c r="D1550" s="101" t="s">
        <v>144</v>
      </c>
      <c r="E1550" s="101" t="s">
        <v>139</v>
      </c>
    </row>
    <row r="1551" spans="1:5" x14ac:dyDescent="0.3">
      <c r="A1551" t="str">
        <f t="shared" si="24"/>
        <v>0618802</v>
      </c>
      <c r="B1551" s="101" t="s">
        <v>317</v>
      </c>
      <c r="C1551" s="101" t="s">
        <v>164</v>
      </c>
      <c r="D1551" s="101" t="s">
        <v>145</v>
      </c>
      <c r="E1551" s="101" t="s">
        <v>139</v>
      </c>
    </row>
    <row r="1552" spans="1:5" x14ac:dyDescent="0.3">
      <c r="A1552" t="str">
        <f t="shared" si="24"/>
        <v>0618500</v>
      </c>
      <c r="B1552" s="101" t="s">
        <v>317</v>
      </c>
      <c r="C1552" s="101" t="s">
        <v>164</v>
      </c>
      <c r="D1552" s="101" t="s">
        <v>146</v>
      </c>
      <c r="E1552" s="101" t="s">
        <v>139</v>
      </c>
    </row>
    <row r="1553" spans="1:5" x14ac:dyDescent="0.3">
      <c r="A1553" t="str">
        <f t="shared" si="24"/>
        <v>0618501</v>
      </c>
      <c r="B1553" s="101" t="s">
        <v>317</v>
      </c>
      <c r="C1553" s="101" t="s">
        <v>164</v>
      </c>
      <c r="D1553" s="101" t="s">
        <v>147</v>
      </c>
      <c r="E1553" s="101" t="s">
        <v>139</v>
      </c>
    </row>
    <row r="1554" spans="1:5" x14ac:dyDescent="0.3">
      <c r="A1554" t="str">
        <f t="shared" si="24"/>
        <v>0618071</v>
      </c>
      <c r="B1554" s="101" t="s">
        <v>317</v>
      </c>
      <c r="C1554" s="101" t="s">
        <v>164</v>
      </c>
      <c r="D1554" s="101" t="s">
        <v>600</v>
      </c>
      <c r="E1554" s="101" t="s">
        <v>17</v>
      </c>
    </row>
    <row r="1555" spans="1:5" x14ac:dyDescent="0.3">
      <c r="A1555" t="str">
        <f t="shared" si="24"/>
        <v>0618072</v>
      </c>
      <c r="B1555" s="101" t="s">
        <v>317</v>
      </c>
      <c r="C1555" s="101" t="s">
        <v>164</v>
      </c>
      <c r="D1555" s="101" t="s">
        <v>601</v>
      </c>
      <c r="E1555" s="101" t="s">
        <v>140</v>
      </c>
    </row>
    <row r="1556" spans="1:5" x14ac:dyDescent="0.3">
      <c r="A1556" t="str">
        <f t="shared" si="24"/>
        <v>0618690</v>
      </c>
      <c r="B1556" s="101" t="s">
        <v>317</v>
      </c>
      <c r="C1556" s="101" t="s">
        <v>164</v>
      </c>
      <c r="D1556" s="101" t="s">
        <v>220</v>
      </c>
      <c r="E1556" s="101" t="s">
        <v>140</v>
      </c>
    </row>
    <row r="1557" spans="1:5" x14ac:dyDescent="0.3">
      <c r="A1557" t="str">
        <f t="shared" si="24"/>
        <v>0618691</v>
      </c>
      <c r="B1557" s="101" t="s">
        <v>317</v>
      </c>
      <c r="C1557" s="101" t="s">
        <v>164</v>
      </c>
      <c r="D1557" s="101" t="s">
        <v>221</v>
      </c>
      <c r="E1557" s="101" t="s">
        <v>140</v>
      </c>
    </row>
    <row r="1558" spans="1:5" x14ac:dyDescent="0.3">
      <c r="A1558" t="str">
        <f t="shared" si="24"/>
        <v>0718801</v>
      </c>
      <c r="B1558" s="101" t="s">
        <v>319</v>
      </c>
      <c r="C1558" s="101" t="s">
        <v>164</v>
      </c>
      <c r="D1558" s="101" t="s">
        <v>144</v>
      </c>
      <c r="E1558" s="101" t="s">
        <v>139</v>
      </c>
    </row>
    <row r="1559" spans="1:5" x14ac:dyDescent="0.3">
      <c r="A1559" t="str">
        <f t="shared" si="24"/>
        <v>0718802</v>
      </c>
      <c r="B1559" s="101" t="s">
        <v>319</v>
      </c>
      <c r="C1559" s="101" t="s">
        <v>164</v>
      </c>
      <c r="D1559" s="101" t="s">
        <v>145</v>
      </c>
      <c r="E1559" s="101" t="s">
        <v>139</v>
      </c>
    </row>
    <row r="1560" spans="1:5" x14ac:dyDescent="0.3">
      <c r="A1560" t="str">
        <f t="shared" si="24"/>
        <v>0718500</v>
      </c>
      <c r="B1560" s="101" t="s">
        <v>319</v>
      </c>
      <c r="C1560" s="101" t="s">
        <v>164</v>
      </c>
      <c r="D1560" s="101" t="s">
        <v>146</v>
      </c>
      <c r="E1560" s="101" t="s">
        <v>139</v>
      </c>
    </row>
    <row r="1561" spans="1:5" x14ac:dyDescent="0.3">
      <c r="A1561" t="str">
        <f t="shared" si="24"/>
        <v>0718501</v>
      </c>
      <c r="B1561" s="101" t="s">
        <v>319</v>
      </c>
      <c r="C1561" s="101" t="s">
        <v>164</v>
      </c>
      <c r="D1561" s="101" t="s">
        <v>147</v>
      </c>
      <c r="E1561" s="101" t="s">
        <v>139</v>
      </c>
    </row>
    <row r="1562" spans="1:5" x14ac:dyDescent="0.3">
      <c r="A1562" t="str">
        <f t="shared" si="24"/>
        <v>0718071</v>
      </c>
      <c r="B1562" s="101" t="s">
        <v>319</v>
      </c>
      <c r="C1562" s="101" t="s">
        <v>164</v>
      </c>
      <c r="D1562" s="101" t="s">
        <v>600</v>
      </c>
      <c r="E1562" s="101" t="s">
        <v>140</v>
      </c>
    </row>
    <row r="1563" spans="1:5" x14ac:dyDescent="0.3">
      <c r="A1563" t="str">
        <f t="shared" si="24"/>
        <v>0718072</v>
      </c>
      <c r="B1563" s="101" t="s">
        <v>319</v>
      </c>
      <c r="C1563" s="101" t="s">
        <v>164</v>
      </c>
      <c r="D1563" s="101" t="s">
        <v>601</v>
      </c>
      <c r="E1563" s="101" t="s">
        <v>140</v>
      </c>
    </row>
    <row r="1564" spans="1:5" x14ac:dyDescent="0.3">
      <c r="A1564" t="str">
        <f t="shared" si="24"/>
        <v>0718690</v>
      </c>
      <c r="B1564" s="101" t="s">
        <v>319</v>
      </c>
      <c r="C1564" s="101" t="s">
        <v>164</v>
      </c>
      <c r="D1564" s="101" t="s">
        <v>220</v>
      </c>
      <c r="E1564" s="101" t="s">
        <v>140</v>
      </c>
    </row>
    <row r="1565" spans="1:5" x14ac:dyDescent="0.3">
      <c r="A1565" t="str">
        <f t="shared" si="24"/>
        <v>0718691</v>
      </c>
      <c r="B1565" s="101" t="s">
        <v>319</v>
      </c>
      <c r="C1565" s="101" t="s">
        <v>164</v>
      </c>
      <c r="D1565" s="101" t="s">
        <v>221</v>
      </c>
      <c r="E1565" s="101" t="s">
        <v>140</v>
      </c>
    </row>
    <row r="1566" spans="1:5" x14ac:dyDescent="0.3">
      <c r="A1566" t="str">
        <f t="shared" si="24"/>
        <v>0818801</v>
      </c>
      <c r="B1566" s="101" t="s">
        <v>320</v>
      </c>
      <c r="C1566" s="101" t="s">
        <v>164</v>
      </c>
      <c r="D1566" s="101" t="s">
        <v>144</v>
      </c>
      <c r="E1566" s="101" t="s">
        <v>139</v>
      </c>
    </row>
    <row r="1567" spans="1:5" x14ac:dyDescent="0.3">
      <c r="A1567" t="str">
        <f t="shared" si="24"/>
        <v>0818802</v>
      </c>
      <c r="B1567" s="101" t="s">
        <v>320</v>
      </c>
      <c r="C1567" s="101" t="s">
        <v>164</v>
      </c>
      <c r="D1567" s="101" t="s">
        <v>145</v>
      </c>
      <c r="E1567" s="101" t="s">
        <v>139</v>
      </c>
    </row>
    <row r="1568" spans="1:5" x14ac:dyDescent="0.3">
      <c r="A1568" t="str">
        <f t="shared" si="24"/>
        <v>0818500</v>
      </c>
      <c r="B1568" s="101" t="s">
        <v>320</v>
      </c>
      <c r="C1568" s="101" t="s">
        <v>164</v>
      </c>
      <c r="D1568" s="101" t="s">
        <v>146</v>
      </c>
      <c r="E1568" s="101" t="s">
        <v>139</v>
      </c>
    </row>
    <row r="1569" spans="1:5" x14ac:dyDescent="0.3">
      <c r="A1569" t="str">
        <f t="shared" si="24"/>
        <v>0818501</v>
      </c>
      <c r="B1569" s="101" t="s">
        <v>320</v>
      </c>
      <c r="C1569" s="101" t="s">
        <v>164</v>
      </c>
      <c r="D1569" s="101" t="s">
        <v>147</v>
      </c>
      <c r="E1569" s="101" t="s">
        <v>139</v>
      </c>
    </row>
    <row r="1570" spans="1:5" x14ac:dyDescent="0.3">
      <c r="A1570" t="str">
        <f t="shared" si="24"/>
        <v>0818071</v>
      </c>
      <c r="B1570" s="101" t="s">
        <v>320</v>
      </c>
      <c r="C1570" s="101" t="s">
        <v>164</v>
      </c>
      <c r="D1570" s="101" t="s">
        <v>600</v>
      </c>
      <c r="E1570" s="101" t="s">
        <v>140</v>
      </c>
    </row>
    <row r="1571" spans="1:5" x14ac:dyDescent="0.3">
      <c r="A1571" t="str">
        <f t="shared" si="24"/>
        <v>0818072</v>
      </c>
      <c r="B1571" s="101" t="s">
        <v>320</v>
      </c>
      <c r="C1571" s="101" t="s">
        <v>164</v>
      </c>
      <c r="D1571" s="101" t="s">
        <v>601</v>
      </c>
      <c r="E1571" s="101" t="s">
        <v>140</v>
      </c>
    </row>
    <row r="1572" spans="1:5" x14ac:dyDescent="0.3">
      <c r="A1572" t="str">
        <f t="shared" si="24"/>
        <v>0818690</v>
      </c>
      <c r="B1572" s="101" t="s">
        <v>320</v>
      </c>
      <c r="C1572" s="101" t="s">
        <v>164</v>
      </c>
      <c r="D1572" s="101" t="s">
        <v>220</v>
      </c>
      <c r="E1572" s="101" t="s">
        <v>140</v>
      </c>
    </row>
    <row r="1573" spans="1:5" x14ac:dyDescent="0.3">
      <c r="A1573" t="str">
        <f t="shared" si="24"/>
        <v>0818691</v>
      </c>
      <c r="B1573" s="101" t="s">
        <v>320</v>
      </c>
      <c r="C1573" s="101" t="s">
        <v>164</v>
      </c>
      <c r="D1573" s="101" t="s">
        <v>221</v>
      </c>
      <c r="E1573" s="101" t="s">
        <v>140</v>
      </c>
    </row>
    <row r="1574" spans="1:5" x14ac:dyDescent="0.3">
      <c r="A1574" t="str">
        <f t="shared" si="24"/>
        <v>0319002</v>
      </c>
      <c r="B1574" s="101" t="s">
        <v>16</v>
      </c>
      <c r="C1574" s="101" t="s">
        <v>166</v>
      </c>
      <c r="D1574" s="101" t="s">
        <v>596</v>
      </c>
      <c r="E1574" s="101" t="s">
        <v>139</v>
      </c>
    </row>
    <row r="1575" spans="1:5" x14ac:dyDescent="0.3">
      <c r="A1575" t="str">
        <f t="shared" si="24"/>
        <v>0319801</v>
      </c>
      <c r="B1575" s="101" t="s">
        <v>16</v>
      </c>
      <c r="C1575" s="101" t="s">
        <v>166</v>
      </c>
      <c r="D1575" s="101" t="s">
        <v>144</v>
      </c>
      <c r="E1575" s="101" t="s">
        <v>139</v>
      </c>
    </row>
    <row r="1576" spans="1:5" x14ac:dyDescent="0.3">
      <c r="A1576" t="str">
        <f t="shared" si="24"/>
        <v>0319802</v>
      </c>
      <c r="B1576" s="101" t="s">
        <v>16</v>
      </c>
      <c r="C1576" s="101" t="s">
        <v>166</v>
      </c>
      <c r="D1576" s="101" t="s">
        <v>145</v>
      </c>
      <c r="E1576" s="101" t="s">
        <v>139</v>
      </c>
    </row>
    <row r="1577" spans="1:5" x14ac:dyDescent="0.3">
      <c r="A1577" t="str">
        <f t="shared" si="24"/>
        <v>0319500</v>
      </c>
      <c r="B1577" s="101" t="s">
        <v>16</v>
      </c>
      <c r="C1577" s="101" t="s">
        <v>166</v>
      </c>
      <c r="D1577" s="101" t="s">
        <v>146</v>
      </c>
      <c r="E1577" s="101" t="s">
        <v>139</v>
      </c>
    </row>
    <row r="1578" spans="1:5" x14ac:dyDescent="0.3">
      <c r="A1578" t="str">
        <f t="shared" si="24"/>
        <v>0319501</v>
      </c>
      <c r="B1578" s="101" t="s">
        <v>16</v>
      </c>
      <c r="C1578" s="101" t="s">
        <v>166</v>
      </c>
      <c r="D1578" s="101" t="s">
        <v>147</v>
      </c>
      <c r="E1578" s="101" t="s">
        <v>139</v>
      </c>
    </row>
    <row r="1579" spans="1:5" x14ac:dyDescent="0.3">
      <c r="A1579" t="str">
        <f t="shared" si="24"/>
        <v>0319016</v>
      </c>
      <c r="B1579" s="101" t="s">
        <v>16</v>
      </c>
      <c r="C1579" s="101" t="s">
        <v>166</v>
      </c>
      <c r="D1579" s="101" t="s">
        <v>396</v>
      </c>
      <c r="E1579" s="101" t="s">
        <v>17</v>
      </c>
    </row>
    <row r="1580" spans="1:5" x14ac:dyDescent="0.3">
      <c r="A1580" t="str">
        <f t="shared" si="24"/>
        <v>0319805</v>
      </c>
      <c r="B1580" s="101" t="s">
        <v>16</v>
      </c>
      <c r="C1580" s="101" t="s">
        <v>166</v>
      </c>
      <c r="D1580" s="101" t="s">
        <v>543</v>
      </c>
      <c r="E1580" s="101" t="s">
        <v>17</v>
      </c>
    </row>
    <row r="1581" spans="1:5" x14ac:dyDescent="0.3">
      <c r="A1581" t="str">
        <f t="shared" si="24"/>
        <v>0319806</v>
      </c>
      <c r="B1581" s="101" t="s">
        <v>16</v>
      </c>
      <c r="C1581" s="101" t="s">
        <v>166</v>
      </c>
      <c r="D1581" s="101" t="s">
        <v>544</v>
      </c>
      <c r="E1581" s="101" t="s">
        <v>17</v>
      </c>
    </row>
    <row r="1582" spans="1:5" x14ac:dyDescent="0.3">
      <c r="A1582" t="str">
        <f t="shared" si="24"/>
        <v>0319811</v>
      </c>
      <c r="B1582" s="101" t="s">
        <v>16</v>
      </c>
      <c r="C1582" s="101" t="s">
        <v>166</v>
      </c>
      <c r="D1582" s="101" t="s">
        <v>189</v>
      </c>
      <c r="E1582" s="101" t="s">
        <v>17</v>
      </c>
    </row>
    <row r="1583" spans="1:5" x14ac:dyDescent="0.3">
      <c r="A1583" t="str">
        <f t="shared" si="24"/>
        <v>0319812</v>
      </c>
      <c r="B1583" s="101" t="s">
        <v>16</v>
      </c>
      <c r="C1583" s="101" t="s">
        <v>166</v>
      </c>
      <c r="D1583" s="101" t="s">
        <v>190</v>
      </c>
      <c r="E1583" s="101" t="s">
        <v>17</v>
      </c>
    </row>
    <row r="1584" spans="1:5" x14ac:dyDescent="0.3">
      <c r="A1584" t="str">
        <f t="shared" si="24"/>
        <v>0319815</v>
      </c>
      <c r="B1584" s="101" t="s">
        <v>16</v>
      </c>
      <c r="C1584" s="101" t="s">
        <v>166</v>
      </c>
      <c r="D1584" s="101" t="s">
        <v>335</v>
      </c>
      <c r="E1584" s="101" t="s">
        <v>17</v>
      </c>
    </row>
    <row r="1585" spans="1:5" x14ac:dyDescent="0.3">
      <c r="A1585" t="str">
        <f t="shared" si="24"/>
        <v>0319521</v>
      </c>
      <c r="B1585" s="101" t="s">
        <v>16</v>
      </c>
      <c r="C1585" s="101" t="s">
        <v>166</v>
      </c>
      <c r="D1585" s="101" t="s">
        <v>384</v>
      </c>
      <c r="E1585" s="101" t="s">
        <v>17</v>
      </c>
    </row>
    <row r="1586" spans="1:5" x14ac:dyDescent="0.3">
      <c r="A1586" t="str">
        <f t="shared" si="24"/>
        <v>0319510</v>
      </c>
      <c r="B1586" s="101" t="s">
        <v>16</v>
      </c>
      <c r="C1586" s="101" t="s">
        <v>166</v>
      </c>
      <c r="D1586" s="101" t="s">
        <v>385</v>
      </c>
      <c r="E1586" s="101" t="s">
        <v>17</v>
      </c>
    </row>
    <row r="1587" spans="1:5" x14ac:dyDescent="0.3">
      <c r="A1587" t="str">
        <f t="shared" si="24"/>
        <v>0319511</v>
      </c>
      <c r="B1587" s="101" t="s">
        <v>16</v>
      </c>
      <c r="C1587" s="101" t="s">
        <v>166</v>
      </c>
      <c r="D1587" s="101" t="s">
        <v>386</v>
      </c>
      <c r="E1587" s="101" t="s">
        <v>17</v>
      </c>
    </row>
    <row r="1588" spans="1:5" x14ac:dyDescent="0.3">
      <c r="A1588" t="str">
        <f t="shared" si="24"/>
        <v>0319512</v>
      </c>
      <c r="B1588" s="101" t="s">
        <v>16</v>
      </c>
      <c r="C1588" s="101" t="s">
        <v>166</v>
      </c>
      <c r="D1588" s="101" t="s">
        <v>398</v>
      </c>
      <c r="E1588" s="101" t="s">
        <v>17</v>
      </c>
    </row>
    <row r="1589" spans="1:5" x14ac:dyDescent="0.3">
      <c r="A1589" t="str">
        <f t="shared" si="24"/>
        <v>0319513</v>
      </c>
      <c r="B1589" s="101" t="s">
        <v>16</v>
      </c>
      <c r="C1589" s="101" t="s">
        <v>166</v>
      </c>
      <c r="D1589" s="101" t="s">
        <v>387</v>
      </c>
      <c r="E1589" s="101" t="s">
        <v>17</v>
      </c>
    </row>
    <row r="1590" spans="1:5" x14ac:dyDescent="0.3">
      <c r="A1590" t="str">
        <f t="shared" si="24"/>
        <v>0319516</v>
      </c>
      <c r="B1590" s="101" t="s">
        <v>16</v>
      </c>
      <c r="C1590" s="101" t="s">
        <v>166</v>
      </c>
      <c r="D1590" s="101" t="s">
        <v>389</v>
      </c>
      <c r="E1590" s="101" t="s">
        <v>17</v>
      </c>
    </row>
    <row r="1591" spans="1:5" x14ac:dyDescent="0.3">
      <c r="A1591" t="str">
        <f t="shared" si="24"/>
        <v>0319022</v>
      </c>
      <c r="B1591" s="101" t="s">
        <v>16</v>
      </c>
      <c r="C1591" s="101" t="s">
        <v>166</v>
      </c>
      <c r="D1591" s="101" t="s">
        <v>322</v>
      </c>
      <c r="E1591" s="101" t="s">
        <v>17</v>
      </c>
    </row>
    <row r="1592" spans="1:5" x14ac:dyDescent="0.3">
      <c r="A1592" t="str">
        <f t="shared" si="24"/>
        <v>0319024</v>
      </c>
      <c r="B1592" s="101" t="s">
        <v>16</v>
      </c>
      <c r="C1592" s="101" t="s">
        <v>166</v>
      </c>
      <c r="D1592" s="101" t="s">
        <v>481</v>
      </c>
      <c r="E1592" s="101" t="s">
        <v>17</v>
      </c>
    </row>
    <row r="1593" spans="1:5" x14ac:dyDescent="0.3">
      <c r="A1593" t="str">
        <f t="shared" si="24"/>
        <v>0319527</v>
      </c>
      <c r="B1593" s="101" t="s">
        <v>16</v>
      </c>
      <c r="C1593" s="101" t="s">
        <v>166</v>
      </c>
      <c r="D1593" s="101" t="s">
        <v>380</v>
      </c>
      <c r="E1593" s="101" t="s">
        <v>17</v>
      </c>
    </row>
    <row r="1594" spans="1:5" x14ac:dyDescent="0.3">
      <c r="A1594" t="str">
        <f t="shared" si="24"/>
        <v>0319529</v>
      </c>
      <c r="B1594" s="101" t="s">
        <v>16</v>
      </c>
      <c r="C1594" s="101" t="s">
        <v>166</v>
      </c>
      <c r="D1594" s="101" t="s">
        <v>364</v>
      </c>
      <c r="E1594" s="101" t="s">
        <v>17</v>
      </c>
    </row>
    <row r="1595" spans="1:5" x14ac:dyDescent="0.3">
      <c r="A1595" t="str">
        <f t="shared" si="24"/>
        <v>0319067</v>
      </c>
      <c r="B1595" s="101" t="s">
        <v>16</v>
      </c>
      <c r="C1595" s="101" t="s">
        <v>166</v>
      </c>
      <c r="D1595" s="101" t="s">
        <v>602</v>
      </c>
      <c r="E1595" s="101" t="s">
        <v>140</v>
      </c>
    </row>
    <row r="1596" spans="1:5" x14ac:dyDescent="0.3">
      <c r="A1596" t="str">
        <f t="shared" si="24"/>
        <v>0319068</v>
      </c>
      <c r="B1596" s="101" t="s">
        <v>16</v>
      </c>
      <c r="C1596" s="101" t="s">
        <v>166</v>
      </c>
      <c r="D1596" s="101" t="s">
        <v>603</v>
      </c>
      <c r="E1596" s="101" t="s">
        <v>140</v>
      </c>
    </row>
    <row r="1597" spans="1:5" x14ac:dyDescent="0.3">
      <c r="A1597" t="str">
        <f t="shared" si="24"/>
        <v>0319069</v>
      </c>
      <c r="B1597" s="101" t="s">
        <v>16</v>
      </c>
      <c r="C1597" s="101" t="s">
        <v>166</v>
      </c>
      <c r="D1597" s="101" t="s">
        <v>604</v>
      </c>
      <c r="E1597" s="101" t="s">
        <v>140</v>
      </c>
    </row>
    <row r="1598" spans="1:5" x14ac:dyDescent="0.3">
      <c r="A1598" t="str">
        <f t="shared" si="24"/>
        <v>0319070</v>
      </c>
      <c r="B1598" s="101" t="s">
        <v>16</v>
      </c>
      <c r="C1598" s="101" t="s">
        <v>166</v>
      </c>
      <c r="D1598" s="101" t="s">
        <v>605</v>
      </c>
      <c r="E1598" s="101" t="s">
        <v>140</v>
      </c>
    </row>
    <row r="1599" spans="1:5" x14ac:dyDescent="0.3">
      <c r="A1599" t="str">
        <f t="shared" si="24"/>
        <v>0319573</v>
      </c>
      <c r="B1599" s="101" t="s">
        <v>16</v>
      </c>
      <c r="C1599" s="101" t="s">
        <v>166</v>
      </c>
      <c r="D1599" s="101" t="s">
        <v>432</v>
      </c>
      <c r="E1599" s="101" t="s">
        <v>140</v>
      </c>
    </row>
    <row r="1600" spans="1:5" x14ac:dyDescent="0.3">
      <c r="A1600" t="str">
        <f t="shared" si="24"/>
        <v>0319574</v>
      </c>
      <c r="B1600" s="101" t="s">
        <v>16</v>
      </c>
      <c r="C1600" s="101" t="s">
        <v>166</v>
      </c>
      <c r="D1600" s="101" t="s">
        <v>433</v>
      </c>
      <c r="E1600" s="101" t="s">
        <v>140</v>
      </c>
    </row>
    <row r="1601" spans="1:5" x14ac:dyDescent="0.3">
      <c r="A1601" t="str">
        <f t="shared" si="24"/>
        <v>0319575</v>
      </c>
      <c r="B1601" s="101" t="s">
        <v>16</v>
      </c>
      <c r="C1601" s="101" t="s">
        <v>166</v>
      </c>
      <c r="D1601" s="101" t="s">
        <v>434</v>
      </c>
      <c r="E1601" s="101" t="s">
        <v>140</v>
      </c>
    </row>
    <row r="1602" spans="1:5" x14ac:dyDescent="0.3">
      <c r="A1602" t="str">
        <f t="shared" si="24"/>
        <v>0319576</v>
      </c>
      <c r="B1602" s="101" t="s">
        <v>16</v>
      </c>
      <c r="C1602" s="101" t="s">
        <v>166</v>
      </c>
      <c r="D1602" s="101" t="s">
        <v>435</v>
      </c>
      <c r="E1602" s="101" t="s">
        <v>140</v>
      </c>
    </row>
    <row r="1603" spans="1:5" x14ac:dyDescent="0.3">
      <c r="A1603" t="str">
        <f t="shared" ref="A1603:A1666" si="25">CONCATENATE(B1603,C1603,D1603,F1603)</f>
        <v>0319041</v>
      </c>
      <c r="B1603" s="101" t="s">
        <v>16</v>
      </c>
      <c r="C1603" s="101" t="s">
        <v>166</v>
      </c>
      <c r="D1603" s="101" t="s">
        <v>583</v>
      </c>
      <c r="E1603" s="101" t="s">
        <v>17</v>
      </c>
    </row>
    <row r="1604" spans="1:5" x14ac:dyDescent="0.3">
      <c r="A1604" t="str">
        <f t="shared" si="25"/>
        <v>0319043</v>
      </c>
      <c r="B1604" s="101" t="s">
        <v>16</v>
      </c>
      <c r="C1604" s="101" t="s">
        <v>166</v>
      </c>
      <c r="D1604" s="101" t="s">
        <v>419</v>
      </c>
      <c r="E1604" s="101" t="s">
        <v>17</v>
      </c>
    </row>
    <row r="1605" spans="1:5" x14ac:dyDescent="0.3">
      <c r="A1605" t="str">
        <f t="shared" si="25"/>
        <v>0319045</v>
      </c>
      <c r="B1605" s="101" t="s">
        <v>16</v>
      </c>
      <c r="C1605" s="101" t="s">
        <v>166</v>
      </c>
      <c r="D1605" s="101" t="s">
        <v>453</v>
      </c>
      <c r="E1605" s="101" t="s">
        <v>17</v>
      </c>
    </row>
    <row r="1606" spans="1:5" x14ac:dyDescent="0.3">
      <c r="A1606" t="str">
        <f t="shared" si="25"/>
        <v>0319049</v>
      </c>
      <c r="B1606" s="101" t="s">
        <v>16</v>
      </c>
      <c r="C1606" s="101" t="s">
        <v>166</v>
      </c>
      <c r="D1606" s="101" t="s">
        <v>606</v>
      </c>
      <c r="E1606" s="101" t="s">
        <v>17</v>
      </c>
    </row>
    <row r="1607" spans="1:5" x14ac:dyDescent="0.3">
      <c r="A1607" t="str">
        <f t="shared" si="25"/>
        <v>0319051</v>
      </c>
      <c r="B1607" s="101" t="s">
        <v>16</v>
      </c>
      <c r="C1607" s="101" t="s">
        <v>166</v>
      </c>
      <c r="D1607" s="101" t="s">
        <v>588</v>
      </c>
      <c r="E1607" s="101" t="s">
        <v>17</v>
      </c>
    </row>
    <row r="1608" spans="1:5" x14ac:dyDescent="0.3">
      <c r="A1608" t="str">
        <f t="shared" si="25"/>
        <v>0319053</v>
      </c>
      <c r="B1608" s="101" t="s">
        <v>16</v>
      </c>
      <c r="C1608" s="101" t="s">
        <v>166</v>
      </c>
      <c r="D1608" s="101" t="s">
        <v>607</v>
      </c>
      <c r="E1608" s="101" t="s">
        <v>17</v>
      </c>
    </row>
    <row r="1609" spans="1:5" x14ac:dyDescent="0.3">
      <c r="A1609" t="str">
        <f t="shared" si="25"/>
        <v>0319055</v>
      </c>
      <c r="B1609" s="101" t="s">
        <v>16</v>
      </c>
      <c r="C1609" s="101" t="s">
        <v>166</v>
      </c>
      <c r="D1609" s="101" t="s">
        <v>608</v>
      </c>
      <c r="E1609" s="101" t="s">
        <v>17</v>
      </c>
    </row>
    <row r="1610" spans="1:5" x14ac:dyDescent="0.3">
      <c r="A1610" t="str">
        <f t="shared" si="25"/>
        <v>0319531</v>
      </c>
      <c r="B1610" s="101" t="s">
        <v>16</v>
      </c>
      <c r="C1610" s="101" t="s">
        <v>166</v>
      </c>
      <c r="D1610" s="101" t="s">
        <v>409</v>
      </c>
      <c r="E1610" s="101" t="s">
        <v>17</v>
      </c>
    </row>
    <row r="1611" spans="1:5" x14ac:dyDescent="0.3">
      <c r="A1611" t="str">
        <f t="shared" si="25"/>
        <v>0319533</v>
      </c>
      <c r="B1611" s="101" t="s">
        <v>16</v>
      </c>
      <c r="C1611" s="101" t="s">
        <v>166</v>
      </c>
      <c r="D1611" s="101" t="s">
        <v>397</v>
      </c>
      <c r="E1611" s="101" t="s">
        <v>17</v>
      </c>
    </row>
    <row r="1612" spans="1:5" x14ac:dyDescent="0.3">
      <c r="A1612" t="str">
        <f t="shared" si="25"/>
        <v>0319535</v>
      </c>
      <c r="B1612" s="101" t="s">
        <v>16</v>
      </c>
      <c r="C1612" s="101" t="s">
        <v>166</v>
      </c>
      <c r="D1612" s="101" t="s">
        <v>410</v>
      </c>
      <c r="E1612" s="101" t="s">
        <v>17</v>
      </c>
    </row>
    <row r="1613" spans="1:5" x14ac:dyDescent="0.3">
      <c r="A1613" t="str">
        <f t="shared" si="25"/>
        <v>0319540</v>
      </c>
      <c r="B1613" s="101" t="s">
        <v>16</v>
      </c>
      <c r="C1613" s="101" t="s">
        <v>166</v>
      </c>
      <c r="D1613" s="101" t="s">
        <v>411</v>
      </c>
      <c r="E1613" s="101" t="s">
        <v>17</v>
      </c>
    </row>
    <row r="1614" spans="1:5" x14ac:dyDescent="0.3">
      <c r="A1614" t="str">
        <f t="shared" si="25"/>
        <v>0319542</v>
      </c>
      <c r="B1614" s="101" t="s">
        <v>16</v>
      </c>
      <c r="C1614" s="101" t="s">
        <v>166</v>
      </c>
      <c r="D1614" s="101" t="s">
        <v>353</v>
      </c>
      <c r="E1614" s="101" t="s">
        <v>17</v>
      </c>
    </row>
    <row r="1615" spans="1:5" x14ac:dyDescent="0.3">
      <c r="A1615" t="str">
        <f t="shared" si="25"/>
        <v>0319544</v>
      </c>
      <c r="B1615" s="101" t="s">
        <v>16</v>
      </c>
      <c r="C1615" s="101" t="s">
        <v>166</v>
      </c>
      <c r="D1615" s="101" t="s">
        <v>412</v>
      </c>
      <c r="E1615" s="101" t="s">
        <v>17</v>
      </c>
    </row>
    <row r="1616" spans="1:5" x14ac:dyDescent="0.3">
      <c r="A1616" t="str">
        <f t="shared" si="25"/>
        <v>0319546</v>
      </c>
      <c r="B1616" s="101" t="s">
        <v>16</v>
      </c>
      <c r="C1616" s="101" t="s">
        <v>166</v>
      </c>
      <c r="D1616" s="101" t="s">
        <v>373</v>
      </c>
      <c r="E1616" s="101" t="s">
        <v>17</v>
      </c>
    </row>
    <row r="1617" spans="1:5" x14ac:dyDescent="0.3">
      <c r="A1617" t="str">
        <f t="shared" si="25"/>
        <v>0419002</v>
      </c>
      <c r="B1617" s="101" t="s">
        <v>18</v>
      </c>
      <c r="C1617" s="101" t="s">
        <v>166</v>
      </c>
      <c r="D1617" s="101" t="s">
        <v>596</v>
      </c>
      <c r="E1617" s="101" t="s">
        <v>139</v>
      </c>
    </row>
    <row r="1618" spans="1:5" x14ac:dyDescent="0.3">
      <c r="A1618" t="str">
        <f t="shared" si="25"/>
        <v>0419801</v>
      </c>
      <c r="B1618" s="101" t="s">
        <v>18</v>
      </c>
      <c r="C1618" s="101" t="s">
        <v>166</v>
      </c>
      <c r="D1618" s="101" t="s">
        <v>144</v>
      </c>
      <c r="E1618" s="101" t="s">
        <v>139</v>
      </c>
    </row>
    <row r="1619" spans="1:5" x14ac:dyDescent="0.3">
      <c r="A1619" t="str">
        <f t="shared" si="25"/>
        <v>0419802</v>
      </c>
      <c r="B1619" s="101" t="s">
        <v>18</v>
      </c>
      <c r="C1619" s="101" t="s">
        <v>166</v>
      </c>
      <c r="D1619" s="101" t="s">
        <v>145</v>
      </c>
      <c r="E1619" s="101" t="s">
        <v>139</v>
      </c>
    </row>
    <row r="1620" spans="1:5" x14ac:dyDescent="0.3">
      <c r="A1620" t="str">
        <f t="shared" si="25"/>
        <v>0419500</v>
      </c>
      <c r="B1620" s="101" t="s">
        <v>18</v>
      </c>
      <c r="C1620" s="101" t="s">
        <v>166</v>
      </c>
      <c r="D1620" s="101" t="s">
        <v>146</v>
      </c>
      <c r="E1620" s="101" t="s">
        <v>139</v>
      </c>
    </row>
    <row r="1621" spans="1:5" x14ac:dyDescent="0.3">
      <c r="A1621" t="str">
        <f t="shared" si="25"/>
        <v>0419501</v>
      </c>
      <c r="B1621" s="101" t="s">
        <v>18</v>
      </c>
      <c r="C1621" s="101" t="s">
        <v>166</v>
      </c>
      <c r="D1621" s="101" t="s">
        <v>147</v>
      </c>
      <c r="E1621" s="101" t="s">
        <v>139</v>
      </c>
    </row>
    <row r="1622" spans="1:5" x14ac:dyDescent="0.3">
      <c r="A1622" t="str">
        <f t="shared" si="25"/>
        <v>0419016</v>
      </c>
      <c r="B1622" s="101" t="s">
        <v>18</v>
      </c>
      <c r="C1622" s="101" t="s">
        <v>166</v>
      </c>
      <c r="D1622" s="101" t="s">
        <v>396</v>
      </c>
      <c r="E1622" s="101" t="s">
        <v>17</v>
      </c>
    </row>
    <row r="1623" spans="1:5" x14ac:dyDescent="0.3">
      <c r="A1623" t="str">
        <f t="shared" si="25"/>
        <v>0419805</v>
      </c>
      <c r="B1623" s="101" t="s">
        <v>18</v>
      </c>
      <c r="C1623" s="101" t="s">
        <v>166</v>
      </c>
      <c r="D1623" s="101" t="s">
        <v>543</v>
      </c>
      <c r="E1623" s="101" t="s">
        <v>17</v>
      </c>
    </row>
    <row r="1624" spans="1:5" x14ac:dyDescent="0.3">
      <c r="A1624" t="str">
        <f t="shared" si="25"/>
        <v>0419806</v>
      </c>
      <c r="B1624" s="101" t="s">
        <v>18</v>
      </c>
      <c r="C1624" s="101" t="s">
        <v>166</v>
      </c>
      <c r="D1624" s="101" t="s">
        <v>544</v>
      </c>
      <c r="E1624" s="101" t="s">
        <v>17</v>
      </c>
    </row>
    <row r="1625" spans="1:5" x14ac:dyDescent="0.3">
      <c r="A1625" t="str">
        <f t="shared" si="25"/>
        <v>0419811</v>
      </c>
      <c r="B1625" s="101" t="s">
        <v>18</v>
      </c>
      <c r="C1625" s="101" t="s">
        <v>166</v>
      </c>
      <c r="D1625" s="101" t="s">
        <v>189</v>
      </c>
      <c r="E1625" s="101" t="s">
        <v>17</v>
      </c>
    </row>
    <row r="1626" spans="1:5" x14ac:dyDescent="0.3">
      <c r="A1626" t="str">
        <f t="shared" si="25"/>
        <v>0419812</v>
      </c>
      <c r="B1626" s="101" t="s">
        <v>18</v>
      </c>
      <c r="C1626" s="101" t="s">
        <v>166</v>
      </c>
      <c r="D1626" s="101" t="s">
        <v>190</v>
      </c>
      <c r="E1626" s="101" t="s">
        <v>17</v>
      </c>
    </row>
    <row r="1627" spans="1:5" x14ac:dyDescent="0.3">
      <c r="A1627" t="str">
        <f t="shared" si="25"/>
        <v>0419815</v>
      </c>
      <c r="B1627" s="101" t="s">
        <v>18</v>
      </c>
      <c r="C1627" s="101" t="s">
        <v>166</v>
      </c>
      <c r="D1627" s="101" t="s">
        <v>335</v>
      </c>
      <c r="E1627" s="101" t="s">
        <v>17</v>
      </c>
    </row>
    <row r="1628" spans="1:5" x14ac:dyDescent="0.3">
      <c r="A1628" t="str">
        <f t="shared" si="25"/>
        <v>0419521</v>
      </c>
      <c r="B1628" s="101" t="s">
        <v>18</v>
      </c>
      <c r="C1628" s="101" t="s">
        <v>166</v>
      </c>
      <c r="D1628" s="101" t="s">
        <v>384</v>
      </c>
      <c r="E1628" s="101" t="s">
        <v>17</v>
      </c>
    </row>
    <row r="1629" spans="1:5" x14ac:dyDescent="0.3">
      <c r="A1629" t="str">
        <f t="shared" si="25"/>
        <v>0419510</v>
      </c>
      <c r="B1629" s="101" t="s">
        <v>18</v>
      </c>
      <c r="C1629" s="101" t="s">
        <v>166</v>
      </c>
      <c r="D1629" s="101" t="s">
        <v>385</v>
      </c>
      <c r="E1629" s="101" t="s">
        <v>17</v>
      </c>
    </row>
    <row r="1630" spans="1:5" x14ac:dyDescent="0.3">
      <c r="A1630" t="str">
        <f t="shared" si="25"/>
        <v>0419511</v>
      </c>
      <c r="B1630" s="101" t="s">
        <v>18</v>
      </c>
      <c r="C1630" s="101" t="s">
        <v>166</v>
      </c>
      <c r="D1630" s="101" t="s">
        <v>386</v>
      </c>
      <c r="E1630" s="101" t="s">
        <v>17</v>
      </c>
    </row>
    <row r="1631" spans="1:5" x14ac:dyDescent="0.3">
      <c r="A1631" t="str">
        <f t="shared" si="25"/>
        <v>0419512</v>
      </c>
      <c r="B1631" s="101" t="s">
        <v>18</v>
      </c>
      <c r="C1631" s="101" t="s">
        <v>166</v>
      </c>
      <c r="D1631" s="101" t="s">
        <v>398</v>
      </c>
      <c r="E1631" s="101" t="s">
        <v>17</v>
      </c>
    </row>
    <row r="1632" spans="1:5" x14ac:dyDescent="0.3">
      <c r="A1632" t="str">
        <f t="shared" si="25"/>
        <v>0419513</v>
      </c>
      <c r="B1632" s="101" t="s">
        <v>18</v>
      </c>
      <c r="C1632" s="101" t="s">
        <v>166</v>
      </c>
      <c r="D1632" s="101" t="s">
        <v>387</v>
      </c>
      <c r="E1632" s="101" t="s">
        <v>17</v>
      </c>
    </row>
    <row r="1633" spans="1:5" x14ac:dyDescent="0.3">
      <c r="A1633" t="str">
        <f t="shared" si="25"/>
        <v>0419516</v>
      </c>
      <c r="B1633" s="101" t="s">
        <v>18</v>
      </c>
      <c r="C1633" s="101" t="s">
        <v>166</v>
      </c>
      <c r="D1633" s="101" t="s">
        <v>389</v>
      </c>
      <c r="E1633" s="101" t="s">
        <v>17</v>
      </c>
    </row>
    <row r="1634" spans="1:5" x14ac:dyDescent="0.3">
      <c r="A1634" t="str">
        <f t="shared" si="25"/>
        <v>0419022</v>
      </c>
      <c r="B1634" s="101" t="s">
        <v>18</v>
      </c>
      <c r="C1634" s="101" t="s">
        <v>166</v>
      </c>
      <c r="D1634" s="101" t="s">
        <v>322</v>
      </c>
      <c r="E1634" s="101" t="s">
        <v>17</v>
      </c>
    </row>
    <row r="1635" spans="1:5" x14ac:dyDescent="0.3">
      <c r="A1635" t="str">
        <f t="shared" si="25"/>
        <v>0419024</v>
      </c>
      <c r="B1635" s="101" t="s">
        <v>18</v>
      </c>
      <c r="C1635" s="101" t="s">
        <v>166</v>
      </c>
      <c r="D1635" s="101" t="s">
        <v>481</v>
      </c>
      <c r="E1635" s="101" t="s">
        <v>17</v>
      </c>
    </row>
    <row r="1636" spans="1:5" x14ac:dyDescent="0.3">
      <c r="A1636" t="str">
        <f t="shared" si="25"/>
        <v>0419527</v>
      </c>
      <c r="B1636" s="101" t="s">
        <v>18</v>
      </c>
      <c r="C1636" s="101" t="s">
        <v>166</v>
      </c>
      <c r="D1636" s="101" t="s">
        <v>380</v>
      </c>
      <c r="E1636" s="101" t="s">
        <v>17</v>
      </c>
    </row>
    <row r="1637" spans="1:5" x14ac:dyDescent="0.3">
      <c r="A1637" t="str">
        <f t="shared" si="25"/>
        <v>0419529</v>
      </c>
      <c r="B1637" s="101" t="s">
        <v>18</v>
      </c>
      <c r="C1637" s="101" t="s">
        <v>166</v>
      </c>
      <c r="D1637" s="101" t="s">
        <v>364</v>
      </c>
      <c r="E1637" s="101" t="s">
        <v>17</v>
      </c>
    </row>
    <row r="1638" spans="1:5" x14ac:dyDescent="0.3">
      <c r="A1638" t="str">
        <f t="shared" si="25"/>
        <v>0419067</v>
      </c>
      <c r="B1638" s="101" t="s">
        <v>18</v>
      </c>
      <c r="C1638" s="101" t="s">
        <v>166</v>
      </c>
      <c r="D1638" s="101" t="s">
        <v>602</v>
      </c>
      <c r="E1638" s="101" t="s">
        <v>140</v>
      </c>
    </row>
    <row r="1639" spans="1:5" x14ac:dyDescent="0.3">
      <c r="A1639" t="str">
        <f t="shared" si="25"/>
        <v>0419068</v>
      </c>
      <c r="B1639" s="101" t="s">
        <v>18</v>
      </c>
      <c r="C1639" s="101" t="s">
        <v>166</v>
      </c>
      <c r="D1639" s="101" t="s">
        <v>603</v>
      </c>
      <c r="E1639" s="101" t="s">
        <v>140</v>
      </c>
    </row>
    <row r="1640" spans="1:5" x14ac:dyDescent="0.3">
      <c r="A1640" t="str">
        <f t="shared" si="25"/>
        <v>0419069</v>
      </c>
      <c r="B1640" s="101" t="s">
        <v>18</v>
      </c>
      <c r="C1640" s="101" t="s">
        <v>166</v>
      </c>
      <c r="D1640" s="101" t="s">
        <v>604</v>
      </c>
      <c r="E1640" s="101" t="s">
        <v>140</v>
      </c>
    </row>
    <row r="1641" spans="1:5" x14ac:dyDescent="0.3">
      <c r="A1641" t="str">
        <f t="shared" si="25"/>
        <v>0419070</v>
      </c>
      <c r="B1641" s="101" t="s">
        <v>18</v>
      </c>
      <c r="C1641" s="101" t="s">
        <v>166</v>
      </c>
      <c r="D1641" s="101" t="s">
        <v>605</v>
      </c>
      <c r="E1641" s="101" t="s">
        <v>140</v>
      </c>
    </row>
    <row r="1642" spans="1:5" x14ac:dyDescent="0.3">
      <c r="A1642" t="str">
        <f t="shared" si="25"/>
        <v>0419573</v>
      </c>
      <c r="B1642" s="101" t="s">
        <v>18</v>
      </c>
      <c r="C1642" s="101" t="s">
        <v>166</v>
      </c>
      <c r="D1642" s="101" t="s">
        <v>432</v>
      </c>
      <c r="E1642" s="101" t="s">
        <v>140</v>
      </c>
    </row>
    <row r="1643" spans="1:5" x14ac:dyDescent="0.3">
      <c r="A1643" t="str">
        <f t="shared" si="25"/>
        <v>0419574</v>
      </c>
      <c r="B1643" s="101" t="s">
        <v>18</v>
      </c>
      <c r="C1643" s="101" t="s">
        <v>166</v>
      </c>
      <c r="D1643" s="101" t="s">
        <v>433</v>
      </c>
      <c r="E1643" s="101" t="s">
        <v>140</v>
      </c>
    </row>
    <row r="1644" spans="1:5" x14ac:dyDescent="0.3">
      <c r="A1644" t="str">
        <f t="shared" si="25"/>
        <v>0419575</v>
      </c>
      <c r="B1644" s="101" t="s">
        <v>18</v>
      </c>
      <c r="C1644" s="101" t="s">
        <v>166</v>
      </c>
      <c r="D1644" s="101" t="s">
        <v>434</v>
      </c>
      <c r="E1644" s="101" t="s">
        <v>140</v>
      </c>
    </row>
    <row r="1645" spans="1:5" x14ac:dyDescent="0.3">
      <c r="A1645" t="str">
        <f t="shared" si="25"/>
        <v>0419576</v>
      </c>
      <c r="B1645" s="101" t="s">
        <v>18</v>
      </c>
      <c r="C1645" s="101" t="s">
        <v>166</v>
      </c>
      <c r="D1645" s="101" t="s">
        <v>435</v>
      </c>
      <c r="E1645" s="101" t="s">
        <v>140</v>
      </c>
    </row>
    <row r="1646" spans="1:5" x14ac:dyDescent="0.3">
      <c r="A1646" t="str">
        <f t="shared" si="25"/>
        <v>0419041</v>
      </c>
      <c r="B1646" s="101" t="s">
        <v>18</v>
      </c>
      <c r="C1646" s="101" t="s">
        <v>166</v>
      </c>
      <c r="D1646" s="101" t="s">
        <v>583</v>
      </c>
      <c r="E1646" s="101" t="s">
        <v>17</v>
      </c>
    </row>
    <row r="1647" spans="1:5" x14ac:dyDescent="0.3">
      <c r="A1647" t="str">
        <f t="shared" si="25"/>
        <v>0419043</v>
      </c>
      <c r="B1647" s="101" t="s">
        <v>18</v>
      </c>
      <c r="C1647" s="101" t="s">
        <v>166</v>
      </c>
      <c r="D1647" s="101" t="s">
        <v>419</v>
      </c>
      <c r="E1647" s="101" t="s">
        <v>17</v>
      </c>
    </row>
    <row r="1648" spans="1:5" x14ac:dyDescent="0.3">
      <c r="A1648" t="str">
        <f t="shared" si="25"/>
        <v>0419045</v>
      </c>
      <c r="B1648" s="101" t="s">
        <v>18</v>
      </c>
      <c r="C1648" s="101" t="s">
        <v>166</v>
      </c>
      <c r="D1648" s="101" t="s">
        <v>453</v>
      </c>
      <c r="E1648" s="101" t="s">
        <v>17</v>
      </c>
    </row>
    <row r="1649" spans="1:5" x14ac:dyDescent="0.3">
      <c r="A1649" t="str">
        <f t="shared" si="25"/>
        <v>0419049</v>
      </c>
      <c r="B1649" s="101" t="s">
        <v>18</v>
      </c>
      <c r="C1649" s="101" t="s">
        <v>166</v>
      </c>
      <c r="D1649" s="101" t="s">
        <v>606</v>
      </c>
      <c r="E1649" s="101" t="s">
        <v>17</v>
      </c>
    </row>
    <row r="1650" spans="1:5" x14ac:dyDescent="0.3">
      <c r="A1650" t="str">
        <f t="shared" si="25"/>
        <v>0419051</v>
      </c>
      <c r="B1650" s="101" t="s">
        <v>18</v>
      </c>
      <c r="C1650" s="101" t="s">
        <v>166</v>
      </c>
      <c r="D1650" s="101" t="s">
        <v>588</v>
      </c>
      <c r="E1650" s="101" t="s">
        <v>17</v>
      </c>
    </row>
    <row r="1651" spans="1:5" x14ac:dyDescent="0.3">
      <c r="A1651" t="str">
        <f t="shared" si="25"/>
        <v>0419053</v>
      </c>
      <c r="B1651" s="101" t="s">
        <v>18</v>
      </c>
      <c r="C1651" s="101" t="s">
        <v>166</v>
      </c>
      <c r="D1651" s="101" t="s">
        <v>607</v>
      </c>
      <c r="E1651" s="101" t="s">
        <v>17</v>
      </c>
    </row>
    <row r="1652" spans="1:5" x14ac:dyDescent="0.3">
      <c r="A1652" t="str">
        <f t="shared" si="25"/>
        <v>0419055</v>
      </c>
      <c r="B1652" s="101" t="s">
        <v>18</v>
      </c>
      <c r="C1652" s="101" t="s">
        <v>166</v>
      </c>
      <c r="D1652" s="101" t="s">
        <v>608</v>
      </c>
      <c r="E1652" s="101" t="s">
        <v>17</v>
      </c>
    </row>
    <row r="1653" spans="1:5" x14ac:dyDescent="0.3">
      <c r="A1653" t="str">
        <f t="shared" si="25"/>
        <v>0419531</v>
      </c>
      <c r="B1653" s="101" t="s">
        <v>18</v>
      </c>
      <c r="C1653" s="101" t="s">
        <v>166</v>
      </c>
      <c r="D1653" s="101" t="s">
        <v>409</v>
      </c>
      <c r="E1653" s="101" t="s">
        <v>17</v>
      </c>
    </row>
    <row r="1654" spans="1:5" x14ac:dyDescent="0.3">
      <c r="A1654" t="str">
        <f t="shared" si="25"/>
        <v>0419533</v>
      </c>
      <c r="B1654" s="101" t="s">
        <v>18</v>
      </c>
      <c r="C1654" s="101" t="s">
        <v>166</v>
      </c>
      <c r="D1654" s="101" t="s">
        <v>397</v>
      </c>
      <c r="E1654" s="101" t="s">
        <v>17</v>
      </c>
    </row>
    <row r="1655" spans="1:5" x14ac:dyDescent="0.3">
      <c r="A1655" t="str">
        <f t="shared" si="25"/>
        <v>0419535</v>
      </c>
      <c r="B1655" s="101" t="s">
        <v>18</v>
      </c>
      <c r="C1655" s="101" t="s">
        <v>166</v>
      </c>
      <c r="D1655" s="101" t="s">
        <v>410</v>
      </c>
      <c r="E1655" s="101" t="s">
        <v>19</v>
      </c>
    </row>
    <row r="1656" spans="1:5" x14ac:dyDescent="0.3">
      <c r="A1656" t="str">
        <f t="shared" si="25"/>
        <v>0419540</v>
      </c>
      <c r="B1656" s="101" t="s">
        <v>18</v>
      </c>
      <c r="C1656" s="101" t="s">
        <v>166</v>
      </c>
      <c r="D1656" s="101" t="s">
        <v>411</v>
      </c>
      <c r="E1656" s="101" t="s">
        <v>17</v>
      </c>
    </row>
    <row r="1657" spans="1:5" x14ac:dyDescent="0.3">
      <c r="A1657" t="str">
        <f t="shared" si="25"/>
        <v>0419542</v>
      </c>
      <c r="B1657" s="101" t="s">
        <v>18</v>
      </c>
      <c r="C1657" s="101" t="s">
        <v>166</v>
      </c>
      <c r="D1657" s="101" t="s">
        <v>353</v>
      </c>
      <c r="E1657" s="101" t="s">
        <v>17</v>
      </c>
    </row>
    <row r="1658" spans="1:5" x14ac:dyDescent="0.3">
      <c r="A1658" t="str">
        <f t="shared" si="25"/>
        <v>0419544</v>
      </c>
      <c r="B1658" s="101" t="s">
        <v>18</v>
      </c>
      <c r="C1658" s="101" t="s">
        <v>166</v>
      </c>
      <c r="D1658" s="101" t="s">
        <v>412</v>
      </c>
      <c r="E1658" s="101" t="s">
        <v>17</v>
      </c>
    </row>
    <row r="1659" spans="1:5" x14ac:dyDescent="0.3">
      <c r="A1659" t="str">
        <f t="shared" si="25"/>
        <v>0419546</v>
      </c>
      <c r="B1659" s="101" t="s">
        <v>18</v>
      </c>
      <c r="C1659" s="101" t="s">
        <v>166</v>
      </c>
      <c r="D1659" s="101" t="s">
        <v>373</v>
      </c>
      <c r="E1659" s="101" t="s">
        <v>17</v>
      </c>
    </row>
    <row r="1660" spans="1:5" x14ac:dyDescent="0.3">
      <c r="A1660" t="str">
        <f t="shared" si="25"/>
        <v>0519002</v>
      </c>
      <c r="B1660" s="101" t="s">
        <v>313</v>
      </c>
      <c r="C1660" s="101" t="s">
        <v>166</v>
      </c>
      <c r="D1660" s="101" t="s">
        <v>596</v>
      </c>
      <c r="E1660" s="101" t="s">
        <v>139</v>
      </c>
    </row>
    <row r="1661" spans="1:5" x14ac:dyDescent="0.3">
      <c r="A1661" t="str">
        <f t="shared" si="25"/>
        <v>0519801</v>
      </c>
      <c r="B1661" s="101" t="s">
        <v>313</v>
      </c>
      <c r="C1661" s="101" t="s">
        <v>166</v>
      </c>
      <c r="D1661" s="101" t="s">
        <v>144</v>
      </c>
      <c r="E1661" s="101" t="s">
        <v>139</v>
      </c>
    </row>
    <row r="1662" spans="1:5" x14ac:dyDescent="0.3">
      <c r="A1662" t="str">
        <f t="shared" si="25"/>
        <v>0519802</v>
      </c>
      <c r="B1662" s="101" t="s">
        <v>313</v>
      </c>
      <c r="C1662" s="101" t="s">
        <v>166</v>
      </c>
      <c r="D1662" s="101" t="s">
        <v>145</v>
      </c>
      <c r="E1662" s="101" t="s">
        <v>139</v>
      </c>
    </row>
    <row r="1663" spans="1:5" x14ac:dyDescent="0.3">
      <c r="A1663" t="str">
        <f t="shared" si="25"/>
        <v>0519500</v>
      </c>
      <c r="B1663" s="101" t="s">
        <v>313</v>
      </c>
      <c r="C1663" s="101" t="s">
        <v>166</v>
      </c>
      <c r="D1663" s="101" t="s">
        <v>146</v>
      </c>
      <c r="E1663" s="101" t="s">
        <v>139</v>
      </c>
    </row>
    <row r="1664" spans="1:5" x14ac:dyDescent="0.3">
      <c r="A1664" t="str">
        <f t="shared" si="25"/>
        <v>0519501</v>
      </c>
      <c r="B1664" s="101" t="s">
        <v>313</v>
      </c>
      <c r="C1664" s="101" t="s">
        <v>166</v>
      </c>
      <c r="D1664" s="101" t="s">
        <v>147</v>
      </c>
      <c r="E1664" s="101" t="s">
        <v>139</v>
      </c>
    </row>
    <row r="1665" spans="1:5" x14ac:dyDescent="0.3">
      <c r="A1665" t="str">
        <f t="shared" si="25"/>
        <v>0519066</v>
      </c>
      <c r="B1665" s="101" t="s">
        <v>313</v>
      </c>
      <c r="C1665" s="101" t="s">
        <v>166</v>
      </c>
      <c r="D1665" s="101" t="s">
        <v>609</v>
      </c>
      <c r="E1665" s="101" t="s">
        <v>17</v>
      </c>
    </row>
    <row r="1666" spans="1:5" x14ac:dyDescent="0.3">
      <c r="A1666" t="str">
        <f t="shared" si="25"/>
        <v>0519807</v>
      </c>
      <c r="B1666" s="101" t="s">
        <v>313</v>
      </c>
      <c r="C1666" s="101" t="s">
        <v>166</v>
      </c>
      <c r="D1666" s="101" t="s">
        <v>185</v>
      </c>
      <c r="E1666" s="101" t="s">
        <v>17</v>
      </c>
    </row>
    <row r="1667" spans="1:5" x14ac:dyDescent="0.3">
      <c r="A1667" t="str">
        <f t="shared" ref="A1667:A1730" si="26">CONCATENATE(B1667,C1667,D1667,F1667)</f>
        <v>0519571</v>
      </c>
      <c r="B1667" s="101" t="s">
        <v>313</v>
      </c>
      <c r="C1667" s="101" t="s">
        <v>166</v>
      </c>
      <c r="D1667" s="101" t="s">
        <v>430</v>
      </c>
      <c r="E1667" s="101" t="s">
        <v>17</v>
      </c>
    </row>
    <row r="1668" spans="1:5" x14ac:dyDescent="0.3">
      <c r="A1668" t="str">
        <f t="shared" si="26"/>
        <v>0519572</v>
      </c>
      <c r="B1668" s="101" t="s">
        <v>313</v>
      </c>
      <c r="C1668" s="101" t="s">
        <v>166</v>
      </c>
      <c r="D1668" s="101" t="s">
        <v>431</v>
      </c>
      <c r="E1668" s="101" t="s">
        <v>17</v>
      </c>
    </row>
    <row r="1669" spans="1:5" x14ac:dyDescent="0.3">
      <c r="A1669" t="str">
        <f t="shared" si="26"/>
        <v>0519064</v>
      </c>
      <c r="B1669" s="101" t="s">
        <v>313</v>
      </c>
      <c r="C1669" s="101" t="s">
        <v>166</v>
      </c>
      <c r="D1669" s="101" t="s">
        <v>610</v>
      </c>
      <c r="E1669" s="101" t="s">
        <v>17</v>
      </c>
    </row>
    <row r="1670" spans="1:5" x14ac:dyDescent="0.3">
      <c r="A1670" t="str">
        <f t="shared" si="26"/>
        <v>0619002</v>
      </c>
      <c r="B1670" s="101" t="s">
        <v>317</v>
      </c>
      <c r="C1670" s="101" t="s">
        <v>166</v>
      </c>
      <c r="D1670" s="101" t="s">
        <v>596</v>
      </c>
      <c r="E1670" s="101" t="s">
        <v>139</v>
      </c>
    </row>
    <row r="1671" spans="1:5" x14ac:dyDescent="0.3">
      <c r="A1671" t="str">
        <f t="shared" si="26"/>
        <v>0619801</v>
      </c>
      <c r="B1671" s="101" t="s">
        <v>317</v>
      </c>
      <c r="C1671" s="101" t="s">
        <v>166</v>
      </c>
      <c r="D1671" s="101" t="s">
        <v>144</v>
      </c>
      <c r="E1671" s="101" t="s">
        <v>139</v>
      </c>
    </row>
    <row r="1672" spans="1:5" x14ac:dyDescent="0.3">
      <c r="A1672" t="str">
        <f t="shared" si="26"/>
        <v>0619802</v>
      </c>
      <c r="B1672" s="101" t="s">
        <v>317</v>
      </c>
      <c r="C1672" s="101" t="s">
        <v>166</v>
      </c>
      <c r="D1672" s="101" t="s">
        <v>145</v>
      </c>
      <c r="E1672" s="101" t="s">
        <v>139</v>
      </c>
    </row>
    <row r="1673" spans="1:5" x14ac:dyDescent="0.3">
      <c r="A1673" t="str">
        <f t="shared" si="26"/>
        <v>0619500</v>
      </c>
      <c r="B1673" s="101" t="s">
        <v>317</v>
      </c>
      <c r="C1673" s="101" t="s">
        <v>166</v>
      </c>
      <c r="D1673" s="101" t="s">
        <v>146</v>
      </c>
      <c r="E1673" s="101" t="s">
        <v>139</v>
      </c>
    </row>
    <row r="1674" spans="1:5" x14ac:dyDescent="0.3">
      <c r="A1674" t="str">
        <f t="shared" si="26"/>
        <v>0619501</v>
      </c>
      <c r="B1674" s="101" t="s">
        <v>317</v>
      </c>
      <c r="C1674" s="101" t="s">
        <v>166</v>
      </c>
      <c r="D1674" s="101" t="s">
        <v>147</v>
      </c>
      <c r="E1674" s="101" t="s">
        <v>139</v>
      </c>
    </row>
    <row r="1675" spans="1:5" x14ac:dyDescent="0.3">
      <c r="A1675" t="str">
        <f t="shared" si="26"/>
        <v>0619066</v>
      </c>
      <c r="B1675" s="101" t="s">
        <v>317</v>
      </c>
      <c r="C1675" s="101" t="s">
        <v>166</v>
      </c>
      <c r="D1675" s="101" t="s">
        <v>609</v>
      </c>
      <c r="E1675" s="101" t="s">
        <v>17</v>
      </c>
    </row>
    <row r="1676" spans="1:5" x14ac:dyDescent="0.3">
      <c r="A1676" t="str">
        <f t="shared" si="26"/>
        <v>0619807</v>
      </c>
      <c r="B1676" s="101" t="s">
        <v>317</v>
      </c>
      <c r="C1676" s="101" t="s">
        <v>166</v>
      </c>
      <c r="D1676" s="101" t="s">
        <v>185</v>
      </c>
      <c r="E1676" s="101" t="s">
        <v>17</v>
      </c>
    </row>
    <row r="1677" spans="1:5" x14ac:dyDescent="0.3">
      <c r="A1677" t="str">
        <f t="shared" si="26"/>
        <v>0619571</v>
      </c>
      <c r="B1677" s="101" t="s">
        <v>317</v>
      </c>
      <c r="C1677" s="101" t="s">
        <v>166</v>
      </c>
      <c r="D1677" s="101" t="s">
        <v>430</v>
      </c>
      <c r="E1677" s="101" t="s">
        <v>17</v>
      </c>
    </row>
    <row r="1678" spans="1:5" x14ac:dyDescent="0.3">
      <c r="A1678" t="str">
        <f t="shared" si="26"/>
        <v>0619572</v>
      </c>
      <c r="B1678" s="101" t="s">
        <v>317</v>
      </c>
      <c r="C1678" s="101" t="s">
        <v>166</v>
      </c>
      <c r="D1678" s="101" t="s">
        <v>431</v>
      </c>
      <c r="E1678" s="101" t="s">
        <v>17</v>
      </c>
    </row>
    <row r="1679" spans="1:5" x14ac:dyDescent="0.3">
      <c r="A1679" t="str">
        <f t="shared" si="26"/>
        <v>0619064</v>
      </c>
      <c r="B1679" s="101" t="s">
        <v>317</v>
      </c>
      <c r="C1679" s="101" t="s">
        <v>166</v>
      </c>
      <c r="D1679" s="101" t="s">
        <v>610</v>
      </c>
      <c r="E1679" s="101" t="s">
        <v>17</v>
      </c>
    </row>
    <row r="1680" spans="1:5" x14ac:dyDescent="0.3">
      <c r="A1680" t="str">
        <f t="shared" si="26"/>
        <v>0719002</v>
      </c>
      <c r="B1680" s="101" t="s">
        <v>319</v>
      </c>
      <c r="C1680" s="101" t="s">
        <v>166</v>
      </c>
      <c r="D1680" s="101" t="s">
        <v>596</v>
      </c>
      <c r="E1680" s="101" t="s">
        <v>139</v>
      </c>
    </row>
    <row r="1681" spans="1:5" x14ac:dyDescent="0.3">
      <c r="A1681" t="str">
        <f t="shared" si="26"/>
        <v>0719801</v>
      </c>
      <c r="B1681" s="101" t="s">
        <v>319</v>
      </c>
      <c r="C1681" s="101" t="s">
        <v>166</v>
      </c>
      <c r="D1681" s="101" t="s">
        <v>144</v>
      </c>
      <c r="E1681" s="101" t="s">
        <v>139</v>
      </c>
    </row>
    <row r="1682" spans="1:5" x14ac:dyDescent="0.3">
      <c r="A1682" t="str">
        <f t="shared" si="26"/>
        <v>0719802</v>
      </c>
      <c r="B1682" s="101" t="s">
        <v>319</v>
      </c>
      <c r="C1682" s="101" t="s">
        <v>166</v>
      </c>
      <c r="D1682" s="101" t="s">
        <v>145</v>
      </c>
      <c r="E1682" s="101" t="s">
        <v>139</v>
      </c>
    </row>
    <row r="1683" spans="1:5" x14ac:dyDescent="0.3">
      <c r="A1683" t="str">
        <f t="shared" si="26"/>
        <v>0719500</v>
      </c>
      <c r="B1683" s="101" t="s">
        <v>319</v>
      </c>
      <c r="C1683" s="101" t="s">
        <v>166</v>
      </c>
      <c r="D1683" s="101" t="s">
        <v>146</v>
      </c>
      <c r="E1683" s="101" t="s">
        <v>139</v>
      </c>
    </row>
    <row r="1684" spans="1:5" x14ac:dyDescent="0.3">
      <c r="A1684" t="str">
        <f t="shared" si="26"/>
        <v>0719501</v>
      </c>
      <c r="B1684" s="101" t="s">
        <v>319</v>
      </c>
      <c r="C1684" s="101" t="s">
        <v>166</v>
      </c>
      <c r="D1684" s="101" t="s">
        <v>147</v>
      </c>
      <c r="E1684" s="101" t="s">
        <v>139</v>
      </c>
    </row>
    <row r="1685" spans="1:5" x14ac:dyDescent="0.3">
      <c r="A1685" t="str">
        <f t="shared" si="26"/>
        <v>0719066</v>
      </c>
      <c r="B1685" s="101" t="s">
        <v>319</v>
      </c>
      <c r="C1685" s="101" t="s">
        <v>166</v>
      </c>
      <c r="D1685" s="101" t="s">
        <v>609</v>
      </c>
      <c r="E1685" s="101" t="s">
        <v>17</v>
      </c>
    </row>
    <row r="1686" spans="1:5" x14ac:dyDescent="0.3">
      <c r="A1686" t="str">
        <f t="shared" si="26"/>
        <v>0719807</v>
      </c>
      <c r="B1686" s="101" t="s">
        <v>319</v>
      </c>
      <c r="C1686" s="101" t="s">
        <v>166</v>
      </c>
      <c r="D1686" s="101" t="s">
        <v>185</v>
      </c>
      <c r="E1686" s="101" t="s">
        <v>17</v>
      </c>
    </row>
    <row r="1687" spans="1:5" x14ac:dyDescent="0.3">
      <c r="A1687" t="str">
        <f t="shared" si="26"/>
        <v>0719571</v>
      </c>
      <c r="B1687" s="101" t="s">
        <v>319</v>
      </c>
      <c r="C1687" s="101" t="s">
        <v>166</v>
      </c>
      <c r="D1687" s="101" t="s">
        <v>430</v>
      </c>
      <c r="E1687" s="101" t="s">
        <v>17</v>
      </c>
    </row>
    <row r="1688" spans="1:5" x14ac:dyDescent="0.3">
      <c r="A1688" t="str">
        <f t="shared" si="26"/>
        <v>0719572</v>
      </c>
      <c r="B1688" s="101" t="s">
        <v>319</v>
      </c>
      <c r="C1688" s="101" t="s">
        <v>166</v>
      </c>
      <c r="D1688" s="101" t="s">
        <v>431</v>
      </c>
      <c r="E1688" s="101" t="s">
        <v>17</v>
      </c>
    </row>
    <row r="1689" spans="1:5" x14ac:dyDescent="0.3">
      <c r="A1689" t="str">
        <f t="shared" si="26"/>
        <v>0719064</v>
      </c>
      <c r="B1689" s="101" t="s">
        <v>319</v>
      </c>
      <c r="C1689" s="101" t="s">
        <v>166</v>
      </c>
      <c r="D1689" s="101" t="s">
        <v>610</v>
      </c>
      <c r="E1689" s="101" t="s">
        <v>17</v>
      </c>
    </row>
    <row r="1690" spans="1:5" x14ac:dyDescent="0.3">
      <c r="A1690" t="str">
        <f t="shared" si="26"/>
        <v>0819002</v>
      </c>
      <c r="B1690" s="101" t="s">
        <v>320</v>
      </c>
      <c r="C1690" s="101" t="s">
        <v>166</v>
      </c>
      <c r="D1690" s="101" t="s">
        <v>596</v>
      </c>
      <c r="E1690" s="101" t="s">
        <v>139</v>
      </c>
    </row>
    <row r="1691" spans="1:5" x14ac:dyDescent="0.3">
      <c r="A1691" t="str">
        <f t="shared" si="26"/>
        <v>0819801</v>
      </c>
      <c r="B1691" s="101" t="s">
        <v>320</v>
      </c>
      <c r="C1691" s="101" t="s">
        <v>166</v>
      </c>
      <c r="D1691" s="101" t="s">
        <v>144</v>
      </c>
      <c r="E1691" s="101" t="s">
        <v>139</v>
      </c>
    </row>
    <row r="1692" spans="1:5" x14ac:dyDescent="0.3">
      <c r="A1692" t="str">
        <f t="shared" si="26"/>
        <v>0819802</v>
      </c>
      <c r="B1692" s="101" t="s">
        <v>320</v>
      </c>
      <c r="C1692" s="101" t="s">
        <v>166</v>
      </c>
      <c r="D1692" s="101" t="s">
        <v>145</v>
      </c>
      <c r="E1692" s="101" t="s">
        <v>139</v>
      </c>
    </row>
    <row r="1693" spans="1:5" x14ac:dyDescent="0.3">
      <c r="A1693" t="str">
        <f t="shared" si="26"/>
        <v>0819500</v>
      </c>
      <c r="B1693" s="101" t="s">
        <v>320</v>
      </c>
      <c r="C1693" s="101" t="s">
        <v>166</v>
      </c>
      <c r="D1693" s="101" t="s">
        <v>146</v>
      </c>
      <c r="E1693" s="101" t="s">
        <v>139</v>
      </c>
    </row>
    <row r="1694" spans="1:5" x14ac:dyDescent="0.3">
      <c r="A1694" t="str">
        <f t="shared" si="26"/>
        <v>0819501</v>
      </c>
      <c r="B1694" s="101" t="s">
        <v>320</v>
      </c>
      <c r="C1694" s="101" t="s">
        <v>166</v>
      </c>
      <c r="D1694" s="101" t="s">
        <v>147</v>
      </c>
      <c r="E1694" s="101" t="s">
        <v>139</v>
      </c>
    </row>
    <row r="1695" spans="1:5" x14ac:dyDescent="0.3">
      <c r="A1695" t="str">
        <f t="shared" si="26"/>
        <v>0819066</v>
      </c>
      <c r="B1695" s="101" t="s">
        <v>320</v>
      </c>
      <c r="C1695" s="101" t="s">
        <v>166</v>
      </c>
      <c r="D1695" s="101" t="s">
        <v>609</v>
      </c>
      <c r="E1695" s="101" t="s">
        <v>17</v>
      </c>
    </row>
    <row r="1696" spans="1:5" x14ac:dyDescent="0.3">
      <c r="A1696" t="str">
        <f t="shared" si="26"/>
        <v>0819807</v>
      </c>
      <c r="B1696" s="101" t="s">
        <v>320</v>
      </c>
      <c r="C1696" s="101" t="s">
        <v>166</v>
      </c>
      <c r="D1696" s="101" t="s">
        <v>185</v>
      </c>
      <c r="E1696" s="101" t="s">
        <v>17</v>
      </c>
    </row>
    <row r="1697" spans="1:5" x14ac:dyDescent="0.3">
      <c r="A1697" t="str">
        <f t="shared" si="26"/>
        <v>0819571</v>
      </c>
      <c r="B1697" s="101" t="s">
        <v>320</v>
      </c>
      <c r="C1697" s="101" t="s">
        <v>166</v>
      </c>
      <c r="D1697" s="101" t="s">
        <v>430</v>
      </c>
      <c r="E1697" s="101" t="s">
        <v>17</v>
      </c>
    </row>
    <row r="1698" spans="1:5" x14ac:dyDescent="0.3">
      <c r="A1698" t="str">
        <f t="shared" si="26"/>
        <v>0819572</v>
      </c>
      <c r="B1698" s="101" t="s">
        <v>320</v>
      </c>
      <c r="C1698" s="101" t="s">
        <v>166</v>
      </c>
      <c r="D1698" s="101" t="s">
        <v>431</v>
      </c>
      <c r="E1698" s="101" t="s">
        <v>17</v>
      </c>
    </row>
    <row r="1699" spans="1:5" x14ac:dyDescent="0.3">
      <c r="A1699" t="str">
        <f t="shared" si="26"/>
        <v>0819064</v>
      </c>
      <c r="B1699" s="101" t="s">
        <v>320</v>
      </c>
      <c r="C1699" s="101" t="s">
        <v>166</v>
      </c>
      <c r="D1699" s="101" t="s">
        <v>610</v>
      </c>
      <c r="E1699" s="101" t="s">
        <v>17</v>
      </c>
    </row>
    <row r="1700" spans="1:5" x14ac:dyDescent="0.3">
      <c r="A1700" t="str">
        <f t="shared" si="26"/>
        <v>0320801</v>
      </c>
      <c r="B1700" s="101" t="s">
        <v>16</v>
      </c>
      <c r="C1700" s="101" t="s">
        <v>168</v>
      </c>
      <c r="D1700" s="101" t="s">
        <v>144</v>
      </c>
      <c r="E1700" s="101" t="s">
        <v>139</v>
      </c>
    </row>
    <row r="1701" spans="1:5" x14ac:dyDescent="0.3">
      <c r="A1701" t="str">
        <f t="shared" si="26"/>
        <v>0320802</v>
      </c>
      <c r="B1701" s="101" t="s">
        <v>16</v>
      </c>
      <c r="C1701" s="101" t="s">
        <v>168</v>
      </c>
      <c r="D1701" s="101" t="s">
        <v>145</v>
      </c>
      <c r="E1701" s="101" t="s">
        <v>139</v>
      </c>
    </row>
    <row r="1702" spans="1:5" x14ac:dyDescent="0.3">
      <c r="A1702" t="str">
        <f t="shared" si="26"/>
        <v>0320500</v>
      </c>
      <c r="B1702" s="101" t="s">
        <v>16</v>
      </c>
      <c r="C1702" s="101" t="s">
        <v>168</v>
      </c>
      <c r="D1702" s="101" t="s">
        <v>146</v>
      </c>
      <c r="E1702" s="101" t="s">
        <v>139</v>
      </c>
    </row>
    <row r="1703" spans="1:5" x14ac:dyDescent="0.3">
      <c r="A1703" t="str">
        <f t="shared" si="26"/>
        <v>0320501</v>
      </c>
      <c r="B1703" s="101" t="s">
        <v>16</v>
      </c>
      <c r="C1703" s="101" t="s">
        <v>168</v>
      </c>
      <c r="D1703" s="101" t="s">
        <v>147</v>
      </c>
      <c r="E1703" s="101" t="s">
        <v>139</v>
      </c>
    </row>
    <row r="1704" spans="1:5" x14ac:dyDescent="0.3">
      <c r="A1704" t="str">
        <f t="shared" si="26"/>
        <v>0320044</v>
      </c>
      <c r="B1704" s="101" t="s">
        <v>16</v>
      </c>
      <c r="C1704" s="101" t="s">
        <v>168</v>
      </c>
      <c r="D1704" s="101" t="s">
        <v>420</v>
      </c>
      <c r="E1704" s="101" t="s">
        <v>17</v>
      </c>
    </row>
    <row r="1705" spans="1:5" x14ac:dyDescent="0.3">
      <c r="A1705" t="str">
        <f t="shared" si="26"/>
        <v>0320045</v>
      </c>
      <c r="B1705" s="101" t="s">
        <v>16</v>
      </c>
      <c r="C1705" s="101" t="s">
        <v>168</v>
      </c>
      <c r="D1705" s="101" t="s">
        <v>453</v>
      </c>
      <c r="E1705" s="101" t="s">
        <v>17</v>
      </c>
    </row>
    <row r="1706" spans="1:5" x14ac:dyDescent="0.3">
      <c r="A1706" t="str">
        <f t="shared" si="26"/>
        <v>0320064</v>
      </c>
      <c r="B1706" s="101" t="s">
        <v>16</v>
      </c>
      <c r="C1706" s="101" t="s">
        <v>168</v>
      </c>
      <c r="D1706" s="101" t="s">
        <v>610</v>
      </c>
      <c r="E1706" s="101" t="s">
        <v>17</v>
      </c>
    </row>
    <row r="1707" spans="1:5" x14ac:dyDescent="0.3">
      <c r="A1707" t="str">
        <f t="shared" si="26"/>
        <v>0320065</v>
      </c>
      <c r="B1707" s="101" t="s">
        <v>16</v>
      </c>
      <c r="C1707" s="101" t="s">
        <v>168</v>
      </c>
      <c r="D1707" s="101" t="s">
        <v>611</v>
      </c>
      <c r="E1707" s="101" t="s">
        <v>17</v>
      </c>
    </row>
    <row r="1708" spans="1:5" x14ac:dyDescent="0.3">
      <c r="A1708" t="str">
        <f t="shared" si="26"/>
        <v>0320544</v>
      </c>
      <c r="B1708" s="101" t="s">
        <v>16</v>
      </c>
      <c r="C1708" s="101" t="s">
        <v>168</v>
      </c>
      <c r="D1708" s="101" t="s">
        <v>412</v>
      </c>
      <c r="E1708" s="101" t="s">
        <v>17</v>
      </c>
    </row>
    <row r="1709" spans="1:5" x14ac:dyDescent="0.3">
      <c r="A1709" t="str">
        <f t="shared" si="26"/>
        <v>0320545</v>
      </c>
      <c r="B1709" s="101" t="s">
        <v>16</v>
      </c>
      <c r="C1709" s="101" t="s">
        <v>168</v>
      </c>
      <c r="D1709" s="101" t="s">
        <v>413</v>
      </c>
      <c r="E1709" s="101" t="s">
        <v>17</v>
      </c>
    </row>
    <row r="1710" spans="1:5" x14ac:dyDescent="0.3">
      <c r="A1710" t="str">
        <f t="shared" si="26"/>
        <v>0320564</v>
      </c>
      <c r="B1710" s="101" t="s">
        <v>16</v>
      </c>
      <c r="C1710" s="101" t="s">
        <v>168</v>
      </c>
      <c r="D1710" s="101" t="s">
        <v>423</v>
      </c>
      <c r="E1710" s="101" t="s">
        <v>17</v>
      </c>
    </row>
    <row r="1711" spans="1:5" x14ac:dyDescent="0.3">
      <c r="A1711" t="str">
        <f t="shared" si="26"/>
        <v>0320071</v>
      </c>
      <c r="B1711" s="101" t="s">
        <v>16</v>
      </c>
      <c r="C1711" s="101" t="s">
        <v>168</v>
      </c>
      <c r="D1711" s="101" t="s">
        <v>600</v>
      </c>
      <c r="E1711" s="101" t="s">
        <v>17</v>
      </c>
    </row>
    <row r="1712" spans="1:5" x14ac:dyDescent="0.3">
      <c r="A1712" t="str">
        <f t="shared" si="26"/>
        <v>0320072</v>
      </c>
      <c r="B1712" s="101" t="s">
        <v>16</v>
      </c>
      <c r="C1712" s="101" t="s">
        <v>168</v>
      </c>
      <c r="D1712" s="101" t="s">
        <v>601</v>
      </c>
      <c r="E1712" s="101" t="s">
        <v>17</v>
      </c>
    </row>
    <row r="1713" spans="1:5" x14ac:dyDescent="0.3">
      <c r="A1713" t="str">
        <f t="shared" si="26"/>
        <v>0320073</v>
      </c>
      <c r="B1713" s="101" t="s">
        <v>16</v>
      </c>
      <c r="C1713" s="101" t="s">
        <v>168</v>
      </c>
      <c r="D1713" s="101" t="s">
        <v>612</v>
      </c>
      <c r="E1713" s="101" t="s">
        <v>17</v>
      </c>
    </row>
    <row r="1714" spans="1:5" x14ac:dyDescent="0.3">
      <c r="A1714" t="str">
        <f t="shared" si="26"/>
        <v>0320074</v>
      </c>
      <c r="B1714" s="101" t="s">
        <v>16</v>
      </c>
      <c r="C1714" s="101" t="s">
        <v>168</v>
      </c>
      <c r="D1714" s="101" t="s">
        <v>613</v>
      </c>
      <c r="E1714" s="101" t="s">
        <v>17</v>
      </c>
    </row>
    <row r="1715" spans="1:5" x14ac:dyDescent="0.3">
      <c r="A1715" t="str">
        <f t="shared" si="26"/>
        <v>0320571</v>
      </c>
      <c r="B1715" s="101" t="s">
        <v>16</v>
      </c>
      <c r="C1715" s="101" t="s">
        <v>168</v>
      </c>
      <c r="D1715" s="101" t="s">
        <v>430</v>
      </c>
      <c r="E1715" s="101" t="s">
        <v>17</v>
      </c>
    </row>
    <row r="1716" spans="1:5" x14ac:dyDescent="0.3">
      <c r="A1716" t="str">
        <f t="shared" si="26"/>
        <v>0320572</v>
      </c>
      <c r="B1716" s="101" t="s">
        <v>16</v>
      </c>
      <c r="C1716" s="101" t="s">
        <v>168</v>
      </c>
      <c r="D1716" s="101" t="s">
        <v>431</v>
      </c>
      <c r="E1716" s="101" t="s">
        <v>17</v>
      </c>
    </row>
    <row r="1717" spans="1:5" x14ac:dyDescent="0.3">
      <c r="A1717" t="str">
        <f t="shared" si="26"/>
        <v>0320573</v>
      </c>
      <c r="B1717" s="101" t="s">
        <v>16</v>
      </c>
      <c r="C1717" s="101" t="s">
        <v>168</v>
      </c>
      <c r="D1717" s="101" t="s">
        <v>432</v>
      </c>
      <c r="E1717" s="101" t="s">
        <v>17</v>
      </c>
    </row>
    <row r="1718" spans="1:5" x14ac:dyDescent="0.3">
      <c r="A1718" t="str">
        <f t="shared" si="26"/>
        <v>0320574</v>
      </c>
      <c r="B1718" s="101" t="s">
        <v>16</v>
      </c>
      <c r="C1718" s="101" t="s">
        <v>168</v>
      </c>
      <c r="D1718" s="101" t="s">
        <v>433</v>
      </c>
      <c r="E1718" s="101" t="s">
        <v>17</v>
      </c>
    </row>
    <row r="1719" spans="1:5" x14ac:dyDescent="0.3">
      <c r="A1719" t="str">
        <f t="shared" si="26"/>
        <v>0320104</v>
      </c>
      <c r="B1719" s="101" t="s">
        <v>16</v>
      </c>
      <c r="C1719" s="101" t="s">
        <v>168</v>
      </c>
      <c r="D1719" s="101" t="s">
        <v>234</v>
      </c>
      <c r="E1719" s="101" t="s">
        <v>19</v>
      </c>
    </row>
    <row r="1720" spans="1:5" x14ac:dyDescent="0.3">
      <c r="A1720" t="str">
        <f t="shared" si="26"/>
        <v>0320105</v>
      </c>
      <c r="B1720" s="101" t="s">
        <v>16</v>
      </c>
      <c r="C1720" s="101" t="s">
        <v>168</v>
      </c>
      <c r="D1720" s="101" t="s">
        <v>235</v>
      </c>
      <c r="E1720" s="101" t="s">
        <v>19</v>
      </c>
    </row>
    <row r="1721" spans="1:5" x14ac:dyDescent="0.3">
      <c r="A1721" t="str">
        <f t="shared" si="26"/>
        <v>0320106</v>
      </c>
      <c r="B1721" s="101" t="s">
        <v>16</v>
      </c>
      <c r="C1721" s="101" t="s">
        <v>168</v>
      </c>
      <c r="D1721" s="101" t="s">
        <v>236</v>
      </c>
      <c r="E1721" s="101" t="s">
        <v>19</v>
      </c>
    </row>
    <row r="1722" spans="1:5" x14ac:dyDescent="0.3">
      <c r="A1722" t="str">
        <f t="shared" si="26"/>
        <v>0320107</v>
      </c>
      <c r="B1722" s="101" t="s">
        <v>16</v>
      </c>
      <c r="C1722" s="101" t="s">
        <v>168</v>
      </c>
      <c r="D1722" s="101" t="s">
        <v>237</v>
      </c>
      <c r="E1722" s="101" t="s">
        <v>19</v>
      </c>
    </row>
    <row r="1723" spans="1:5" x14ac:dyDescent="0.3">
      <c r="A1723" t="str">
        <f t="shared" si="26"/>
        <v>0320615</v>
      </c>
      <c r="B1723" s="101" t="s">
        <v>16</v>
      </c>
      <c r="C1723" s="101" t="s">
        <v>168</v>
      </c>
      <c r="D1723" s="101" t="s">
        <v>292</v>
      </c>
      <c r="E1723" s="101" t="s">
        <v>19</v>
      </c>
    </row>
    <row r="1724" spans="1:5" x14ac:dyDescent="0.3">
      <c r="A1724" t="str">
        <f t="shared" si="26"/>
        <v>0320616</v>
      </c>
      <c r="B1724" s="101" t="s">
        <v>16</v>
      </c>
      <c r="C1724" s="101" t="s">
        <v>168</v>
      </c>
      <c r="D1724" s="101" t="s">
        <v>471</v>
      </c>
      <c r="E1724" s="101" t="s">
        <v>19</v>
      </c>
    </row>
    <row r="1725" spans="1:5" x14ac:dyDescent="0.3">
      <c r="A1725" t="str">
        <f t="shared" si="26"/>
        <v>0320617</v>
      </c>
      <c r="B1725" s="101" t="s">
        <v>16</v>
      </c>
      <c r="C1725" s="101" t="s">
        <v>168</v>
      </c>
      <c r="D1725" s="101" t="s">
        <v>472</v>
      </c>
      <c r="E1725" s="101" t="s">
        <v>19</v>
      </c>
    </row>
    <row r="1726" spans="1:5" x14ac:dyDescent="0.3">
      <c r="A1726" t="str">
        <f t="shared" si="26"/>
        <v>0320618</v>
      </c>
      <c r="B1726" s="101" t="s">
        <v>16</v>
      </c>
      <c r="C1726" s="101" t="s">
        <v>168</v>
      </c>
      <c r="D1726" s="101" t="s">
        <v>473</v>
      </c>
      <c r="E1726" s="101" t="s">
        <v>19</v>
      </c>
    </row>
    <row r="1727" spans="1:5" x14ac:dyDescent="0.3">
      <c r="A1727" t="str">
        <f t="shared" si="26"/>
        <v>0320108</v>
      </c>
      <c r="B1727" s="101" t="s">
        <v>16</v>
      </c>
      <c r="C1727" s="101" t="s">
        <v>168</v>
      </c>
      <c r="D1727" s="101" t="s">
        <v>238</v>
      </c>
      <c r="E1727" s="101" t="s">
        <v>140</v>
      </c>
    </row>
    <row r="1728" spans="1:5" x14ac:dyDescent="0.3">
      <c r="A1728" t="str">
        <f t="shared" si="26"/>
        <v>0320109</v>
      </c>
      <c r="B1728" s="101" t="s">
        <v>16</v>
      </c>
      <c r="C1728" s="101" t="s">
        <v>168</v>
      </c>
      <c r="D1728" s="101" t="s">
        <v>239</v>
      </c>
      <c r="E1728" s="101" t="s">
        <v>140</v>
      </c>
    </row>
    <row r="1729" spans="1:5" x14ac:dyDescent="0.3">
      <c r="A1729" t="str">
        <f t="shared" si="26"/>
        <v>0320110</v>
      </c>
      <c r="B1729" s="101" t="s">
        <v>16</v>
      </c>
      <c r="C1729" s="101" t="s">
        <v>168</v>
      </c>
      <c r="D1729" s="101" t="s">
        <v>240</v>
      </c>
      <c r="E1729" s="101" t="s">
        <v>140</v>
      </c>
    </row>
    <row r="1730" spans="1:5" x14ac:dyDescent="0.3">
      <c r="A1730" t="str">
        <f t="shared" si="26"/>
        <v>0320111</v>
      </c>
      <c r="B1730" s="101" t="s">
        <v>16</v>
      </c>
      <c r="C1730" s="101" t="s">
        <v>168</v>
      </c>
      <c r="D1730" s="101" t="s">
        <v>241</v>
      </c>
      <c r="E1730" s="101" t="s">
        <v>140</v>
      </c>
    </row>
    <row r="1731" spans="1:5" x14ac:dyDescent="0.3">
      <c r="A1731" t="str">
        <f t="shared" ref="A1731:A1794" si="27">CONCATENATE(B1731,C1731,D1731,F1731)</f>
        <v>0320619</v>
      </c>
      <c r="B1731" s="101" t="s">
        <v>16</v>
      </c>
      <c r="C1731" s="101" t="s">
        <v>168</v>
      </c>
      <c r="D1731" s="101" t="s">
        <v>474</v>
      </c>
      <c r="E1731" s="101" t="s">
        <v>140</v>
      </c>
    </row>
    <row r="1732" spans="1:5" x14ac:dyDescent="0.3">
      <c r="A1732" t="str">
        <f t="shared" si="27"/>
        <v>0320620</v>
      </c>
      <c r="B1732" s="101" t="s">
        <v>16</v>
      </c>
      <c r="C1732" s="101" t="s">
        <v>168</v>
      </c>
      <c r="D1732" s="101" t="s">
        <v>475</v>
      </c>
      <c r="E1732" s="101" t="s">
        <v>140</v>
      </c>
    </row>
    <row r="1733" spans="1:5" x14ac:dyDescent="0.3">
      <c r="A1733" t="str">
        <f t="shared" si="27"/>
        <v>0320621</v>
      </c>
      <c r="B1733" s="101" t="s">
        <v>16</v>
      </c>
      <c r="C1733" s="101" t="s">
        <v>168</v>
      </c>
      <c r="D1733" s="101" t="s">
        <v>476</v>
      </c>
      <c r="E1733" s="101" t="s">
        <v>140</v>
      </c>
    </row>
    <row r="1734" spans="1:5" x14ac:dyDescent="0.3">
      <c r="A1734" t="str">
        <f t="shared" si="27"/>
        <v>0320622</v>
      </c>
      <c r="B1734" s="101" t="s">
        <v>16</v>
      </c>
      <c r="C1734" s="101" t="s">
        <v>168</v>
      </c>
      <c r="D1734" s="101" t="s">
        <v>315</v>
      </c>
      <c r="E1734" s="101" t="s">
        <v>140</v>
      </c>
    </row>
    <row r="1735" spans="1:5" x14ac:dyDescent="0.3">
      <c r="A1735" t="str">
        <f t="shared" si="27"/>
        <v>0320015</v>
      </c>
      <c r="B1735" s="101" t="s">
        <v>16</v>
      </c>
      <c r="C1735" s="101" t="s">
        <v>168</v>
      </c>
      <c r="D1735" s="101" t="s">
        <v>321</v>
      </c>
      <c r="E1735" s="101" t="s">
        <v>17</v>
      </c>
    </row>
    <row r="1736" spans="1:5" x14ac:dyDescent="0.3">
      <c r="A1736" t="str">
        <f t="shared" si="27"/>
        <v>0320016</v>
      </c>
      <c r="B1736" s="101" t="s">
        <v>16</v>
      </c>
      <c r="C1736" s="101" t="s">
        <v>168</v>
      </c>
      <c r="D1736" s="101" t="s">
        <v>396</v>
      </c>
      <c r="E1736" s="101" t="s">
        <v>17</v>
      </c>
    </row>
    <row r="1737" spans="1:5" x14ac:dyDescent="0.3">
      <c r="A1737" t="str">
        <f t="shared" si="27"/>
        <v>0320017</v>
      </c>
      <c r="B1737" s="101" t="s">
        <v>16</v>
      </c>
      <c r="C1737" s="101" t="s">
        <v>168</v>
      </c>
      <c r="D1737" s="101" t="s">
        <v>575</v>
      </c>
      <c r="E1737" s="101" t="s">
        <v>17</v>
      </c>
    </row>
    <row r="1738" spans="1:5" x14ac:dyDescent="0.3">
      <c r="A1738" t="str">
        <f t="shared" si="27"/>
        <v>0320018</v>
      </c>
      <c r="B1738" s="101" t="s">
        <v>16</v>
      </c>
      <c r="C1738" s="101" t="s">
        <v>168</v>
      </c>
      <c r="D1738" s="101" t="s">
        <v>576</v>
      </c>
      <c r="E1738" s="101" t="s">
        <v>17</v>
      </c>
    </row>
    <row r="1739" spans="1:5" x14ac:dyDescent="0.3">
      <c r="A1739" t="str">
        <f t="shared" si="27"/>
        <v>0320019</v>
      </c>
      <c r="B1739" s="101" t="s">
        <v>16</v>
      </c>
      <c r="C1739" s="101" t="s">
        <v>168</v>
      </c>
      <c r="D1739" s="101" t="s">
        <v>393</v>
      </c>
      <c r="E1739" s="101" t="s">
        <v>17</v>
      </c>
    </row>
    <row r="1740" spans="1:5" x14ac:dyDescent="0.3">
      <c r="A1740" t="str">
        <f t="shared" si="27"/>
        <v>0320020</v>
      </c>
      <c r="B1740" s="101" t="s">
        <v>16</v>
      </c>
      <c r="C1740" s="101" t="s">
        <v>168</v>
      </c>
      <c r="D1740" s="101" t="s">
        <v>577</v>
      </c>
      <c r="E1740" s="101" t="s">
        <v>17</v>
      </c>
    </row>
    <row r="1741" spans="1:5" x14ac:dyDescent="0.3">
      <c r="A1741" t="str">
        <f t="shared" si="27"/>
        <v>0320515</v>
      </c>
      <c r="B1741" s="101" t="s">
        <v>16</v>
      </c>
      <c r="C1741" s="101" t="s">
        <v>168</v>
      </c>
      <c r="D1741" s="101" t="s">
        <v>407</v>
      </c>
      <c r="E1741" s="101" t="s">
        <v>17</v>
      </c>
    </row>
    <row r="1742" spans="1:5" x14ac:dyDescent="0.3">
      <c r="A1742" t="str">
        <f t="shared" si="27"/>
        <v>0320516</v>
      </c>
      <c r="B1742" s="101" t="s">
        <v>16</v>
      </c>
      <c r="C1742" s="101" t="s">
        <v>168</v>
      </c>
      <c r="D1742" s="101" t="s">
        <v>389</v>
      </c>
      <c r="E1742" s="101" t="s">
        <v>17</v>
      </c>
    </row>
    <row r="1743" spans="1:5" x14ac:dyDescent="0.3">
      <c r="A1743" t="str">
        <f t="shared" si="27"/>
        <v>0320517</v>
      </c>
      <c r="B1743" s="101" t="s">
        <v>16</v>
      </c>
      <c r="C1743" s="101" t="s">
        <v>168</v>
      </c>
      <c r="D1743" s="101" t="s">
        <v>390</v>
      </c>
      <c r="E1743" s="101" t="s">
        <v>17</v>
      </c>
    </row>
    <row r="1744" spans="1:5" x14ac:dyDescent="0.3">
      <c r="A1744" t="str">
        <f t="shared" si="27"/>
        <v>0320518</v>
      </c>
      <c r="B1744" s="101" t="s">
        <v>16</v>
      </c>
      <c r="C1744" s="101" t="s">
        <v>168</v>
      </c>
      <c r="D1744" s="101" t="s">
        <v>382</v>
      </c>
      <c r="E1744" s="101" t="s">
        <v>17</v>
      </c>
    </row>
    <row r="1745" spans="1:5" x14ac:dyDescent="0.3">
      <c r="A1745" t="str">
        <f t="shared" si="27"/>
        <v>0320519</v>
      </c>
      <c r="B1745" s="101" t="s">
        <v>16</v>
      </c>
      <c r="C1745" s="101" t="s">
        <v>168</v>
      </c>
      <c r="D1745" s="101" t="s">
        <v>383</v>
      </c>
      <c r="E1745" s="101" t="s">
        <v>17</v>
      </c>
    </row>
    <row r="1746" spans="1:5" x14ac:dyDescent="0.3">
      <c r="A1746" t="str">
        <f t="shared" si="27"/>
        <v>0320520</v>
      </c>
      <c r="B1746" s="101" t="s">
        <v>16</v>
      </c>
      <c r="C1746" s="101" t="s">
        <v>168</v>
      </c>
      <c r="D1746" s="101" t="s">
        <v>404</v>
      </c>
      <c r="E1746" s="101" t="s">
        <v>17</v>
      </c>
    </row>
    <row r="1747" spans="1:5" x14ac:dyDescent="0.3">
      <c r="A1747" t="str">
        <f t="shared" si="27"/>
        <v>0320023</v>
      </c>
      <c r="B1747" s="101" t="s">
        <v>16</v>
      </c>
      <c r="C1747" s="101" t="s">
        <v>168</v>
      </c>
      <c r="D1747" s="101" t="s">
        <v>480</v>
      </c>
      <c r="E1747" s="101" t="s">
        <v>17</v>
      </c>
    </row>
    <row r="1748" spans="1:5" x14ac:dyDescent="0.3">
      <c r="A1748" t="str">
        <f t="shared" si="27"/>
        <v>0320024</v>
      </c>
      <c r="B1748" s="101" t="s">
        <v>16</v>
      </c>
      <c r="C1748" s="101" t="s">
        <v>168</v>
      </c>
      <c r="D1748" s="101" t="s">
        <v>481</v>
      </c>
      <c r="E1748" s="101" t="s">
        <v>17</v>
      </c>
    </row>
    <row r="1749" spans="1:5" x14ac:dyDescent="0.3">
      <c r="A1749" t="str">
        <f t="shared" si="27"/>
        <v>0320025</v>
      </c>
      <c r="B1749" s="101" t="s">
        <v>16</v>
      </c>
      <c r="C1749" s="101" t="s">
        <v>168</v>
      </c>
      <c r="D1749" s="101" t="s">
        <v>367</v>
      </c>
      <c r="E1749" s="101" t="s">
        <v>17</v>
      </c>
    </row>
    <row r="1750" spans="1:5" x14ac:dyDescent="0.3">
      <c r="A1750" t="str">
        <f t="shared" si="27"/>
        <v>0320026</v>
      </c>
      <c r="B1750" s="101" t="s">
        <v>16</v>
      </c>
      <c r="C1750" s="101" t="s">
        <v>168</v>
      </c>
      <c r="D1750" s="101" t="s">
        <v>579</v>
      </c>
      <c r="E1750" s="101" t="s">
        <v>17</v>
      </c>
    </row>
    <row r="1751" spans="1:5" x14ac:dyDescent="0.3">
      <c r="A1751" t="str">
        <f t="shared" si="27"/>
        <v>0320027</v>
      </c>
      <c r="B1751" s="101" t="s">
        <v>16</v>
      </c>
      <c r="C1751" s="101" t="s">
        <v>168</v>
      </c>
      <c r="D1751" s="101" t="s">
        <v>545</v>
      </c>
      <c r="E1751" s="101" t="s">
        <v>17</v>
      </c>
    </row>
    <row r="1752" spans="1:5" x14ac:dyDescent="0.3">
      <c r="A1752" t="str">
        <f t="shared" si="27"/>
        <v>0320028</v>
      </c>
      <c r="B1752" s="101" t="s">
        <v>16</v>
      </c>
      <c r="C1752" s="101" t="s">
        <v>168</v>
      </c>
      <c r="D1752" s="101" t="s">
        <v>368</v>
      </c>
      <c r="E1752" s="101" t="s">
        <v>17</v>
      </c>
    </row>
    <row r="1753" spans="1:5" x14ac:dyDescent="0.3">
      <c r="A1753" t="str">
        <f t="shared" si="27"/>
        <v>0320029</v>
      </c>
      <c r="B1753" s="101" t="s">
        <v>16</v>
      </c>
      <c r="C1753" s="101" t="s">
        <v>168</v>
      </c>
      <c r="D1753" s="101" t="s">
        <v>355</v>
      </c>
      <c r="E1753" s="101" t="s">
        <v>17</v>
      </c>
    </row>
    <row r="1754" spans="1:5" x14ac:dyDescent="0.3">
      <c r="A1754" t="str">
        <f t="shared" si="27"/>
        <v>0320030</v>
      </c>
      <c r="B1754" s="101" t="s">
        <v>16</v>
      </c>
      <c r="C1754" s="101" t="s">
        <v>168</v>
      </c>
      <c r="D1754" s="101" t="s">
        <v>357</v>
      </c>
      <c r="E1754" s="101" t="s">
        <v>17</v>
      </c>
    </row>
    <row r="1755" spans="1:5" x14ac:dyDescent="0.3">
      <c r="A1755" t="str">
        <f t="shared" si="27"/>
        <v>0320031</v>
      </c>
      <c r="B1755" s="101" t="s">
        <v>16</v>
      </c>
      <c r="C1755" s="101" t="s">
        <v>168</v>
      </c>
      <c r="D1755" s="101" t="s">
        <v>369</v>
      </c>
      <c r="E1755" s="101" t="s">
        <v>17</v>
      </c>
    </row>
    <row r="1756" spans="1:5" x14ac:dyDescent="0.3">
      <c r="A1756" t="str">
        <f t="shared" si="27"/>
        <v>0320032</v>
      </c>
      <c r="B1756" s="101" t="s">
        <v>16</v>
      </c>
      <c r="C1756" s="101" t="s">
        <v>168</v>
      </c>
      <c r="D1756" s="101" t="s">
        <v>370</v>
      </c>
      <c r="E1756" s="101" t="s">
        <v>17</v>
      </c>
    </row>
    <row r="1757" spans="1:5" x14ac:dyDescent="0.3">
      <c r="A1757" t="str">
        <f t="shared" si="27"/>
        <v>0320033</v>
      </c>
      <c r="B1757" s="101" t="s">
        <v>16</v>
      </c>
      <c r="C1757" s="101" t="s">
        <v>168</v>
      </c>
      <c r="D1757" s="101" t="s">
        <v>327</v>
      </c>
      <c r="E1757" s="101" t="s">
        <v>17</v>
      </c>
    </row>
    <row r="1758" spans="1:5" x14ac:dyDescent="0.3">
      <c r="A1758" t="str">
        <f t="shared" si="27"/>
        <v>0320034</v>
      </c>
      <c r="B1758" s="101" t="s">
        <v>16</v>
      </c>
      <c r="C1758" s="101" t="s">
        <v>168</v>
      </c>
      <c r="D1758" s="101" t="s">
        <v>329</v>
      </c>
      <c r="E1758" s="101" t="s">
        <v>17</v>
      </c>
    </row>
    <row r="1759" spans="1:5" x14ac:dyDescent="0.3">
      <c r="A1759" t="str">
        <f t="shared" si="27"/>
        <v>0320035</v>
      </c>
      <c r="B1759" s="101" t="s">
        <v>16</v>
      </c>
      <c r="C1759" s="101" t="s">
        <v>168</v>
      </c>
      <c r="D1759" s="101" t="s">
        <v>497</v>
      </c>
      <c r="E1759" s="101" t="s">
        <v>17</v>
      </c>
    </row>
    <row r="1760" spans="1:5" x14ac:dyDescent="0.3">
      <c r="A1760" t="str">
        <f t="shared" si="27"/>
        <v>0320036</v>
      </c>
      <c r="B1760" s="101" t="s">
        <v>16</v>
      </c>
      <c r="C1760" s="101" t="s">
        <v>168</v>
      </c>
      <c r="D1760" s="101" t="s">
        <v>580</v>
      </c>
      <c r="E1760" s="101" t="s">
        <v>17</v>
      </c>
    </row>
    <row r="1761" spans="1:5" x14ac:dyDescent="0.3">
      <c r="A1761" t="str">
        <f t="shared" si="27"/>
        <v>0320039</v>
      </c>
      <c r="B1761" s="101" t="s">
        <v>16</v>
      </c>
      <c r="C1761" s="101" t="s">
        <v>168</v>
      </c>
      <c r="D1761" s="101" t="s">
        <v>582</v>
      </c>
      <c r="E1761" s="101" t="s">
        <v>17</v>
      </c>
    </row>
    <row r="1762" spans="1:5" x14ac:dyDescent="0.3">
      <c r="A1762" t="str">
        <f t="shared" si="27"/>
        <v>0320040</v>
      </c>
      <c r="B1762" s="101" t="s">
        <v>16</v>
      </c>
      <c r="C1762" s="101" t="s">
        <v>168</v>
      </c>
      <c r="D1762" s="101" t="s">
        <v>614</v>
      </c>
      <c r="E1762" s="101" t="s">
        <v>17</v>
      </c>
    </row>
    <row r="1763" spans="1:5" x14ac:dyDescent="0.3">
      <c r="A1763" t="str">
        <f t="shared" si="27"/>
        <v>0320041</v>
      </c>
      <c r="B1763" s="101" t="s">
        <v>16</v>
      </c>
      <c r="C1763" s="101" t="s">
        <v>168</v>
      </c>
      <c r="D1763" s="101" t="s">
        <v>583</v>
      </c>
      <c r="E1763" s="101" t="s">
        <v>17</v>
      </c>
    </row>
    <row r="1764" spans="1:5" x14ac:dyDescent="0.3">
      <c r="A1764" t="str">
        <f t="shared" si="27"/>
        <v>0320042</v>
      </c>
      <c r="B1764" s="101" t="s">
        <v>16</v>
      </c>
      <c r="C1764" s="101" t="s">
        <v>168</v>
      </c>
      <c r="D1764" s="101" t="s">
        <v>584</v>
      </c>
      <c r="E1764" s="101" t="s">
        <v>17</v>
      </c>
    </row>
    <row r="1765" spans="1:5" x14ac:dyDescent="0.3">
      <c r="A1765" t="str">
        <f t="shared" si="27"/>
        <v>0320523</v>
      </c>
      <c r="B1765" s="101" t="s">
        <v>16</v>
      </c>
      <c r="C1765" s="101" t="s">
        <v>168</v>
      </c>
      <c r="D1765" s="101" t="s">
        <v>408</v>
      </c>
      <c r="E1765" s="101" t="s">
        <v>17</v>
      </c>
    </row>
    <row r="1766" spans="1:5" x14ac:dyDescent="0.3">
      <c r="A1766" t="str">
        <f t="shared" si="27"/>
        <v>0320524</v>
      </c>
      <c r="B1766" s="101" t="s">
        <v>16</v>
      </c>
      <c r="C1766" s="101" t="s">
        <v>168</v>
      </c>
      <c r="D1766" s="101" t="s">
        <v>351</v>
      </c>
      <c r="E1766" s="101" t="s">
        <v>17</v>
      </c>
    </row>
    <row r="1767" spans="1:5" x14ac:dyDescent="0.3">
      <c r="A1767" t="str">
        <f t="shared" si="27"/>
        <v>0320525</v>
      </c>
      <c r="B1767" s="101" t="s">
        <v>16</v>
      </c>
      <c r="C1767" s="101" t="s">
        <v>168</v>
      </c>
      <c r="D1767" s="101" t="s">
        <v>394</v>
      </c>
      <c r="E1767" s="101" t="s">
        <v>17</v>
      </c>
    </row>
    <row r="1768" spans="1:5" x14ac:dyDescent="0.3">
      <c r="A1768" t="str">
        <f t="shared" si="27"/>
        <v>0320526</v>
      </c>
      <c r="B1768" s="101" t="s">
        <v>16</v>
      </c>
      <c r="C1768" s="101" t="s">
        <v>168</v>
      </c>
      <c r="D1768" s="101" t="s">
        <v>379</v>
      </c>
      <c r="E1768" s="101" t="s">
        <v>17</v>
      </c>
    </row>
    <row r="1769" spans="1:5" x14ac:dyDescent="0.3">
      <c r="A1769" t="str">
        <f t="shared" si="27"/>
        <v>0320527</v>
      </c>
      <c r="B1769" s="101" t="s">
        <v>16</v>
      </c>
      <c r="C1769" s="101" t="s">
        <v>168</v>
      </c>
      <c r="D1769" s="101" t="s">
        <v>380</v>
      </c>
      <c r="E1769" s="101" t="s">
        <v>17</v>
      </c>
    </row>
    <row r="1770" spans="1:5" x14ac:dyDescent="0.3">
      <c r="A1770" t="str">
        <f t="shared" si="27"/>
        <v>0320528</v>
      </c>
      <c r="B1770" s="101" t="s">
        <v>16</v>
      </c>
      <c r="C1770" s="101" t="s">
        <v>168</v>
      </c>
      <c r="D1770" s="101" t="s">
        <v>381</v>
      </c>
      <c r="E1770" s="101" t="s">
        <v>17</v>
      </c>
    </row>
    <row r="1771" spans="1:5" x14ac:dyDescent="0.3">
      <c r="A1771" t="str">
        <f t="shared" si="27"/>
        <v>0320529</v>
      </c>
      <c r="B1771" s="101" t="s">
        <v>16</v>
      </c>
      <c r="C1771" s="101" t="s">
        <v>168</v>
      </c>
      <c r="D1771" s="101" t="s">
        <v>364</v>
      </c>
      <c r="E1771" s="101" t="s">
        <v>17</v>
      </c>
    </row>
    <row r="1772" spans="1:5" x14ac:dyDescent="0.3">
      <c r="A1772" t="str">
        <f t="shared" si="27"/>
        <v>0320530</v>
      </c>
      <c r="B1772" s="101" t="s">
        <v>16</v>
      </c>
      <c r="C1772" s="101" t="s">
        <v>168</v>
      </c>
      <c r="D1772" s="101" t="s">
        <v>377</v>
      </c>
      <c r="E1772" s="101" t="s">
        <v>17</v>
      </c>
    </row>
    <row r="1773" spans="1:5" x14ac:dyDescent="0.3">
      <c r="A1773" t="str">
        <f t="shared" si="27"/>
        <v>0320531</v>
      </c>
      <c r="B1773" s="101" t="s">
        <v>16</v>
      </c>
      <c r="C1773" s="101" t="s">
        <v>168</v>
      </c>
      <c r="D1773" s="101" t="s">
        <v>409</v>
      </c>
      <c r="E1773" s="101" t="s">
        <v>17</v>
      </c>
    </row>
    <row r="1774" spans="1:5" x14ac:dyDescent="0.3">
      <c r="A1774" t="str">
        <f t="shared" si="27"/>
        <v>0320532</v>
      </c>
      <c r="B1774" s="101" t="s">
        <v>16</v>
      </c>
      <c r="C1774" s="101" t="s">
        <v>168</v>
      </c>
      <c r="D1774" s="101" t="s">
        <v>323</v>
      </c>
      <c r="E1774" s="101" t="s">
        <v>17</v>
      </c>
    </row>
    <row r="1775" spans="1:5" x14ac:dyDescent="0.3">
      <c r="A1775" t="str">
        <f t="shared" si="27"/>
        <v>0320533</v>
      </c>
      <c r="B1775" s="101" t="s">
        <v>16</v>
      </c>
      <c r="C1775" s="101" t="s">
        <v>168</v>
      </c>
      <c r="D1775" s="101" t="s">
        <v>397</v>
      </c>
      <c r="E1775" s="101" t="s">
        <v>17</v>
      </c>
    </row>
    <row r="1776" spans="1:5" x14ac:dyDescent="0.3">
      <c r="A1776" t="str">
        <f t="shared" si="27"/>
        <v>0320534</v>
      </c>
      <c r="B1776" s="101" t="s">
        <v>16</v>
      </c>
      <c r="C1776" s="101" t="s">
        <v>168</v>
      </c>
      <c r="D1776" s="101" t="s">
        <v>350</v>
      </c>
      <c r="E1776" s="101" t="s">
        <v>17</v>
      </c>
    </row>
    <row r="1777" spans="1:5" x14ac:dyDescent="0.3">
      <c r="A1777" t="str">
        <f t="shared" si="27"/>
        <v>0320535</v>
      </c>
      <c r="B1777" s="101" t="s">
        <v>16</v>
      </c>
      <c r="C1777" s="101" t="s">
        <v>168</v>
      </c>
      <c r="D1777" s="101" t="s">
        <v>410</v>
      </c>
      <c r="E1777" s="101" t="s">
        <v>17</v>
      </c>
    </row>
    <row r="1778" spans="1:5" x14ac:dyDescent="0.3">
      <c r="A1778" t="str">
        <f t="shared" si="27"/>
        <v>0320536</v>
      </c>
      <c r="B1778" s="101" t="s">
        <v>16</v>
      </c>
      <c r="C1778" s="101" t="s">
        <v>168</v>
      </c>
      <c r="D1778" s="101" t="s">
        <v>352</v>
      </c>
      <c r="E1778" s="101" t="s">
        <v>17</v>
      </c>
    </row>
    <row r="1779" spans="1:5" x14ac:dyDescent="0.3">
      <c r="A1779" t="str">
        <f t="shared" si="27"/>
        <v>0320539</v>
      </c>
      <c r="B1779" s="101" t="s">
        <v>16</v>
      </c>
      <c r="C1779" s="101" t="s">
        <v>168</v>
      </c>
      <c r="D1779" s="101" t="s">
        <v>378</v>
      </c>
      <c r="E1779" s="101" t="s">
        <v>17</v>
      </c>
    </row>
    <row r="1780" spans="1:5" x14ac:dyDescent="0.3">
      <c r="A1780" t="str">
        <f t="shared" si="27"/>
        <v>0320540</v>
      </c>
      <c r="B1780" s="101" t="s">
        <v>16</v>
      </c>
      <c r="C1780" s="101" t="s">
        <v>168</v>
      </c>
      <c r="D1780" s="101" t="s">
        <v>411</v>
      </c>
      <c r="E1780" s="101" t="s">
        <v>17</v>
      </c>
    </row>
    <row r="1781" spans="1:5" x14ac:dyDescent="0.3">
      <c r="A1781" t="str">
        <f t="shared" si="27"/>
        <v>0320541</v>
      </c>
      <c r="B1781" s="101" t="s">
        <v>16</v>
      </c>
      <c r="C1781" s="101" t="s">
        <v>168</v>
      </c>
      <c r="D1781" s="101" t="s">
        <v>325</v>
      </c>
      <c r="E1781" s="101" t="s">
        <v>17</v>
      </c>
    </row>
    <row r="1782" spans="1:5" x14ac:dyDescent="0.3">
      <c r="A1782" t="str">
        <f t="shared" si="27"/>
        <v>0320542</v>
      </c>
      <c r="B1782" s="101" t="s">
        <v>16</v>
      </c>
      <c r="C1782" s="101" t="s">
        <v>168</v>
      </c>
      <c r="D1782" s="101" t="s">
        <v>353</v>
      </c>
      <c r="E1782" s="101" t="s">
        <v>17</v>
      </c>
    </row>
    <row r="1783" spans="1:5" x14ac:dyDescent="0.3">
      <c r="A1783" t="str">
        <f t="shared" si="27"/>
        <v>0320075</v>
      </c>
      <c r="B1783" s="101" t="s">
        <v>16</v>
      </c>
      <c r="C1783" s="101" t="s">
        <v>168</v>
      </c>
      <c r="D1783" s="101" t="s">
        <v>615</v>
      </c>
      <c r="E1783" s="101" t="s">
        <v>17</v>
      </c>
    </row>
    <row r="1784" spans="1:5" x14ac:dyDescent="0.3">
      <c r="A1784" t="str">
        <f t="shared" si="27"/>
        <v>0320076</v>
      </c>
      <c r="B1784" s="101" t="s">
        <v>16</v>
      </c>
      <c r="C1784" s="101" t="s">
        <v>168</v>
      </c>
      <c r="D1784" s="101" t="s">
        <v>616</v>
      </c>
      <c r="E1784" s="101" t="s">
        <v>17</v>
      </c>
    </row>
    <row r="1785" spans="1:5" x14ac:dyDescent="0.3">
      <c r="A1785" t="str">
        <f t="shared" si="27"/>
        <v>0320077</v>
      </c>
      <c r="B1785" s="101" t="s">
        <v>16</v>
      </c>
      <c r="C1785" s="101" t="s">
        <v>168</v>
      </c>
      <c r="D1785" s="101" t="s">
        <v>617</v>
      </c>
      <c r="E1785" s="101" t="s">
        <v>17</v>
      </c>
    </row>
    <row r="1786" spans="1:5" x14ac:dyDescent="0.3">
      <c r="A1786" t="str">
        <f t="shared" si="27"/>
        <v>0320078</v>
      </c>
      <c r="B1786" s="101" t="s">
        <v>16</v>
      </c>
      <c r="C1786" s="101" t="s">
        <v>168</v>
      </c>
      <c r="D1786" s="101" t="s">
        <v>618</v>
      </c>
      <c r="E1786" s="101" t="s">
        <v>17</v>
      </c>
    </row>
    <row r="1787" spans="1:5" x14ac:dyDescent="0.3">
      <c r="A1787" t="str">
        <f t="shared" si="27"/>
        <v>0320079</v>
      </c>
      <c r="B1787" s="101" t="s">
        <v>16</v>
      </c>
      <c r="C1787" s="101" t="s">
        <v>168</v>
      </c>
      <c r="D1787" s="101" t="s">
        <v>619</v>
      </c>
      <c r="E1787" s="101" t="s">
        <v>17</v>
      </c>
    </row>
    <row r="1788" spans="1:5" x14ac:dyDescent="0.3">
      <c r="A1788" t="str">
        <f t="shared" si="27"/>
        <v>0320080</v>
      </c>
      <c r="B1788" s="101" t="s">
        <v>16</v>
      </c>
      <c r="C1788" s="101" t="s">
        <v>168</v>
      </c>
      <c r="D1788" s="101" t="s">
        <v>620</v>
      </c>
      <c r="E1788" s="101" t="s">
        <v>17</v>
      </c>
    </row>
    <row r="1789" spans="1:5" x14ac:dyDescent="0.3">
      <c r="A1789" t="str">
        <f t="shared" si="27"/>
        <v>0320081</v>
      </c>
      <c r="B1789" s="101" t="s">
        <v>16</v>
      </c>
      <c r="C1789" s="101" t="s">
        <v>168</v>
      </c>
      <c r="D1789" s="101" t="s">
        <v>621</v>
      </c>
      <c r="E1789" s="101" t="s">
        <v>17</v>
      </c>
    </row>
    <row r="1790" spans="1:5" x14ac:dyDescent="0.3">
      <c r="A1790" t="str">
        <f t="shared" si="27"/>
        <v>0320082</v>
      </c>
      <c r="B1790" s="101" t="s">
        <v>16</v>
      </c>
      <c r="C1790" s="101" t="s">
        <v>168</v>
      </c>
      <c r="D1790" s="101" t="s">
        <v>622</v>
      </c>
      <c r="E1790" s="101" t="s">
        <v>17</v>
      </c>
    </row>
    <row r="1791" spans="1:5" x14ac:dyDescent="0.3">
      <c r="A1791" t="str">
        <f t="shared" si="27"/>
        <v>0320083</v>
      </c>
      <c r="B1791" s="101" t="s">
        <v>16</v>
      </c>
      <c r="C1791" s="101" t="s">
        <v>168</v>
      </c>
      <c r="D1791" s="101" t="s">
        <v>623</v>
      </c>
      <c r="E1791" s="101" t="s">
        <v>17</v>
      </c>
    </row>
    <row r="1792" spans="1:5" x14ac:dyDescent="0.3">
      <c r="A1792" t="str">
        <f t="shared" si="27"/>
        <v>0320084</v>
      </c>
      <c r="B1792" s="101" t="s">
        <v>16</v>
      </c>
      <c r="C1792" s="101" t="s">
        <v>168</v>
      </c>
      <c r="D1792" s="101" t="s">
        <v>624</v>
      </c>
      <c r="E1792" s="101" t="s">
        <v>17</v>
      </c>
    </row>
    <row r="1793" spans="1:5" x14ac:dyDescent="0.3">
      <c r="A1793" t="str">
        <f t="shared" si="27"/>
        <v>0320575</v>
      </c>
      <c r="B1793" s="101" t="s">
        <v>16</v>
      </c>
      <c r="C1793" s="101" t="s">
        <v>168</v>
      </c>
      <c r="D1793" s="101" t="s">
        <v>434</v>
      </c>
      <c r="E1793" s="101" t="s">
        <v>17</v>
      </c>
    </row>
    <row r="1794" spans="1:5" x14ac:dyDescent="0.3">
      <c r="A1794" t="str">
        <f t="shared" si="27"/>
        <v>0320576</v>
      </c>
      <c r="B1794" s="101" t="s">
        <v>16</v>
      </c>
      <c r="C1794" s="101" t="s">
        <v>168</v>
      </c>
      <c r="D1794" s="101" t="s">
        <v>435</v>
      </c>
      <c r="E1794" s="101" t="s">
        <v>17</v>
      </c>
    </row>
    <row r="1795" spans="1:5" x14ac:dyDescent="0.3">
      <c r="A1795" t="str">
        <f t="shared" ref="A1795:A1858" si="28">CONCATENATE(B1795,C1795,D1795,F1795)</f>
        <v>0320577</v>
      </c>
      <c r="B1795" s="101" t="s">
        <v>16</v>
      </c>
      <c r="C1795" s="101" t="s">
        <v>168</v>
      </c>
      <c r="D1795" s="101" t="s">
        <v>436</v>
      </c>
      <c r="E1795" s="101" t="s">
        <v>17</v>
      </c>
    </row>
    <row r="1796" spans="1:5" x14ac:dyDescent="0.3">
      <c r="A1796" t="str">
        <f t="shared" si="28"/>
        <v>0320578</v>
      </c>
      <c r="B1796" s="101" t="s">
        <v>16</v>
      </c>
      <c r="C1796" s="101" t="s">
        <v>168</v>
      </c>
      <c r="D1796" s="101" t="s">
        <v>437</v>
      </c>
      <c r="E1796" s="101" t="s">
        <v>17</v>
      </c>
    </row>
    <row r="1797" spans="1:5" x14ac:dyDescent="0.3">
      <c r="A1797" t="str">
        <f t="shared" si="28"/>
        <v>0320579</v>
      </c>
      <c r="B1797" s="101" t="s">
        <v>16</v>
      </c>
      <c r="C1797" s="101" t="s">
        <v>168</v>
      </c>
      <c r="D1797" s="101" t="s">
        <v>438</v>
      </c>
      <c r="E1797" s="101" t="s">
        <v>17</v>
      </c>
    </row>
    <row r="1798" spans="1:5" x14ac:dyDescent="0.3">
      <c r="A1798" t="str">
        <f t="shared" si="28"/>
        <v>0320580</v>
      </c>
      <c r="B1798" s="101" t="s">
        <v>16</v>
      </c>
      <c r="C1798" s="101" t="s">
        <v>168</v>
      </c>
      <c r="D1798" s="101" t="s">
        <v>439</v>
      </c>
      <c r="E1798" s="101" t="s">
        <v>17</v>
      </c>
    </row>
    <row r="1799" spans="1:5" x14ac:dyDescent="0.3">
      <c r="A1799" t="str">
        <f t="shared" si="28"/>
        <v>0320581</v>
      </c>
      <c r="B1799" s="101" t="s">
        <v>16</v>
      </c>
      <c r="C1799" s="101" t="s">
        <v>168</v>
      </c>
      <c r="D1799" s="101" t="s">
        <v>440</v>
      </c>
      <c r="E1799" s="101" t="s">
        <v>17</v>
      </c>
    </row>
    <row r="1800" spans="1:5" x14ac:dyDescent="0.3">
      <c r="A1800" t="str">
        <f t="shared" si="28"/>
        <v>0320582</v>
      </c>
      <c r="B1800" s="101" t="s">
        <v>16</v>
      </c>
      <c r="C1800" s="101" t="s">
        <v>168</v>
      </c>
      <c r="D1800" s="101" t="s">
        <v>441</v>
      </c>
      <c r="E1800" s="101" t="s">
        <v>17</v>
      </c>
    </row>
    <row r="1801" spans="1:5" x14ac:dyDescent="0.3">
      <c r="A1801" t="str">
        <f t="shared" si="28"/>
        <v>0320583</v>
      </c>
      <c r="B1801" s="101" t="s">
        <v>16</v>
      </c>
      <c r="C1801" s="101" t="s">
        <v>168</v>
      </c>
      <c r="D1801" s="101" t="s">
        <v>442</v>
      </c>
      <c r="E1801" s="101" t="s">
        <v>17</v>
      </c>
    </row>
    <row r="1802" spans="1:5" x14ac:dyDescent="0.3">
      <c r="A1802" t="str">
        <f t="shared" si="28"/>
        <v>0320584</v>
      </c>
      <c r="B1802" s="101" t="s">
        <v>16</v>
      </c>
      <c r="C1802" s="101" t="s">
        <v>168</v>
      </c>
      <c r="D1802" s="101" t="s">
        <v>443</v>
      </c>
      <c r="E1802" s="101" t="s">
        <v>17</v>
      </c>
    </row>
    <row r="1803" spans="1:5" x14ac:dyDescent="0.3">
      <c r="A1803" t="str">
        <f t="shared" si="28"/>
        <v>0320001</v>
      </c>
      <c r="B1803" s="101" t="s">
        <v>16</v>
      </c>
      <c r="C1803" s="101" t="s">
        <v>168</v>
      </c>
      <c r="D1803" s="101" t="s">
        <v>549</v>
      </c>
      <c r="E1803" s="101" t="s">
        <v>17</v>
      </c>
    </row>
    <row r="1804" spans="1:5" x14ac:dyDescent="0.3">
      <c r="A1804" t="str">
        <f t="shared" si="28"/>
        <v>0320002</v>
      </c>
      <c r="B1804" s="101" t="s">
        <v>16</v>
      </c>
      <c r="C1804" s="101" t="s">
        <v>168</v>
      </c>
      <c r="D1804" s="101" t="s">
        <v>596</v>
      </c>
      <c r="E1804" s="101" t="s">
        <v>17</v>
      </c>
    </row>
    <row r="1805" spans="1:5" x14ac:dyDescent="0.3">
      <c r="A1805" t="str">
        <f t="shared" si="28"/>
        <v>0320003</v>
      </c>
      <c r="B1805" s="101" t="s">
        <v>16</v>
      </c>
      <c r="C1805" s="101" t="s">
        <v>168</v>
      </c>
      <c r="D1805" s="101" t="s">
        <v>597</v>
      </c>
      <c r="E1805" s="101" t="s">
        <v>17</v>
      </c>
    </row>
    <row r="1806" spans="1:5" x14ac:dyDescent="0.3">
      <c r="A1806" t="str">
        <f t="shared" si="28"/>
        <v>0320004</v>
      </c>
      <c r="B1806" s="101" t="s">
        <v>16</v>
      </c>
      <c r="C1806" s="101" t="s">
        <v>168</v>
      </c>
      <c r="D1806" s="101" t="s">
        <v>598</v>
      </c>
      <c r="E1806" s="101" t="s">
        <v>17</v>
      </c>
    </row>
    <row r="1807" spans="1:5" x14ac:dyDescent="0.3">
      <c r="A1807" t="str">
        <f t="shared" si="28"/>
        <v>0320005</v>
      </c>
      <c r="B1807" s="101" t="s">
        <v>16</v>
      </c>
      <c r="C1807" s="101" t="s">
        <v>168</v>
      </c>
      <c r="D1807" s="101" t="s">
        <v>399</v>
      </c>
      <c r="E1807" s="101" t="s">
        <v>17</v>
      </c>
    </row>
    <row r="1808" spans="1:5" x14ac:dyDescent="0.3">
      <c r="A1808" t="str">
        <f t="shared" si="28"/>
        <v>0320006</v>
      </c>
      <c r="B1808" s="101" t="s">
        <v>16</v>
      </c>
      <c r="C1808" s="101" t="s">
        <v>168</v>
      </c>
      <c r="D1808" s="101" t="s">
        <v>400</v>
      </c>
      <c r="E1808" s="101" t="s">
        <v>17</v>
      </c>
    </row>
    <row r="1809" spans="1:5" x14ac:dyDescent="0.3">
      <c r="A1809" t="str">
        <f t="shared" si="28"/>
        <v>0320007</v>
      </c>
      <c r="B1809" s="101" t="s">
        <v>16</v>
      </c>
      <c r="C1809" s="101" t="s">
        <v>168</v>
      </c>
      <c r="D1809" s="101" t="s">
        <v>401</v>
      </c>
      <c r="E1809" s="101" t="s">
        <v>17</v>
      </c>
    </row>
    <row r="1810" spans="1:5" x14ac:dyDescent="0.3">
      <c r="A1810" t="str">
        <f t="shared" si="28"/>
        <v>0320008</v>
      </c>
      <c r="B1810" s="101" t="s">
        <v>16</v>
      </c>
      <c r="C1810" s="101" t="s">
        <v>168</v>
      </c>
      <c r="D1810" s="101" t="s">
        <v>405</v>
      </c>
      <c r="E1810" s="101" t="s">
        <v>17</v>
      </c>
    </row>
    <row r="1811" spans="1:5" x14ac:dyDescent="0.3">
      <c r="A1811" t="str">
        <f t="shared" si="28"/>
        <v>0320009</v>
      </c>
      <c r="B1811" s="101" t="s">
        <v>16</v>
      </c>
      <c r="C1811" s="101" t="s">
        <v>168</v>
      </c>
      <c r="D1811" s="101" t="s">
        <v>406</v>
      </c>
      <c r="E1811" s="101" t="s">
        <v>17</v>
      </c>
    </row>
    <row r="1812" spans="1:5" x14ac:dyDescent="0.3">
      <c r="A1812" t="str">
        <f t="shared" si="28"/>
        <v>0320010</v>
      </c>
      <c r="B1812" s="101" t="s">
        <v>16</v>
      </c>
      <c r="C1812" s="101" t="s">
        <v>168</v>
      </c>
      <c r="D1812" s="101" t="s">
        <v>599</v>
      </c>
      <c r="E1812" s="101" t="s">
        <v>17</v>
      </c>
    </row>
    <row r="1813" spans="1:5" x14ac:dyDescent="0.3">
      <c r="A1813" t="str">
        <f t="shared" si="28"/>
        <v>0320011</v>
      </c>
      <c r="B1813" s="101" t="s">
        <v>16</v>
      </c>
      <c r="C1813" s="101" t="s">
        <v>168</v>
      </c>
      <c r="D1813" s="101" t="s">
        <v>402</v>
      </c>
      <c r="E1813" s="101" t="s">
        <v>17</v>
      </c>
    </row>
    <row r="1814" spans="1:5" x14ac:dyDescent="0.3">
      <c r="A1814" t="str">
        <f t="shared" si="28"/>
        <v>0320012</v>
      </c>
      <c r="B1814" s="101" t="s">
        <v>16</v>
      </c>
      <c r="C1814" s="101" t="s">
        <v>168</v>
      </c>
      <c r="D1814" s="101" t="s">
        <v>392</v>
      </c>
      <c r="E1814" s="101" t="s">
        <v>17</v>
      </c>
    </row>
    <row r="1815" spans="1:5" x14ac:dyDescent="0.3">
      <c r="A1815" t="str">
        <f t="shared" si="28"/>
        <v>0320013</v>
      </c>
      <c r="B1815" s="101" t="s">
        <v>16</v>
      </c>
      <c r="C1815" s="101" t="s">
        <v>168</v>
      </c>
      <c r="D1815" s="101" t="s">
        <v>403</v>
      </c>
      <c r="E1815" s="101" t="s">
        <v>17</v>
      </c>
    </row>
    <row r="1816" spans="1:5" x14ac:dyDescent="0.3">
      <c r="A1816" t="str">
        <f t="shared" si="28"/>
        <v>0320014</v>
      </c>
      <c r="B1816" s="101" t="s">
        <v>16</v>
      </c>
      <c r="C1816" s="101" t="s">
        <v>168</v>
      </c>
      <c r="D1816" s="101" t="s">
        <v>531</v>
      </c>
      <c r="E1816" s="101" t="s">
        <v>17</v>
      </c>
    </row>
    <row r="1817" spans="1:5" x14ac:dyDescent="0.3">
      <c r="A1817" t="str">
        <f t="shared" si="28"/>
        <v>0320510</v>
      </c>
      <c r="B1817" s="101" t="s">
        <v>16</v>
      </c>
      <c r="C1817" s="101" t="s">
        <v>168</v>
      </c>
      <c r="D1817" s="101" t="s">
        <v>385</v>
      </c>
      <c r="E1817" s="101" t="s">
        <v>17</v>
      </c>
    </row>
    <row r="1818" spans="1:5" x14ac:dyDescent="0.3">
      <c r="A1818" t="str">
        <f t="shared" si="28"/>
        <v>0320511</v>
      </c>
      <c r="B1818" s="101" t="s">
        <v>16</v>
      </c>
      <c r="C1818" s="101" t="s">
        <v>168</v>
      </c>
      <c r="D1818" s="101" t="s">
        <v>386</v>
      </c>
      <c r="E1818" s="101" t="s">
        <v>17</v>
      </c>
    </row>
    <row r="1819" spans="1:5" x14ac:dyDescent="0.3">
      <c r="A1819" t="str">
        <f t="shared" si="28"/>
        <v>0320512</v>
      </c>
      <c r="B1819" s="101" t="s">
        <v>16</v>
      </c>
      <c r="C1819" s="101" t="s">
        <v>168</v>
      </c>
      <c r="D1819" s="101" t="s">
        <v>398</v>
      </c>
      <c r="E1819" s="101" t="s">
        <v>17</v>
      </c>
    </row>
    <row r="1820" spans="1:5" x14ac:dyDescent="0.3">
      <c r="A1820" t="str">
        <f t="shared" si="28"/>
        <v>0320513</v>
      </c>
      <c r="B1820" s="101" t="s">
        <v>16</v>
      </c>
      <c r="C1820" s="101" t="s">
        <v>168</v>
      </c>
      <c r="D1820" s="101" t="s">
        <v>387</v>
      </c>
      <c r="E1820" s="101" t="s">
        <v>17</v>
      </c>
    </row>
    <row r="1821" spans="1:5" x14ac:dyDescent="0.3">
      <c r="A1821" t="str">
        <f t="shared" si="28"/>
        <v>0320514</v>
      </c>
      <c r="B1821" s="101" t="s">
        <v>16</v>
      </c>
      <c r="C1821" s="101" t="s">
        <v>168</v>
      </c>
      <c r="D1821" s="101" t="s">
        <v>388</v>
      </c>
      <c r="E1821" s="101" t="s">
        <v>17</v>
      </c>
    </row>
    <row r="1822" spans="1:5" x14ac:dyDescent="0.3">
      <c r="A1822" t="str">
        <f t="shared" si="28"/>
        <v>0320630</v>
      </c>
      <c r="B1822" s="101" t="s">
        <v>16</v>
      </c>
      <c r="C1822" s="101" t="s">
        <v>168</v>
      </c>
      <c r="D1822" s="101" t="s">
        <v>218</v>
      </c>
      <c r="E1822" s="101" t="s">
        <v>17</v>
      </c>
    </row>
    <row r="1823" spans="1:5" x14ac:dyDescent="0.3">
      <c r="A1823" t="str">
        <f t="shared" si="28"/>
        <v>0320631</v>
      </c>
      <c r="B1823" s="101" t="s">
        <v>16</v>
      </c>
      <c r="C1823" s="101" t="s">
        <v>168</v>
      </c>
      <c r="D1823" s="101" t="s">
        <v>219</v>
      </c>
      <c r="E1823" s="101" t="s">
        <v>17</v>
      </c>
    </row>
    <row r="1824" spans="1:5" x14ac:dyDescent="0.3">
      <c r="A1824" t="str">
        <f t="shared" si="28"/>
        <v>0320632</v>
      </c>
      <c r="B1824" s="101" t="s">
        <v>16</v>
      </c>
      <c r="C1824" s="101" t="s">
        <v>168</v>
      </c>
      <c r="D1824" s="101" t="s">
        <v>293</v>
      </c>
      <c r="E1824" s="101" t="s">
        <v>17</v>
      </c>
    </row>
    <row r="1825" spans="1:5" x14ac:dyDescent="0.3">
      <c r="A1825" t="str">
        <f t="shared" si="28"/>
        <v>0320633</v>
      </c>
      <c r="B1825" s="101" t="s">
        <v>16</v>
      </c>
      <c r="C1825" s="101" t="s">
        <v>168</v>
      </c>
      <c r="D1825" s="101" t="s">
        <v>294</v>
      </c>
      <c r="E1825" s="101" t="s">
        <v>17</v>
      </c>
    </row>
    <row r="1826" spans="1:5" x14ac:dyDescent="0.3">
      <c r="A1826" t="str">
        <f t="shared" si="28"/>
        <v>0320634</v>
      </c>
      <c r="B1826" s="101" t="s">
        <v>16</v>
      </c>
      <c r="C1826" s="101" t="s">
        <v>168</v>
      </c>
      <c r="D1826" s="101" t="s">
        <v>483</v>
      </c>
      <c r="E1826" s="101" t="s">
        <v>17</v>
      </c>
    </row>
    <row r="1827" spans="1:5" x14ac:dyDescent="0.3">
      <c r="A1827" t="str">
        <f t="shared" si="28"/>
        <v>0320635</v>
      </c>
      <c r="B1827" s="101" t="s">
        <v>16</v>
      </c>
      <c r="C1827" s="101" t="s">
        <v>168</v>
      </c>
      <c r="D1827" s="101" t="s">
        <v>484</v>
      </c>
      <c r="E1827" s="101" t="s">
        <v>17</v>
      </c>
    </row>
    <row r="1828" spans="1:5" x14ac:dyDescent="0.3">
      <c r="A1828" t="str">
        <f t="shared" si="28"/>
        <v>0320636</v>
      </c>
      <c r="B1828" s="101" t="s">
        <v>16</v>
      </c>
      <c r="C1828" s="101" t="s">
        <v>168</v>
      </c>
      <c r="D1828" s="101" t="s">
        <v>269</v>
      </c>
      <c r="E1828" s="101" t="s">
        <v>17</v>
      </c>
    </row>
    <row r="1829" spans="1:5" x14ac:dyDescent="0.3">
      <c r="A1829" t="str">
        <f t="shared" si="28"/>
        <v>0320637</v>
      </c>
      <c r="B1829" s="101" t="s">
        <v>16</v>
      </c>
      <c r="C1829" s="101" t="s">
        <v>168</v>
      </c>
      <c r="D1829" s="101" t="s">
        <v>270</v>
      </c>
      <c r="E1829" s="101" t="s">
        <v>17</v>
      </c>
    </row>
    <row r="1830" spans="1:5" x14ac:dyDescent="0.3">
      <c r="A1830" t="str">
        <f t="shared" si="28"/>
        <v>0320638</v>
      </c>
      <c r="B1830" s="101" t="s">
        <v>16</v>
      </c>
      <c r="C1830" s="101" t="s">
        <v>168</v>
      </c>
      <c r="D1830" s="101" t="s">
        <v>280</v>
      </c>
      <c r="E1830" s="101" t="s">
        <v>17</v>
      </c>
    </row>
    <row r="1831" spans="1:5" x14ac:dyDescent="0.3">
      <c r="A1831" t="str">
        <f t="shared" si="28"/>
        <v>0420801</v>
      </c>
      <c r="B1831" s="101" t="s">
        <v>18</v>
      </c>
      <c r="C1831" s="101" t="s">
        <v>168</v>
      </c>
      <c r="D1831" s="101" t="s">
        <v>144</v>
      </c>
      <c r="E1831" s="101" t="s">
        <v>139</v>
      </c>
    </row>
    <row r="1832" spans="1:5" x14ac:dyDescent="0.3">
      <c r="A1832" t="str">
        <f t="shared" si="28"/>
        <v>0420802</v>
      </c>
      <c r="B1832" s="101" t="s">
        <v>18</v>
      </c>
      <c r="C1832" s="101" t="s">
        <v>168</v>
      </c>
      <c r="D1832" s="101" t="s">
        <v>145</v>
      </c>
      <c r="E1832" s="101" t="s">
        <v>139</v>
      </c>
    </row>
    <row r="1833" spans="1:5" x14ac:dyDescent="0.3">
      <c r="A1833" t="str">
        <f t="shared" si="28"/>
        <v>0420500</v>
      </c>
      <c r="B1833" s="101" t="s">
        <v>18</v>
      </c>
      <c r="C1833" s="101" t="s">
        <v>168</v>
      </c>
      <c r="D1833" s="101" t="s">
        <v>146</v>
      </c>
      <c r="E1833" s="101" t="s">
        <v>139</v>
      </c>
    </row>
    <row r="1834" spans="1:5" x14ac:dyDescent="0.3">
      <c r="A1834" t="str">
        <f t="shared" si="28"/>
        <v>0420501</v>
      </c>
      <c r="B1834" s="101" t="s">
        <v>18</v>
      </c>
      <c r="C1834" s="101" t="s">
        <v>168</v>
      </c>
      <c r="D1834" s="101" t="s">
        <v>147</v>
      </c>
      <c r="E1834" s="101" t="s">
        <v>139</v>
      </c>
    </row>
    <row r="1835" spans="1:5" x14ac:dyDescent="0.3">
      <c r="A1835" t="str">
        <f t="shared" si="28"/>
        <v>0420044</v>
      </c>
      <c r="B1835" s="101" t="s">
        <v>18</v>
      </c>
      <c r="C1835" s="101" t="s">
        <v>168</v>
      </c>
      <c r="D1835" s="101" t="s">
        <v>420</v>
      </c>
      <c r="E1835" s="101" t="s">
        <v>17</v>
      </c>
    </row>
    <row r="1836" spans="1:5" x14ac:dyDescent="0.3">
      <c r="A1836" t="str">
        <f t="shared" si="28"/>
        <v>0420045</v>
      </c>
      <c r="B1836" s="101" t="s">
        <v>18</v>
      </c>
      <c r="C1836" s="101" t="s">
        <v>168</v>
      </c>
      <c r="D1836" s="101" t="s">
        <v>453</v>
      </c>
      <c r="E1836" s="101" t="s">
        <v>17</v>
      </c>
    </row>
    <row r="1837" spans="1:5" x14ac:dyDescent="0.3">
      <c r="A1837" t="str">
        <f t="shared" si="28"/>
        <v>0420064</v>
      </c>
      <c r="B1837" s="101" t="s">
        <v>18</v>
      </c>
      <c r="C1837" s="101" t="s">
        <v>168</v>
      </c>
      <c r="D1837" s="101" t="s">
        <v>610</v>
      </c>
      <c r="E1837" s="101" t="s">
        <v>17</v>
      </c>
    </row>
    <row r="1838" spans="1:5" x14ac:dyDescent="0.3">
      <c r="A1838" t="str">
        <f t="shared" si="28"/>
        <v>0420065</v>
      </c>
      <c r="B1838" s="101" t="s">
        <v>18</v>
      </c>
      <c r="C1838" s="101" t="s">
        <v>168</v>
      </c>
      <c r="D1838" s="101" t="s">
        <v>611</v>
      </c>
      <c r="E1838" s="101" t="s">
        <v>17</v>
      </c>
    </row>
    <row r="1839" spans="1:5" x14ac:dyDescent="0.3">
      <c r="A1839" t="str">
        <f t="shared" si="28"/>
        <v>0420544</v>
      </c>
      <c r="B1839" s="101" t="s">
        <v>18</v>
      </c>
      <c r="C1839" s="101" t="s">
        <v>168</v>
      </c>
      <c r="D1839" s="101" t="s">
        <v>412</v>
      </c>
      <c r="E1839" s="101" t="s">
        <v>17</v>
      </c>
    </row>
    <row r="1840" spans="1:5" x14ac:dyDescent="0.3">
      <c r="A1840" t="str">
        <f t="shared" si="28"/>
        <v>0420545</v>
      </c>
      <c r="B1840" s="101" t="s">
        <v>18</v>
      </c>
      <c r="C1840" s="101" t="s">
        <v>168</v>
      </c>
      <c r="D1840" s="101" t="s">
        <v>413</v>
      </c>
      <c r="E1840" s="101" t="s">
        <v>17</v>
      </c>
    </row>
    <row r="1841" spans="1:5" x14ac:dyDescent="0.3">
      <c r="A1841" t="str">
        <f t="shared" si="28"/>
        <v>0420564</v>
      </c>
      <c r="B1841" s="101" t="s">
        <v>18</v>
      </c>
      <c r="C1841" s="101" t="s">
        <v>168</v>
      </c>
      <c r="D1841" s="101" t="s">
        <v>423</v>
      </c>
      <c r="E1841" s="101" t="s">
        <v>17</v>
      </c>
    </row>
    <row r="1842" spans="1:5" x14ac:dyDescent="0.3">
      <c r="A1842" t="str">
        <f t="shared" si="28"/>
        <v>0420071</v>
      </c>
      <c r="B1842" s="101" t="s">
        <v>18</v>
      </c>
      <c r="C1842" s="101" t="s">
        <v>168</v>
      </c>
      <c r="D1842" s="101" t="s">
        <v>600</v>
      </c>
      <c r="E1842" s="101" t="s">
        <v>17</v>
      </c>
    </row>
    <row r="1843" spans="1:5" x14ac:dyDescent="0.3">
      <c r="A1843" t="str">
        <f t="shared" si="28"/>
        <v>0420072</v>
      </c>
      <c r="B1843" s="101" t="s">
        <v>18</v>
      </c>
      <c r="C1843" s="101" t="s">
        <v>168</v>
      </c>
      <c r="D1843" s="101" t="s">
        <v>601</v>
      </c>
      <c r="E1843" s="101" t="s">
        <v>17</v>
      </c>
    </row>
    <row r="1844" spans="1:5" x14ac:dyDescent="0.3">
      <c r="A1844" t="str">
        <f t="shared" si="28"/>
        <v>0420073</v>
      </c>
      <c r="B1844" s="101" t="s">
        <v>18</v>
      </c>
      <c r="C1844" s="101" t="s">
        <v>168</v>
      </c>
      <c r="D1844" s="101" t="s">
        <v>612</v>
      </c>
      <c r="E1844" s="101" t="s">
        <v>17</v>
      </c>
    </row>
    <row r="1845" spans="1:5" x14ac:dyDescent="0.3">
      <c r="A1845" t="str">
        <f t="shared" si="28"/>
        <v>0420074</v>
      </c>
      <c r="B1845" s="101" t="s">
        <v>18</v>
      </c>
      <c r="C1845" s="101" t="s">
        <v>168</v>
      </c>
      <c r="D1845" s="101" t="s">
        <v>613</v>
      </c>
      <c r="E1845" s="101" t="s">
        <v>17</v>
      </c>
    </row>
    <row r="1846" spans="1:5" x14ac:dyDescent="0.3">
      <c r="A1846" t="str">
        <f t="shared" si="28"/>
        <v>0420571</v>
      </c>
      <c r="B1846" s="101" t="s">
        <v>18</v>
      </c>
      <c r="C1846" s="101" t="s">
        <v>168</v>
      </c>
      <c r="D1846" s="101" t="s">
        <v>430</v>
      </c>
      <c r="E1846" s="101" t="s">
        <v>17</v>
      </c>
    </row>
    <row r="1847" spans="1:5" x14ac:dyDescent="0.3">
      <c r="A1847" t="str">
        <f t="shared" si="28"/>
        <v>0420572</v>
      </c>
      <c r="B1847" s="101" t="s">
        <v>18</v>
      </c>
      <c r="C1847" s="101" t="s">
        <v>168</v>
      </c>
      <c r="D1847" s="101" t="s">
        <v>431</v>
      </c>
      <c r="E1847" s="101" t="s">
        <v>17</v>
      </c>
    </row>
    <row r="1848" spans="1:5" x14ac:dyDescent="0.3">
      <c r="A1848" t="str">
        <f t="shared" si="28"/>
        <v>0420573</v>
      </c>
      <c r="B1848" s="101" t="s">
        <v>18</v>
      </c>
      <c r="C1848" s="101" t="s">
        <v>168</v>
      </c>
      <c r="D1848" s="101" t="s">
        <v>432</v>
      </c>
      <c r="E1848" s="101" t="s">
        <v>17</v>
      </c>
    </row>
    <row r="1849" spans="1:5" x14ac:dyDescent="0.3">
      <c r="A1849" t="str">
        <f t="shared" si="28"/>
        <v>0420574</v>
      </c>
      <c r="B1849" s="101" t="s">
        <v>18</v>
      </c>
      <c r="C1849" s="101" t="s">
        <v>168</v>
      </c>
      <c r="D1849" s="101" t="s">
        <v>433</v>
      </c>
      <c r="E1849" s="101" t="s">
        <v>17</v>
      </c>
    </row>
    <row r="1850" spans="1:5" x14ac:dyDescent="0.3">
      <c r="A1850" t="str">
        <f t="shared" si="28"/>
        <v>0420104</v>
      </c>
      <c r="B1850" s="101" t="s">
        <v>18</v>
      </c>
      <c r="C1850" s="101" t="s">
        <v>168</v>
      </c>
      <c r="D1850" s="101" t="s">
        <v>234</v>
      </c>
      <c r="E1850" s="101" t="s">
        <v>19</v>
      </c>
    </row>
    <row r="1851" spans="1:5" x14ac:dyDescent="0.3">
      <c r="A1851" t="str">
        <f t="shared" si="28"/>
        <v>0420105</v>
      </c>
      <c r="B1851" s="101" t="s">
        <v>18</v>
      </c>
      <c r="C1851" s="101" t="s">
        <v>168</v>
      </c>
      <c r="D1851" s="101" t="s">
        <v>235</v>
      </c>
      <c r="E1851" s="101" t="s">
        <v>19</v>
      </c>
    </row>
    <row r="1852" spans="1:5" x14ac:dyDescent="0.3">
      <c r="A1852" t="str">
        <f t="shared" si="28"/>
        <v>0420106</v>
      </c>
      <c r="B1852" s="101" t="s">
        <v>18</v>
      </c>
      <c r="C1852" s="101" t="s">
        <v>168</v>
      </c>
      <c r="D1852" s="101" t="s">
        <v>236</v>
      </c>
      <c r="E1852" s="101" t="s">
        <v>19</v>
      </c>
    </row>
    <row r="1853" spans="1:5" x14ac:dyDescent="0.3">
      <c r="A1853" t="str">
        <f t="shared" si="28"/>
        <v>0420107</v>
      </c>
      <c r="B1853" s="101" t="s">
        <v>18</v>
      </c>
      <c r="C1853" s="101" t="s">
        <v>168</v>
      </c>
      <c r="D1853" s="101" t="s">
        <v>237</v>
      </c>
      <c r="E1853" s="101" t="s">
        <v>19</v>
      </c>
    </row>
    <row r="1854" spans="1:5" x14ac:dyDescent="0.3">
      <c r="A1854" t="str">
        <f t="shared" si="28"/>
        <v>0420615</v>
      </c>
      <c r="B1854" s="101" t="s">
        <v>18</v>
      </c>
      <c r="C1854" s="101" t="s">
        <v>168</v>
      </c>
      <c r="D1854" s="101" t="s">
        <v>292</v>
      </c>
      <c r="E1854" s="101" t="s">
        <v>19</v>
      </c>
    </row>
    <row r="1855" spans="1:5" x14ac:dyDescent="0.3">
      <c r="A1855" t="str">
        <f t="shared" si="28"/>
        <v>0420616</v>
      </c>
      <c r="B1855" s="101" t="s">
        <v>18</v>
      </c>
      <c r="C1855" s="101" t="s">
        <v>168</v>
      </c>
      <c r="D1855" s="101" t="s">
        <v>471</v>
      </c>
      <c r="E1855" s="101" t="s">
        <v>19</v>
      </c>
    </row>
    <row r="1856" spans="1:5" x14ac:dyDescent="0.3">
      <c r="A1856" t="str">
        <f t="shared" si="28"/>
        <v>0420617</v>
      </c>
      <c r="B1856" s="101" t="s">
        <v>18</v>
      </c>
      <c r="C1856" s="101" t="s">
        <v>168</v>
      </c>
      <c r="D1856" s="101" t="s">
        <v>472</v>
      </c>
      <c r="E1856" s="101" t="s">
        <v>19</v>
      </c>
    </row>
    <row r="1857" spans="1:5" x14ac:dyDescent="0.3">
      <c r="A1857" t="str">
        <f t="shared" si="28"/>
        <v>0420618</v>
      </c>
      <c r="B1857" s="101" t="s">
        <v>18</v>
      </c>
      <c r="C1857" s="101" t="s">
        <v>168</v>
      </c>
      <c r="D1857" s="101" t="s">
        <v>473</v>
      </c>
      <c r="E1857" s="101" t="s">
        <v>19</v>
      </c>
    </row>
    <row r="1858" spans="1:5" x14ac:dyDescent="0.3">
      <c r="A1858" t="str">
        <f t="shared" si="28"/>
        <v>0420108</v>
      </c>
      <c r="B1858" s="101" t="s">
        <v>18</v>
      </c>
      <c r="C1858" s="101" t="s">
        <v>168</v>
      </c>
      <c r="D1858" s="101" t="s">
        <v>238</v>
      </c>
      <c r="E1858" s="101" t="s">
        <v>140</v>
      </c>
    </row>
    <row r="1859" spans="1:5" x14ac:dyDescent="0.3">
      <c r="A1859" t="str">
        <f t="shared" ref="A1859:A1922" si="29">CONCATENATE(B1859,C1859,D1859,F1859)</f>
        <v>0420109</v>
      </c>
      <c r="B1859" s="101" t="s">
        <v>18</v>
      </c>
      <c r="C1859" s="101" t="s">
        <v>168</v>
      </c>
      <c r="D1859" s="101" t="s">
        <v>239</v>
      </c>
      <c r="E1859" s="101" t="s">
        <v>140</v>
      </c>
    </row>
    <row r="1860" spans="1:5" x14ac:dyDescent="0.3">
      <c r="A1860" t="str">
        <f t="shared" si="29"/>
        <v>0420110</v>
      </c>
      <c r="B1860" s="101" t="s">
        <v>18</v>
      </c>
      <c r="C1860" s="101" t="s">
        <v>168</v>
      </c>
      <c r="D1860" s="101" t="s">
        <v>240</v>
      </c>
      <c r="E1860" s="101" t="s">
        <v>140</v>
      </c>
    </row>
    <row r="1861" spans="1:5" x14ac:dyDescent="0.3">
      <c r="A1861" t="str">
        <f t="shared" si="29"/>
        <v>0420111</v>
      </c>
      <c r="B1861" s="101" t="s">
        <v>18</v>
      </c>
      <c r="C1861" s="101" t="s">
        <v>168</v>
      </c>
      <c r="D1861" s="101" t="s">
        <v>241</v>
      </c>
      <c r="E1861" s="101" t="s">
        <v>140</v>
      </c>
    </row>
    <row r="1862" spans="1:5" x14ac:dyDescent="0.3">
      <c r="A1862" t="str">
        <f t="shared" si="29"/>
        <v>0420619</v>
      </c>
      <c r="B1862" s="101" t="s">
        <v>18</v>
      </c>
      <c r="C1862" s="101" t="s">
        <v>168</v>
      </c>
      <c r="D1862" s="101" t="s">
        <v>474</v>
      </c>
      <c r="E1862" s="101" t="s">
        <v>140</v>
      </c>
    </row>
    <row r="1863" spans="1:5" x14ac:dyDescent="0.3">
      <c r="A1863" t="str">
        <f t="shared" si="29"/>
        <v>0420620</v>
      </c>
      <c r="B1863" s="101" t="s">
        <v>18</v>
      </c>
      <c r="C1863" s="101" t="s">
        <v>168</v>
      </c>
      <c r="D1863" s="101" t="s">
        <v>475</v>
      </c>
      <c r="E1863" s="101" t="s">
        <v>140</v>
      </c>
    </row>
    <row r="1864" spans="1:5" x14ac:dyDescent="0.3">
      <c r="A1864" t="str">
        <f t="shared" si="29"/>
        <v>0420621</v>
      </c>
      <c r="B1864" s="101" t="s">
        <v>18</v>
      </c>
      <c r="C1864" s="101" t="s">
        <v>168</v>
      </c>
      <c r="D1864" s="101" t="s">
        <v>476</v>
      </c>
      <c r="E1864" s="101" t="s">
        <v>140</v>
      </c>
    </row>
    <row r="1865" spans="1:5" x14ac:dyDescent="0.3">
      <c r="A1865" t="str">
        <f t="shared" si="29"/>
        <v>0420622</v>
      </c>
      <c r="B1865" s="101" t="s">
        <v>18</v>
      </c>
      <c r="C1865" s="101" t="s">
        <v>168</v>
      </c>
      <c r="D1865" s="101" t="s">
        <v>315</v>
      </c>
      <c r="E1865" s="101" t="s">
        <v>140</v>
      </c>
    </row>
    <row r="1866" spans="1:5" x14ac:dyDescent="0.3">
      <c r="A1866" t="str">
        <f t="shared" si="29"/>
        <v>0420015</v>
      </c>
      <c r="B1866" s="101" t="s">
        <v>18</v>
      </c>
      <c r="C1866" s="101" t="s">
        <v>168</v>
      </c>
      <c r="D1866" s="101" t="s">
        <v>321</v>
      </c>
      <c r="E1866" s="101" t="s">
        <v>17</v>
      </c>
    </row>
    <row r="1867" spans="1:5" x14ac:dyDescent="0.3">
      <c r="A1867" t="str">
        <f t="shared" si="29"/>
        <v>0420016</v>
      </c>
      <c r="B1867" s="101" t="s">
        <v>18</v>
      </c>
      <c r="C1867" s="101" t="s">
        <v>168</v>
      </c>
      <c r="D1867" s="101" t="s">
        <v>396</v>
      </c>
      <c r="E1867" s="101" t="s">
        <v>17</v>
      </c>
    </row>
    <row r="1868" spans="1:5" x14ac:dyDescent="0.3">
      <c r="A1868" t="str">
        <f t="shared" si="29"/>
        <v>0420017</v>
      </c>
      <c r="B1868" s="101" t="s">
        <v>18</v>
      </c>
      <c r="C1868" s="101" t="s">
        <v>168</v>
      </c>
      <c r="D1868" s="101" t="s">
        <v>575</v>
      </c>
      <c r="E1868" s="101" t="s">
        <v>17</v>
      </c>
    </row>
    <row r="1869" spans="1:5" x14ac:dyDescent="0.3">
      <c r="A1869" t="str">
        <f t="shared" si="29"/>
        <v>0420018</v>
      </c>
      <c r="B1869" s="101" t="s">
        <v>18</v>
      </c>
      <c r="C1869" s="101" t="s">
        <v>168</v>
      </c>
      <c r="D1869" s="101" t="s">
        <v>576</v>
      </c>
      <c r="E1869" s="101" t="s">
        <v>17</v>
      </c>
    </row>
    <row r="1870" spans="1:5" x14ac:dyDescent="0.3">
      <c r="A1870" t="str">
        <f t="shared" si="29"/>
        <v>0420019</v>
      </c>
      <c r="B1870" s="101" t="s">
        <v>18</v>
      </c>
      <c r="C1870" s="101" t="s">
        <v>168</v>
      </c>
      <c r="D1870" s="101" t="s">
        <v>393</v>
      </c>
      <c r="E1870" s="101" t="s">
        <v>17</v>
      </c>
    </row>
    <row r="1871" spans="1:5" x14ac:dyDescent="0.3">
      <c r="A1871" t="str">
        <f t="shared" si="29"/>
        <v>0420020</v>
      </c>
      <c r="B1871" s="101" t="s">
        <v>18</v>
      </c>
      <c r="C1871" s="101" t="s">
        <v>168</v>
      </c>
      <c r="D1871" s="101" t="s">
        <v>577</v>
      </c>
      <c r="E1871" s="101" t="s">
        <v>17</v>
      </c>
    </row>
    <row r="1872" spans="1:5" x14ac:dyDescent="0.3">
      <c r="A1872" t="str">
        <f t="shared" si="29"/>
        <v>0420515</v>
      </c>
      <c r="B1872" s="101" t="s">
        <v>18</v>
      </c>
      <c r="C1872" s="101" t="s">
        <v>168</v>
      </c>
      <c r="D1872" s="101" t="s">
        <v>407</v>
      </c>
      <c r="E1872" s="101" t="s">
        <v>17</v>
      </c>
    </row>
    <row r="1873" spans="1:5" x14ac:dyDescent="0.3">
      <c r="A1873" t="str">
        <f t="shared" si="29"/>
        <v>0420516</v>
      </c>
      <c r="B1873" s="101" t="s">
        <v>18</v>
      </c>
      <c r="C1873" s="101" t="s">
        <v>168</v>
      </c>
      <c r="D1873" s="101" t="s">
        <v>389</v>
      </c>
      <c r="E1873" s="101" t="s">
        <v>17</v>
      </c>
    </row>
    <row r="1874" spans="1:5" x14ac:dyDescent="0.3">
      <c r="A1874" t="str">
        <f t="shared" si="29"/>
        <v>0420517</v>
      </c>
      <c r="B1874" s="101" t="s">
        <v>18</v>
      </c>
      <c r="C1874" s="101" t="s">
        <v>168</v>
      </c>
      <c r="D1874" s="101" t="s">
        <v>390</v>
      </c>
      <c r="E1874" s="101" t="s">
        <v>17</v>
      </c>
    </row>
    <row r="1875" spans="1:5" x14ac:dyDescent="0.3">
      <c r="A1875" t="str">
        <f t="shared" si="29"/>
        <v>0420518</v>
      </c>
      <c r="B1875" s="101" t="s">
        <v>18</v>
      </c>
      <c r="C1875" s="101" t="s">
        <v>168</v>
      </c>
      <c r="D1875" s="101" t="s">
        <v>382</v>
      </c>
      <c r="E1875" s="101" t="s">
        <v>17</v>
      </c>
    </row>
    <row r="1876" spans="1:5" x14ac:dyDescent="0.3">
      <c r="A1876" t="str">
        <f t="shared" si="29"/>
        <v>0420519</v>
      </c>
      <c r="B1876" s="101" t="s">
        <v>18</v>
      </c>
      <c r="C1876" s="101" t="s">
        <v>168</v>
      </c>
      <c r="D1876" s="101" t="s">
        <v>383</v>
      </c>
      <c r="E1876" s="101" t="s">
        <v>17</v>
      </c>
    </row>
    <row r="1877" spans="1:5" x14ac:dyDescent="0.3">
      <c r="A1877" t="str">
        <f t="shared" si="29"/>
        <v>0420520</v>
      </c>
      <c r="B1877" s="101" t="s">
        <v>18</v>
      </c>
      <c r="C1877" s="101" t="s">
        <v>168</v>
      </c>
      <c r="D1877" s="101" t="s">
        <v>404</v>
      </c>
      <c r="E1877" s="101" t="s">
        <v>17</v>
      </c>
    </row>
    <row r="1878" spans="1:5" x14ac:dyDescent="0.3">
      <c r="A1878" t="str">
        <f t="shared" si="29"/>
        <v>0420023</v>
      </c>
      <c r="B1878" s="101" t="s">
        <v>18</v>
      </c>
      <c r="C1878" s="101" t="s">
        <v>168</v>
      </c>
      <c r="D1878" s="101" t="s">
        <v>480</v>
      </c>
      <c r="E1878" s="101" t="s">
        <v>17</v>
      </c>
    </row>
    <row r="1879" spans="1:5" x14ac:dyDescent="0.3">
      <c r="A1879" t="str">
        <f t="shared" si="29"/>
        <v>0420024</v>
      </c>
      <c r="B1879" s="101" t="s">
        <v>18</v>
      </c>
      <c r="C1879" s="101" t="s">
        <v>168</v>
      </c>
      <c r="D1879" s="101" t="s">
        <v>481</v>
      </c>
      <c r="E1879" s="101" t="s">
        <v>17</v>
      </c>
    </row>
    <row r="1880" spans="1:5" x14ac:dyDescent="0.3">
      <c r="A1880" t="str">
        <f t="shared" si="29"/>
        <v>0420025</v>
      </c>
      <c r="B1880" s="101" t="s">
        <v>18</v>
      </c>
      <c r="C1880" s="101" t="s">
        <v>168</v>
      </c>
      <c r="D1880" s="101" t="s">
        <v>367</v>
      </c>
      <c r="E1880" s="101" t="s">
        <v>17</v>
      </c>
    </row>
    <row r="1881" spans="1:5" x14ac:dyDescent="0.3">
      <c r="A1881" t="str">
        <f t="shared" si="29"/>
        <v>0420026</v>
      </c>
      <c r="B1881" s="101" t="s">
        <v>18</v>
      </c>
      <c r="C1881" s="101" t="s">
        <v>168</v>
      </c>
      <c r="D1881" s="101" t="s">
        <v>579</v>
      </c>
      <c r="E1881" s="101" t="s">
        <v>17</v>
      </c>
    </row>
    <row r="1882" spans="1:5" x14ac:dyDescent="0.3">
      <c r="A1882" t="str">
        <f t="shared" si="29"/>
        <v>0420027</v>
      </c>
      <c r="B1882" s="101" t="s">
        <v>18</v>
      </c>
      <c r="C1882" s="101" t="s">
        <v>168</v>
      </c>
      <c r="D1882" s="101" t="s">
        <v>545</v>
      </c>
      <c r="E1882" s="101" t="s">
        <v>17</v>
      </c>
    </row>
    <row r="1883" spans="1:5" x14ac:dyDescent="0.3">
      <c r="A1883" t="str">
        <f t="shared" si="29"/>
        <v>0420028</v>
      </c>
      <c r="B1883" s="101" t="s">
        <v>18</v>
      </c>
      <c r="C1883" s="101" t="s">
        <v>168</v>
      </c>
      <c r="D1883" s="101" t="s">
        <v>368</v>
      </c>
      <c r="E1883" s="101" t="s">
        <v>17</v>
      </c>
    </row>
    <row r="1884" spans="1:5" x14ac:dyDescent="0.3">
      <c r="A1884" t="str">
        <f t="shared" si="29"/>
        <v>0420029</v>
      </c>
      <c r="B1884" s="101" t="s">
        <v>18</v>
      </c>
      <c r="C1884" s="101" t="s">
        <v>168</v>
      </c>
      <c r="D1884" s="101" t="s">
        <v>355</v>
      </c>
      <c r="E1884" s="101" t="s">
        <v>17</v>
      </c>
    </row>
    <row r="1885" spans="1:5" x14ac:dyDescent="0.3">
      <c r="A1885" t="str">
        <f t="shared" si="29"/>
        <v>0420030</v>
      </c>
      <c r="B1885" s="101" t="s">
        <v>18</v>
      </c>
      <c r="C1885" s="101" t="s">
        <v>168</v>
      </c>
      <c r="D1885" s="101" t="s">
        <v>357</v>
      </c>
      <c r="E1885" s="101" t="s">
        <v>17</v>
      </c>
    </row>
    <row r="1886" spans="1:5" x14ac:dyDescent="0.3">
      <c r="A1886" t="str">
        <f t="shared" si="29"/>
        <v>0420031</v>
      </c>
      <c r="B1886" s="101" t="s">
        <v>18</v>
      </c>
      <c r="C1886" s="101" t="s">
        <v>168</v>
      </c>
      <c r="D1886" s="101" t="s">
        <v>369</v>
      </c>
      <c r="E1886" s="101" t="s">
        <v>17</v>
      </c>
    </row>
    <row r="1887" spans="1:5" x14ac:dyDescent="0.3">
      <c r="A1887" t="str">
        <f t="shared" si="29"/>
        <v>0420032</v>
      </c>
      <c r="B1887" s="101" t="s">
        <v>18</v>
      </c>
      <c r="C1887" s="101" t="s">
        <v>168</v>
      </c>
      <c r="D1887" s="101" t="s">
        <v>370</v>
      </c>
      <c r="E1887" s="101" t="s">
        <v>17</v>
      </c>
    </row>
    <row r="1888" spans="1:5" x14ac:dyDescent="0.3">
      <c r="A1888" t="str">
        <f t="shared" si="29"/>
        <v>0420033</v>
      </c>
      <c r="B1888" s="101" t="s">
        <v>18</v>
      </c>
      <c r="C1888" s="101" t="s">
        <v>168</v>
      </c>
      <c r="D1888" s="101" t="s">
        <v>327</v>
      </c>
      <c r="E1888" s="101" t="s">
        <v>17</v>
      </c>
    </row>
    <row r="1889" spans="1:5" x14ac:dyDescent="0.3">
      <c r="A1889" t="str">
        <f t="shared" si="29"/>
        <v>0420034</v>
      </c>
      <c r="B1889" s="101" t="s">
        <v>18</v>
      </c>
      <c r="C1889" s="101" t="s">
        <v>168</v>
      </c>
      <c r="D1889" s="101" t="s">
        <v>329</v>
      </c>
      <c r="E1889" s="101" t="s">
        <v>17</v>
      </c>
    </row>
    <row r="1890" spans="1:5" x14ac:dyDescent="0.3">
      <c r="A1890" t="str">
        <f t="shared" si="29"/>
        <v>0420035</v>
      </c>
      <c r="B1890" s="101" t="s">
        <v>18</v>
      </c>
      <c r="C1890" s="101" t="s">
        <v>168</v>
      </c>
      <c r="D1890" s="101" t="s">
        <v>497</v>
      </c>
      <c r="E1890" s="101" t="s">
        <v>17</v>
      </c>
    </row>
    <row r="1891" spans="1:5" x14ac:dyDescent="0.3">
      <c r="A1891" t="str">
        <f t="shared" si="29"/>
        <v>0420036</v>
      </c>
      <c r="B1891" s="101" t="s">
        <v>18</v>
      </c>
      <c r="C1891" s="101" t="s">
        <v>168</v>
      </c>
      <c r="D1891" s="101" t="s">
        <v>580</v>
      </c>
      <c r="E1891" s="101" t="s">
        <v>17</v>
      </c>
    </row>
    <row r="1892" spans="1:5" x14ac:dyDescent="0.3">
      <c r="A1892" t="str">
        <f t="shared" si="29"/>
        <v>0420039</v>
      </c>
      <c r="B1892" s="101" t="s">
        <v>18</v>
      </c>
      <c r="C1892" s="101" t="s">
        <v>168</v>
      </c>
      <c r="D1892" s="101" t="s">
        <v>582</v>
      </c>
      <c r="E1892" s="101" t="s">
        <v>17</v>
      </c>
    </row>
    <row r="1893" spans="1:5" x14ac:dyDescent="0.3">
      <c r="A1893" t="str">
        <f t="shared" si="29"/>
        <v>0420040</v>
      </c>
      <c r="B1893" s="101" t="s">
        <v>18</v>
      </c>
      <c r="C1893" s="101" t="s">
        <v>168</v>
      </c>
      <c r="D1893" s="101" t="s">
        <v>614</v>
      </c>
      <c r="E1893" s="101" t="s">
        <v>17</v>
      </c>
    </row>
    <row r="1894" spans="1:5" x14ac:dyDescent="0.3">
      <c r="A1894" t="str">
        <f t="shared" si="29"/>
        <v>0420041</v>
      </c>
      <c r="B1894" s="101" t="s">
        <v>18</v>
      </c>
      <c r="C1894" s="101" t="s">
        <v>168</v>
      </c>
      <c r="D1894" s="101" t="s">
        <v>583</v>
      </c>
      <c r="E1894" s="101" t="s">
        <v>17</v>
      </c>
    </row>
    <row r="1895" spans="1:5" x14ac:dyDescent="0.3">
      <c r="A1895" t="str">
        <f t="shared" si="29"/>
        <v>0420042</v>
      </c>
      <c r="B1895" s="101" t="s">
        <v>18</v>
      </c>
      <c r="C1895" s="101" t="s">
        <v>168</v>
      </c>
      <c r="D1895" s="101" t="s">
        <v>584</v>
      </c>
      <c r="E1895" s="101" t="s">
        <v>17</v>
      </c>
    </row>
    <row r="1896" spans="1:5" x14ac:dyDescent="0.3">
      <c r="A1896" t="str">
        <f t="shared" si="29"/>
        <v>0420523</v>
      </c>
      <c r="B1896" s="101" t="s">
        <v>18</v>
      </c>
      <c r="C1896" s="101" t="s">
        <v>168</v>
      </c>
      <c r="D1896" s="101" t="s">
        <v>408</v>
      </c>
      <c r="E1896" s="101" t="s">
        <v>17</v>
      </c>
    </row>
    <row r="1897" spans="1:5" x14ac:dyDescent="0.3">
      <c r="A1897" t="str">
        <f t="shared" si="29"/>
        <v>0420524</v>
      </c>
      <c r="B1897" s="101" t="s">
        <v>18</v>
      </c>
      <c r="C1897" s="101" t="s">
        <v>168</v>
      </c>
      <c r="D1897" s="101" t="s">
        <v>351</v>
      </c>
      <c r="E1897" s="101" t="s">
        <v>17</v>
      </c>
    </row>
    <row r="1898" spans="1:5" x14ac:dyDescent="0.3">
      <c r="A1898" t="str">
        <f t="shared" si="29"/>
        <v>0420525</v>
      </c>
      <c r="B1898" s="101" t="s">
        <v>18</v>
      </c>
      <c r="C1898" s="101" t="s">
        <v>168</v>
      </c>
      <c r="D1898" s="101" t="s">
        <v>394</v>
      </c>
      <c r="E1898" s="101" t="s">
        <v>17</v>
      </c>
    </row>
    <row r="1899" spans="1:5" x14ac:dyDescent="0.3">
      <c r="A1899" t="str">
        <f t="shared" si="29"/>
        <v>0420526</v>
      </c>
      <c r="B1899" s="101" t="s">
        <v>18</v>
      </c>
      <c r="C1899" s="101" t="s">
        <v>168</v>
      </c>
      <c r="D1899" s="101" t="s">
        <v>379</v>
      </c>
      <c r="E1899" s="101" t="s">
        <v>17</v>
      </c>
    </row>
    <row r="1900" spans="1:5" x14ac:dyDescent="0.3">
      <c r="A1900" t="str">
        <f t="shared" si="29"/>
        <v>0420527</v>
      </c>
      <c r="B1900" s="101" t="s">
        <v>18</v>
      </c>
      <c r="C1900" s="101" t="s">
        <v>168</v>
      </c>
      <c r="D1900" s="101" t="s">
        <v>380</v>
      </c>
      <c r="E1900" s="101" t="s">
        <v>17</v>
      </c>
    </row>
    <row r="1901" spans="1:5" x14ac:dyDescent="0.3">
      <c r="A1901" t="str">
        <f t="shared" si="29"/>
        <v>0420528</v>
      </c>
      <c r="B1901" s="101" t="s">
        <v>18</v>
      </c>
      <c r="C1901" s="101" t="s">
        <v>168</v>
      </c>
      <c r="D1901" s="101" t="s">
        <v>381</v>
      </c>
      <c r="E1901" s="101" t="s">
        <v>17</v>
      </c>
    </row>
    <row r="1902" spans="1:5" x14ac:dyDescent="0.3">
      <c r="A1902" t="str">
        <f t="shared" si="29"/>
        <v>0420529</v>
      </c>
      <c r="B1902" s="101" t="s">
        <v>18</v>
      </c>
      <c r="C1902" s="101" t="s">
        <v>168</v>
      </c>
      <c r="D1902" s="101" t="s">
        <v>364</v>
      </c>
      <c r="E1902" s="101" t="s">
        <v>17</v>
      </c>
    </row>
    <row r="1903" spans="1:5" x14ac:dyDescent="0.3">
      <c r="A1903" t="str">
        <f t="shared" si="29"/>
        <v>0420530</v>
      </c>
      <c r="B1903" s="101" t="s">
        <v>18</v>
      </c>
      <c r="C1903" s="101" t="s">
        <v>168</v>
      </c>
      <c r="D1903" s="101" t="s">
        <v>377</v>
      </c>
      <c r="E1903" s="101" t="s">
        <v>17</v>
      </c>
    </row>
    <row r="1904" spans="1:5" x14ac:dyDescent="0.3">
      <c r="A1904" t="str">
        <f t="shared" si="29"/>
        <v>0420531</v>
      </c>
      <c r="B1904" s="101" t="s">
        <v>18</v>
      </c>
      <c r="C1904" s="101" t="s">
        <v>168</v>
      </c>
      <c r="D1904" s="101" t="s">
        <v>409</v>
      </c>
      <c r="E1904" s="101" t="s">
        <v>17</v>
      </c>
    </row>
    <row r="1905" spans="1:5" x14ac:dyDescent="0.3">
      <c r="A1905" t="str">
        <f t="shared" si="29"/>
        <v>0420532</v>
      </c>
      <c r="B1905" s="101" t="s">
        <v>18</v>
      </c>
      <c r="C1905" s="101" t="s">
        <v>168</v>
      </c>
      <c r="D1905" s="101" t="s">
        <v>323</v>
      </c>
      <c r="E1905" s="101" t="s">
        <v>17</v>
      </c>
    </row>
    <row r="1906" spans="1:5" x14ac:dyDescent="0.3">
      <c r="A1906" t="str">
        <f t="shared" si="29"/>
        <v>0420533</v>
      </c>
      <c r="B1906" s="101" t="s">
        <v>18</v>
      </c>
      <c r="C1906" s="101" t="s">
        <v>168</v>
      </c>
      <c r="D1906" s="101" t="s">
        <v>397</v>
      </c>
      <c r="E1906" s="101" t="s">
        <v>17</v>
      </c>
    </row>
    <row r="1907" spans="1:5" x14ac:dyDescent="0.3">
      <c r="A1907" t="str">
        <f t="shared" si="29"/>
        <v>0420534</v>
      </c>
      <c r="B1907" s="101" t="s">
        <v>18</v>
      </c>
      <c r="C1907" s="101" t="s">
        <v>168</v>
      </c>
      <c r="D1907" s="101" t="s">
        <v>350</v>
      </c>
      <c r="E1907" s="101" t="s">
        <v>17</v>
      </c>
    </row>
    <row r="1908" spans="1:5" x14ac:dyDescent="0.3">
      <c r="A1908" t="str">
        <f t="shared" si="29"/>
        <v>0420535</v>
      </c>
      <c r="B1908" s="101" t="s">
        <v>18</v>
      </c>
      <c r="C1908" s="101" t="s">
        <v>168</v>
      </c>
      <c r="D1908" s="101" t="s">
        <v>410</v>
      </c>
      <c r="E1908" s="101" t="s">
        <v>17</v>
      </c>
    </row>
    <row r="1909" spans="1:5" x14ac:dyDescent="0.3">
      <c r="A1909" t="str">
        <f t="shared" si="29"/>
        <v>0420536</v>
      </c>
      <c r="B1909" s="101" t="s">
        <v>18</v>
      </c>
      <c r="C1909" s="101" t="s">
        <v>168</v>
      </c>
      <c r="D1909" s="101" t="s">
        <v>352</v>
      </c>
      <c r="E1909" s="101" t="s">
        <v>17</v>
      </c>
    </row>
    <row r="1910" spans="1:5" x14ac:dyDescent="0.3">
      <c r="A1910" t="str">
        <f t="shared" si="29"/>
        <v>0420539</v>
      </c>
      <c r="B1910" s="101" t="s">
        <v>18</v>
      </c>
      <c r="C1910" s="101" t="s">
        <v>168</v>
      </c>
      <c r="D1910" s="101" t="s">
        <v>378</v>
      </c>
      <c r="E1910" s="101" t="s">
        <v>17</v>
      </c>
    </row>
    <row r="1911" spans="1:5" x14ac:dyDescent="0.3">
      <c r="A1911" t="str">
        <f t="shared" si="29"/>
        <v>0420540</v>
      </c>
      <c r="B1911" s="101" t="s">
        <v>18</v>
      </c>
      <c r="C1911" s="101" t="s">
        <v>168</v>
      </c>
      <c r="D1911" s="101" t="s">
        <v>411</v>
      </c>
      <c r="E1911" s="101" t="s">
        <v>17</v>
      </c>
    </row>
    <row r="1912" spans="1:5" x14ac:dyDescent="0.3">
      <c r="A1912" t="str">
        <f t="shared" si="29"/>
        <v>0420541</v>
      </c>
      <c r="B1912" s="101" t="s">
        <v>18</v>
      </c>
      <c r="C1912" s="101" t="s">
        <v>168</v>
      </c>
      <c r="D1912" s="101" t="s">
        <v>325</v>
      </c>
      <c r="E1912" s="101" t="s">
        <v>17</v>
      </c>
    </row>
    <row r="1913" spans="1:5" x14ac:dyDescent="0.3">
      <c r="A1913" t="str">
        <f t="shared" si="29"/>
        <v>0420542</v>
      </c>
      <c r="B1913" s="101" t="s">
        <v>18</v>
      </c>
      <c r="C1913" s="101" t="s">
        <v>168</v>
      </c>
      <c r="D1913" s="101" t="s">
        <v>353</v>
      </c>
      <c r="E1913" s="101" t="s">
        <v>17</v>
      </c>
    </row>
    <row r="1914" spans="1:5" x14ac:dyDescent="0.3">
      <c r="A1914" t="str">
        <f t="shared" si="29"/>
        <v>0420075</v>
      </c>
      <c r="B1914" s="101" t="s">
        <v>18</v>
      </c>
      <c r="C1914" s="101" t="s">
        <v>168</v>
      </c>
      <c r="D1914" s="101" t="s">
        <v>615</v>
      </c>
      <c r="E1914" s="101" t="s">
        <v>17</v>
      </c>
    </row>
    <row r="1915" spans="1:5" x14ac:dyDescent="0.3">
      <c r="A1915" t="str">
        <f t="shared" si="29"/>
        <v>0420076</v>
      </c>
      <c r="B1915" s="101" t="s">
        <v>18</v>
      </c>
      <c r="C1915" s="101" t="s">
        <v>168</v>
      </c>
      <c r="D1915" s="101" t="s">
        <v>616</v>
      </c>
      <c r="E1915" s="101" t="s">
        <v>17</v>
      </c>
    </row>
    <row r="1916" spans="1:5" x14ac:dyDescent="0.3">
      <c r="A1916" t="str">
        <f t="shared" si="29"/>
        <v>0420077</v>
      </c>
      <c r="B1916" s="101" t="s">
        <v>18</v>
      </c>
      <c r="C1916" s="101" t="s">
        <v>168</v>
      </c>
      <c r="D1916" s="101" t="s">
        <v>617</v>
      </c>
      <c r="E1916" s="101" t="s">
        <v>17</v>
      </c>
    </row>
    <row r="1917" spans="1:5" x14ac:dyDescent="0.3">
      <c r="A1917" t="str">
        <f t="shared" si="29"/>
        <v>0420078</v>
      </c>
      <c r="B1917" s="101" t="s">
        <v>18</v>
      </c>
      <c r="C1917" s="101" t="s">
        <v>168</v>
      </c>
      <c r="D1917" s="101" t="s">
        <v>618</v>
      </c>
      <c r="E1917" s="101" t="s">
        <v>17</v>
      </c>
    </row>
    <row r="1918" spans="1:5" x14ac:dyDescent="0.3">
      <c r="A1918" t="str">
        <f t="shared" si="29"/>
        <v>0420079</v>
      </c>
      <c r="B1918" s="101" t="s">
        <v>18</v>
      </c>
      <c r="C1918" s="101" t="s">
        <v>168</v>
      </c>
      <c r="D1918" s="101" t="s">
        <v>619</v>
      </c>
      <c r="E1918" s="101" t="s">
        <v>17</v>
      </c>
    </row>
    <row r="1919" spans="1:5" x14ac:dyDescent="0.3">
      <c r="A1919" t="str">
        <f t="shared" si="29"/>
        <v>0420080</v>
      </c>
      <c r="B1919" s="101" t="s">
        <v>18</v>
      </c>
      <c r="C1919" s="101" t="s">
        <v>168</v>
      </c>
      <c r="D1919" s="101" t="s">
        <v>620</v>
      </c>
      <c r="E1919" s="101" t="s">
        <v>17</v>
      </c>
    </row>
    <row r="1920" spans="1:5" x14ac:dyDescent="0.3">
      <c r="A1920" t="str">
        <f t="shared" si="29"/>
        <v>0420081</v>
      </c>
      <c r="B1920" s="101" t="s">
        <v>18</v>
      </c>
      <c r="C1920" s="101" t="s">
        <v>168</v>
      </c>
      <c r="D1920" s="101" t="s">
        <v>621</v>
      </c>
      <c r="E1920" s="101" t="s">
        <v>17</v>
      </c>
    </row>
    <row r="1921" spans="1:5" x14ac:dyDescent="0.3">
      <c r="A1921" t="str">
        <f t="shared" si="29"/>
        <v>0420082</v>
      </c>
      <c r="B1921" s="101" t="s">
        <v>18</v>
      </c>
      <c r="C1921" s="101" t="s">
        <v>168</v>
      </c>
      <c r="D1921" s="101" t="s">
        <v>622</v>
      </c>
      <c r="E1921" s="101" t="s">
        <v>17</v>
      </c>
    </row>
    <row r="1922" spans="1:5" x14ac:dyDescent="0.3">
      <c r="A1922" t="str">
        <f t="shared" si="29"/>
        <v>0420083</v>
      </c>
      <c r="B1922" s="101" t="s">
        <v>18</v>
      </c>
      <c r="C1922" s="101" t="s">
        <v>168</v>
      </c>
      <c r="D1922" s="101" t="s">
        <v>623</v>
      </c>
      <c r="E1922" s="101" t="s">
        <v>17</v>
      </c>
    </row>
    <row r="1923" spans="1:5" x14ac:dyDescent="0.3">
      <c r="A1923" t="str">
        <f t="shared" ref="A1923:A1986" si="30">CONCATENATE(B1923,C1923,D1923,F1923)</f>
        <v>0420084</v>
      </c>
      <c r="B1923" s="101" t="s">
        <v>18</v>
      </c>
      <c r="C1923" s="101" t="s">
        <v>168</v>
      </c>
      <c r="D1923" s="101" t="s">
        <v>624</v>
      </c>
      <c r="E1923" s="101" t="s">
        <v>17</v>
      </c>
    </row>
    <row r="1924" spans="1:5" x14ac:dyDescent="0.3">
      <c r="A1924" t="str">
        <f t="shared" si="30"/>
        <v>0420575</v>
      </c>
      <c r="B1924" s="101" t="s">
        <v>18</v>
      </c>
      <c r="C1924" s="101" t="s">
        <v>168</v>
      </c>
      <c r="D1924" s="101" t="s">
        <v>434</v>
      </c>
      <c r="E1924" s="101" t="s">
        <v>17</v>
      </c>
    </row>
    <row r="1925" spans="1:5" x14ac:dyDescent="0.3">
      <c r="A1925" t="str">
        <f t="shared" si="30"/>
        <v>0420576</v>
      </c>
      <c r="B1925" s="101" t="s">
        <v>18</v>
      </c>
      <c r="C1925" s="101" t="s">
        <v>168</v>
      </c>
      <c r="D1925" s="101" t="s">
        <v>435</v>
      </c>
      <c r="E1925" s="101" t="s">
        <v>17</v>
      </c>
    </row>
    <row r="1926" spans="1:5" x14ac:dyDescent="0.3">
      <c r="A1926" t="str">
        <f t="shared" si="30"/>
        <v>0420577</v>
      </c>
      <c r="B1926" s="101" t="s">
        <v>18</v>
      </c>
      <c r="C1926" s="101" t="s">
        <v>168</v>
      </c>
      <c r="D1926" s="101" t="s">
        <v>436</v>
      </c>
      <c r="E1926" s="101" t="s">
        <v>17</v>
      </c>
    </row>
    <row r="1927" spans="1:5" x14ac:dyDescent="0.3">
      <c r="A1927" t="str">
        <f t="shared" si="30"/>
        <v>0420578</v>
      </c>
      <c r="B1927" s="101" t="s">
        <v>18</v>
      </c>
      <c r="C1927" s="101" t="s">
        <v>168</v>
      </c>
      <c r="D1927" s="101" t="s">
        <v>437</v>
      </c>
      <c r="E1927" s="101" t="s">
        <v>17</v>
      </c>
    </row>
    <row r="1928" spans="1:5" x14ac:dyDescent="0.3">
      <c r="A1928" t="str">
        <f t="shared" si="30"/>
        <v>0420579</v>
      </c>
      <c r="B1928" s="101" t="s">
        <v>18</v>
      </c>
      <c r="C1928" s="101" t="s">
        <v>168</v>
      </c>
      <c r="D1928" s="101" t="s">
        <v>438</v>
      </c>
      <c r="E1928" s="101" t="s">
        <v>17</v>
      </c>
    </row>
    <row r="1929" spans="1:5" x14ac:dyDescent="0.3">
      <c r="A1929" t="str">
        <f t="shared" si="30"/>
        <v>0420580</v>
      </c>
      <c r="B1929" s="101" t="s">
        <v>18</v>
      </c>
      <c r="C1929" s="101" t="s">
        <v>168</v>
      </c>
      <c r="D1929" s="101" t="s">
        <v>439</v>
      </c>
      <c r="E1929" s="101" t="s">
        <v>17</v>
      </c>
    </row>
    <row r="1930" spans="1:5" x14ac:dyDescent="0.3">
      <c r="A1930" t="str">
        <f t="shared" si="30"/>
        <v>0420581</v>
      </c>
      <c r="B1930" s="101" t="s">
        <v>18</v>
      </c>
      <c r="C1930" s="101" t="s">
        <v>168</v>
      </c>
      <c r="D1930" s="101" t="s">
        <v>440</v>
      </c>
      <c r="E1930" s="101" t="s">
        <v>17</v>
      </c>
    </row>
    <row r="1931" spans="1:5" x14ac:dyDescent="0.3">
      <c r="A1931" t="str">
        <f t="shared" si="30"/>
        <v>0420582</v>
      </c>
      <c r="B1931" s="101" t="s">
        <v>18</v>
      </c>
      <c r="C1931" s="101" t="s">
        <v>168</v>
      </c>
      <c r="D1931" s="101" t="s">
        <v>441</v>
      </c>
      <c r="E1931" s="101" t="s">
        <v>17</v>
      </c>
    </row>
    <row r="1932" spans="1:5" x14ac:dyDescent="0.3">
      <c r="A1932" t="str">
        <f t="shared" si="30"/>
        <v>0420583</v>
      </c>
      <c r="B1932" s="101" t="s">
        <v>18</v>
      </c>
      <c r="C1932" s="101" t="s">
        <v>168</v>
      </c>
      <c r="D1932" s="101" t="s">
        <v>442</v>
      </c>
      <c r="E1932" s="101" t="s">
        <v>17</v>
      </c>
    </row>
    <row r="1933" spans="1:5" x14ac:dyDescent="0.3">
      <c r="A1933" t="str">
        <f t="shared" si="30"/>
        <v>0420584</v>
      </c>
      <c r="B1933" s="101" t="s">
        <v>18</v>
      </c>
      <c r="C1933" s="101" t="s">
        <v>168</v>
      </c>
      <c r="D1933" s="101" t="s">
        <v>443</v>
      </c>
      <c r="E1933" s="101" t="s">
        <v>17</v>
      </c>
    </row>
    <row r="1934" spans="1:5" x14ac:dyDescent="0.3">
      <c r="A1934" t="str">
        <f t="shared" si="30"/>
        <v>0420001</v>
      </c>
      <c r="B1934" s="101" t="s">
        <v>18</v>
      </c>
      <c r="C1934" s="101" t="s">
        <v>168</v>
      </c>
      <c r="D1934" s="101" t="s">
        <v>549</v>
      </c>
      <c r="E1934" s="101" t="s">
        <v>17</v>
      </c>
    </row>
    <row r="1935" spans="1:5" x14ac:dyDescent="0.3">
      <c r="A1935" t="str">
        <f t="shared" si="30"/>
        <v>0420002</v>
      </c>
      <c r="B1935" s="101" t="s">
        <v>18</v>
      </c>
      <c r="C1935" s="101" t="s">
        <v>168</v>
      </c>
      <c r="D1935" s="101" t="s">
        <v>596</v>
      </c>
      <c r="E1935" s="101" t="s">
        <v>17</v>
      </c>
    </row>
    <row r="1936" spans="1:5" x14ac:dyDescent="0.3">
      <c r="A1936" t="str">
        <f t="shared" si="30"/>
        <v>0420003</v>
      </c>
      <c r="B1936" s="101" t="s">
        <v>18</v>
      </c>
      <c r="C1936" s="101" t="s">
        <v>168</v>
      </c>
      <c r="D1936" s="101" t="s">
        <v>597</v>
      </c>
      <c r="E1936" s="101" t="s">
        <v>17</v>
      </c>
    </row>
    <row r="1937" spans="1:5" x14ac:dyDescent="0.3">
      <c r="A1937" t="str">
        <f t="shared" si="30"/>
        <v>0420004</v>
      </c>
      <c r="B1937" s="101" t="s">
        <v>18</v>
      </c>
      <c r="C1937" s="101" t="s">
        <v>168</v>
      </c>
      <c r="D1937" s="101" t="s">
        <v>598</v>
      </c>
      <c r="E1937" s="101" t="s">
        <v>17</v>
      </c>
    </row>
    <row r="1938" spans="1:5" x14ac:dyDescent="0.3">
      <c r="A1938" t="str">
        <f t="shared" si="30"/>
        <v>0420005</v>
      </c>
      <c r="B1938" s="101" t="s">
        <v>18</v>
      </c>
      <c r="C1938" s="101" t="s">
        <v>168</v>
      </c>
      <c r="D1938" s="101" t="s">
        <v>399</v>
      </c>
      <c r="E1938" s="101" t="s">
        <v>17</v>
      </c>
    </row>
    <row r="1939" spans="1:5" x14ac:dyDescent="0.3">
      <c r="A1939" t="str">
        <f t="shared" si="30"/>
        <v>0420006</v>
      </c>
      <c r="B1939" s="101" t="s">
        <v>18</v>
      </c>
      <c r="C1939" s="101" t="s">
        <v>168</v>
      </c>
      <c r="D1939" s="101" t="s">
        <v>400</v>
      </c>
      <c r="E1939" s="101" t="s">
        <v>17</v>
      </c>
    </row>
    <row r="1940" spans="1:5" x14ac:dyDescent="0.3">
      <c r="A1940" t="str">
        <f t="shared" si="30"/>
        <v>0420007</v>
      </c>
      <c r="B1940" s="101" t="s">
        <v>18</v>
      </c>
      <c r="C1940" s="101" t="s">
        <v>168</v>
      </c>
      <c r="D1940" s="101" t="s">
        <v>401</v>
      </c>
      <c r="E1940" s="101" t="s">
        <v>17</v>
      </c>
    </row>
    <row r="1941" spans="1:5" x14ac:dyDescent="0.3">
      <c r="A1941" t="str">
        <f t="shared" si="30"/>
        <v>0420008</v>
      </c>
      <c r="B1941" s="101" t="s">
        <v>18</v>
      </c>
      <c r="C1941" s="101" t="s">
        <v>168</v>
      </c>
      <c r="D1941" s="101" t="s">
        <v>405</v>
      </c>
      <c r="E1941" s="101" t="s">
        <v>17</v>
      </c>
    </row>
    <row r="1942" spans="1:5" x14ac:dyDescent="0.3">
      <c r="A1942" t="str">
        <f t="shared" si="30"/>
        <v>0420009</v>
      </c>
      <c r="B1942" s="101" t="s">
        <v>18</v>
      </c>
      <c r="C1942" s="101" t="s">
        <v>168</v>
      </c>
      <c r="D1942" s="101" t="s">
        <v>406</v>
      </c>
      <c r="E1942" s="101" t="s">
        <v>17</v>
      </c>
    </row>
    <row r="1943" spans="1:5" x14ac:dyDescent="0.3">
      <c r="A1943" t="str">
        <f t="shared" si="30"/>
        <v>0420010</v>
      </c>
      <c r="B1943" s="101" t="s">
        <v>18</v>
      </c>
      <c r="C1943" s="101" t="s">
        <v>168</v>
      </c>
      <c r="D1943" s="101" t="s">
        <v>599</v>
      </c>
      <c r="E1943" s="101" t="s">
        <v>17</v>
      </c>
    </row>
    <row r="1944" spans="1:5" x14ac:dyDescent="0.3">
      <c r="A1944" t="str">
        <f t="shared" si="30"/>
        <v>0420011</v>
      </c>
      <c r="B1944" s="101" t="s">
        <v>18</v>
      </c>
      <c r="C1944" s="101" t="s">
        <v>168</v>
      </c>
      <c r="D1944" s="101" t="s">
        <v>402</v>
      </c>
      <c r="E1944" s="101" t="s">
        <v>17</v>
      </c>
    </row>
    <row r="1945" spans="1:5" x14ac:dyDescent="0.3">
      <c r="A1945" t="str">
        <f t="shared" si="30"/>
        <v>0420012</v>
      </c>
      <c r="B1945" s="101" t="s">
        <v>18</v>
      </c>
      <c r="C1945" s="101" t="s">
        <v>168</v>
      </c>
      <c r="D1945" s="101" t="s">
        <v>392</v>
      </c>
      <c r="E1945" s="101" t="s">
        <v>17</v>
      </c>
    </row>
    <row r="1946" spans="1:5" x14ac:dyDescent="0.3">
      <c r="A1946" t="str">
        <f t="shared" si="30"/>
        <v>0420013</v>
      </c>
      <c r="B1946" s="101" t="s">
        <v>18</v>
      </c>
      <c r="C1946" s="101" t="s">
        <v>168</v>
      </c>
      <c r="D1946" s="101" t="s">
        <v>403</v>
      </c>
      <c r="E1946" s="101" t="s">
        <v>17</v>
      </c>
    </row>
    <row r="1947" spans="1:5" x14ac:dyDescent="0.3">
      <c r="A1947" t="str">
        <f t="shared" si="30"/>
        <v>0420014</v>
      </c>
      <c r="B1947" s="101" t="s">
        <v>18</v>
      </c>
      <c r="C1947" s="101" t="s">
        <v>168</v>
      </c>
      <c r="D1947" s="101" t="s">
        <v>531</v>
      </c>
      <c r="E1947" s="101" t="s">
        <v>17</v>
      </c>
    </row>
    <row r="1948" spans="1:5" x14ac:dyDescent="0.3">
      <c r="A1948" t="str">
        <f t="shared" si="30"/>
        <v>0420510</v>
      </c>
      <c r="B1948" s="101" t="s">
        <v>18</v>
      </c>
      <c r="C1948" s="101" t="s">
        <v>168</v>
      </c>
      <c r="D1948" s="101" t="s">
        <v>385</v>
      </c>
      <c r="E1948" s="101" t="s">
        <v>17</v>
      </c>
    </row>
    <row r="1949" spans="1:5" x14ac:dyDescent="0.3">
      <c r="A1949" t="str">
        <f t="shared" si="30"/>
        <v>0420511</v>
      </c>
      <c r="B1949" s="101" t="s">
        <v>18</v>
      </c>
      <c r="C1949" s="101" t="s">
        <v>168</v>
      </c>
      <c r="D1949" s="101" t="s">
        <v>386</v>
      </c>
      <c r="E1949" s="101" t="s">
        <v>17</v>
      </c>
    </row>
    <row r="1950" spans="1:5" x14ac:dyDescent="0.3">
      <c r="A1950" t="str">
        <f t="shared" si="30"/>
        <v>0420512</v>
      </c>
      <c r="B1950" s="101" t="s">
        <v>18</v>
      </c>
      <c r="C1950" s="101" t="s">
        <v>168</v>
      </c>
      <c r="D1950" s="101" t="s">
        <v>398</v>
      </c>
      <c r="E1950" s="101" t="s">
        <v>17</v>
      </c>
    </row>
    <row r="1951" spans="1:5" x14ac:dyDescent="0.3">
      <c r="A1951" t="str">
        <f t="shared" si="30"/>
        <v>0420513</v>
      </c>
      <c r="B1951" s="101" t="s">
        <v>18</v>
      </c>
      <c r="C1951" s="101" t="s">
        <v>168</v>
      </c>
      <c r="D1951" s="101" t="s">
        <v>387</v>
      </c>
      <c r="E1951" s="101" t="s">
        <v>17</v>
      </c>
    </row>
    <row r="1952" spans="1:5" x14ac:dyDescent="0.3">
      <c r="A1952" t="str">
        <f t="shared" si="30"/>
        <v>0420514</v>
      </c>
      <c r="B1952" s="101" t="s">
        <v>18</v>
      </c>
      <c r="C1952" s="101" t="s">
        <v>168</v>
      </c>
      <c r="D1952" s="101" t="s">
        <v>388</v>
      </c>
      <c r="E1952" s="101" t="s">
        <v>17</v>
      </c>
    </row>
    <row r="1953" spans="1:5" x14ac:dyDescent="0.3">
      <c r="A1953" t="str">
        <f t="shared" si="30"/>
        <v>0420630</v>
      </c>
      <c r="B1953" s="101" t="s">
        <v>18</v>
      </c>
      <c r="C1953" s="101" t="s">
        <v>168</v>
      </c>
      <c r="D1953" s="101" t="s">
        <v>218</v>
      </c>
      <c r="E1953" s="101" t="s">
        <v>17</v>
      </c>
    </row>
    <row r="1954" spans="1:5" x14ac:dyDescent="0.3">
      <c r="A1954" t="str">
        <f t="shared" si="30"/>
        <v>0420631</v>
      </c>
      <c r="B1954" s="101" t="s">
        <v>18</v>
      </c>
      <c r="C1954" s="101" t="s">
        <v>168</v>
      </c>
      <c r="D1954" s="101" t="s">
        <v>219</v>
      </c>
      <c r="E1954" s="101" t="s">
        <v>17</v>
      </c>
    </row>
    <row r="1955" spans="1:5" x14ac:dyDescent="0.3">
      <c r="A1955" t="str">
        <f t="shared" si="30"/>
        <v>0420632</v>
      </c>
      <c r="B1955" s="101" t="s">
        <v>18</v>
      </c>
      <c r="C1955" s="101" t="s">
        <v>168</v>
      </c>
      <c r="D1955" s="101" t="s">
        <v>293</v>
      </c>
      <c r="E1955" s="101" t="s">
        <v>17</v>
      </c>
    </row>
    <row r="1956" spans="1:5" x14ac:dyDescent="0.3">
      <c r="A1956" t="str">
        <f t="shared" si="30"/>
        <v>0420633</v>
      </c>
      <c r="B1956" s="101" t="s">
        <v>18</v>
      </c>
      <c r="C1956" s="101" t="s">
        <v>168</v>
      </c>
      <c r="D1956" s="101" t="s">
        <v>294</v>
      </c>
      <c r="E1956" s="101" t="s">
        <v>17</v>
      </c>
    </row>
    <row r="1957" spans="1:5" x14ac:dyDescent="0.3">
      <c r="A1957" t="str">
        <f t="shared" si="30"/>
        <v>0420634</v>
      </c>
      <c r="B1957" s="101" t="s">
        <v>18</v>
      </c>
      <c r="C1957" s="101" t="s">
        <v>168</v>
      </c>
      <c r="D1957" s="101" t="s">
        <v>483</v>
      </c>
      <c r="E1957" s="101" t="s">
        <v>17</v>
      </c>
    </row>
    <row r="1958" spans="1:5" x14ac:dyDescent="0.3">
      <c r="A1958" t="str">
        <f t="shared" si="30"/>
        <v>0420635</v>
      </c>
      <c r="B1958" s="101" t="s">
        <v>18</v>
      </c>
      <c r="C1958" s="101" t="s">
        <v>168</v>
      </c>
      <c r="D1958" s="101" t="s">
        <v>484</v>
      </c>
      <c r="E1958" s="101" t="s">
        <v>17</v>
      </c>
    </row>
    <row r="1959" spans="1:5" x14ac:dyDescent="0.3">
      <c r="A1959" t="str">
        <f t="shared" si="30"/>
        <v>0420636</v>
      </c>
      <c r="B1959" s="101" t="s">
        <v>18</v>
      </c>
      <c r="C1959" s="101" t="s">
        <v>168</v>
      </c>
      <c r="D1959" s="101" t="s">
        <v>269</v>
      </c>
      <c r="E1959" s="101" t="s">
        <v>17</v>
      </c>
    </row>
    <row r="1960" spans="1:5" x14ac:dyDescent="0.3">
      <c r="A1960" t="str">
        <f t="shared" si="30"/>
        <v>0420637</v>
      </c>
      <c r="B1960" s="101" t="s">
        <v>18</v>
      </c>
      <c r="C1960" s="101" t="s">
        <v>168</v>
      </c>
      <c r="D1960" s="101" t="s">
        <v>270</v>
      </c>
      <c r="E1960" s="101" t="s">
        <v>17</v>
      </c>
    </row>
    <row r="1961" spans="1:5" x14ac:dyDescent="0.3">
      <c r="A1961" t="str">
        <f t="shared" si="30"/>
        <v>0420638</v>
      </c>
      <c r="B1961" s="101" t="s">
        <v>18</v>
      </c>
      <c r="C1961" s="101" t="s">
        <v>168</v>
      </c>
      <c r="D1961" s="101" t="s">
        <v>280</v>
      </c>
      <c r="E1961" s="101" t="s">
        <v>17</v>
      </c>
    </row>
    <row r="1962" spans="1:5" x14ac:dyDescent="0.3">
      <c r="A1962" t="str">
        <f t="shared" si="30"/>
        <v>0520801</v>
      </c>
      <c r="B1962" s="101" t="s">
        <v>313</v>
      </c>
      <c r="C1962" s="101" t="s">
        <v>168</v>
      </c>
      <c r="D1962" s="101" t="s">
        <v>144</v>
      </c>
      <c r="E1962" s="101" t="s">
        <v>139</v>
      </c>
    </row>
    <row r="1963" spans="1:5" x14ac:dyDescent="0.3">
      <c r="A1963" t="str">
        <f t="shared" si="30"/>
        <v>0520802</v>
      </c>
      <c r="B1963" s="101" t="s">
        <v>313</v>
      </c>
      <c r="C1963" s="101" t="s">
        <v>168</v>
      </c>
      <c r="D1963" s="101" t="s">
        <v>145</v>
      </c>
      <c r="E1963" s="101" t="s">
        <v>139</v>
      </c>
    </row>
    <row r="1964" spans="1:5" x14ac:dyDescent="0.3">
      <c r="A1964" t="str">
        <f t="shared" si="30"/>
        <v>0520500</v>
      </c>
      <c r="B1964" s="101" t="s">
        <v>313</v>
      </c>
      <c r="C1964" s="101" t="s">
        <v>168</v>
      </c>
      <c r="D1964" s="101" t="s">
        <v>146</v>
      </c>
      <c r="E1964" s="101" t="s">
        <v>139</v>
      </c>
    </row>
    <row r="1965" spans="1:5" x14ac:dyDescent="0.3">
      <c r="A1965" t="str">
        <f t="shared" si="30"/>
        <v>0520501</v>
      </c>
      <c r="B1965" s="101" t="s">
        <v>313</v>
      </c>
      <c r="C1965" s="101" t="s">
        <v>168</v>
      </c>
      <c r="D1965" s="101" t="s">
        <v>147</v>
      </c>
      <c r="E1965" s="101" t="s">
        <v>139</v>
      </c>
    </row>
    <row r="1966" spans="1:5" x14ac:dyDescent="0.3">
      <c r="A1966" t="str">
        <f t="shared" si="30"/>
        <v>0520066</v>
      </c>
      <c r="B1966" s="101" t="s">
        <v>313</v>
      </c>
      <c r="C1966" s="101" t="s">
        <v>168</v>
      </c>
      <c r="D1966" s="101" t="s">
        <v>609</v>
      </c>
      <c r="E1966" s="101" t="s">
        <v>17</v>
      </c>
    </row>
    <row r="1967" spans="1:5" x14ac:dyDescent="0.3">
      <c r="A1967" t="str">
        <f t="shared" si="30"/>
        <v>0520807</v>
      </c>
      <c r="B1967" s="101" t="s">
        <v>313</v>
      </c>
      <c r="C1967" s="101" t="s">
        <v>168</v>
      </c>
      <c r="D1967" s="101" t="s">
        <v>185</v>
      </c>
      <c r="E1967" s="101" t="s">
        <v>17</v>
      </c>
    </row>
    <row r="1968" spans="1:5" x14ac:dyDescent="0.3">
      <c r="A1968" t="str">
        <f t="shared" si="30"/>
        <v>0520808</v>
      </c>
      <c r="B1968" s="101" t="s">
        <v>313</v>
      </c>
      <c r="C1968" s="101" t="s">
        <v>168</v>
      </c>
      <c r="D1968" s="101" t="s">
        <v>186</v>
      </c>
      <c r="E1968" s="101" t="s">
        <v>17</v>
      </c>
    </row>
    <row r="1969" spans="1:5" x14ac:dyDescent="0.3">
      <c r="A1969" t="str">
        <f t="shared" si="30"/>
        <v>0520809</v>
      </c>
      <c r="B1969" s="101" t="s">
        <v>313</v>
      </c>
      <c r="C1969" s="101" t="s">
        <v>168</v>
      </c>
      <c r="D1969" s="101" t="s">
        <v>187</v>
      </c>
      <c r="E1969" s="101" t="s">
        <v>17</v>
      </c>
    </row>
    <row r="1970" spans="1:5" x14ac:dyDescent="0.3">
      <c r="A1970" t="str">
        <f t="shared" si="30"/>
        <v>0520810</v>
      </c>
      <c r="B1970" s="101" t="s">
        <v>313</v>
      </c>
      <c r="C1970" s="101" t="s">
        <v>168</v>
      </c>
      <c r="D1970" s="101" t="s">
        <v>188</v>
      </c>
      <c r="E1970" s="101" t="s">
        <v>17</v>
      </c>
    </row>
    <row r="1971" spans="1:5" x14ac:dyDescent="0.3">
      <c r="A1971" t="str">
        <f t="shared" si="30"/>
        <v>0520566</v>
      </c>
      <c r="B1971" s="101" t="s">
        <v>313</v>
      </c>
      <c r="C1971" s="101" t="s">
        <v>168</v>
      </c>
      <c r="D1971" s="101" t="s">
        <v>425</v>
      </c>
      <c r="E1971" s="101" t="s">
        <v>17</v>
      </c>
    </row>
    <row r="1972" spans="1:5" x14ac:dyDescent="0.3">
      <c r="A1972" t="str">
        <f t="shared" si="30"/>
        <v>0520567</v>
      </c>
      <c r="B1972" s="101" t="s">
        <v>313</v>
      </c>
      <c r="C1972" s="101" t="s">
        <v>168</v>
      </c>
      <c r="D1972" s="101" t="s">
        <v>426</v>
      </c>
      <c r="E1972" s="101" t="s">
        <v>17</v>
      </c>
    </row>
    <row r="1973" spans="1:5" x14ac:dyDescent="0.3">
      <c r="A1973" t="str">
        <f t="shared" si="30"/>
        <v>0520568</v>
      </c>
      <c r="B1973" s="101" t="s">
        <v>313</v>
      </c>
      <c r="C1973" s="101" t="s">
        <v>168</v>
      </c>
      <c r="D1973" s="101" t="s">
        <v>427</v>
      </c>
      <c r="E1973" s="101" t="s">
        <v>17</v>
      </c>
    </row>
    <row r="1974" spans="1:5" x14ac:dyDescent="0.3">
      <c r="A1974" t="str">
        <f t="shared" si="30"/>
        <v>0520569</v>
      </c>
      <c r="B1974" s="101" t="s">
        <v>313</v>
      </c>
      <c r="C1974" s="101" t="s">
        <v>168</v>
      </c>
      <c r="D1974" s="101" t="s">
        <v>428</v>
      </c>
      <c r="E1974" s="101" t="s">
        <v>17</v>
      </c>
    </row>
    <row r="1975" spans="1:5" x14ac:dyDescent="0.3">
      <c r="A1975" t="str">
        <f t="shared" si="30"/>
        <v>0520043</v>
      </c>
      <c r="B1975" s="101" t="s">
        <v>313</v>
      </c>
      <c r="C1975" s="101" t="s">
        <v>168</v>
      </c>
      <c r="D1975" s="101" t="s">
        <v>419</v>
      </c>
      <c r="E1975" s="101" t="s">
        <v>17</v>
      </c>
    </row>
    <row r="1976" spans="1:5" x14ac:dyDescent="0.3">
      <c r="A1976" t="str">
        <f t="shared" si="30"/>
        <v>0520543</v>
      </c>
      <c r="B1976" s="101" t="s">
        <v>313</v>
      </c>
      <c r="C1976" s="101" t="s">
        <v>168</v>
      </c>
      <c r="D1976" s="101" t="s">
        <v>347</v>
      </c>
      <c r="E1976" s="101" t="s">
        <v>17</v>
      </c>
    </row>
    <row r="1977" spans="1:5" x14ac:dyDescent="0.3">
      <c r="A1977" t="str">
        <f t="shared" si="30"/>
        <v>0620801</v>
      </c>
      <c r="B1977" s="101" t="s">
        <v>317</v>
      </c>
      <c r="C1977" s="101" t="s">
        <v>168</v>
      </c>
      <c r="D1977" s="101" t="s">
        <v>144</v>
      </c>
      <c r="E1977" s="101" t="s">
        <v>139</v>
      </c>
    </row>
    <row r="1978" spans="1:5" x14ac:dyDescent="0.3">
      <c r="A1978" t="str">
        <f t="shared" si="30"/>
        <v>0620802</v>
      </c>
      <c r="B1978" s="101" t="s">
        <v>317</v>
      </c>
      <c r="C1978" s="101" t="s">
        <v>168</v>
      </c>
      <c r="D1978" s="101" t="s">
        <v>145</v>
      </c>
      <c r="E1978" s="101" t="s">
        <v>139</v>
      </c>
    </row>
    <row r="1979" spans="1:5" x14ac:dyDescent="0.3">
      <c r="A1979" t="str">
        <f t="shared" si="30"/>
        <v>0620500</v>
      </c>
      <c r="B1979" s="101" t="s">
        <v>317</v>
      </c>
      <c r="C1979" s="101" t="s">
        <v>168</v>
      </c>
      <c r="D1979" s="101" t="s">
        <v>146</v>
      </c>
      <c r="E1979" s="101" t="s">
        <v>139</v>
      </c>
    </row>
    <row r="1980" spans="1:5" x14ac:dyDescent="0.3">
      <c r="A1980" t="str">
        <f t="shared" si="30"/>
        <v>0620501</v>
      </c>
      <c r="B1980" s="101" t="s">
        <v>317</v>
      </c>
      <c r="C1980" s="101" t="s">
        <v>168</v>
      </c>
      <c r="D1980" s="101" t="s">
        <v>147</v>
      </c>
      <c r="E1980" s="101" t="s">
        <v>139</v>
      </c>
    </row>
    <row r="1981" spans="1:5" x14ac:dyDescent="0.3">
      <c r="A1981" t="str">
        <f t="shared" si="30"/>
        <v>0620066</v>
      </c>
      <c r="B1981" s="101" t="s">
        <v>317</v>
      </c>
      <c r="C1981" s="101" t="s">
        <v>168</v>
      </c>
      <c r="D1981" s="101" t="s">
        <v>609</v>
      </c>
      <c r="E1981" s="101" t="s">
        <v>17</v>
      </c>
    </row>
    <row r="1982" spans="1:5" x14ac:dyDescent="0.3">
      <c r="A1982" t="str">
        <f t="shared" si="30"/>
        <v>0620807</v>
      </c>
      <c r="B1982" s="101" t="s">
        <v>317</v>
      </c>
      <c r="C1982" s="101" t="s">
        <v>168</v>
      </c>
      <c r="D1982" s="101" t="s">
        <v>185</v>
      </c>
      <c r="E1982" s="101" t="s">
        <v>17</v>
      </c>
    </row>
    <row r="1983" spans="1:5" x14ac:dyDescent="0.3">
      <c r="A1983" t="str">
        <f t="shared" si="30"/>
        <v>0620808</v>
      </c>
      <c r="B1983" s="101" t="s">
        <v>317</v>
      </c>
      <c r="C1983" s="101" t="s">
        <v>168</v>
      </c>
      <c r="D1983" s="101" t="s">
        <v>186</v>
      </c>
      <c r="E1983" s="101" t="s">
        <v>17</v>
      </c>
    </row>
    <row r="1984" spans="1:5" x14ac:dyDescent="0.3">
      <c r="A1984" t="str">
        <f t="shared" si="30"/>
        <v>0620809</v>
      </c>
      <c r="B1984" s="101" t="s">
        <v>317</v>
      </c>
      <c r="C1984" s="101" t="s">
        <v>168</v>
      </c>
      <c r="D1984" s="101" t="s">
        <v>187</v>
      </c>
      <c r="E1984" s="101" t="s">
        <v>17</v>
      </c>
    </row>
    <row r="1985" spans="1:5" x14ac:dyDescent="0.3">
      <c r="A1985" t="str">
        <f t="shared" si="30"/>
        <v>0620810</v>
      </c>
      <c r="B1985" s="101" t="s">
        <v>317</v>
      </c>
      <c r="C1985" s="101" t="s">
        <v>168</v>
      </c>
      <c r="D1985" s="101" t="s">
        <v>188</v>
      </c>
      <c r="E1985" s="101" t="s">
        <v>17</v>
      </c>
    </row>
    <row r="1986" spans="1:5" x14ac:dyDescent="0.3">
      <c r="A1986" t="str">
        <f t="shared" si="30"/>
        <v>0620566</v>
      </c>
      <c r="B1986" s="101" t="s">
        <v>317</v>
      </c>
      <c r="C1986" s="101" t="s">
        <v>168</v>
      </c>
      <c r="D1986" s="101" t="s">
        <v>425</v>
      </c>
      <c r="E1986" s="101" t="s">
        <v>17</v>
      </c>
    </row>
    <row r="1987" spans="1:5" x14ac:dyDescent="0.3">
      <c r="A1987" t="str">
        <f t="shared" ref="A1987:A2050" si="31">CONCATENATE(B1987,C1987,D1987,F1987)</f>
        <v>0620567</v>
      </c>
      <c r="B1987" s="101" t="s">
        <v>317</v>
      </c>
      <c r="C1987" s="101" t="s">
        <v>168</v>
      </c>
      <c r="D1987" s="101" t="s">
        <v>426</v>
      </c>
      <c r="E1987" s="101" t="s">
        <v>17</v>
      </c>
    </row>
    <row r="1988" spans="1:5" x14ac:dyDescent="0.3">
      <c r="A1988" t="str">
        <f t="shared" si="31"/>
        <v>0620568</v>
      </c>
      <c r="B1988" s="101" t="s">
        <v>317</v>
      </c>
      <c r="C1988" s="101" t="s">
        <v>168</v>
      </c>
      <c r="D1988" s="101" t="s">
        <v>427</v>
      </c>
      <c r="E1988" s="101" t="s">
        <v>17</v>
      </c>
    </row>
    <row r="1989" spans="1:5" x14ac:dyDescent="0.3">
      <c r="A1989" t="str">
        <f t="shared" si="31"/>
        <v>0620569</v>
      </c>
      <c r="B1989" s="101" t="s">
        <v>317</v>
      </c>
      <c r="C1989" s="101" t="s">
        <v>168</v>
      </c>
      <c r="D1989" s="101" t="s">
        <v>428</v>
      </c>
      <c r="E1989" s="101" t="s">
        <v>17</v>
      </c>
    </row>
    <row r="1990" spans="1:5" x14ac:dyDescent="0.3">
      <c r="A1990" t="str">
        <f t="shared" si="31"/>
        <v>0620043</v>
      </c>
      <c r="B1990" s="101" t="s">
        <v>317</v>
      </c>
      <c r="C1990" s="101" t="s">
        <v>168</v>
      </c>
      <c r="D1990" s="101" t="s">
        <v>419</v>
      </c>
      <c r="E1990" s="101" t="s">
        <v>17</v>
      </c>
    </row>
    <row r="1991" spans="1:5" x14ac:dyDescent="0.3">
      <c r="A1991" t="str">
        <f t="shared" si="31"/>
        <v>0620543</v>
      </c>
      <c r="B1991" s="101" t="s">
        <v>317</v>
      </c>
      <c r="C1991" s="101" t="s">
        <v>168</v>
      </c>
      <c r="D1991" s="101" t="s">
        <v>347</v>
      </c>
      <c r="E1991" s="101" t="s">
        <v>17</v>
      </c>
    </row>
    <row r="1992" spans="1:5" x14ac:dyDescent="0.3">
      <c r="A1992" t="str">
        <f t="shared" si="31"/>
        <v>0720801</v>
      </c>
      <c r="B1992" s="101" t="s">
        <v>319</v>
      </c>
      <c r="C1992" s="101" t="s">
        <v>168</v>
      </c>
      <c r="D1992" s="101" t="s">
        <v>144</v>
      </c>
      <c r="E1992" s="101" t="s">
        <v>139</v>
      </c>
    </row>
    <row r="1993" spans="1:5" x14ac:dyDescent="0.3">
      <c r="A1993" t="str">
        <f t="shared" si="31"/>
        <v>0720802</v>
      </c>
      <c r="B1993" s="101" t="s">
        <v>319</v>
      </c>
      <c r="C1993" s="101" t="s">
        <v>168</v>
      </c>
      <c r="D1993" s="101" t="s">
        <v>145</v>
      </c>
      <c r="E1993" s="101" t="s">
        <v>139</v>
      </c>
    </row>
    <row r="1994" spans="1:5" x14ac:dyDescent="0.3">
      <c r="A1994" t="str">
        <f t="shared" si="31"/>
        <v>0720500</v>
      </c>
      <c r="B1994" s="101" t="s">
        <v>319</v>
      </c>
      <c r="C1994" s="101" t="s">
        <v>168</v>
      </c>
      <c r="D1994" s="101" t="s">
        <v>146</v>
      </c>
      <c r="E1994" s="101" t="s">
        <v>139</v>
      </c>
    </row>
    <row r="1995" spans="1:5" x14ac:dyDescent="0.3">
      <c r="A1995" t="str">
        <f t="shared" si="31"/>
        <v>0720501</v>
      </c>
      <c r="B1995" s="101" t="s">
        <v>319</v>
      </c>
      <c r="C1995" s="101" t="s">
        <v>168</v>
      </c>
      <c r="D1995" s="101" t="s">
        <v>147</v>
      </c>
      <c r="E1995" s="101" t="s">
        <v>139</v>
      </c>
    </row>
    <row r="1996" spans="1:5" x14ac:dyDescent="0.3">
      <c r="A1996" t="str">
        <f t="shared" si="31"/>
        <v>0720066</v>
      </c>
      <c r="B1996" s="101" t="s">
        <v>319</v>
      </c>
      <c r="C1996" s="101" t="s">
        <v>168</v>
      </c>
      <c r="D1996" s="101" t="s">
        <v>609</v>
      </c>
      <c r="E1996" s="101" t="s">
        <v>17</v>
      </c>
    </row>
    <row r="1997" spans="1:5" x14ac:dyDescent="0.3">
      <c r="A1997" t="str">
        <f t="shared" si="31"/>
        <v>0720807</v>
      </c>
      <c r="B1997" s="101" t="s">
        <v>319</v>
      </c>
      <c r="C1997" s="101" t="s">
        <v>168</v>
      </c>
      <c r="D1997" s="101" t="s">
        <v>185</v>
      </c>
      <c r="E1997" s="101" t="s">
        <v>17</v>
      </c>
    </row>
    <row r="1998" spans="1:5" x14ac:dyDescent="0.3">
      <c r="A1998" t="str">
        <f t="shared" si="31"/>
        <v>0720808</v>
      </c>
      <c r="B1998" s="101" t="s">
        <v>319</v>
      </c>
      <c r="C1998" s="101" t="s">
        <v>168</v>
      </c>
      <c r="D1998" s="101" t="s">
        <v>186</v>
      </c>
      <c r="E1998" s="101" t="s">
        <v>17</v>
      </c>
    </row>
    <row r="1999" spans="1:5" x14ac:dyDescent="0.3">
      <c r="A1999" t="str">
        <f t="shared" si="31"/>
        <v>0720809</v>
      </c>
      <c r="B1999" s="101" t="s">
        <v>319</v>
      </c>
      <c r="C1999" s="101" t="s">
        <v>168</v>
      </c>
      <c r="D1999" s="101" t="s">
        <v>187</v>
      </c>
      <c r="E1999" s="101" t="s">
        <v>17</v>
      </c>
    </row>
    <row r="2000" spans="1:5" x14ac:dyDescent="0.3">
      <c r="A2000" t="str">
        <f t="shared" si="31"/>
        <v>0720810</v>
      </c>
      <c r="B2000" s="101" t="s">
        <v>319</v>
      </c>
      <c r="C2000" s="101" t="s">
        <v>168</v>
      </c>
      <c r="D2000" s="101" t="s">
        <v>188</v>
      </c>
      <c r="E2000" s="101" t="s">
        <v>17</v>
      </c>
    </row>
    <row r="2001" spans="1:5" x14ac:dyDescent="0.3">
      <c r="A2001" t="str">
        <f t="shared" si="31"/>
        <v>0720566</v>
      </c>
      <c r="B2001" s="101" t="s">
        <v>319</v>
      </c>
      <c r="C2001" s="101" t="s">
        <v>168</v>
      </c>
      <c r="D2001" s="101" t="s">
        <v>425</v>
      </c>
      <c r="E2001" s="101" t="s">
        <v>17</v>
      </c>
    </row>
    <row r="2002" spans="1:5" x14ac:dyDescent="0.3">
      <c r="A2002" t="str">
        <f t="shared" si="31"/>
        <v>0720567</v>
      </c>
      <c r="B2002" s="101" t="s">
        <v>319</v>
      </c>
      <c r="C2002" s="101" t="s">
        <v>168</v>
      </c>
      <c r="D2002" s="101" t="s">
        <v>426</v>
      </c>
      <c r="E2002" s="101" t="s">
        <v>17</v>
      </c>
    </row>
    <row r="2003" spans="1:5" x14ac:dyDescent="0.3">
      <c r="A2003" t="str">
        <f t="shared" si="31"/>
        <v>0720568</v>
      </c>
      <c r="B2003" s="101" t="s">
        <v>319</v>
      </c>
      <c r="C2003" s="101" t="s">
        <v>168</v>
      </c>
      <c r="D2003" s="101" t="s">
        <v>427</v>
      </c>
      <c r="E2003" s="101" t="s">
        <v>17</v>
      </c>
    </row>
    <row r="2004" spans="1:5" x14ac:dyDescent="0.3">
      <c r="A2004" t="str">
        <f t="shared" si="31"/>
        <v>0720569</v>
      </c>
      <c r="B2004" s="101" t="s">
        <v>319</v>
      </c>
      <c r="C2004" s="101" t="s">
        <v>168</v>
      </c>
      <c r="D2004" s="101" t="s">
        <v>428</v>
      </c>
      <c r="E2004" s="101" t="s">
        <v>17</v>
      </c>
    </row>
    <row r="2005" spans="1:5" x14ac:dyDescent="0.3">
      <c r="A2005" t="str">
        <f t="shared" si="31"/>
        <v>0720043</v>
      </c>
      <c r="B2005" s="101" t="s">
        <v>319</v>
      </c>
      <c r="C2005" s="101" t="s">
        <v>168</v>
      </c>
      <c r="D2005" s="101" t="s">
        <v>419</v>
      </c>
      <c r="E2005" s="101" t="s">
        <v>17</v>
      </c>
    </row>
    <row r="2006" spans="1:5" x14ac:dyDescent="0.3">
      <c r="A2006" t="str">
        <f t="shared" si="31"/>
        <v>0720543</v>
      </c>
      <c r="B2006" s="101" t="s">
        <v>319</v>
      </c>
      <c r="C2006" s="101" t="s">
        <v>168</v>
      </c>
      <c r="D2006" s="101" t="s">
        <v>347</v>
      </c>
      <c r="E2006" s="101" t="s">
        <v>17</v>
      </c>
    </row>
    <row r="2007" spans="1:5" x14ac:dyDescent="0.3">
      <c r="A2007" t="str">
        <f t="shared" si="31"/>
        <v>0820801</v>
      </c>
      <c r="B2007" s="101" t="s">
        <v>320</v>
      </c>
      <c r="C2007" s="101" t="s">
        <v>168</v>
      </c>
      <c r="D2007" s="101" t="s">
        <v>144</v>
      </c>
      <c r="E2007" s="101" t="s">
        <v>139</v>
      </c>
    </row>
    <row r="2008" spans="1:5" x14ac:dyDescent="0.3">
      <c r="A2008" t="str">
        <f t="shared" si="31"/>
        <v>0820802</v>
      </c>
      <c r="B2008" s="101" t="s">
        <v>320</v>
      </c>
      <c r="C2008" s="101" t="s">
        <v>168</v>
      </c>
      <c r="D2008" s="101" t="s">
        <v>145</v>
      </c>
      <c r="E2008" s="101" t="s">
        <v>139</v>
      </c>
    </row>
    <row r="2009" spans="1:5" x14ac:dyDescent="0.3">
      <c r="A2009" t="str">
        <f t="shared" si="31"/>
        <v>0820500</v>
      </c>
      <c r="B2009" s="101" t="s">
        <v>320</v>
      </c>
      <c r="C2009" s="101" t="s">
        <v>168</v>
      </c>
      <c r="D2009" s="101" t="s">
        <v>146</v>
      </c>
      <c r="E2009" s="101" t="s">
        <v>139</v>
      </c>
    </row>
    <row r="2010" spans="1:5" x14ac:dyDescent="0.3">
      <c r="A2010" t="str">
        <f t="shared" si="31"/>
        <v>0820501</v>
      </c>
      <c r="B2010" s="101" t="s">
        <v>320</v>
      </c>
      <c r="C2010" s="101" t="s">
        <v>168</v>
      </c>
      <c r="D2010" s="101" t="s">
        <v>147</v>
      </c>
      <c r="E2010" s="101" t="s">
        <v>139</v>
      </c>
    </row>
    <row r="2011" spans="1:5" x14ac:dyDescent="0.3">
      <c r="A2011" t="str">
        <f t="shared" si="31"/>
        <v>0820066</v>
      </c>
      <c r="B2011" s="101" t="s">
        <v>320</v>
      </c>
      <c r="C2011" s="101" t="s">
        <v>168</v>
      </c>
      <c r="D2011" s="101" t="s">
        <v>609</v>
      </c>
      <c r="E2011" s="101" t="s">
        <v>17</v>
      </c>
    </row>
    <row r="2012" spans="1:5" x14ac:dyDescent="0.3">
      <c r="A2012" t="str">
        <f t="shared" si="31"/>
        <v>0820807</v>
      </c>
      <c r="B2012" s="101" t="s">
        <v>320</v>
      </c>
      <c r="C2012" s="101" t="s">
        <v>168</v>
      </c>
      <c r="D2012" s="101" t="s">
        <v>185</v>
      </c>
      <c r="E2012" s="101" t="s">
        <v>17</v>
      </c>
    </row>
    <row r="2013" spans="1:5" x14ac:dyDescent="0.3">
      <c r="A2013" t="str">
        <f t="shared" si="31"/>
        <v>0820808</v>
      </c>
      <c r="B2013" s="101" t="s">
        <v>320</v>
      </c>
      <c r="C2013" s="101" t="s">
        <v>168</v>
      </c>
      <c r="D2013" s="101" t="s">
        <v>186</v>
      </c>
      <c r="E2013" s="101" t="s">
        <v>17</v>
      </c>
    </row>
    <row r="2014" spans="1:5" x14ac:dyDescent="0.3">
      <c r="A2014" t="str">
        <f t="shared" si="31"/>
        <v>0820809</v>
      </c>
      <c r="B2014" s="101" t="s">
        <v>320</v>
      </c>
      <c r="C2014" s="101" t="s">
        <v>168</v>
      </c>
      <c r="D2014" s="101" t="s">
        <v>187</v>
      </c>
      <c r="E2014" s="101" t="s">
        <v>17</v>
      </c>
    </row>
    <row r="2015" spans="1:5" x14ac:dyDescent="0.3">
      <c r="A2015" t="str">
        <f t="shared" si="31"/>
        <v>0820810</v>
      </c>
      <c r="B2015" s="101" t="s">
        <v>320</v>
      </c>
      <c r="C2015" s="101" t="s">
        <v>168</v>
      </c>
      <c r="D2015" s="101" t="s">
        <v>188</v>
      </c>
      <c r="E2015" s="101" t="s">
        <v>17</v>
      </c>
    </row>
    <row r="2016" spans="1:5" x14ac:dyDescent="0.3">
      <c r="A2016" t="str">
        <f t="shared" si="31"/>
        <v>0820566</v>
      </c>
      <c r="B2016" s="101" t="s">
        <v>320</v>
      </c>
      <c r="C2016" s="101" t="s">
        <v>168</v>
      </c>
      <c r="D2016" s="101" t="s">
        <v>425</v>
      </c>
      <c r="E2016" s="101" t="s">
        <v>17</v>
      </c>
    </row>
    <row r="2017" spans="1:5" x14ac:dyDescent="0.3">
      <c r="A2017" t="str">
        <f t="shared" si="31"/>
        <v>0820567</v>
      </c>
      <c r="B2017" s="101" t="s">
        <v>320</v>
      </c>
      <c r="C2017" s="101" t="s">
        <v>168</v>
      </c>
      <c r="D2017" s="101" t="s">
        <v>426</v>
      </c>
      <c r="E2017" s="101" t="s">
        <v>17</v>
      </c>
    </row>
    <row r="2018" spans="1:5" x14ac:dyDescent="0.3">
      <c r="A2018" t="str">
        <f t="shared" si="31"/>
        <v>0820568</v>
      </c>
      <c r="B2018" s="101" t="s">
        <v>320</v>
      </c>
      <c r="C2018" s="101" t="s">
        <v>168</v>
      </c>
      <c r="D2018" s="101" t="s">
        <v>427</v>
      </c>
      <c r="E2018" s="101" t="s">
        <v>17</v>
      </c>
    </row>
    <row r="2019" spans="1:5" x14ac:dyDescent="0.3">
      <c r="A2019" t="str">
        <f t="shared" si="31"/>
        <v>0820569</v>
      </c>
      <c r="B2019" s="101" t="s">
        <v>320</v>
      </c>
      <c r="C2019" s="101" t="s">
        <v>168</v>
      </c>
      <c r="D2019" s="101" t="s">
        <v>428</v>
      </c>
      <c r="E2019" s="101" t="s">
        <v>17</v>
      </c>
    </row>
    <row r="2020" spans="1:5" x14ac:dyDescent="0.3">
      <c r="A2020" t="str">
        <f t="shared" si="31"/>
        <v>0820043</v>
      </c>
      <c r="B2020" s="101" t="s">
        <v>320</v>
      </c>
      <c r="C2020" s="101" t="s">
        <v>168</v>
      </c>
      <c r="D2020" s="101" t="s">
        <v>419</v>
      </c>
      <c r="E2020" s="101" t="s">
        <v>17</v>
      </c>
    </row>
    <row r="2021" spans="1:5" x14ac:dyDescent="0.3">
      <c r="A2021" t="str">
        <f t="shared" si="31"/>
        <v>0820543</v>
      </c>
      <c r="B2021" s="101" t="s">
        <v>320</v>
      </c>
      <c r="C2021" s="101" t="s">
        <v>168</v>
      </c>
      <c r="D2021" s="101" t="s">
        <v>347</v>
      </c>
      <c r="E2021" s="101" t="s">
        <v>17</v>
      </c>
    </row>
    <row r="2022" spans="1:5" x14ac:dyDescent="0.3">
      <c r="A2022" t="str">
        <f t="shared" si="31"/>
        <v>0321801</v>
      </c>
      <c r="B2022" s="101" t="s">
        <v>16</v>
      </c>
      <c r="C2022" s="101" t="s">
        <v>170</v>
      </c>
      <c r="D2022" s="101" t="s">
        <v>144</v>
      </c>
      <c r="E2022" s="101" t="s">
        <v>139</v>
      </c>
    </row>
    <row r="2023" spans="1:5" x14ac:dyDescent="0.3">
      <c r="A2023" t="str">
        <f t="shared" si="31"/>
        <v>0321802</v>
      </c>
      <c r="B2023" s="101" t="s">
        <v>16</v>
      </c>
      <c r="C2023" s="101" t="s">
        <v>170</v>
      </c>
      <c r="D2023" s="101" t="s">
        <v>145</v>
      </c>
      <c r="E2023" s="101" t="s">
        <v>139</v>
      </c>
    </row>
    <row r="2024" spans="1:5" x14ac:dyDescent="0.3">
      <c r="A2024" t="str">
        <f t="shared" si="31"/>
        <v>0321500</v>
      </c>
      <c r="B2024" s="101" t="s">
        <v>16</v>
      </c>
      <c r="C2024" s="101" t="s">
        <v>170</v>
      </c>
      <c r="D2024" s="101" t="s">
        <v>146</v>
      </c>
      <c r="E2024" s="101" t="s">
        <v>139</v>
      </c>
    </row>
    <row r="2025" spans="1:5" x14ac:dyDescent="0.3">
      <c r="A2025" t="str">
        <f t="shared" si="31"/>
        <v>0321501</v>
      </c>
      <c r="B2025" s="101" t="s">
        <v>16</v>
      </c>
      <c r="C2025" s="101" t="s">
        <v>170</v>
      </c>
      <c r="D2025" s="101" t="s">
        <v>147</v>
      </c>
      <c r="E2025" s="101" t="s">
        <v>139</v>
      </c>
    </row>
    <row r="2026" spans="1:5" x14ac:dyDescent="0.3">
      <c r="A2026" t="str">
        <f t="shared" si="31"/>
        <v>0321805</v>
      </c>
      <c r="B2026" s="101" t="s">
        <v>16</v>
      </c>
      <c r="C2026" s="101" t="s">
        <v>170</v>
      </c>
      <c r="D2026" s="101" t="s">
        <v>543</v>
      </c>
      <c r="E2026" s="101" t="s">
        <v>17</v>
      </c>
    </row>
    <row r="2027" spans="1:5" x14ac:dyDescent="0.3">
      <c r="A2027" t="str">
        <f t="shared" si="31"/>
        <v>0321807</v>
      </c>
      <c r="B2027" s="101" t="s">
        <v>16</v>
      </c>
      <c r="C2027" s="101" t="s">
        <v>170</v>
      </c>
      <c r="D2027" s="101" t="s">
        <v>185</v>
      </c>
      <c r="E2027" s="101" t="s">
        <v>17</v>
      </c>
    </row>
    <row r="2028" spans="1:5" x14ac:dyDescent="0.3">
      <c r="A2028" t="str">
        <f t="shared" si="31"/>
        <v>0321809</v>
      </c>
      <c r="B2028" s="101" t="s">
        <v>16</v>
      </c>
      <c r="C2028" s="101" t="s">
        <v>170</v>
      </c>
      <c r="D2028" s="101" t="s">
        <v>187</v>
      </c>
      <c r="E2028" s="101" t="s">
        <v>17</v>
      </c>
    </row>
    <row r="2029" spans="1:5" x14ac:dyDescent="0.3">
      <c r="A2029" t="str">
        <f t="shared" si="31"/>
        <v>0321811</v>
      </c>
      <c r="B2029" s="101" t="s">
        <v>16</v>
      </c>
      <c r="C2029" s="101" t="s">
        <v>170</v>
      </c>
      <c r="D2029" s="101" t="s">
        <v>189</v>
      </c>
      <c r="E2029" s="101" t="s">
        <v>17</v>
      </c>
    </row>
    <row r="2030" spans="1:5" x14ac:dyDescent="0.3">
      <c r="A2030" t="str">
        <f t="shared" si="31"/>
        <v>0321814</v>
      </c>
      <c r="B2030" s="101" t="s">
        <v>16</v>
      </c>
      <c r="C2030" s="101" t="s">
        <v>170</v>
      </c>
      <c r="D2030" s="101" t="s">
        <v>333</v>
      </c>
      <c r="E2030" s="101" t="s">
        <v>17</v>
      </c>
    </row>
    <row r="2031" spans="1:5" x14ac:dyDescent="0.3">
      <c r="A2031" t="str">
        <f t="shared" si="31"/>
        <v>0321100</v>
      </c>
      <c r="B2031" s="101" t="s">
        <v>16</v>
      </c>
      <c r="C2031" s="101" t="s">
        <v>170</v>
      </c>
      <c r="D2031" s="101" t="s">
        <v>222</v>
      </c>
      <c r="E2031" s="101" t="s">
        <v>17</v>
      </c>
    </row>
    <row r="2032" spans="1:5" x14ac:dyDescent="0.3">
      <c r="A2032" t="str">
        <f t="shared" si="31"/>
        <v>0321101</v>
      </c>
      <c r="B2032" s="101" t="s">
        <v>16</v>
      </c>
      <c r="C2032" s="101" t="s">
        <v>170</v>
      </c>
      <c r="D2032" s="101" t="s">
        <v>223</v>
      </c>
      <c r="E2032" s="101" t="s">
        <v>17</v>
      </c>
    </row>
    <row r="2033" spans="1:5" x14ac:dyDescent="0.3">
      <c r="A2033" t="str">
        <f t="shared" si="31"/>
        <v>0321102</v>
      </c>
      <c r="B2033" s="101" t="s">
        <v>16</v>
      </c>
      <c r="C2033" s="101" t="s">
        <v>170</v>
      </c>
      <c r="D2033" s="101" t="s">
        <v>232</v>
      </c>
      <c r="E2033" s="101" t="s">
        <v>17</v>
      </c>
    </row>
    <row r="2034" spans="1:5" x14ac:dyDescent="0.3">
      <c r="A2034" t="str">
        <f t="shared" si="31"/>
        <v>0321103</v>
      </c>
      <c r="B2034" s="101" t="s">
        <v>16</v>
      </c>
      <c r="C2034" s="101" t="s">
        <v>170</v>
      </c>
      <c r="D2034" s="101" t="s">
        <v>233</v>
      </c>
      <c r="E2034" s="101" t="s">
        <v>17</v>
      </c>
    </row>
    <row r="2035" spans="1:5" x14ac:dyDescent="0.3">
      <c r="A2035" t="str">
        <f t="shared" si="31"/>
        <v>0321140</v>
      </c>
      <c r="B2035" s="101" t="s">
        <v>16</v>
      </c>
      <c r="C2035" s="101" t="s">
        <v>170</v>
      </c>
      <c r="D2035" s="101" t="s">
        <v>263</v>
      </c>
      <c r="E2035" s="101" t="s">
        <v>17</v>
      </c>
    </row>
    <row r="2036" spans="1:5" x14ac:dyDescent="0.3">
      <c r="A2036" t="str">
        <f t="shared" si="31"/>
        <v>0321141</v>
      </c>
      <c r="B2036" s="101" t="s">
        <v>16</v>
      </c>
      <c r="C2036" s="101" t="s">
        <v>170</v>
      </c>
      <c r="D2036" s="101" t="s">
        <v>264</v>
      </c>
      <c r="E2036" s="101" t="s">
        <v>17</v>
      </c>
    </row>
    <row r="2037" spans="1:5" x14ac:dyDescent="0.3">
      <c r="A2037" t="str">
        <f t="shared" si="31"/>
        <v>0321142</v>
      </c>
      <c r="B2037" s="101" t="s">
        <v>16</v>
      </c>
      <c r="C2037" s="101" t="s">
        <v>170</v>
      </c>
      <c r="D2037" s="101" t="s">
        <v>155</v>
      </c>
      <c r="E2037" s="101" t="s">
        <v>17</v>
      </c>
    </row>
    <row r="2038" spans="1:5" x14ac:dyDescent="0.3">
      <c r="A2038" t="str">
        <f t="shared" si="31"/>
        <v>0321143</v>
      </c>
      <c r="B2038" s="101" t="s">
        <v>16</v>
      </c>
      <c r="C2038" s="101" t="s">
        <v>170</v>
      </c>
      <c r="D2038" s="101" t="s">
        <v>157</v>
      </c>
      <c r="E2038" s="101" t="s">
        <v>17</v>
      </c>
    </row>
    <row r="2039" spans="1:5" x14ac:dyDescent="0.3">
      <c r="A2039" t="str">
        <f t="shared" si="31"/>
        <v>0321144</v>
      </c>
      <c r="B2039" s="101" t="s">
        <v>16</v>
      </c>
      <c r="C2039" s="101" t="s">
        <v>170</v>
      </c>
      <c r="D2039" s="101" t="s">
        <v>266</v>
      </c>
      <c r="E2039" s="101" t="s">
        <v>17</v>
      </c>
    </row>
    <row r="2040" spans="1:5" x14ac:dyDescent="0.3">
      <c r="A2040" t="str">
        <f t="shared" si="31"/>
        <v>0321145</v>
      </c>
      <c r="B2040" s="101" t="s">
        <v>16</v>
      </c>
      <c r="C2040" s="101" t="s">
        <v>170</v>
      </c>
      <c r="D2040" s="101" t="s">
        <v>268</v>
      </c>
      <c r="E2040" s="101" t="s">
        <v>17</v>
      </c>
    </row>
    <row r="2041" spans="1:5" x14ac:dyDescent="0.3">
      <c r="A2041" t="str">
        <f t="shared" si="31"/>
        <v>0321146</v>
      </c>
      <c r="B2041" s="101" t="s">
        <v>16</v>
      </c>
      <c r="C2041" s="101" t="s">
        <v>170</v>
      </c>
      <c r="D2041" s="101" t="s">
        <v>159</v>
      </c>
      <c r="E2041" s="101" t="s">
        <v>17</v>
      </c>
    </row>
    <row r="2042" spans="1:5" x14ac:dyDescent="0.3">
      <c r="A2042" t="str">
        <f t="shared" si="31"/>
        <v>0321190</v>
      </c>
      <c r="B2042" s="101" t="s">
        <v>16</v>
      </c>
      <c r="C2042" s="101" t="s">
        <v>170</v>
      </c>
      <c r="D2042" s="101" t="s">
        <v>228</v>
      </c>
      <c r="E2042" s="101" t="s">
        <v>17</v>
      </c>
    </row>
    <row r="2043" spans="1:5" x14ac:dyDescent="0.3">
      <c r="A2043" t="str">
        <f t="shared" si="31"/>
        <v>0321192</v>
      </c>
      <c r="B2043" s="101" t="s">
        <v>16</v>
      </c>
      <c r="C2043" s="101" t="s">
        <v>170</v>
      </c>
      <c r="D2043" s="101" t="s">
        <v>224</v>
      </c>
      <c r="E2043" s="101" t="s">
        <v>17</v>
      </c>
    </row>
    <row r="2044" spans="1:5" x14ac:dyDescent="0.3">
      <c r="A2044" t="str">
        <f t="shared" si="31"/>
        <v>0321208</v>
      </c>
      <c r="B2044" s="101" t="s">
        <v>16</v>
      </c>
      <c r="C2044" s="101" t="s">
        <v>170</v>
      </c>
      <c r="D2044" s="101" t="s">
        <v>306</v>
      </c>
      <c r="E2044" s="101" t="s">
        <v>17</v>
      </c>
    </row>
    <row r="2045" spans="1:5" x14ac:dyDescent="0.3">
      <c r="A2045" t="str">
        <f t="shared" si="31"/>
        <v>0321642</v>
      </c>
      <c r="B2045" s="101" t="s">
        <v>16</v>
      </c>
      <c r="C2045" s="101" t="s">
        <v>170</v>
      </c>
      <c r="D2045" s="101" t="s">
        <v>195</v>
      </c>
      <c r="E2045" s="101" t="s">
        <v>17</v>
      </c>
    </row>
    <row r="2046" spans="1:5" x14ac:dyDescent="0.3">
      <c r="A2046" t="str">
        <f t="shared" si="31"/>
        <v>0321643</v>
      </c>
      <c r="B2046" s="101" t="s">
        <v>16</v>
      </c>
      <c r="C2046" s="101" t="s">
        <v>170</v>
      </c>
      <c r="D2046" s="101" t="s">
        <v>196</v>
      </c>
      <c r="E2046" s="101" t="s">
        <v>17</v>
      </c>
    </row>
    <row r="2047" spans="1:5" x14ac:dyDescent="0.3">
      <c r="A2047" t="str">
        <f t="shared" si="31"/>
        <v>0321644</v>
      </c>
      <c r="B2047" s="101" t="s">
        <v>16</v>
      </c>
      <c r="C2047" s="101" t="s">
        <v>170</v>
      </c>
      <c r="D2047" s="101" t="s">
        <v>485</v>
      </c>
      <c r="E2047" s="101" t="s">
        <v>17</v>
      </c>
    </row>
    <row r="2048" spans="1:5" x14ac:dyDescent="0.3">
      <c r="A2048" t="str">
        <f t="shared" si="31"/>
        <v>0321645</v>
      </c>
      <c r="B2048" s="101" t="s">
        <v>16</v>
      </c>
      <c r="C2048" s="101" t="s">
        <v>170</v>
      </c>
      <c r="D2048" s="101" t="s">
        <v>486</v>
      </c>
      <c r="E2048" s="101" t="s">
        <v>17</v>
      </c>
    </row>
    <row r="2049" spans="1:5" x14ac:dyDescent="0.3">
      <c r="A2049" t="str">
        <f t="shared" si="31"/>
        <v>0321646</v>
      </c>
      <c r="B2049" s="101" t="s">
        <v>16</v>
      </c>
      <c r="C2049" s="101" t="s">
        <v>170</v>
      </c>
      <c r="D2049" s="101" t="s">
        <v>197</v>
      </c>
      <c r="E2049" s="101" t="s">
        <v>17</v>
      </c>
    </row>
    <row r="2050" spans="1:5" x14ac:dyDescent="0.3">
      <c r="A2050" t="str">
        <f t="shared" si="31"/>
        <v>0321647</v>
      </c>
      <c r="B2050" s="101" t="s">
        <v>16</v>
      </c>
      <c r="C2050" s="101" t="s">
        <v>170</v>
      </c>
      <c r="D2050" s="101" t="s">
        <v>198</v>
      </c>
      <c r="E2050" s="101" t="s">
        <v>17</v>
      </c>
    </row>
    <row r="2051" spans="1:5" x14ac:dyDescent="0.3">
      <c r="A2051" t="str">
        <f t="shared" ref="A2051:A2114" si="32">CONCATENATE(B2051,C2051,D2051,F2051)</f>
        <v>0321648</v>
      </c>
      <c r="B2051" s="101" t="s">
        <v>16</v>
      </c>
      <c r="C2051" s="101" t="s">
        <v>170</v>
      </c>
      <c r="D2051" s="101" t="s">
        <v>199</v>
      </c>
      <c r="E2051" s="101" t="s">
        <v>17</v>
      </c>
    </row>
    <row r="2052" spans="1:5" x14ac:dyDescent="0.3">
      <c r="A2052" t="str">
        <f t="shared" si="32"/>
        <v>0321649</v>
      </c>
      <c r="B2052" s="101" t="s">
        <v>16</v>
      </c>
      <c r="C2052" s="101" t="s">
        <v>170</v>
      </c>
      <c r="D2052" s="101" t="s">
        <v>200</v>
      </c>
      <c r="E2052" s="101" t="s">
        <v>17</v>
      </c>
    </row>
    <row r="2053" spans="1:5" x14ac:dyDescent="0.3">
      <c r="A2053" t="str">
        <f t="shared" si="32"/>
        <v>0321684</v>
      </c>
      <c r="B2053" s="101" t="s">
        <v>16</v>
      </c>
      <c r="C2053" s="101" t="s">
        <v>170</v>
      </c>
      <c r="D2053" s="101" t="s">
        <v>295</v>
      </c>
      <c r="E2053" s="101" t="s">
        <v>17</v>
      </c>
    </row>
    <row r="2054" spans="1:5" x14ac:dyDescent="0.3">
      <c r="A2054" t="str">
        <f t="shared" si="32"/>
        <v>0321220</v>
      </c>
      <c r="B2054" s="101" t="s">
        <v>16</v>
      </c>
      <c r="C2054" s="101" t="s">
        <v>170</v>
      </c>
      <c r="D2054" s="101" t="s">
        <v>309</v>
      </c>
      <c r="E2054" s="101" t="s">
        <v>19</v>
      </c>
    </row>
    <row r="2055" spans="1:5" x14ac:dyDescent="0.3">
      <c r="A2055" t="str">
        <f t="shared" si="32"/>
        <v>0321221</v>
      </c>
      <c r="B2055" s="101" t="s">
        <v>16</v>
      </c>
      <c r="C2055" s="101" t="s">
        <v>170</v>
      </c>
      <c r="D2055" s="101" t="s">
        <v>310</v>
      </c>
      <c r="E2055" s="101" t="s">
        <v>19</v>
      </c>
    </row>
    <row r="2056" spans="1:5" x14ac:dyDescent="0.3">
      <c r="A2056" t="str">
        <f t="shared" si="32"/>
        <v>0321740</v>
      </c>
      <c r="B2056" s="101" t="s">
        <v>16</v>
      </c>
      <c r="C2056" s="101" t="s">
        <v>170</v>
      </c>
      <c r="D2056" s="101" t="s">
        <v>534</v>
      </c>
      <c r="E2056" s="101" t="s">
        <v>19</v>
      </c>
    </row>
    <row r="2057" spans="1:5" x14ac:dyDescent="0.3">
      <c r="A2057" t="str">
        <f t="shared" si="32"/>
        <v>0321741</v>
      </c>
      <c r="B2057" s="101" t="s">
        <v>16</v>
      </c>
      <c r="C2057" s="101" t="s">
        <v>170</v>
      </c>
      <c r="D2057" s="101" t="s">
        <v>535</v>
      </c>
      <c r="E2057" s="101" t="s">
        <v>19</v>
      </c>
    </row>
    <row r="2058" spans="1:5" x14ac:dyDescent="0.3">
      <c r="A2058" t="str">
        <f t="shared" si="32"/>
        <v>0421801</v>
      </c>
      <c r="B2058" s="101" t="s">
        <v>18</v>
      </c>
      <c r="C2058" s="101" t="s">
        <v>170</v>
      </c>
      <c r="D2058" s="101" t="s">
        <v>144</v>
      </c>
      <c r="E2058" s="101" t="s">
        <v>139</v>
      </c>
    </row>
    <row r="2059" spans="1:5" x14ac:dyDescent="0.3">
      <c r="A2059" t="str">
        <f t="shared" si="32"/>
        <v>0421802</v>
      </c>
      <c r="B2059" s="101" t="s">
        <v>18</v>
      </c>
      <c r="C2059" s="101" t="s">
        <v>170</v>
      </c>
      <c r="D2059" s="101" t="s">
        <v>145</v>
      </c>
      <c r="E2059" s="101" t="s">
        <v>139</v>
      </c>
    </row>
    <row r="2060" spans="1:5" x14ac:dyDescent="0.3">
      <c r="A2060" t="str">
        <f t="shared" si="32"/>
        <v>0421500</v>
      </c>
      <c r="B2060" s="101" t="s">
        <v>18</v>
      </c>
      <c r="C2060" s="101" t="s">
        <v>170</v>
      </c>
      <c r="D2060" s="101" t="s">
        <v>146</v>
      </c>
      <c r="E2060" s="101" t="s">
        <v>139</v>
      </c>
    </row>
    <row r="2061" spans="1:5" x14ac:dyDescent="0.3">
      <c r="A2061" t="str">
        <f t="shared" si="32"/>
        <v>0421501</v>
      </c>
      <c r="B2061" s="101" t="s">
        <v>18</v>
      </c>
      <c r="C2061" s="101" t="s">
        <v>170</v>
      </c>
      <c r="D2061" s="101" t="s">
        <v>147</v>
      </c>
      <c r="E2061" s="101" t="s">
        <v>139</v>
      </c>
    </row>
    <row r="2062" spans="1:5" x14ac:dyDescent="0.3">
      <c r="A2062" t="str">
        <f t="shared" si="32"/>
        <v>0421805</v>
      </c>
      <c r="B2062" s="101" t="s">
        <v>18</v>
      </c>
      <c r="C2062" s="101" t="s">
        <v>170</v>
      </c>
      <c r="D2062" s="101" t="s">
        <v>543</v>
      </c>
      <c r="E2062" s="101" t="s">
        <v>17</v>
      </c>
    </row>
    <row r="2063" spans="1:5" x14ac:dyDescent="0.3">
      <c r="A2063" t="str">
        <f t="shared" si="32"/>
        <v>0421807</v>
      </c>
      <c r="B2063" s="101" t="s">
        <v>18</v>
      </c>
      <c r="C2063" s="101" t="s">
        <v>170</v>
      </c>
      <c r="D2063" s="101" t="s">
        <v>185</v>
      </c>
      <c r="E2063" s="101" t="s">
        <v>17</v>
      </c>
    </row>
    <row r="2064" spans="1:5" x14ac:dyDescent="0.3">
      <c r="A2064" t="str">
        <f t="shared" si="32"/>
        <v>0421809</v>
      </c>
      <c r="B2064" s="101" t="s">
        <v>18</v>
      </c>
      <c r="C2064" s="101" t="s">
        <v>170</v>
      </c>
      <c r="D2064" s="101" t="s">
        <v>187</v>
      </c>
      <c r="E2064" s="101" t="s">
        <v>17</v>
      </c>
    </row>
    <row r="2065" spans="1:5" x14ac:dyDescent="0.3">
      <c r="A2065" t="str">
        <f t="shared" si="32"/>
        <v>0421811</v>
      </c>
      <c r="B2065" s="101" t="s">
        <v>18</v>
      </c>
      <c r="C2065" s="101" t="s">
        <v>170</v>
      </c>
      <c r="D2065" s="101" t="s">
        <v>189</v>
      </c>
      <c r="E2065" s="101" t="s">
        <v>17</v>
      </c>
    </row>
    <row r="2066" spans="1:5" x14ac:dyDescent="0.3">
      <c r="A2066" t="str">
        <f t="shared" si="32"/>
        <v>0421814</v>
      </c>
      <c r="B2066" s="101" t="s">
        <v>18</v>
      </c>
      <c r="C2066" s="101" t="s">
        <v>170</v>
      </c>
      <c r="D2066" s="101" t="s">
        <v>333</v>
      </c>
      <c r="E2066" s="101" t="s">
        <v>17</v>
      </c>
    </row>
    <row r="2067" spans="1:5" x14ac:dyDescent="0.3">
      <c r="A2067" t="str">
        <f t="shared" si="32"/>
        <v>0421100</v>
      </c>
      <c r="B2067" s="101" t="s">
        <v>18</v>
      </c>
      <c r="C2067" s="101" t="s">
        <v>170</v>
      </c>
      <c r="D2067" s="101" t="s">
        <v>222</v>
      </c>
      <c r="E2067" s="101" t="s">
        <v>17</v>
      </c>
    </row>
    <row r="2068" spans="1:5" x14ac:dyDescent="0.3">
      <c r="A2068" t="str">
        <f t="shared" si="32"/>
        <v>0421101</v>
      </c>
      <c r="B2068" s="101" t="s">
        <v>18</v>
      </c>
      <c r="C2068" s="101" t="s">
        <v>170</v>
      </c>
      <c r="D2068" s="101" t="s">
        <v>223</v>
      </c>
      <c r="E2068" s="101" t="s">
        <v>17</v>
      </c>
    </row>
    <row r="2069" spans="1:5" x14ac:dyDescent="0.3">
      <c r="A2069" t="str">
        <f t="shared" si="32"/>
        <v>0421102</v>
      </c>
      <c r="B2069" s="101" t="s">
        <v>18</v>
      </c>
      <c r="C2069" s="101" t="s">
        <v>170</v>
      </c>
      <c r="D2069" s="101" t="s">
        <v>232</v>
      </c>
      <c r="E2069" s="101" t="s">
        <v>17</v>
      </c>
    </row>
    <row r="2070" spans="1:5" x14ac:dyDescent="0.3">
      <c r="A2070" t="str">
        <f t="shared" si="32"/>
        <v>0421103</v>
      </c>
      <c r="B2070" s="101" t="s">
        <v>18</v>
      </c>
      <c r="C2070" s="101" t="s">
        <v>170</v>
      </c>
      <c r="D2070" s="101" t="s">
        <v>233</v>
      </c>
      <c r="E2070" s="101" t="s">
        <v>17</v>
      </c>
    </row>
    <row r="2071" spans="1:5" x14ac:dyDescent="0.3">
      <c r="A2071" t="str">
        <f t="shared" si="32"/>
        <v>0421140</v>
      </c>
      <c r="B2071" s="101" t="s">
        <v>18</v>
      </c>
      <c r="C2071" s="101" t="s">
        <v>170</v>
      </c>
      <c r="D2071" s="101" t="s">
        <v>263</v>
      </c>
      <c r="E2071" s="101" t="s">
        <v>17</v>
      </c>
    </row>
    <row r="2072" spans="1:5" x14ac:dyDescent="0.3">
      <c r="A2072" t="str">
        <f t="shared" si="32"/>
        <v>0421141</v>
      </c>
      <c r="B2072" s="101" t="s">
        <v>18</v>
      </c>
      <c r="C2072" s="101" t="s">
        <v>170</v>
      </c>
      <c r="D2072" s="101" t="s">
        <v>264</v>
      </c>
      <c r="E2072" s="101" t="s">
        <v>17</v>
      </c>
    </row>
    <row r="2073" spans="1:5" x14ac:dyDescent="0.3">
      <c r="A2073" t="str">
        <f t="shared" si="32"/>
        <v>0421142</v>
      </c>
      <c r="B2073" s="101" t="s">
        <v>18</v>
      </c>
      <c r="C2073" s="101" t="s">
        <v>170</v>
      </c>
      <c r="D2073" s="101" t="s">
        <v>155</v>
      </c>
      <c r="E2073" s="101" t="s">
        <v>17</v>
      </c>
    </row>
    <row r="2074" spans="1:5" x14ac:dyDescent="0.3">
      <c r="A2074" t="str">
        <f t="shared" si="32"/>
        <v>0421143</v>
      </c>
      <c r="B2074" s="101" t="s">
        <v>18</v>
      </c>
      <c r="C2074" s="101" t="s">
        <v>170</v>
      </c>
      <c r="D2074" s="101" t="s">
        <v>157</v>
      </c>
      <c r="E2074" s="101" t="s">
        <v>17</v>
      </c>
    </row>
    <row r="2075" spans="1:5" x14ac:dyDescent="0.3">
      <c r="A2075" t="str">
        <f t="shared" si="32"/>
        <v>0421144</v>
      </c>
      <c r="B2075" s="101" t="s">
        <v>18</v>
      </c>
      <c r="C2075" s="101" t="s">
        <v>170</v>
      </c>
      <c r="D2075" s="101" t="s">
        <v>266</v>
      </c>
      <c r="E2075" s="101" t="s">
        <v>17</v>
      </c>
    </row>
    <row r="2076" spans="1:5" x14ac:dyDescent="0.3">
      <c r="A2076" t="str">
        <f t="shared" si="32"/>
        <v>0421145</v>
      </c>
      <c r="B2076" s="101" t="s">
        <v>18</v>
      </c>
      <c r="C2076" s="101" t="s">
        <v>170</v>
      </c>
      <c r="D2076" s="101" t="s">
        <v>268</v>
      </c>
      <c r="E2076" s="101" t="s">
        <v>17</v>
      </c>
    </row>
    <row r="2077" spans="1:5" x14ac:dyDescent="0.3">
      <c r="A2077" t="str">
        <f t="shared" si="32"/>
        <v>0421146</v>
      </c>
      <c r="B2077" s="101" t="s">
        <v>18</v>
      </c>
      <c r="C2077" s="101" t="s">
        <v>170</v>
      </c>
      <c r="D2077" s="101" t="s">
        <v>159</v>
      </c>
      <c r="E2077" s="101" t="s">
        <v>17</v>
      </c>
    </row>
    <row r="2078" spans="1:5" x14ac:dyDescent="0.3">
      <c r="A2078" t="str">
        <f t="shared" si="32"/>
        <v>0421190</v>
      </c>
      <c r="B2078" s="101" t="s">
        <v>18</v>
      </c>
      <c r="C2078" s="101" t="s">
        <v>170</v>
      </c>
      <c r="D2078" s="101" t="s">
        <v>228</v>
      </c>
      <c r="E2078" s="101" t="s">
        <v>17</v>
      </c>
    </row>
    <row r="2079" spans="1:5" x14ac:dyDescent="0.3">
      <c r="A2079" t="str">
        <f t="shared" si="32"/>
        <v>0421192</v>
      </c>
      <c r="B2079" s="101" t="s">
        <v>18</v>
      </c>
      <c r="C2079" s="101" t="s">
        <v>170</v>
      </c>
      <c r="D2079" s="101" t="s">
        <v>224</v>
      </c>
      <c r="E2079" s="101" t="s">
        <v>17</v>
      </c>
    </row>
    <row r="2080" spans="1:5" x14ac:dyDescent="0.3">
      <c r="A2080" t="str">
        <f t="shared" si="32"/>
        <v>0421208</v>
      </c>
      <c r="B2080" s="101" t="s">
        <v>18</v>
      </c>
      <c r="C2080" s="101" t="s">
        <v>170</v>
      </c>
      <c r="D2080" s="101" t="s">
        <v>306</v>
      </c>
      <c r="E2080" s="101" t="s">
        <v>17</v>
      </c>
    </row>
    <row r="2081" spans="1:5" x14ac:dyDescent="0.3">
      <c r="A2081" t="str">
        <f t="shared" si="32"/>
        <v>0421642</v>
      </c>
      <c r="B2081" s="101" t="s">
        <v>18</v>
      </c>
      <c r="C2081" s="101" t="s">
        <v>170</v>
      </c>
      <c r="D2081" s="101" t="s">
        <v>195</v>
      </c>
      <c r="E2081" s="101" t="s">
        <v>17</v>
      </c>
    </row>
    <row r="2082" spans="1:5" x14ac:dyDescent="0.3">
      <c r="A2082" t="str">
        <f t="shared" si="32"/>
        <v>0421643</v>
      </c>
      <c r="B2082" s="101" t="s">
        <v>18</v>
      </c>
      <c r="C2082" s="101" t="s">
        <v>170</v>
      </c>
      <c r="D2082" s="101" t="s">
        <v>196</v>
      </c>
      <c r="E2082" s="101" t="s">
        <v>17</v>
      </c>
    </row>
    <row r="2083" spans="1:5" x14ac:dyDescent="0.3">
      <c r="A2083" t="str">
        <f t="shared" si="32"/>
        <v>0421644</v>
      </c>
      <c r="B2083" s="101" t="s">
        <v>18</v>
      </c>
      <c r="C2083" s="101" t="s">
        <v>170</v>
      </c>
      <c r="D2083" s="101" t="s">
        <v>485</v>
      </c>
      <c r="E2083" s="101" t="s">
        <v>17</v>
      </c>
    </row>
    <row r="2084" spans="1:5" x14ac:dyDescent="0.3">
      <c r="A2084" t="str">
        <f t="shared" si="32"/>
        <v>0421645</v>
      </c>
      <c r="B2084" s="101" t="s">
        <v>18</v>
      </c>
      <c r="C2084" s="101" t="s">
        <v>170</v>
      </c>
      <c r="D2084" s="101" t="s">
        <v>486</v>
      </c>
      <c r="E2084" s="101" t="s">
        <v>17</v>
      </c>
    </row>
    <row r="2085" spans="1:5" x14ac:dyDescent="0.3">
      <c r="A2085" t="str">
        <f t="shared" si="32"/>
        <v>0421646</v>
      </c>
      <c r="B2085" s="101" t="s">
        <v>18</v>
      </c>
      <c r="C2085" s="101" t="s">
        <v>170</v>
      </c>
      <c r="D2085" s="101" t="s">
        <v>197</v>
      </c>
      <c r="E2085" s="101" t="s">
        <v>17</v>
      </c>
    </row>
    <row r="2086" spans="1:5" x14ac:dyDescent="0.3">
      <c r="A2086" t="str">
        <f t="shared" si="32"/>
        <v>0421647</v>
      </c>
      <c r="B2086" s="101" t="s">
        <v>18</v>
      </c>
      <c r="C2086" s="101" t="s">
        <v>170</v>
      </c>
      <c r="D2086" s="101" t="s">
        <v>198</v>
      </c>
      <c r="E2086" s="101" t="s">
        <v>17</v>
      </c>
    </row>
    <row r="2087" spans="1:5" x14ac:dyDescent="0.3">
      <c r="A2087" t="str">
        <f t="shared" si="32"/>
        <v>0421648</v>
      </c>
      <c r="B2087" s="101" t="s">
        <v>18</v>
      </c>
      <c r="C2087" s="101" t="s">
        <v>170</v>
      </c>
      <c r="D2087" s="101" t="s">
        <v>199</v>
      </c>
      <c r="E2087" s="101" t="s">
        <v>17</v>
      </c>
    </row>
    <row r="2088" spans="1:5" x14ac:dyDescent="0.3">
      <c r="A2088" t="str">
        <f t="shared" si="32"/>
        <v>0421649</v>
      </c>
      <c r="B2088" s="101" t="s">
        <v>18</v>
      </c>
      <c r="C2088" s="101" t="s">
        <v>170</v>
      </c>
      <c r="D2088" s="101" t="s">
        <v>200</v>
      </c>
      <c r="E2088" s="101" t="s">
        <v>17</v>
      </c>
    </row>
    <row r="2089" spans="1:5" x14ac:dyDescent="0.3">
      <c r="A2089" t="str">
        <f t="shared" si="32"/>
        <v>0421684</v>
      </c>
      <c r="B2089" s="101" t="s">
        <v>18</v>
      </c>
      <c r="C2089" s="101" t="s">
        <v>170</v>
      </c>
      <c r="D2089" s="101" t="s">
        <v>295</v>
      </c>
      <c r="E2089" s="101" t="s">
        <v>17</v>
      </c>
    </row>
    <row r="2090" spans="1:5" x14ac:dyDescent="0.3">
      <c r="A2090" t="str">
        <f t="shared" si="32"/>
        <v>0421220</v>
      </c>
      <c r="B2090" s="101" t="s">
        <v>18</v>
      </c>
      <c r="C2090" s="101" t="s">
        <v>170</v>
      </c>
      <c r="D2090" s="101" t="s">
        <v>309</v>
      </c>
      <c r="E2090" s="101" t="s">
        <v>19</v>
      </c>
    </row>
    <row r="2091" spans="1:5" x14ac:dyDescent="0.3">
      <c r="A2091" t="str">
        <f t="shared" si="32"/>
        <v>0421221</v>
      </c>
      <c r="B2091" s="101" t="s">
        <v>18</v>
      </c>
      <c r="C2091" s="101" t="s">
        <v>170</v>
      </c>
      <c r="D2091" s="101" t="s">
        <v>310</v>
      </c>
      <c r="E2091" s="101" t="s">
        <v>19</v>
      </c>
    </row>
    <row r="2092" spans="1:5" x14ac:dyDescent="0.3">
      <c r="A2092" t="str">
        <f t="shared" si="32"/>
        <v>0421740</v>
      </c>
      <c r="B2092" s="101" t="s">
        <v>18</v>
      </c>
      <c r="C2092" s="101" t="s">
        <v>170</v>
      </c>
      <c r="D2092" s="101" t="s">
        <v>534</v>
      </c>
      <c r="E2092" s="101" t="s">
        <v>19</v>
      </c>
    </row>
    <row r="2093" spans="1:5" x14ac:dyDescent="0.3">
      <c r="A2093" t="str">
        <f t="shared" si="32"/>
        <v>0421741</v>
      </c>
      <c r="B2093" s="101" t="s">
        <v>18</v>
      </c>
      <c r="C2093" s="101" t="s">
        <v>170</v>
      </c>
      <c r="D2093" s="101" t="s">
        <v>535</v>
      </c>
      <c r="E2093" s="101" t="s">
        <v>19</v>
      </c>
    </row>
    <row r="2094" spans="1:5" x14ac:dyDescent="0.3">
      <c r="A2094" t="str">
        <f t="shared" si="32"/>
        <v>0521180</v>
      </c>
      <c r="B2094" s="101" t="s">
        <v>313</v>
      </c>
      <c r="C2094" s="101" t="s">
        <v>170</v>
      </c>
      <c r="D2094" s="101" t="s">
        <v>265</v>
      </c>
      <c r="E2094" s="101" t="s">
        <v>17</v>
      </c>
    </row>
    <row r="2095" spans="1:5" x14ac:dyDescent="0.3">
      <c r="A2095" t="str">
        <f t="shared" si="32"/>
        <v>0521184</v>
      </c>
      <c r="B2095" s="101" t="s">
        <v>313</v>
      </c>
      <c r="C2095" s="101" t="s">
        <v>170</v>
      </c>
      <c r="D2095" s="101" t="s">
        <v>284</v>
      </c>
      <c r="E2095" s="101" t="s">
        <v>17</v>
      </c>
    </row>
    <row r="2096" spans="1:5" x14ac:dyDescent="0.3">
      <c r="A2096" t="str">
        <f t="shared" si="32"/>
        <v>0521816</v>
      </c>
      <c r="B2096" s="101" t="s">
        <v>313</v>
      </c>
      <c r="C2096" s="101" t="s">
        <v>170</v>
      </c>
      <c r="D2096" s="101" t="s">
        <v>336</v>
      </c>
      <c r="E2096" s="101" t="s">
        <v>17</v>
      </c>
    </row>
    <row r="2097" spans="1:5" x14ac:dyDescent="0.3">
      <c r="A2097" t="str">
        <f t="shared" si="32"/>
        <v>0521817</v>
      </c>
      <c r="B2097" s="101" t="s">
        <v>313</v>
      </c>
      <c r="C2097" s="101" t="s">
        <v>170</v>
      </c>
      <c r="D2097" s="101" t="s">
        <v>338</v>
      </c>
      <c r="E2097" s="101" t="s">
        <v>17</v>
      </c>
    </row>
    <row r="2098" spans="1:5" x14ac:dyDescent="0.3">
      <c r="A2098" t="str">
        <f t="shared" si="32"/>
        <v>0521680</v>
      </c>
      <c r="B2098" s="101" t="s">
        <v>313</v>
      </c>
      <c r="C2098" s="101" t="s">
        <v>170</v>
      </c>
      <c r="D2098" s="101" t="s">
        <v>271</v>
      </c>
      <c r="E2098" s="101" t="s">
        <v>17</v>
      </c>
    </row>
    <row r="2099" spans="1:5" x14ac:dyDescent="0.3">
      <c r="A2099" t="str">
        <f t="shared" si="32"/>
        <v>0521682</v>
      </c>
      <c r="B2099" s="101" t="s">
        <v>313</v>
      </c>
      <c r="C2099" s="101" t="s">
        <v>170</v>
      </c>
      <c r="D2099" s="101" t="s">
        <v>208</v>
      </c>
      <c r="E2099" s="101" t="s">
        <v>17</v>
      </c>
    </row>
    <row r="2100" spans="1:5" x14ac:dyDescent="0.3">
      <c r="A2100" t="str">
        <f t="shared" si="32"/>
        <v>0521688</v>
      </c>
      <c r="B2100" s="101" t="s">
        <v>313</v>
      </c>
      <c r="C2100" s="101" t="s">
        <v>170</v>
      </c>
      <c r="D2100" s="101" t="s">
        <v>300</v>
      </c>
      <c r="E2100" s="101" t="s">
        <v>17</v>
      </c>
    </row>
    <row r="2101" spans="1:5" x14ac:dyDescent="0.3">
      <c r="A2101" t="str">
        <f t="shared" si="32"/>
        <v>0521690</v>
      </c>
      <c r="B2101" s="101" t="s">
        <v>313</v>
      </c>
      <c r="C2101" s="101" t="s">
        <v>170</v>
      </c>
      <c r="D2101" s="101" t="s">
        <v>220</v>
      </c>
      <c r="E2101" s="101" t="s">
        <v>17</v>
      </c>
    </row>
    <row r="2102" spans="1:5" x14ac:dyDescent="0.3">
      <c r="A2102" t="str">
        <f t="shared" si="32"/>
        <v>0521801</v>
      </c>
      <c r="B2102" s="101" t="s">
        <v>313</v>
      </c>
      <c r="C2102" s="101" t="s">
        <v>170</v>
      </c>
      <c r="D2102" s="101" t="s">
        <v>144</v>
      </c>
      <c r="E2102" s="101" t="s">
        <v>139</v>
      </c>
    </row>
    <row r="2103" spans="1:5" x14ac:dyDescent="0.3">
      <c r="A2103" t="str">
        <f t="shared" si="32"/>
        <v>0521802</v>
      </c>
      <c r="B2103" s="101" t="s">
        <v>313</v>
      </c>
      <c r="C2103" s="101" t="s">
        <v>170</v>
      </c>
      <c r="D2103" s="101" t="s">
        <v>145</v>
      </c>
      <c r="E2103" s="101" t="s">
        <v>139</v>
      </c>
    </row>
    <row r="2104" spans="1:5" x14ac:dyDescent="0.3">
      <c r="A2104" t="str">
        <f t="shared" si="32"/>
        <v>0521500</v>
      </c>
      <c r="B2104" s="101" t="s">
        <v>313</v>
      </c>
      <c r="C2104" s="101" t="s">
        <v>170</v>
      </c>
      <c r="D2104" s="101" t="s">
        <v>146</v>
      </c>
      <c r="E2104" s="101" t="s">
        <v>139</v>
      </c>
    </row>
    <row r="2105" spans="1:5" x14ac:dyDescent="0.3">
      <c r="A2105" t="str">
        <f t="shared" si="32"/>
        <v>0521501</v>
      </c>
      <c r="B2105" s="101" t="s">
        <v>313</v>
      </c>
      <c r="C2105" s="101" t="s">
        <v>170</v>
      </c>
      <c r="D2105" s="101" t="s">
        <v>147</v>
      </c>
      <c r="E2105" s="101" t="s">
        <v>139</v>
      </c>
    </row>
    <row r="2106" spans="1:5" x14ac:dyDescent="0.3">
      <c r="A2106" t="str">
        <f t="shared" si="32"/>
        <v>0621180</v>
      </c>
      <c r="B2106" s="101" t="s">
        <v>317</v>
      </c>
      <c r="C2106" s="101" t="s">
        <v>170</v>
      </c>
      <c r="D2106" s="101" t="s">
        <v>265</v>
      </c>
      <c r="E2106" s="101" t="s">
        <v>17</v>
      </c>
    </row>
    <row r="2107" spans="1:5" x14ac:dyDescent="0.3">
      <c r="A2107" t="str">
        <f t="shared" si="32"/>
        <v>0621184</v>
      </c>
      <c r="B2107" s="101" t="s">
        <v>317</v>
      </c>
      <c r="C2107" s="101" t="s">
        <v>170</v>
      </c>
      <c r="D2107" s="101" t="s">
        <v>284</v>
      </c>
      <c r="E2107" s="101" t="s">
        <v>17</v>
      </c>
    </row>
    <row r="2108" spans="1:5" x14ac:dyDescent="0.3">
      <c r="A2108" t="str">
        <f t="shared" si="32"/>
        <v>0621816</v>
      </c>
      <c r="B2108" s="101" t="s">
        <v>317</v>
      </c>
      <c r="C2108" s="101" t="s">
        <v>170</v>
      </c>
      <c r="D2108" s="101" t="s">
        <v>336</v>
      </c>
      <c r="E2108" s="101" t="s">
        <v>17</v>
      </c>
    </row>
    <row r="2109" spans="1:5" x14ac:dyDescent="0.3">
      <c r="A2109" t="str">
        <f t="shared" si="32"/>
        <v>0621817</v>
      </c>
      <c r="B2109" s="101" t="s">
        <v>317</v>
      </c>
      <c r="C2109" s="101" t="s">
        <v>170</v>
      </c>
      <c r="D2109" s="101" t="s">
        <v>338</v>
      </c>
      <c r="E2109" s="101" t="s">
        <v>17</v>
      </c>
    </row>
    <row r="2110" spans="1:5" x14ac:dyDescent="0.3">
      <c r="A2110" t="str">
        <f t="shared" si="32"/>
        <v>0621680</v>
      </c>
      <c r="B2110" s="101" t="s">
        <v>317</v>
      </c>
      <c r="C2110" s="101" t="s">
        <v>170</v>
      </c>
      <c r="D2110" s="101" t="s">
        <v>271</v>
      </c>
      <c r="E2110" s="101" t="s">
        <v>17</v>
      </c>
    </row>
    <row r="2111" spans="1:5" x14ac:dyDescent="0.3">
      <c r="A2111" t="str">
        <f t="shared" si="32"/>
        <v>0621682</v>
      </c>
      <c r="B2111" s="101" t="s">
        <v>317</v>
      </c>
      <c r="C2111" s="101" t="s">
        <v>170</v>
      </c>
      <c r="D2111" s="101" t="s">
        <v>208</v>
      </c>
      <c r="E2111" s="101" t="s">
        <v>17</v>
      </c>
    </row>
    <row r="2112" spans="1:5" x14ac:dyDescent="0.3">
      <c r="A2112" t="str">
        <f t="shared" si="32"/>
        <v>0621688</v>
      </c>
      <c r="B2112" s="101" t="s">
        <v>317</v>
      </c>
      <c r="C2112" s="101" t="s">
        <v>170</v>
      </c>
      <c r="D2112" s="101" t="s">
        <v>300</v>
      </c>
      <c r="E2112" s="101" t="s">
        <v>17</v>
      </c>
    </row>
    <row r="2113" spans="1:5" x14ac:dyDescent="0.3">
      <c r="A2113" t="str">
        <f t="shared" si="32"/>
        <v>0621690</v>
      </c>
      <c r="B2113" s="101" t="s">
        <v>317</v>
      </c>
      <c r="C2113" s="101" t="s">
        <v>170</v>
      </c>
      <c r="D2113" s="101" t="s">
        <v>220</v>
      </c>
      <c r="E2113" s="101" t="s">
        <v>17</v>
      </c>
    </row>
    <row r="2114" spans="1:5" x14ac:dyDescent="0.3">
      <c r="A2114" t="str">
        <f t="shared" si="32"/>
        <v>0621801</v>
      </c>
      <c r="B2114" s="101" t="s">
        <v>317</v>
      </c>
      <c r="C2114" s="101" t="s">
        <v>170</v>
      </c>
      <c r="D2114" s="101" t="s">
        <v>144</v>
      </c>
      <c r="E2114" s="101" t="s">
        <v>139</v>
      </c>
    </row>
    <row r="2115" spans="1:5" x14ac:dyDescent="0.3">
      <c r="A2115" t="str">
        <f t="shared" ref="A2115:A2178" si="33">CONCATENATE(B2115,C2115,D2115,F2115)</f>
        <v>0621802</v>
      </c>
      <c r="B2115" s="101" t="s">
        <v>317</v>
      </c>
      <c r="C2115" s="101" t="s">
        <v>170</v>
      </c>
      <c r="D2115" s="101" t="s">
        <v>145</v>
      </c>
      <c r="E2115" s="101" t="s">
        <v>139</v>
      </c>
    </row>
    <row r="2116" spans="1:5" x14ac:dyDescent="0.3">
      <c r="A2116" t="str">
        <f t="shared" si="33"/>
        <v>0621500</v>
      </c>
      <c r="B2116" s="101" t="s">
        <v>317</v>
      </c>
      <c r="C2116" s="101" t="s">
        <v>170</v>
      </c>
      <c r="D2116" s="101" t="s">
        <v>146</v>
      </c>
      <c r="E2116" s="101" t="s">
        <v>139</v>
      </c>
    </row>
    <row r="2117" spans="1:5" x14ac:dyDescent="0.3">
      <c r="A2117" t="str">
        <f t="shared" si="33"/>
        <v>0621501</v>
      </c>
      <c r="B2117" s="101" t="s">
        <v>317</v>
      </c>
      <c r="C2117" s="101" t="s">
        <v>170</v>
      </c>
      <c r="D2117" s="101" t="s">
        <v>147</v>
      </c>
      <c r="E2117" s="101" t="s">
        <v>139</v>
      </c>
    </row>
    <row r="2118" spans="1:5" x14ac:dyDescent="0.3">
      <c r="A2118" t="str">
        <f t="shared" si="33"/>
        <v>0721180</v>
      </c>
      <c r="B2118" s="101" t="s">
        <v>319</v>
      </c>
      <c r="C2118" s="101" t="s">
        <v>170</v>
      </c>
      <c r="D2118" s="101" t="s">
        <v>265</v>
      </c>
      <c r="E2118" s="101" t="s">
        <v>17</v>
      </c>
    </row>
    <row r="2119" spans="1:5" x14ac:dyDescent="0.3">
      <c r="A2119" t="str">
        <f t="shared" si="33"/>
        <v>0721184</v>
      </c>
      <c r="B2119" s="101" t="s">
        <v>319</v>
      </c>
      <c r="C2119" s="101" t="s">
        <v>170</v>
      </c>
      <c r="D2119" s="101" t="s">
        <v>284</v>
      </c>
      <c r="E2119" s="101" t="s">
        <v>17</v>
      </c>
    </row>
    <row r="2120" spans="1:5" x14ac:dyDescent="0.3">
      <c r="A2120" t="str">
        <f t="shared" si="33"/>
        <v>0721816</v>
      </c>
      <c r="B2120" s="101" t="s">
        <v>319</v>
      </c>
      <c r="C2120" s="101" t="s">
        <v>170</v>
      </c>
      <c r="D2120" s="101" t="s">
        <v>336</v>
      </c>
      <c r="E2120" s="101" t="s">
        <v>17</v>
      </c>
    </row>
    <row r="2121" spans="1:5" x14ac:dyDescent="0.3">
      <c r="A2121" t="str">
        <f t="shared" si="33"/>
        <v>0721817</v>
      </c>
      <c r="B2121" s="101" t="s">
        <v>319</v>
      </c>
      <c r="C2121" s="101" t="s">
        <v>170</v>
      </c>
      <c r="D2121" s="101" t="s">
        <v>338</v>
      </c>
      <c r="E2121" s="101" t="s">
        <v>17</v>
      </c>
    </row>
    <row r="2122" spans="1:5" x14ac:dyDescent="0.3">
      <c r="A2122" t="str">
        <f t="shared" si="33"/>
        <v>0721680</v>
      </c>
      <c r="B2122" s="101" t="s">
        <v>319</v>
      </c>
      <c r="C2122" s="101" t="s">
        <v>170</v>
      </c>
      <c r="D2122" s="101" t="s">
        <v>271</v>
      </c>
      <c r="E2122" s="101" t="s">
        <v>17</v>
      </c>
    </row>
    <row r="2123" spans="1:5" x14ac:dyDescent="0.3">
      <c r="A2123" t="str">
        <f t="shared" si="33"/>
        <v>0721682</v>
      </c>
      <c r="B2123" s="101" t="s">
        <v>319</v>
      </c>
      <c r="C2123" s="101" t="s">
        <v>170</v>
      </c>
      <c r="D2123" s="101" t="s">
        <v>208</v>
      </c>
      <c r="E2123" s="101" t="s">
        <v>17</v>
      </c>
    </row>
    <row r="2124" spans="1:5" x14ac:dyDescent="0.3">
      <c r="A2124" t="str">
        <f t="shared" si="33"/>
        <v>0721688</v>
      </c>
      <c r="B2124" s="101" t="s">
        <v>319</v>
      </c>
      <c r="C2124" s="101" t="s">
        <v>170</v>
      </c>
      <c r="D2124" s="101" t="s">
        <v>300</v>
      </c>
      <c r="E2124" s="101" t="s">
        <v>17</v>
      </c>
    </row>
    <row r="2125" spans="1:5" x14ac:dyDescent="0.3">
      <c r="A2125" t="str">
        <f t="shared" si="33"/>
        <v>0721690</v>
      </c>
      <c r="B2125" s="101" t="s">
        <v>319</v>
      </c>
      <c r="C2125" s="101" t="s">
        <v>170</v>
      </c>
      <c r="D2125" s="101" t="s">
        <v>220</v>
      </c>
      <c r="E2125" s="101" t="s">
        <v>17</v>
      </c>
    </row>
    <row r="2126" spans="1:5" x14ac:dyDescent="0.3">
      <c r="A2126" t="str">
        <f t="shared" si="33"/>
        <v>0721801</v>
      </c>
      <c r="B2126" s="101" t="s">
        <v>319</v>
      </c>
      <c r="C2126" s="101" t="s">
        <v>170</v>
      </c>
      <c r="D2126" s="101" t="s">
        <v>144</v>
      </c>
      <c r="E2126" s="101" t="s">
        <v>139</v>
      </c>
    </row>
    <row r="2127" spans="1:5" x14ac:dyDescent="0.3">
      <c r="A2127" t="str">
        <f t="shared" si="33"/>
        <v>0721802</v>
      </c>
      <c r="B2127" s="101" t="s">
        <v>319</v>
      </c>
      <c r="C2127" s="101" t="s">
        <v>170</v>
      </c>
      <c r="D2127" s="101" t="s">
        <v>145</v>
      </c>
      <c r="E2127" s="101" t="s">
        <v>139</v>
      </c>
    </row>
    <row r="2128" spans="1:5" x14ac:dyDescent="0.3">
      <c r="A2128" t="str">
        <f t="shared" si="33"/>
        <v>0721500</v>
      </c>
      <c r="B2128" s="101" t="s">
        <v>319</v>
      </c>
      <c r="C2128" s="101" t="s">
        <v>170</v>
      </c>
      <c r="D2128" s="101" t="s">
        <v>146</v>
      </c>
      <c r="E2128" s="101" t="s">
        <v>139</v>
      </c>
    </row>
    <row r="2129" spans="1:5" x14ac:dyDescent="0.3">
      <c r="A2129" t="str">
        <f t="shared" si="33"/>
        <v>0721501</v>
      </c>
      <c r="B2129" s="101" t="s">
        <v>319</v>
      </c>
      <c r="C2129" s="101" t="s">
        <v>170</v>
      </c>
      <c r="D2129" s="101" t="s">
        <v>147</v>
      </c>
      <c r="E2129" s="101" t="s">
        <v>139</v>
      </c>
    </row>
    <row r="2130" spans="1:5" x14ac:dyDescent="0.3">
      <c r="A2130" t="str">
        <f t="shared" si="33"/>
        <v>0821180</v>
      </c>
      <c r="B2130" s="101" t="s">
        <v>320</v>
      </c>
      <c r="C2130" s="101" t="s">
        <v>170</v>
      </c>
      <c r="D2130" s="101" t="s">
        <v>265</v>
      </c>
      <c r="E2130" s="101" t="s">
        <v>17</v>
      </c>
    </row>
    <row r="2131" spans="1:5" x14ac:dyDescent="0.3">
      <c r="A2131" t="str">
        <f t="shared" si="33"/>
        <v>0821184</v>
      </c>
      <c r="B2131" s="101" t="s">
        <v>320</v>
      </c>
      <c r="C2131" s="101" t="s">
        <v>170</v>
      </c>
      <c r="D2131" s="101" t="s">
        <v>284</v>
      </c>
      <c r="E2131" s="101" t="s">
        <v>17</v>
      </c>
    </row>
    <row r="2132" spans="1:5" x14ac:dyDescent="0.3">
      <c r="A2132" t="str">
        <f t="shared" si="33"/>
        <v>0821816</v>
      </c>
      <c r="B2132" s="101" t="s">
        <v>320</v>
      </c>
      <c r="C2132" s="101" t="s">
        <v>170</v>
      </c>
      <c r="D2132" s="101" t="s">
        <v>336</v>
      </c>
      <c r="E2132" s="101" t="s">
        <v>17</v>
      </c>
    </row>
    <row r="2133" spans="1:5" x14ac:dyDescent="0.3">
      <c r="A2133" t="str">
        <f t="shared" si="33"/>
        <v>0821817</v>
      </c>
      <c r="B2133" s="101" t="s">
        <v>320</v>
      </c>
      <c r="C2133" s="101" t="s">
        <v>170</v>
      </c>
      <c r="D2133" s="101" t="s">
        <v>338</v>
      </c>
      <c r="E2133" s="101" t="s">
        <v>17</v>
      </c>
    </row>
    <row r="2134" spans="1:5" x14ac:dyDescent="0.3">
      <c r="A2134" t="str">
        <f t="shared" si="33"/>
        <v>0821680</v>
      </c>
      <c r="B2134" s="101" t="s">
        <v>320</v>
      </c>
      <c r="C2134" s="101" t="s">
        <v>170</v>
      </c>
      <c r="D2134" s="101" t="s">
        <v>271</v>
      </c>
      <c r="E2134" s="101" t="s">
        <v>17</v>
      </c>
    </row>
    <row r="2135" spans="1:5" x14ac:dyDescent="0.3">
      <c r="A2135" t="str">
        <f t="shared" si="33"/>
        <v>0821682</v>
      </c>
      <c r="B2135" s="101" t="s">
        <v>320</v>
      </c>
      <c r="C2135" s="101" t="s">
        <v>170</v>
      </c>
      <c r="D2135" s="101" t="s">
        <v>208</v>
      </c>
      <c r="E2135" s="101" t="s">
        <v>17</v>
      </c>
    </row>
    <row r="2136" spans="1:5" x14ac:dyDescent="0.3">
      <c r="A2136" t="str">
        <f t="shared" si="33"/>
        <v>0821688</v>
      </c>
      <c r="B2136" s="101" t="s">
        <v>320</v>
      </c>
      <c r="C2136" s="101" t="s">
        <v>170</v>
      </c>
      <c r="D2136" s="101" t="s">
        <v>300</v>
      </c>
      <c r="E2136" s="101" t="s">
        <v>17</v>
      </c>
    </row>
    <row r="2137" spans="1:5" x14ac:dyDescent="0.3">
      <c r="A2137" t="str">
        <f t="shared" si="33"/>
        <v>0821690</v>
      </c>
      <c r="B2137" s="101" t="s">
        <v>320</v>
      </c>
      <c r="C2137" s="101" t="s">
        <v>170</v>
      </c>
      <c r="D2137" s="101" t="s">
        <v>220</v>
      </c>
      <c r="E2137" s="101" t="s">
        <v>17</v>
      </c>
    </row>
    <row r="2138" spans="1:5" x14ac:dyDescent="0.3">
      <c r="A2138" t="str">
        <f t="shared" si="33"/>
        <v>0821801</v>
      </c>
      <c r="B2138" s="101" t="s">
        <v>320</v>
      </c>
      <c r="C2138" s="101" t="s">
        <v>170</v>
      </c>
      <c r="D2138" s="101" t="s">
        <v>144</v>
      </c>
      <c r="E2138" s="101" t="s">
        <v>139</v>
      </c>
    </row>
    <row r="2139" spans="1:5" x14ac:dyDescent="0.3">
      <c r="A2139" t="str">
        <f t="shared" si="33"/>
        <v>0821802</v>
      </c>
      <c r="B2139" s="101" t="s">
        <v>320</v>
      </c>
      <c r="C2139" s="101" t="s">
        <v>170</v>
      </c>
      <c r="D2139" s="101" t="s">
        <v>145</v>
      </c>
      <c r="E2139" s="101" t="s">
        <v>139</v>
      </c>
    </row>
    <row r="2140" spans="1:5" x14ac:dyDescent="0.3">
      <c r="A2140" t="str">
        <f t="shared" si="33"/>
        <v>0821500</v>
      </c>
      <c r="B2140" s="101" t="s">
        <v>320</v>
      </c>
      <c r="C2140" s="101" t="s">
        <v>170</v>
      </c>
      <c r="D2140" s="101" t="s">
        <v>146</v>
      </c>
      <c r="E2140" s="101" t="s">
        <v>139</v>
      </c>
    </row>
    <row r="2141" spans="1:5" x14ac:dyDescent="0.3">
      <c r="A2141" t="str">
        <f t="shared" si="33"/>
        <v>0821501</v>
      </c>
      <c r="B2141" s="101" t="s">
        <v>320</v>
      </c>
      <c r="C2141" s="101" t="s">
        <v>170</v>
      </c>
      <c r="D2141" s="101" t="s">
        <v>147</v>
      </c>
      <c r="E2141" s="101" t="s">
        <v>139</v>
      </c>
    </row>
    <row r="2142" spans="1:5" x14ac:dyDescent="0.3">
      <c r="A2142" t="str">
        <f t="shared" si="33"/>
        <v>0322801</v>
      </c>
      <c r="B2142" s="101" t="s">
        <v>16</v>
      </c>
      <c r="C2142" s="101" t="s">
        <v>172</v>
      </c>
      <c r="D2142" s="101" t="s">
        <v>144</v>
      </c>
      <c r="E2142" s="101" t="s">
        <v>139</v>
      </c>
    </row>
    <row r="2143" spans="1:5" x14ac:dyDescent="0.3">
      <c r="A2143" t="str">
        <f t="shared" si="33"/>
        <v>0322802</v>
      </c>
      <c r="B2143" s="101" t="s">
        <v>16</v>
      </c>
      <c r="C2143" s="101" t="s">
        <v>172</v>
      </c>
      <c r="D2143" s="101" t="s">
        <v>145</v>
      </c>
      <c r="E2143" s="101" t="s">
        <v>139</v>
      </c>
    </row>
    <row r="2144" spans="1:5" x14ac:dyDescent="0.3">
      <c r="A2144" t="str">
        <f t="shared" si="33"/>
        <v>0322500</v>
      </c>
      <c r="B2144" s="101" t="s">
        <v>16</v>
      </c>
      <c r="C2144" s="101" t="s">
        <v>172</v>
      </c>
      <c r="D2144" s="101" t="s">
        <v>146</v>
      </c>
      <c r="E2144" s="101" t="s">
        <v>139</v>
      </c>
    </row>
    <row r="2145" spans="1:5" x14ac:dyDescent="0.3">
      <c r="A2145" t="str">
        <f t="shared" si="33"/>
        <v>0322501</v>
      </c>
      <c r="B2145" s="101" t="s">
        <v>16</v>
      </c>
      <c r="C2145" s="101" t="s">
        <v>172</v>
      </c>
      <c r="D2145" s="101" t="s">
        <v>147</v>
      </c>
      <c r="E2145" s="101" t="s">
        <v>139</v>
      </c>
    </row>
    <row r="2146" spans="1:5" x14ac:dyDescent="0.3">
      <c r="A2146" t="str">
        <f t="shared" si="33"/>
        <v>0322031</v>
      </c>
      <c r="B2146" s="101" t="s">
        <v>16</v>
      </c>
      <c r="C2146" s="101" t="s">
        <v>172</v>
      </c>
      <c r="D2146" s="101" t="s">
        <v>369</v>
      </c>
      <c r="E2146" s="101" t="s">
        <v>17</v>
      </c>
    </row>
    <row r="2147" spans="1:5" x14ac:dyDescent="0.3">
      <c r="A2147" t="str">
        <f t="shared" si="33"/>
        <v>0322032</v>
      </c>
      <c r="B2147" s="101" t="s">
        <v>16</v>
      </c>
      <c r="C2147" s="101" t="s">
        <v>172</v>
      </c>
      <c r="D2147" s="101" t="s">
        <v>370</v>
      </c>
      <c r="E2147" s="101" t="s">
        <v>17</v>
      </c>
    </row>
    <row r="2148" spans="1:5" x14ac:dyDescent="0.3">
      <c r="A2148" t="str">
        <f t="shared" si="33"/>
        <v>0322033</v>
      </c>
      <c r="B2148" s="101" t="s">
        <v>16</v>
      </c>
      <c r="C2148" s="101" t="s">
        <v>172</v>
      </c>
      <c r="D2148" s="101" t="s">
        <v>327</v>
      </c>
      <c r="E2148" s="101" t="s">
        <v>17</v>
      </c>
    </row>
    <row r="2149" spans="1:5" x14ac:dyDescent="0.3">
      <c r="A2149" t="str">
        <f t="shared" si="33"/>
        <v>0322034</v>
      </c>
      <c r="B2149" s="101" t="s">
        <v>16</v>
      </c>
      <c r="C2149" s="101" t="s">
        <v>172</v>
      </c>
      <c r="D2149" s="101" t="s">
        <v>329</v>
      </c>
      <c r="E2149" s="101" t="s">
        <v>17</v>
      </c>
    </row>
    <row r="2150" spans="1:5" x14ac:dyDescent="0.3">
      <c r="A2150" t="str">
        <f t="shared" si="33"/>
        <v>0322035</v>
      </c>
      <c r="B2150" s="101" t="s">
        <v>16</v>
      </c>
      <c r="C2150" s="101" t="s">
        <v>172</v>
      </c>
      <c r="D2150" s="101" t="s">
        <v>497</v>
      </c>
      <c r="E2150" s="101" t="s">
        <v>17</v>
      </c>
    </row>
    <row r="2151" spans="1:5" x14ac:dyDescent="0.3">
      <c r="A2151" t="str">
        <f t="shared" si="33"/>
        <v>0322036</v>
      </c>
      <c r="B2151" s="101" t="s">
        <v>16</v>
      </c>
      <c r="C2151" s="101" t="s">
        <v>172</v>
      </c>
      <c r="D2151" s="101" t="s">
        <v>580</v>
      </c>
      <c r="E2151" s="101" t="s">
        <v>17</v>
      </c>
    </row>
    <row r="2152" spans="1:5" x14ac:dyDescent="0.3">
      <c r="A2152" t="str">
        <f t="shared" si="33"/>
        <v>0322037</v>
      </c>
      <c r="B2152" s="101" t="s">
        <v>16</v>
      </c>
      <c r="C2152" s="101" t="s">
        <v>172</v>
      </c>
      <c r="D2152" s="101" t="s">
        <v>625</v>
      </c>
      <c r="E2152" s="101" t="s">
        <v>17</v>
      </c>
    </row>
    <row r="2153" spans="1:5" x14ac:dyDescent="0.3">
      <c r="A2153" t="str">
        <f t="shared" si="33"/>
        <v>0322038</v>
      </c>
      <c r="B2153" s="101" t="s">
        <v>16</v>
      </c>
      <c r="C2153" s="101" t="s">
        <v>172</v>
      </c>
      <c r="D2153" s="101" t="s">
        <v>581</v>
      </c>
      <c r="E2153" s="101" t="s">
        <v>17</v>
      </c>
    </row>
    <row r="2154" spans="1:5" x14ac:dyDescent="0.3">
      <c r="A2154" t="str">
        <f t="shared" si="33"/>
        <v>0322039</v>
      </c>
      <c r="B2154" s="101" t="s">
        <v>16</v>
      </c>
      <c r="C2154" s="101" t="s">
        <v>172</v>
      </c>
      <c r="D2154" s="101" t="s">
        <v>582</v>
      </c>
      <c r="E2154" s="101" t="s">
        <v>17</v>
      </c>
    </row>
    <row r="2155" spans="1:5" x14ac:dyDescent="0.3">
      <c r="A2155" t="str">
        <f t="shared" si="33"/>
        <v>0322040</v>
      </c>
      <c r="B2155" s="101" t="s">
        <v>16</v>
      </c>
      <c r="C2155" s="101" t="s">
        <v>172</v>
      </c>
      <c r="D2155" s="101" t="s">
        <v>614</v>
      </c>
      <c r="E2155" s="101" t="s">
        <v>17</v>
      </c>
    </row>
    <row r="2156" spans="1:5" x14ac:dyDescent="0.3">
      <c r="A2156" t="str">
        <f t="shared" si="33"/>
        <v>0322041</v>
      </c>
      <c r="B2156" s="101" t="s">
        <v>16</v>
      </c>
      <c r="C2156" s="101" t="s">
        <v>172</v>
      </c>
      <c r="D2156" s="101" t="s">
        <v>583</v>
      </c>
      <c r="E2156" s="101" t="s">
        <v>17</v>
      </c>
    </row>
    <row r="2157" spans="1:5" x14ac:dyDescent="0.3">
      <c r="A2157" t="str">
        <f t="shared" si="33"/>
        <v>0322047</v>
      </c>
      <c r="B2157" s="101" t="s">
        <v>16</v>
      </c>
      <c r="C2157" s="101" t="s">
        <v>172</v>
      </c>
      <c r="D2157" s="101" t="s">
        <v>585</v>
      </c>
      <c r="E2157" s="101" t="s">
        <v>17</v>
      </c>
    </row>
    <row r="2158" spans="1:5" x14ac:dyDescent="0.3">
      <c r="A2158" t="str">
        <f t="shared" si="33"/>
        <v>0322803</v>
      </c>
      <c r="B2158" s="101" t="s">
        <v>16</v>
      </c>
      <c r="C2158" s="101" t="s">
        <v>172</v>
      </c>
      <c r="D2158" s="101" t="s">
        <v>540</v>
      </c>
      <c r="E2158" s="101" t="s">
        <v>17</v>
      </c>
    </row>
    <row r="2159" spans="1:5" x14ac:dyDescent="0.3">
      <c r="A2159" t="str">
        <f t="shared" si="33"/>
        <v>0322804</v>
      </c>
      <c r="B2159" s="101" t="s">
        <v>16</v>
      </c>
      <c r="C2159" s="101" t="s">
        <v>172</v>
      </c>
      <c r="D2159" s="101" t="s">
        <v>542</v>
      </c>
      <c r="E2159" s="101" t="s">
        <v>17</v>
      </c>
    </row>
    <row r="2160" spans="1:5" x14ac:dyDescent="0.3">
      <c r="A2160" t="str">
        <f t="shared" si="33"/>
        <v>0322807</v>
      </c>
      <c r="B2160" s="101" t="s">
        <v>16</v>
      </c>
      <c r="C2160" s="101" t="s">
        <v>172</v>
      </c>
      <c r="D2160" s="101" t="s">
        <v>185</v>
      </c>
      <c r="E2160" s="101" t="s">
        <v>17</v>
      </c>
    </row>
    <row r="2161" spans="1:5" x14ac:dyDescent="0.3">
      <c r="A2161" t="str">
        <f t="shared" si="33"/>
        <v>0322808</v>
      </c>
      <c r="B2161" s="101" t="s">
        <v>16</v>
      </c>
      <c r="C2161" s="101" t="s">
        <v>172</v>
      </c>
      <c r="D2161" s="101" t="s">
        <v>186</v>
      </c>
      <c r="E2161" s="101" t="s">
        <v>17</v>
      </c>
    </row>
    <row r="2162" spans="1:5" x14ac:dyDescent="0.3">
      <c r="A2162" t="str">
        <f t="shared" si="33"/>
        <v>0322541</v>
      </c>
      <c r="B2162" s="101" t="s">
        <v>16</v>
      </c>
      <c r="C2162" s="101" t="s">
        <v>172</v>
      </c>
      <c r="D2162" s="101" t="s">
        <v>325</v>
      </c>
      <c r="E2162" s="101" t="s">
        <v>17</v>
      </c>
    </row>
    <row r="2163" spans="1:5" x14ac:dyDescent="0.3">
      <c r="A2163" t="str">
        <f t="shared" si="33"/>
        <v>0322542</v>
      </c>
      <c r="B2163" s="101" t="s">
        <v>16</v>
      </c>
      <c r="C2163" s="101" t="s">
        <v>172</v>
      </c>
      <c r="D2163" s="101" t="s">
        <v>353</v>
      </c>
      <c r="E2163" s="101" t="s">
        <v>17</v>
      </c>
    </row>
    <row r="2164" spans="1:5" x14ac:dyDescent="0.3">
      <c r="A2164" t="str">
        <f t="shared" si="33"/>
        <v>0322543</v>
      </c>
      <c r="B2164" s="101" t="s">
        <v>16</v>
      </c>
      <c r="C2164" s="101" t="s">
        <v>172</v>
      </c>
      <c r="D2164" s="101" t="s">
        <v>347</v>
      </c>
      <c r="E2164" s="101" t="s">
        <v>17</v>
      </c>
    </row>
    <row r="2165" spans="1:5" x14ac:dyDescent="0.3">
      <c r="A2165" t="str">
        <f t="shared" si="33"/>
        <v>0322544</v>
      </c>
      <c r="B2165" s="101" t="s">
        <v>16</v>
      </c>
      <c r="C2165" s="101" t="s">
        <v>172</v>
      </c>
      <c r="D2165" s="101" t="s">
        <v>412</v>
      </c>
      <c r="E2165" s="101" t="s">
        <v>17</v>
      </c>
    </row>
    <row r="2166" spans="1:5" x14ac:dyDescent="0.3">
      <c r="A2166" t="str">
        <f t="shared" si="33"/>
        <v>0322545</v>
      </c>
      <c r="B2166" s="101" t="s">
        <v>16</v>
      </c>
      <c r="C2166" s="101" t="s">
        <v>172</v>
      </c>
      <c r="D2166" s="101" t="s">
        <v>413</v>
      </c>
      <c r="E2166" s="101" t="s">
        <v>17</v>
      </c>
    </row>
    <row r="2167" spans="1:5" x14ac:dyDescent="0.3">
      <c r="A2167" t="str">
        <f t="shared" si="33"/>
        <v>0322546</v>
      </c>
      <c r="B2167" s="101" t="s">
        <v>16</v>
      </c>
      <c r="C2167" s="101" t="s">
        <v>172</v>
      </c>
      <c r="D2167" s="101" t="s">
        <v>373</v>
      </c>
      <c r="E2167" s="101" t="s">
        <v>17</v>
      </c>
    </row>
    <row r="2168" spans="1:5" x14ac:dyDescent="0.3">
      <c r="A2168" t="str">
        <f t="shared" si="33"/>
        <v>0322547</v>
      </c>
      <c r="B2168" s="101" t="s">
        <v>16</v>
      </c>
      <c r="C2168" s="101" t="s">
        <v>172</v>
      </c>
      <c r="D2168" s="101" t="s">
        <v>414</v>
      </c>
      <c r="E2168" s="101" t="s">
        <v>17</v>
      </c>
    </row>
    <row r="2169" spans="1:5" x14ac:dyDescent="0.3">
      <c r="A2169" t="str">
        <f t="shared" si="33"/>
        <v>0322548</v>
      </c>
      <c r="B2169" s="101" t="s">
        <v>16</v>
      </c>
      <c r="C2169" s="101" t="s">
        <v>172</v>
      </c>
      <c r="D2169" s="101" t="s">
        <v>354</v>
      </c>
      <c r="E2169" s="101" t="s">
        <v>17</v>
      </c>
    </row>
    <row r="2170" spans="1:5" x14ac:dyDescent="0.3">
      <c r="A2170" t="str">
        <f t="shared" si="33"/>
        <v>0322549</v>
      </c>
      <c r="B2170" s="101" t="s">
        <v>16</v>
      </c>
      <c r="C2170" s="101" t="s">
        <v>172</v>
      </c>
      <c r="D2170" s="101" t="s">
        <v>348</v>
      </c>
      <c r="E2170" s="101" t="s">
        <v>17</v>
      </c>
    </row>
    <row r="2171" spans="1:5" x14ac:dyDescent="0.3">
      <c r="A2171" t="str">
        <f t="shared" si="33"/>
        <v>0322550</v>
      </c>
      <c r="B2171" s="101" t="s">
        <v>16</v>
      </c>
      <c r="C2171" s="101" t="s">
        <v>172</v>
      </c>
      <c r="D2171" s="101" t="s">
        <v>415</v>
      </c>
      <c r="E2171" s="101" t="s">
        <v>17</v>
      </c>
    </row>
    <row r="2172" spans="1:5" x14ac:dyDescent="0.3">
      <c r="A2172" t="str">
        <f t="shared" si="33"/>
        <v>0322551</v>
      </c>
      <c r="B2172" s="101" t="s">
        <v>16</v>
      </c>
      <c r="C2172" s="101" t="s">
        <v>172</v>
      </c>
      <c r="D2172" s="101" t="s">
        <v>416</v>
      </c>
      <c r="E2172" s="101" t="s">
        <v>17</v>
      </c>
    </row>
    <row r="2173" spans="1:5" x14ac:dyDescent="0.3">
      <c r="A2173" t="str">
        <f t="shared" si="33"/>
        <v>0322564</v>
      </c>
      <c r="B2173" s="101" t="s">
        <v>16</v>
      </c>
      <c r="C2173" s="101" t="s">
        <v>172</v>
      </c>
      <c r="D2173" s="101" t="s">
        <v>423</v>
      </c>
      <c r="E2173" s="101" t="s">
        <v>17</v>
      </c>
    </row>
    <row r="2174" spans="1:5" x14ac:dyDescent="0.3">
      <c r="A2174" t="str">
        <f t="shared" si="33"/>
        <v>0322573</v>
      </c>
      <c r="B2174" s="101" t="s">
        <v>16</v>
      </c>
      <c r="C2174" s="101" t="s">
        <v>172</v>
      </c>
      <c r="D2174" s="101" t="s">
        <v>432</v>
      </c>
      <c r="E2174" s="101" t="s">
        <v>17</v>
      </c>
    </row>
    <row r="2175" spans="1:5" x14ac:dyDescent="0.3">
      <c r="A2175" t="str">
        <f t="shared" si="33"/>
        <v>0322579</v>
      </c>
      <c r="B2175" s="101" t="s">
        <v>16</v>
      </c>
      <c r="C2175" s="101" t="s">
        <v>172</v>
      </c>
      <c r="D2175" s="101" t="s">
        <v>438</v>
      </c>
      <c r="E2175" s="101" t="s">
        <v>17</v>
      </c>
    </row>
    <row r="2176" spans="1:5" x14ac:dyDescent="0.3">
      <c r="A2176" t="str">
        <f t="shared" si="33"/>
        <v>0322580</v>
      </c>
      <c r="B2176" s="101" t="s">
        <v>16</v>
      </c>
      <c r="C2176" s="101" t="s">
        <v>172</v>
      </c>
      <c r="D2176" s="101" t="s">
        <v>439</v>
      </c>
      <c r="E2176" s="101" t="s">
        <v>17</v>
      </c>
    </row>
    <row r="2177" spans="1:5" x14ac:dyDescent="0.3">
      <c r="A2177" t="str">
        <f t="shared" si="33"/>
        <v>0322584</v>
      </c>
      <c r="B2177" s="101" t="s">
        <v>16</v>
      </c>
      <c r="C2177" s="101" t="s">
        <v>172</v>
      </c>
      <c r="D2177" s="101" t="s">
        <v>443</v>
      </c>
      <c r="E2177" s="101" t="s">
        <v>17</v>
      </c>
    </row>
    <row r="2178" spans="1:5" x14ac:dyDescent="0.3">
      <c r="A2178" t="str">
        <f t="shared" si="33"/>
        <v>032246</v>
      </c>
      <c r="B2178" s="101" t="s">
        <v>16</v>
      </c>
      <c r="C2178" s="101" t="s">
        <v>172</v>
      </c>
      <c r="D2178" s="101" t="s">
        <v>202</v>
      </c>
      <c r="E2178" s="101" t="s">
        <v>19</v>
      </c>
    </row>
    <row r="2179" spans="1:5" x14ac:dyDescent="0.3">
      <c r="A2179" t="str">
        <f t="shared" ref="A2179:A2242" si="34">CONCATENATE(B2179,C2179,D2179,F2179)</f>
        <v>0322556</v>
      </c>
      <c r="B2179" s="101" t="s">
        <v>16</v>
      </c>
      <c r="C2179" s="101" t="s">
        <v>172</v>
      </c>
      <c r="D2179" s="101" t="s">
        <v>342</v>
      </c>
      <c r="E2179" s="101" t="s">
        <v>19</v>
      </c>
    </row>
    <row r="2180" spans="1:5" x14ac:dyDescent="0.3">
      <c r="A2180" t="str">
        <f t="shared" si="34"/>
        <v>0322056</v>
      </c>
      <c r="B2180" s="101" t="s">
        <v>16</v>
      </c>
      <c r="C2180" s="101" t="s">
        <v>172</v>
      </c>
      <c r="D2180" s="101" t="s">
        <v>626</v>
      </c>
      <c r="E2180" s="101" t="s">
        <v>140</v>
      </c>
    </row>
    <row r="2181" spans="1:5" x14ac:dyDescent="0.3">
      <c r="A2181" t="str">
        <f t="shared" si="34"/>
        <v>0322060</v>
      </c>
      <c r="B2181" s="101" t="s">
        <v>16</v>
      </c>
      <c r="C2181" s="101" t="s">
        <v>172</v>
      </c>
      <c r="D2181" s="101" t="s">
        <v>627</v>
      </c>
      <c r="E2181" s="101" t="s">
        <v>140</v>
      </c>
    </row>
    <row r="2182" spans="1:5" x14ac:dyDescent="0.3">
      <c r="A2182" t="str">
        <f t="shared" si="34"/>
        <v>0322568</v>
      </c>
      <c r="B2182" s="101" t="s">
        <v>16</v>
      </c>
      <c r="C2182" s="101" t="s">
        <v>172</v>
      </c>
      <c r="D2182" s="101" t="s">
        <v>427</v>
      </c>
      <c r="E2182" s="101" t="s">
        <v>140</v>
      </c>
    </row>
    <row r="2183" spans="1:5" x14ac:dyDescent="0.3">
      <c r="A2183" t="str">
        <f t="shared" si="34"/>
        <v>0322572</v>
      </c>
      <c r="B2183" s="101" t="s">
        <v>16</v>
      </c>
      <c r="C2183" s="101" t="s">
        <v>172</v>
      </c>
      <c r="D2183" s="101" t="s">
        <v>431</v>
      </c>
      <c r="E2183" s="101" t="s">
        <v>140</v>
      </c>
    </row>
    <row r="2184" spans="1:5" x14ac:dyDescent="0.3">
      <c r="A2184" t="str">
        <f t="shared" si="34"/>
        <v>0322054</v>
      </c>
      <c r="B2184" s="101" t="s">
        <v>16</v>
      </c>
      <c r="C2184" s="101" t="s">
        <v>172</v>
      </c>
      <c r="D2184" s="101" t="s">
        <v>628</v>
      </c>
      <c r="E2184" s="101" t="s">
        <v>17</v>
      </c>
    </row>
    <row r="2185" spans="1:5" x14ac:dyDescent="0.3">
      <c r="A2185" t="str">
        <f t="shared" si="34"/>
        <v>0322058</v>
      </c>
      <c r="B2185" s="101" t="s">
        <v>16</v>
      </c>
      <c r="C2185" s="101" t="s">
        <v>172</v>
      </c>
      <c r="D2185" s="101" t="s">
        <v>629</v>
      </c>
      <c r="E2185" s="101" t="s">
        <v>17</v>
      </c>
    </row>
    <row r="2186" spans="1:5" x14ac:dyDescent="0.3">
      <c r="A2186" t="str">
        <f t="shared" si="34"/>
        <v>0322536</v>
      </c>
      <c r="B2186" s="101" t="s">
        <v>16</v>
      </c>
      <c r="C2186" s="101" t="s">
        <v>172</v>
      </c>
      <c r="D2186" s="101" t="s">
        <v>352</v>
      </c>
      <c r="E2186" s="101" t="s">
        <v>17</v>
      </c>
    </row>
    <row r="2187" spans="1:5" x14ac:dyDescent="0.3">
      <c r="A2187" t="str">
        <f t="shared" si="34"/>
        <v>0322566</v>
      </c>
      <c r="B2187" s="101" t="s">
        <v>16</v>
      </c>
      <c r="C2187" s="101" t="s">
        <v>172</v>
      </c>
      <c r="D2187" s="101" t="s">
        <v>425</v>
      </c>
      <c r="E2187" s="101" t="s">
        <v>17</v>
      </c>
    </row>
    <row r="2188" spans="1:5" x14ac:dyDescent="0.3">
      <c r="A2188" t="str">
        <f t="shared" si="34"/>
        <v>0322570</v>
      </c>
      <c r="B2188" s="101" t="s">
        <v>16</v>
      </c>
      <c r="C2188" s="101" t="s">
        <v>172</v>
      </c>
      <c r="D2188" s="101" t="s">
        <v>429</v>
      </c>
      <c r="E2188" s="101" t="s">
        <v>17</v>
      </c>
    </row>
    <row r="2189" spans="1:5" x14ac:dyDescent="0.3">
      <c r="A2189" t="str">
        <f t="shared" si="34"/>
        <v>0322818</v>
      </c>
      <c r="B2189" s="101" t="s">
        <v>16</v>
      </c>
      <c r="C2189" s="101" t="s">
        <v>172</v>
      </c>
      <c r="D2189" s="101" t="s">
        <v>546</v>
      </c>
      <c r="E2189" s="101" t="s">
        <v>17</v>
      </c>
    </row>
    <row r="2190" spans="1:5" x14ac:dyDescent="0.3">
      <c r="A2190" t="str">
        <f t="shared" si="34"/>
        <v>0322819</v>
      </c>
      <c r="B2190" s="101" t="s">
        <v>16</v>
      </c>
      <c r="C2190" s="101" t="s">
        <v>172</v>
      </c>
      <c r="D2190" s="101" t="s">
        <v>547</v>
      </c>
      <c r="E2190" s="101" t="s">
        <v>17</v>
      </c>
    </row>
    <row r="2191" spans="1:5" x14ac:dyDescent="0.3">
      <c r="A2191" t="str">
        <f t="shared" si="34"/>
        <v>0322043</v>
      </c>
      <c r="B2191" s="101" t="s">
        <v>16</v>
      </c>
      <c r="C2191" s="101" t="s">
        <v>172</v>
      </c>
      <c r="D2191" s="101" t="s">
        <v>419</v>
      </c>
      <c r="E2191" s="101" t="s">
        <v>17</v>
      </c>
    </row>
    <row r="2192" spans="1:5" x14ac:dyDescent="0.3">
      <c r="A2192" t="str">
        <f t="shared" si="34"/>
        <v>0322574</v>
      </c>
      <c r="B2192" s="101" t="s">
        <v>16</v>
      </c>
      <c r="C2192" s="101" t="s">
        <v>172</v>
      </c>
      <c r="D2192" s="101" t="s">
        <v>433</v>
      </c>
      <c r="E2192" s="101" t="s">
        <v>17</v>
      </c>
    </row>
    <row r="2193" spans="1:5" x14ac:dyDescent="0.3">
      <c r="A2193" t="str">
        <f t="shared" si="34"/>
        <v>0322581</v>
      </c>
      <c r="B2193" s="101" t="s">
        <v>16</v>
      </c>
      <c r="C2193" s="101" t="s">
        <v>172</v>
      </c>
      <c r="D2193" s="101" t="s">
        <v>440</v>
      </c>
      <c r="E2193" s="101" t="s">
        <v>17</v>
      </c>
    </row>
    <row r="2194" spans="1:5" x14ac:dyDescent="0.3">
      <c r="A2194" t="str">
        <f t="shared" si="34"/>
        <v>0322553</v>
      </c>
      <c r="B2194" s="101" t="s">
        <v>16</v>
      </c>
      <c r="C2194" s="101" t="s">
        <v>172</v>
      </c>
      <c r="D2194" s="101" t="s">
        <v>417</v>
      </c>
      <c r="E2194" s="101" t="s">
        <v>17</v>
      </c>
    </row>
    <row r="2195" spans="1:5" x14ac:dyDescent="0.3">
      <c r="A2195" t="str">
        <f t="shared" si="34"/>
        <v>0322048</v>
      </c>
      <c r="B2195" s="101" t="s">
        <v>16</v>
      </c>
      <c r="C2195" s="101" t="s">
        <v>172</v>
      </c>
      <c r="D2195" s="101" t="s">
        <v>586</v>
      </c>
      <c r="E2195" s="101" t="s">
        <v>17</v>
      </c>
    </row>
    <row r="2196" spans="1:5" x14ac:dyDescent="0.3">
      <c r="A2196" t="str">
        <f t="shared" si="34"/>
        <v>0322052</v>
      </c>
      <c r="B2196" s="101" t="s">
        <v>16</v>
      </c>
      <c r="C2196" s="101" t="s">
        <v>172</v>
      </c>
      <c r="D2196" s="101" t="s">
        <v>630</v>
      </c>
      <c r="E2196" s="101" t="s">
        <v>17</v>
      </c>
    </row>
    <row r="2197" spans="1:5" x14ac:dyDescent="0.3">
      <c r="A2197" t="str">
        <f t="shared" si="34"/>
        <v>0322585</v>
      </c>
      <c r="B2197" s="101" t="s">
        <v>16</v>
      </c>
      <c r="C2197" s="101" t="s">
        <v>172</v>
      </c>
      <c r="D2197" s="101" t="s">
        <v>444</v>
      </c>
      <c r="E2197" s="101" t="s">
        <v>17</v>
      </c>
    </row>
    <row r="2198" spans="1:5" x14ac:dyDescent="0.3">
      <c r="A2198" t="str">
        <f t="shared" si="34"/>
        <v>0322586</v>
      </c>
      <c r="B2198" s="101" t="s">
        <v>16</v>
      </c>
      <c r="C2198" s="101" t="s">
        <v>172</v>
      </c>
      <c r="D2198" s="101" t="s">
        <v>445</v>
      </c>
      <c r="E2198" s="101" t="s">
        <v>17</v>
      </c>
    </row>
    <row r="2199" spans="1:5" x14ac:dyDescent="0.3">
      <c r="A2199" t="str">
        <f t="shared" si="34"/>
        <v>0322063</v>
      </c>
      <c r="B2199" s="101" t="s">
        <v>16</v>
      </c>
      <c r="C2199" s="101" t="s">
        <v>172</v>
      </c>
      <c r="D2199" s="101" t="s">
        <v>631</v>
      </c>
      <c r="E2199" s="101" t="s">
        <v>17</v>
      </c>
    </row>
    <row r="2200" spans="1:5" x14ac:dyDescent="0.3">
      <c r="A2200" t="str">
        <f t="shared" si="34"/>
        <v>0322064</v>
      </c>
      <c r="B2200" s="101" t="s">
        <v>16</v>
      </c>
      <c r="C2200" s="101" t="s">
        <v>172</v>
      </c>
      <c r="D2200" s="101" t="s">
        <v>610</v>
      </c>
      <c r="E2200" s="101" t="s">
        <v>17</v>
      </c>
    </row>
    <row r="2201" spans="1:5" x14ac:dyDescent="0.3">
      <c r="A2201" t="str">
        <f t="shared" si="34"/>
        <v>0322065</v>
      </c>
      <c r="B2201" s="101" t="s">
        <v>16</v>
      </c>
      <c r="C2201" s="101" t="s">
        <v>172</v>
      </c>
      <c r="D2201" s="101" t="s">
        <v>611</v>
      </c>
      <c r="E2201" s="101" t="s">
        <v>17</v>
      </c>
    </row>
    <row r="2202" spans="1:5" x14ac:dyDescent="0.3">
      <c r="A2202" t="str">
        <f t="shared" si="34"/>
        <v>0322066</v>
      </c>
      <c r="B2202" s="101" t="s">
        <v>16</v>
      </c>
      <c r="C2202" s="101" t="s">
        <v>172</v>
      </c>
      <c r="D2202" s="101" t="s">
        <v>609</v>
      </c>
      <c r="E2202" s="101" t="s">
        <v>17</v>
      </c>
    </row>
    <row r="2203" spans="1:5" x14ac:dyDescent="0.3">
      <c r="A2203" t="str">
        <f t="shared" si="34"/>
        <v>0322067</v>
      </c>
      <c r="B2203" s="101" t="s">
        <v>16</v>
      </c>
      <c r="C2203" s="101" t="s">
        <v>172</v>
      </c>
      <c r="D2203" s="101" t="s">
        <v>602</v>
      </c>
      <c r="E2203" s="101" t="s">
        <v>17</v>
      </c>
    </row>
    <row r="2204" spans="1:5" x14ac:dyDescent="0.3">
      <c r="A2204" t="str">
        <f t="shared" si="34"/>
        <v>0322068</v>
      </c>
      <c r="B2204" s="101" t="s">
        <v>16</v>
      </c>
      <c r="C2204" s="101" t="s">
        <v>172</v>
      </c>
      <c r="D2204" s="101" t="s">
        <v>603</v>
      </c>
      <c r="E2204" s="101" t="s">
        <v>17</v>
      </c>
    </row>
    <row r="2205" spans="1:5" x14ac:dyDescent="0.3">
      <c r="A2205" t="str">
        <f t="shared" si="34"/>
        <v>0322069</v>
      </c>
      <c r="B2205" s="101" t="s">
        <v>16</v>
      </c>
      <c r="C2205" s="101" t="s">
        <v>172</v>
      </c>
      <c r="D2205" s="101" t="s">
        <v>604</v>
      </c>
      <c r="E2205" s="101" t="s">
        <v>17</v>
      </c>
    </row>
    <row r="2206" spans="1:5" x14ac:dyDescent="0.3">
      <c r="A2206" t="str">
        <f t="shared" si="34"/>
        <v>0322070</v>
      </c>
      <c r="B2206" s="101" t="s">
        <v>16</v>
      </c>
      <c r="C2206" s="101" t="s">
        <v>172</v>
      </c>
      <c r="D2206" s="101" t="s">
        <v>605</v>
      </c>
      <c r="E2206" s="101" t="s">
        <v>17</v>
      </c>
    </row>
    <row r="2207" spans="1:5" x14ac:dyDescent="0.3">
      <c r="A2207" t="str">
        <f t="shared" si="34"/>
        <v>0322071</v>
      </c>
      <c r="B2207" s="101" t="s">
        <v>16</v>
      </c>
      <c r="C2207" s="101" t="s">
        <v>172</v>
      </c>
      <c r="D2207" s="101" t="s">
        <v>600</v>
      </c>
      <c r="E2207" s="101" t="s">
        <v>17</v>
      </c>
    </row>
    <row r="2208" spans="1:5" x14ac:dyDescent="0.3">
      <c r="A2208" t="str">
        <f t="shared" si="34"/>
        <v>0322072</v>
      </c>
      <c r="B2208" s="101" t="s">
        <v>16</v>
      </c>
      <c r="C2208" s="101" t="s">
        <v>172</v>
      </c>
      <c r="D2208" s="101" t="s">
        <v>601</v>
      </c>
      <c r="E2208" s="101" t="s">
        <v>17</v>
      </c>
    </row>
    <row r="2209" spans="1:5" x14ac:dyDescent="0.3">
      <c r="A2209" t="str">
        <f t="shared" si="34"/>
        <v>0322074</v>
      </c>
      <c r="B2209" s="101" t="s">
        <v>16</v>
      </c>
      <c r="C2209" s="101" t="s">
        <v>172</v>
      </c>
      <c r="D2209" s="101" t="s">
        <v>613</v>
      </c>
      <c r="E2209" s="101" t="s">
        <v>17</v>
      </c>
    </row>
    <row r="2210" spans="1:5" x14ac:dyDescent="0.3">
      <c r="A2210" t="str">
        <f t="shared" si="34"/>
        <v>0322588</v>
      </c>
      <c r="B2210" s="101" t="s">
        <v>16</v>
      </c>
      <c r="C2210" s="101" t="s">
        <v>172</v>
      </c>
      <c r="D2210" s="101" t="s">
        <v>447</v>
      </c>
      <c r="E2210" s="101" t="s">
        <v>17</v>
      </c>
    </row>
    <row r="2211" spans="1:5" x14ac:dyDescent="0.3">
      <c r="A2211" t="str">
        <f t="shared" si="34"/>
        <v>0322589</v>
      </c>
      <c r="B2211" s="101" t="s">
        <v>16</v>
      </c>
      <c r="C2211" s="101" t="s">
        <v>172</v>
      </c>
      <c r="D2211" s="101" t="s">
        <v>448</v>
      </c>
      <c r="E2211" s="101" t="s">
        <v>17</v>
      </c>
    </row>
    <row r="2212" spans="1:5" x14ac:dyDescent="0.3">
      <c r="A2212" t="str">
        <f t="shared" si="34"/>
        <v>0322590</v>
      </c>
      <c r="B2212" s="101" t="s">
        <v>16</v>
      </c>
      <c r="C2212" s="101" t="s">
        <v>172</v>
      </c>
      <c r="D2212" s="101" t="s">
        <v>449</v>
      </c>
      <c r="E2212" s="101" t="s">
        <v>17</v>
      </c>
    </row>
    <row r="2213" spans="1:5" x14ac:dyDescent="0.3">
      <c r="A2213" t="str">
        <f t="shared" si="34"/>
        <v>0322591</v>
      </c>
      <c r="B2213" s="101" t="s">
        <v>16</v>
      </c>
      <c r="C2213" s="101" t="s">
        <v>172</v>
      </c>
      <c r="D2213" s="101" t="s">
        <v>450</v>
      </c>
      <c r="E2213" s="101" t="s">
        <v>17</v>
      </c>
    </row>
    <row r="2214" spans="1:5" x14ac:dyDescent="0.3">
      <c r="A2214" t="str">
        <f t="shared" si="34"/>
        <v>0322592</v>
      </c>
      <c r="B2214" s="101" t="s">
        <v>16</v>
      </c>
      <c r="C2214" s="101" t="s">
        <v>172</v>
      </c>
      <c r="D2214" s="101" t="s">
        <v>451</v>
      </c>
      <c r="E2214" s="101" t="s">
        <v>17</v>
      </c>
    </row>
    <row r="2215" spans="1:5" x14ac:dyDescent="0.3">
      <c r="A2215" t="str">
        <f t="shared" si="34"/>
        <v>0322593</v>
      </c>
      <c r="B2215" s="101" t="s">
        <v>16</v>
      </c>
      <c r="C2215" s="101" t="s">
        <v>172</v>
      </c>
      <c r="D2215" s="101" t="s">
        <v>452</v>
      </c>
      <c r="E2215" s="101" t="s">
        <v>17</v>
      </c>
    </row>
    <row r="2216" spans="1:5" x14ac:dyDescent="0.3">
      <c r="A2216" t="str">
        <f t="shared" si="34"/>
        <v>0322594</v>
      </c>
      <c r="B2216" s="101" t="s">
        <v>16</v>
      </c>
      <c r="C2216" s="101" t="s">
        <v>172</v>
      </c>
      <c r="D2216" s="101" t="s">
        <v>454</v>
      </c>
      <c r="E2216" s="101" t="s">
        <v>17</v>
      </c>
    </row>
    <row r="2217" spans="1:5" x14ac:dyDescent="0.3">
      <c r="A2217" t="str">
        <f t="shared" si="34"/>
        <v>0322595</v>
      </c>
      <c r="B2217" s="101" t="s">
        <v>16</v>
      </c>
      <c r="C2217" s="101" t="s">
        <v>172</v>
      </c>
      <c r="D2217" s="101" t="s">
        <v>456</v>
      </c>
      <c r="E2217" s="101" t="s">
        <v>17</v>
      </c>
    </row>
    <row r="2218" spans="1:5" x14ac:dyDescent="0.3">
      <c r="A2218" t="str">
        <f t="shared" si="34"/>
        <v>0322596</v>
      </c>
      <c r="B2218" s="101" t="s">
        <v>16</v>
      </c>
      <c r="C2218" s="101" t="s">
        <v>172</v>
      </c>
      <c r="D2218" s="101" t="s">
        <v>457</v>
      </c>
      <c r="E2218" s="101" t="s">
        <v>17</v>
      </c>
    </row>
    <row r="2219" spans="1:5" x14ac:dyDescent="0.3">
      <c r="A2219" t="str">
        <f t="shared" si="34"/>
        <v>0322597</v>
      </c>
      <c r="B2219" s="101" t="s">
        <v>16</v>
      </c>
      <c r="C2219" s="101" t="s">
        <v>172</v>
      </c>
      <c r="D2219" s="101" t="s">
        <v>458</v>
      </c>
      <c r="E2219" s="101" t="s">
        <v>17</v>
      </c>
    </row>
    <row r="2220" spans="1:5" x14ac:dyDescent="0.3">
      <c r="A2220" t="str">
        <f t="shared" si="34"/>
        <v>0322599</v>
      </c>
      <c r="B2220" s="101" t="s">
        <v>16</v>
      </c>
      <c r="C2220" s="101" t="s">
        <v>172</v>
      </c>
      <c r="D2220" s="101" t="s">
        <v>460</v>
      </c>
      <c r="E2220" s="101" t="s">
        <v>17</v>
      </c>
    </row>
    <row r="2221" spans="1:5" x14ac:dyDescent="0.3">
      <c r="A2221" t="str">
        <f t="shared" si="34"/>
        <v>0322001</v>
      </c>
      <c r="B2221" s="101" t="s">
        <v>16</v>
      </c>
      <c r="C2221" s="101" t="s">
        <v>172</v>
      </c>
      <c r="D2221" s="101" t="s">
        <v>549</v>
      </c>
      <c r="E2221" s="101" t="s">
        <v>17</v>
      </c>
    </row>
    <row r="2222" spans="1:5" x14ac:dyDescent="0.3">
      <c r="A2222" t="str">
        <f t="shared" si="34"/>
        <v>0322002</v>
      </c>
      <c r="B2222" s="101" t="s">
        <v>16</v>
      </c>
      <c r="C2222" s="101" t="s">
        <v>172</v>
      </c>
      <c r="D2222" s="101" t="s">
        <v>596</v>
      </c>
      <c r="E2222" s="101" t="s">
        <v>17</v>
      </c>
    </row>
    <row r="2223" spans="1:5" x14ac:dyDescent="0.3">
      <c r="A2223" t="str">
        <f t="shared" si="34"/>
        <v>0322003</v>
      </c>
      <c r="B2223" s="101" t="s">
        <v>16</v>
      </c>
      <c r="C2223" s="101" t="s">
        <v>172</v>
      </c>
      <c r="D2223" s="101" t="s">
        <v>597</v>
      </c>
      <c r="E2223" s="101" t="s">
        <v>17</v>
      </c>
    </row>
    <row r="2224" spans="1:5" x14ac:dyDescent="0.3">
      <c r="A2224" t="str">
        <f t="shared" si="34"/>
        <v>0322004</v>
      </c>
      <c r="B2224" s="101" t="s">
        <v>16</v>
      </c>
      <c r="C2224" s="101" t="s">
        <v>172</v>
      </c>
      <c r="D2224" s="101" t="s">
        <v>598</v>
      </c>
      <c r="E2224" s="101" t="s">
        <v>17</v>
      </c>
    </row>
    <row r="2225" spans="1:5" x14ac:dyDescent="0.3">
      <c r="A2225" t="str">
        <f t="shared" si="34"/>
        <v>0322005</v>
      </c>
      <c r="B2225" s="101" t="s">
        <v>16</v>
      </c>
      <c r="C2225" s="101" t="s">
        <v>172</v>
      </c>
      <c r="D2225" s="101" t="s">
        <v>399</v>
      </c>
      <c r="E2225" s="101" t="s">
        <v>17</v>
      </c>
    </row>
    <row r="2226" spans="1:5" x14ac:dyDescent="0.3">
      <c r="A2226" t="str">
        <f t="shared" si="34"/>
        <v>0322006</v>
      </c>
      <c r="B2226" s="101" t="s">
        <v>16</v>
      </c>
      <c r="C2226" s="101" t="s">
        <v>172</v>
      </c>
      <c r="D2226" s="101" t="s">
        <v>400</v>
      </c>
      <c r="E2226" s="101" t="s">
        <v>17</v>
      </c>
    </row>
    <row r="2227" spans="1:5" x14ac:dyDescent="0.3">
      <c r="A2227" t="str">
        <f t="shared" si="34"/>
        <v>0322007</v>
      </c>
      <c r="B2227" s="101" t="s">
        <v>16</v>
      </c>
      <c r="C2227" s="101" t="s">
        <v>172</v>
      </c>
      <c r="D2227" s="101" t="s">
        <v>401</v>
      </c>
      <c r="E2227" s="101" t="s">
        <v>17</v>
      </c>
    </row>
    <row r="2228" spans="1:5" x14ac:dyDescent="0.3">
      <c r="A2228" t="str">
        <f t="shared" si="34"/>
        <v>0322008</v>
      </c>
      <c r="B2228" s="101" t="s">
        <v>16</v>
      </c>
      <c r="C2228" s="101" t="s">
        <v>172</v>
      </c>
      <c r="D2228" s="101" t="s">
        <v>405</v>
      </c>
      <c r="E2228" s="101" t="s">
        <v>17</v>
      </c>
    </row>
    <row r="2229" spans="1:5" x14ac:dyDescent="0.3">
      <c r="A2229" t="str">
        <f t="shared" si="34"/>
        <v>0322009</v>
      </c>
      <c r="B2229" s="101" t="s">
        <v>16</v>
      </c>
      <c r="C2229" s="101" t="s">
        <v>172</v>
      </c>
      <c r="D2229" s="101" t="s">
        <v>406</v>
      </c>
      <c r="E2229" s="101" t="s">
        <v>17</v>
      </c>
    </row>
    <row r="2230" spans="1:5" x14ac:dyDescent="0.3">
      <c r="A2230" t="str">
        <f t="shared" si="34"/>
        <v>0322010</v>
      </c>
      <c r="B2230" s="101" t="s">
        <v>16</v>
      </c>
      <c r="C2230" s="101" t="s">
        <v>172</v>
      </c>
      <c r="D2230" s="101" t="s">
        <v>599</v>
      </c>
      <c r="E2230" s="101" t="s">
        <v>17</v>
      </c>
    </row>
    <row r="2231" spans="1:5" x14ac:dyDescent="0.3">
      <c r="A2231" t="str">
        <f t="shared" si="34"/>
        <v>0322011</v>
      </c>
      <c r="B2231" s="101" t="s">
        <v>16</v>
      </c>
      <c r="C2231" s="101" t="s">
        <v>172</v>
      </c>
      <c r="D2231" s="101" t="s">
        <v>402</v>
      </c>
      <c r="E2231" s="101" t="s">
        <v>17</v>
      </c>
    </row>
    <row r="2232" spans="1:5" x14ac:dyDescent="0.3">
      <c r="A2232" t="str">
        <f t="shared" si="34"/>
        <v>0322012</v>
      </c>
      <c r="B2232" s="101" t="s">
        <v>16</v>
      </c>
      <c r="C2232" s="101" t="s">
        <v>172</v>
      </c>
      <c r="D2232" s="101" t="s">
        <v>392</v>
      </c>
      <c r="E2232" s="101" t="s">
        <v>17</v>
      </c>
    </row>
    <row r="2233" spans="1:5" x14ac:dyDescent="0.3">
      <c r="A2233" t="str">
        <f t="shared" si="34"/>
        <v>0322013</v>
      </c>
      <c r="B2233" s="101" t="s">
        <v>16</v>
      </c>
      <c r="C2233" s="101" t="s">
        <v>172</v>
      </c>
      <c r="D2233" s="101" t="s">
        <v>403</v>
      </c>
      <c r="E2233" s="101" t="s">
        <v>17</v>
      </c>
    </row>
    <row r="2234" spans="1:5" x14ac:dyDescent="0.3">
      <c r="A2234" t="str">
        <f t="shared" si="34"/>
        <v>0322014</v>
      </c>
      <c r="B2234" s="101" t="s">
        <v>16</v>
      </c>
      <c r="C2234" s="101" t="s">
        <v>172</v>
      </c>
      <c r="D2234" s="101" t="s">
        <v>531</v>
      </c>
      <c r="E2234" s="101" t="s">
        <v>17</v>
      </c>
    </row>
    <row r="2235" spans="1:5" x14ac:dyDescent="0.3">
      <c r="A2235" t="str">
        <f t="shared" si="34"/>
        <v>0322015</v>
      </c>
      <c r="B2235" s="101" t="s">
        <v>16</v>
      </c>
      <c r="C2235" s="101" t="s">
        <v>172</v>
      </c>
      <c r="D2235" s="101" t="s">
        <v>321</v>
      </c>
      <c r="E2235" s="101" t="s">
        <v>17</v>
      </c>
    </row>
    <row r="2236" spans="1:5" x14ac:dyDescent="0.3">
      <c r="A2236" t="str">
        <f t="shared" si="34"/>
        <v>0322016</v>
      </c>
      <c r="B2236" s="101" t="s">
        <v>16</v>
      </c>
      <c r="C2236" s="101" t="s">
        <v>172</v>
      </c>
      <c r="D2236" s="101" t="s">
        <v>396</v>
      </c>
      <c r="E2236" s="101" t="s">
        <v>17</v>
      </c>
    </row>
    <row r="2237" spans="1:5" x14ac:dyDescent="0.3">
      <c r="A2237" t="str">
        <f t="shared" si="34"/>
        <v>0322017</v>
      </c>
      <c r="B2237" s="101" t="s">
        <v>16</v>
      </c>
      <c r="C2237" s="101" t="s">
        <v>172</v>
      </c>
      <c r="D2237" s="101" t="s">
        <v>575</v>
      </c>
      <c r="E2237" s="101" t="s">
        <v>17</v>
      </c>
    </row>
    <row r="2238" spans="1:5" x14ac:dyDescent="0.3">
      <c r="A2238" t="str">
        <f t="shared" si="34"/>
        <v>0322018</v>
      </c>
      <c r="B2238" s="101" t="s">
        <v>16</v>
      </c>
      <c r="C2238" s="101" t="s">
        <v>172</v>
      </c>
      <c r="D2238" s="101" t="s">
        <v>576</v>
      </c>
      <c r="E2238" s="101" t="s">
        <v>17</v>
      </c>
    </row>
    <row r="2239" spans="1:5" x14ac:dyDescent="0.3">
      <c r="A2239" t="str">
        <f t="shared" si="34"/>
        <v>0322019</v>
      </c>
      <c r="B2239" s="101" t="s">
        <v>16</v>
      </c>
      <c r="C2239" s="101" t="s">
        <v>172</v>
      </c>
      <c r="D2239" s="101" t="s">
        <v>393</v>
      </c>
      <c r="E2239" s="101" t="s">
        <v>17</v>
      </c>
    </row>
    <row r="2240" spans="1:5" x14ac:dyDescent="0.3">
      <c r="A2240" t="str">
        <f t="shared" si="34"/>
        <v>0322020</v>
      </c>
      <c r="B2240" s="101" t="s">
        <v>16</v>
      </c>
      <c r="C2240" s="101" t="s">
        <v>172</v>
      </c>
      <c r="D2240" s="101" t="s">
        <v>577</v>
      </c>
      <c r="E2240" s="101" t="s">
        <v>17</v>
      </c>
    </row>
    <row r="2241" spans="1:5" x14ac:dyDescent="0.3">
      <c r="A2241" t="str">
        <f t="shared" si="34"/>
        <v>0322021</v>
      </c>
      <c r="B2241" s="101" t="s">
        <v>16</v>
      </c>
      <c r="C2241" s="101" t="s">
        <v>172</v>
      </c>
      <c r="D2241" s="101" t="s">
        <v>477</v>
      </c>
      <c r="E2241" s="101" t="s">
        <v>17</v>
      </c>
    </row>
    <row r="2242" spans="1:5" x14ac:dyDescent="0.3">
      <c r="A2242" t="str">
        <f t="shared" si="34"/>
        <v>0322022</v>
      </c>
      <c r="B2242" s="101" t="s">
        <v>16</v>
      </c>
      <c r="C2242" s="101" t="s">
        <v>172</v>
      </c>
      <c r="D2242" s="101" t="s">
        <v>322</v>
      </c>
      <c r="E2242" s="101" t="s">
        <v>17</v>
      </c>
    </row>
    <row r="2243" spans="1:5" x14ac:dyDescent="0.3">
      <c r="A2243" t="str">
        <f t="shared" ref="A2243:A2306" si="35">CONCATENATE(B2243,C2243,D2243,F2243)</f>
        <v>0322023</v>
      </c>
      <c r="B2243" s="101" t="s">
        <v>16</v>
      </c>
      <c r="C2243" s="101" t="s">
        <v>172</v>
      </c>
      <c r="D2243" s="101" t="s">
        <v>480</v>
      </c>
      <c r="E2243" s="101" t="s">
        <v>17</v>
      </c>
    </row>
    <row r="2244" spans="1:5" x14ac:dyDescent="0.3">
      <c r="A2244" t="str">
        <f t="shared" si="35"/>
        <v>0322024</v>
      </c>
      <c r="B2244" s="101" t="s">
        <v>16</v>
      </c>
      <c r="C2244" s="101" t="s">
        <v>172</v>
      </c>
      <c r="D2244" s="101" t="s">
        <v>481</v>
      </c>
      <c r="E2244" s="101" t="s">
        <v>17</v>
      </c>
    </row>
    <row r="2245" spans="1:5" x14ac:dyDescent="0.3">
      <c r="A2245" t="str">
        <f t="shared" si="35"/>
        <v>0322025</v>
      </c>
      <c r="B2245" s="101" t="s">
        <v>16</v>
      </c>
      <c r="C2245" s="101" t="s">
        <v>172</v>
      </c>
      <c r="D2245" s="101" t="s">
        <v>367</v>
      </c>
      <c r="E2245" s="101" t="s">
        <v>17</v>
      </c>
    </row>
    <row r="2246" spans="1:5" x14ac:dyDescent="0.3">
      <c r="A2246" t="str">
        <f t="shared" si="35"/>
        <v>0322044</v>
      </c>
      <c r="B2246" s="101" t="s">
        <v>16</v>
      </c>
      <c r="C2246" s="101" t="s">
        <v>172</v>
      </c>
      <c r="D2246" s="101" t="s">
        <v>420</v>
      </c>
      <c r="E2246" s="101" t="s">
        <v>17</v>
      </c>
    </row>
    <row r="2247" spans="1:5" x14ac:dyDescent="0.3">
      <c r="A2247" t="str">
        <f t="shared" si="35"/>
        <v>0322045</v>
      </c>
      <c r="B2247" s="101" t="s">
        <v>16</v>
      </c>
      <c r="C2247" s="101" t="s">
        <v>172</v>
      </c>
      <c r="D2247" s="101" t="s">
        <v>453</v>
      </c>
      <c r="E2247" s="101" t="s">
        <v>17</v>
      </c>
    </row>
    <row r="2248" spans="1:5" x14ac:dyDescent="0.3">
      <c r="A2248" t="str">
        <f t="shared" si="35"/>
        <v>0322055</v>
      </c>
      <c r="B2248" s="101" t="s">
        <v>16</v>
      </c>
      <c r="C2248" s="101" t="s">
        <v>172</v>
      </c>
      <c r="D2248" s="101" t="s">
        <v>608</v>
      </c>
      <c r="E2248" s="101" t="s">
        <v>17</v>
      </c>
    </row>
    <row r="2249" spans="1:5" x14ac:dyDescent="0.3">
      <c r="A2249" t="str">
        <f t="shared" si="35"/>
        <v>0322062</v>
      </c>
      <c r="B2249" s="101" t="s">
        <v>16</v>
      </c>
      <c r="C2249" s="101" t="s">
        <v>172</v>
      </c>
      <c r="D2249" s="101" t="s">
        <v>632</v>
      </c>
      <c r="E2249" s="101" t="s">
        <v>17</v>
      </c>
    </row>
    <row r="2250" spans="1:5" x14ac:dyDescent="0.3">
      <c r="A2250" t="str">
        <f t="shared" si="35"/>
        <v>0322824</v>
      </c>
      <c r="B2250" s="101" t="s">
        <v>16</v>
      </c>
      <c r="C2250" s="101" t="s">
        <v>172</v>
      </c>
      <c r="D2250" s="101" t="s">
        <v>551</v>
      </c>
      <c r="E2250" s="101" t="s">
        <v>17</v>
      </c>
    </row>
    <row r="2251" spans="1:5" x14ac:dyDescent="0.3">
      <c r="A2251" t="str">
        <f t="shared" si="35"/>
        <v>0322825</v>
      </c>
      <c r="B2251" s="101" t="s">
        <v>16</v>
      </c>
      <c r="C2251" s="101" t="s">
        <v>172</v>
      </c>
      <c r="D2251" s="101" t="s">
        <v>552</v>
      </c>
      <c r="E2251" s="101" t="s">
        <v>17</v>
      </c>
    </row>
    <row r="2252" spans="1:5" x14ac:dyDescent="0.3">
      <c r="A2252" t="str">
        <f t="shared" si="35"/>
        <v>0322510</v>
      </c>
      <c r="B2252" s="101" t="s">
        <v>16</v>
      </c>
      <c r="C2252" s="101" t="s">
        <v>172</v>
      </c>
      <c r="D2252" s="101" t="s">
        <v>385</v>
      </c>
      <c r="E2252" s="101" t="s">
        <v>17</v>
      </c>
    </row>
    <row r="2253" spans="1:5" x14ac:dyDescent="0.3">
      <c r="A2253" t="str">
        <f t="shared" si="35"/>
        <v>0322511</v>
      </c>
      <c r="B2253" s="101" t="s">
        <v>16</v>
      </c>
      <c r="C2253" s="101" t="s">
        <v>172</v>
      </c>
      <c r="D2253" s="101" t="s">
        <v>386</v>
      </c>
      <c r="E2253" s="101" t="s">
        <v>17</v>
      </c>
    </row>
    <row r="2254" spans="1:5" x14ac:dyDescent="0.3">
      <c r="A2254" t="str">
        <f t="shared" si="35"/>
        <v>0322512</v>
      </c>
      <c r="B2254" s="101" t="s">
        <v>16</v>
      </c>
      <c r="C2254" s="101" t="s">
        <v>172</v>
      </c>
      <c r="D2254" s="101" t="s">
        <v>398</v>
      </c>
      <c r="E2254" s="101" t="s">
        <v>17</v>
      </c>
    </row>
    <row r="2255" spans="1:5" x14ac:dyDescent="0.3">
      <c r="A2255" t="str">
        <f t="shared" si="35"/>
        <v>0322513</v>
      </c>
      <c r="B2255" s="101" t="s">
        <v>16</v>
      </c>
      <c r="C2255" s="101" t="s">
        <v>172</v>
      </c>
      <c r="D2255" s="101" t="s">
        <v>387</v>
      </c>
      <c r="E2255" s="101" t="s">
        <v>17</v>
      </c>
    </row>
    <row r="2256" spans="1:5" x14ac:dyDescent="0.3">
      <c r="A2256" t="str">
        <f t="shared" si="35"/>
        <v>0322514</v>
      </c>
      <c r="B2256" s="101" t="s">
        <v>16</v>
      </c>
      <c r="C2256" s="101" t="s">
        <v>172</v>
      </c>
      <c r="D2256" s="101" t="s">
        <v>388</v>
      </c>
      <c r="E2256" s="101" t="s">
        <v>17</v>
      </c>
    </row>
    <row r="2257" spans="1:5" x14ac:dyDescent="0.3">
      <c r="A2257" t="str">
        <f t="shared" si="35"/>
        <v>0322515</v>
      </c>
      <c r="B2257" s="101" t="s">
        <v>16</v>
      </c>
      <c r="C2257" s="101" t="s">
        <v>172</v>
      </c>
      <c r="D2257" s="101" t="s">
        <v>407</v>
      </c>
      <c r="E2257" s="101" t="s">
        <v>17</v>
      </c>
    </row>
    <row r="2258" spans="1:5" x14ac:dyDescent="0.3">
      <c r="A2258" t="str">
        <f t="shared" si="35"/>
        <v>0322516</v>
      </c>
      <c r="B2258" s="101" t="s">
        <v>16</v>
      </c>
      <c r="C2258" s="101" t="s">
        <v>172</v>
      </c>
      <c r="D2258" s="101" t="s">
        <v>389</v>
      </c>
      <c r="E2258" s="101" t="s">
        <v>17</v>
      </c>
    </row>
    <row r="2259" spans="1:5" x14ac:dyDescent="0.3">
      <c r="A2259" t="str">
        <f t="shared" si="35"/>
        <v>0322517</v>
      </c>
      <c r="B2259" s="101" t="s">
        <v>16</v>
      </c>
      <c r="C2259" s="101" t="s">
        <v>172</v>
      </c>
      <c r="D2259" s="101" t="s">
        <v>390</v>
      </c>
      <c r="E2259" s="101" t="s">
        <v>17</v>
      </c>
    </row>
    <row r="2260" spans="1:5" x14ac:dyDescent="0.3">
      <c r="A2260" t="str">
        <f t="shared" si="35"/>
        <v>0322518</v>
      </c>
      <c r="B2260" s="101" t="s">
        <v>16</v>
      </c>
      <c r="C2260" s="101" t="s">
        <v>172</v>
      </c>
      <c r="D2260" s="101" t="s">
        <v>382</v>
      </c>
      <c r="E2260" s="101" t="s">
        <v>17</v>
      </c>
    </row>
    <row r="2261" spans="1:5" x14ac:dyDescent="0.3">
      <c r="A2261" t="str">
        <f t="shared" si="35"/>
        <v>0322519</v>
      </c>
      <c r="B2261" s="101" t="s">
        <v>16</v>
      </c>
      <c r="C2261" s="101" t="s">
        <v>172</v>
      </c>
      <c r="D2261" s="101" t="s">
        <v>383</v>
      </c>
      <c r="E2261" s="101" t="s">
        <v>17</v>
      </c>
    </row>
    <row r="2262" spans="1:5" x14ac:dyDescent="0.3">
      <c r="A2262" t="str">
        <f t="shared" si="35"/>
        <v>0322520</v>
      </c>
      <c r="B2262" s="101" t="s">
        <v>16</v>
      </c>
      <c r="C2262" s="101" t="s">
        <v>172</v>
      </c>
      <c r="D2262" s="101" t="s">
        <v>404</v>
      </c>
      <c r="E2262" s="101" t="s">
        <v>17</v>
      </c>
    </row>
    <row r="2263" spans="1:5" x14ac:dyDescent="0.3">
      <c r="A2263" t="str">
        <f t="shared" si="35"/>
        <v>0322521</v>
      </c>
      <c r="B2263" s="101" t="s">
        <v>16</v>
      </c>
      <c r="C2263" s="101" t="s">
        <v>172</v>
      </c>
      <c r="D2263" s="101" t="s">
        <v>384</v>
      </c>
      <c r="E2263" s="101" t="s">
        <v>17</v>
      </c>
    </row>
    <row r="2264" spans="1:5" x14ac:dyDescent="0.3">
      <c r="A2264" t="str">
        <f t="shared" si="35"/>
        <v>0322522</v>
      </c>
      <c r="B2264" s="101" t="s">
        <v>16</v>
      </c>
      <c r="C2264" s="101" t="s">
        <v>172</v>
      </c>
      <c r="D2264" s="101" t="s">
        <v>345</v>
      </c>
      <c r="E2264" s="101" t="s">
        <v>17</v>
      </c>
    </row>
    <row r="2265" spans="1:5" x14ac:dyDescent="0.3">
      <c r="A2265" t="str">
        <f t="shared" si="35"/>
        <v>0322523</v>
      </c>
      <c r="B2265" s="101" t="s">
        <v>16</v>
      </c>
      <c r="C2265" s="101" t="s">
        <v>172</v>
      </c>
      <c r="D2265" s="101" t="s">
        <v>408</v>
      </c>
      <c r="E2265" s="101" t="s">
        <v>17</v>
      </c>
    </row>
    <row r="2266" spans="1:5" x14ac:dyDescent="0.3">
      <c r="A2266" t="str">
        <f t="shared" si="35"/>
        <v>0322524</v>
      </c>
      <c r="B2266" s="101" t="s">
        <v>16</v>
      </c>
      <c r="C2266" s="101" t="s">
        <v>172</v>
      </c>
      <c r="D2266" s="101" t="s">
        <v>351</v>
      </c>
      <c r="E2266" s="101" t="s">
        <v>17</v>
      </c>
    </row>
    <row r="2267" spans="1:5" x14ac:dyDescent="0.3">
      <c r="A2267" t="str">
        <f t="shared" si="35"/>
        <v>0322525</v>
      </c>
      <c r="B2267" s="101" t="s">
        <v>16</v>
      </c>
      <c r="C2267" s="101" t="s">
        <v>172</v>
      </c>
      <c r="D2267" s="101" t="s">
        <v>394</v>
      </c>
      <c r="E2267" s="101" t="s">
        <v>17</v>
      </c>
    </row>
    <row r="2268" spans="1:5" x14ac:dyDescent="0.3">
      <c r="A2268" t="str">
        <f t="shared" si="35"/>
        <v>0322526</v>
      </c>
      <c r="B2268" s="101" t="s">
        <v>16</v>
      </c>
      <c r="C2268" s="101" t="s">
        <v>172</v>
      </c>
      <c r="D2268" s="101" t="s">
        <v>379</v>
      </c>
      <c r="E2268" s="101" t="s">
        <v>17</v>
      </c>
    </row>
    <row r="2269" spans="1:5" x14ac:dyDescent="0.3">
      <c r="A2269" t="str">
        <f t="shared" si="35"/>
        <v>0322527</v>
      </c>
      <c r="B2269" s="101" t="s">
        <v>16</v>
      </c>
      <c r="C2269" s="101" t="s">
        <v>172</v>
      </c>
      <c r="D2269" s="101" t="s">
        <v>380</v>
      </c>
      <c r="E2269" s="101" t="s">
        <v>17</v>
      </c>
    </row>
    <row r="2270" spans="1:5" x14ac:dyDescent="0.3">
      <c r="A2270" t="str">
        <f t="shared" si="35"/>
        <v>0322528</v>
      </c>
      <c r="B2270" s="101" t="s">
        <v>16</v>
      </c>
      <c r="C2270" s="101" t="s">
        <v>172</v>
      </c>
      <c r="D2270" s="101" t="s">
        <v>381</v>
      </c>
      <c r="E2270" s="101" t="s">
        <v>17</v>
      </c>
    </row>
    <row r="2271" spans="1:5" x14ac:dyDescent="0.3">
      <c r="A2271" t="str">
        <f t="shared" si="35"/>
        <v>0322529</v>
      </c>
      <c r="B2271" s="101" t="s">
        <v>16</v>
      </c>
      <c r="C2271" s="101" t="s">
        <v>172</v>
      </c>
      <c r="D2271" s="101" t="s">
        <v>364</v>
      </c>
      <c r="E2271" s="101" t="s">
        <v>17</v>
      </c>
    </row>
    <row r="2272" spans="1:5" x14ac:dyDescent="0.3">
      <c r="A2272" t="str">
        <f t="shared" si="35"/>
        <v>0322530</v>
      </c>
      <c r="B2272" s="101" t="s">
        <v>16</v>
      </c>
      <c r="C2272" s="101" t="s">
        <v>172</v>
      </c>
      <c r="D2272" s="101" t="s">
        <v>377</v>
      </c>
      <c r="E2272" s="101" t="s">
        <v>17</v>
      </c>
    </row>
    <row r="2273" spans="1:5" x14ac:dyDescent="0.3">
      <c r="A2273" t="str">
        <f t="shared" si="35"/>
        <v>0322531</v>
      </c>
      <c r="B2273" s="101" t="s">
        <v>16</v>
      </c>
      <c r="C2273" s="101" t="s">
        <v>172</v>
      </c>
      <c r="D2273" s="101" t="s">
        <v>409</v>
      </c>
      <c r="E2273" s="101" t="s">
        <v>17</v>
      </c>
    </row>
    <row r="2274" spans="1:5" x14ac:dyDescent="0.3">
      <c r="A2274" t="str">
        <f t="shared" si="35"/>
        <v>0322532</v>
      </c>
      <c r="B2274" s="101" t="s">
        <v>16</v>
      </c>
      <c r="C2274" s="101" t="s">
        <v>172</v>
      </c>
      <c r="D2274" s="101" t="s">
        <v>323</v>
      </c>
      <c r="E2274" s="101" t="s">
        <v>17</v>
      </c>
    </row>
    <row r="2275" spans="1:5" x14ac:dyDescent="0.3">
      <c r="A2275" t="str">
        <f t="shared" si="35"/>
        <v>0322533</v>
      </c>
      <c r="B2275" s="101" t="s">
        <v>16</v>
      </c>
      <c r="C2275" s="101" t="s">
        <v>172</v>
      </c>
      <c r="D2275" s="101" t="s">
        <v>397</v>
      </c>
      <c r="E2275" s="101" t="s">
        <v>17</v>
      </c>
    </row>
    <row r="2276" spans="1:5" x14ac:dyDescent="0.3">
      <c r="A2276" t="str">
        <f t="shared" si="35"/>
        <v>0322534</v>
      </c>
      <c r="B2276" s="101" t="s">
        <v>16</v>
      </c>
      <c r="C2276" s="101" t="s">
        <v>172</v>
      </c>
      <c r="D2276" s="101" t="s">
        <v>350</v>
      </c>
      <c r="E2276" s="101" t="s">
        <v>17</v>
      </c>
    </row>
    <row r="2277" spans="1:5" x14ac:dyDescent="0.3">
      <c r="A2277" t="str">
        <f t="shared" si="35"/>
        <v>0322554</v>
      </c>
      <c r="B2277" s="101" t="s">
        <v>16</v>
      </c>
      <c r="C2277" s="101" t="s">
        <v>172</v>
      </c>
      <c r="D2277" s="101" t="s">
        <v>391</v>
      </c>
      <c r="E2277" s="101" t="s">
        <v>17</v>
      </c>
    </row>
    <row r="2278" spans="1:5" x14ac:dyDescent="0.3">
      <c r="A2278" t="str">
        <f t="shared" si="35"/>
        <v>0322555</v>
      </c>
      <c r="B2278" s="101" t="s">
        <v>16</v>
      </c>
      <c r="C2278" s="101" t="s">
        <v>172</v>
      </c>
      <c r="D2278" s="101" t="s">
        <v>418</v>
      </c>
      <c r="E2278" s="101" t="s">
        <v>17</v>
      </c>
    </row>
    <row r="2279" spans="1:5" x14ac:dyDescent="0.3">
      <c r="A2279" t="str">
        <f t="shared" si="35"/>
        <v>0322567</v>
      </c>
      <c r="B2279" s="101" t="s">
        <v>16</v>
      </c>
      <c r="C2279" s="101" t="s">
        <v>172</v>
      </c>
      <c r="D2279" s="101" t="s">
        <v>426</v>
      </c>
      <c r="E2279" s="101" t="s">
        <v>17</v>
      </c>
    </row>
    <row r="2280" spans="1:5" x14ac:dyDescent="0.3">
      <c r="A2280" t="str">
        <f t="shared" si="35"/>
        <v>0322577</v>
      </c>
      <c r="B2280" s="101" t="s">
        <v>16</v>
      </c>
      <c r="C2280" s="101" t="s">
        <v>172</v>
      </c>
      <c r="D2280" s="101" t="s">
        <v>436</v>
      </c>
      <c r="E2280" s="101" t="s">
        <v>17</v>
      </c>
    </row>
    <row r="2281" spans="1:5" x14ac:dyDescent="0.3">
      <c r="A2281" t="str">
        <f t="shared" si="35"/>
        <v>0322578</v>
      </c>
      <c r="B2281" s="101" t="s">
        <v>16</v>
      </c>
      <c r="C2281" s="101" t="s">
        <v>172</v>
      </c>
      <c r="D2281" s="101" t="s">
        <v>437</v>
      </c>
      <c r="E2281" s="101" t="s">
        <v>17</v>
      </c>
    </row>
    <row r="2282" spans="1:5" x14ac:dyDescent="0.3">
      <c r="A2282" t="str">
        <f t="shared" si="35"/>
        <v>0322583</v>
      </c>
      <c r="B2282" s="101" t="s">
        <v>16</v>
      </c>
      <c r="C2282" s="101" t="s">
        <v>172</v>
      </c>
      <c r="D2282" s="101" t="s">
        <v>442</v>
      </c>
      <c r="E2282" s="101" t="s">
        <v>17</v>
      </c>
    </row>
    <row r="2283" spans="1:5" x14ac:dyDescent="0.3">
      <c r="A2283" t="str">
        <f t="shared" si="35"/>
        <v>0422801</v>
      </c>
      <c r="B2283" s="101" t="s">
        <v>18</v>
      </c>
      <c r="C2283" s="101" t="s">
        <v>172</v>
      </c>
      <c r="D2283" s="101" t="s">
        <v>144</v>
      </c>
      <c r="E2283" s="101" t="s">
        <v>139</v>
      </c>
    </row>
    <row r="2284" spans="1:5" x14ac:dyDescent="0.3">
      <c r="A2284" t="str">
        <f t="shared" si="35"/>
        <v>0422802</v>
      </c>
      <c r="B2284" s="101" t="s">
        <v>18</v>
      </c>
      <c r="C2284" s="101" t="s">
        <v>172</v>
      </c>
      <c r="D2284" s="101" t="s">
        <v>145</v>
      </c>
      <c r="E2284" s="101" t="s">
        <v>139</v>
      </c>
    </row>
    <row r="2285" spans="1:5" x14ac:dyDescent="0.3">
      <c r="A2285" t="str">
        <f t="shared" si="35"/>
        <v>0422500</v>
      </c>
      <c r="B2285" s="101" t="s">
        <v>18</v>
      </c>
      <c r="C2285" s="101" t="s">
        <v>172</v>
      </c>
      <c r="D2285" s="101" t="s">
        <v>146</v>
      </c>
      <c r="E2285" s="101" t="s">
        <v>139</v>
      </c>
    </row>
    <row r="2286" spans="1:5" x14ac:dyDescent="0.3">
      <c r="A2286" t="str">
        <f t="shared" si="35"/>
        <v>0422501</v>
      </c>
      <c r="B2286" s="101" t="s">
        <v>18</v>
      </c>
      <c r="C2286" s="101" t="s">
        <v>172</v>
      </c>
      <c r="D2286" s="101" t="s">
        <v>147</v>
      </c>
      <c r="E2286" s="101" t="s">
        <v>139</v>
      </c>
    </row>
    <row r="2287" spans="1:5" x14ac:dyDescent="0.3">
      <c r="A2287" t="str">
        <f t="shared" si="35"/>
        <v>0422031</v>
      </c>
      <c r="B2287" s="101" t="s">
        <v>18</v>
      </c>
      <c r="C2287" s="101" t="s">
        <v>172</v>
      </c>
      <c r="D2287" s="101" t="s">
        <v>369</v>
      </c>
      <c r="E2287" s="101" t="s">
        <v>17</v>
      </c>
    </row>
    <row r="2288" spans="1:5" x14ac:dyDescent="0.3">
      <c r="A2288" t="str">
        <f t="shared" si="35"/>
        <v>0422032</v>
      </c>
      <c r="B2288" s="101" t="s">
        <v>18</v>
      </c>
      <c r="C2288" s="101" t="s">
        <v>172</v>
      </c>
      <c r="D2288" s="101" t="s">
        <v>370</v>
      </c>
      <c r="E2288" s="101" t="s">
        <v>17</v>
      </c>
    </row>
    <row r="2289" spans="1:5" x14ac:dyDescent="0.3">
      <c r="A2289" t="str">
        <f t="shared" si="35"/>
        <v>0422033</v>
      </c>
      <c r="B2289" s="101" t="s">
        <v>18</v>
      </c>
      <c r="C2289" s="101" t="s">
        <v>172</v>
      </c>
      <c r="D2289" s="101" t="s">
        <v>327</v>
      </c>
      <c r="E2289" s="101" t="s">
        <v>17</v>
      </c>
    </row>
    <row r="2290" spans="1:5" x14ac:dyDescent="0.3">
      <c r="A2290" t="str">
        <f t="shared" si="35"/>
        <v>0422034</v>
      </c>
      <c r="B2290" s="101" t="s">
        <v>18</v>
      </c>
      <c r="C2290" s="101" t="s">
        <v>172</v>
      </c>
      <c r="D2290" s="101" t="s">
        <v>329</v>
      </c>
      <c r="E2290" s="101" t="s">
        <v>17</v>
      </c>
    </row>
    <row r="2291" spans="1:5" x14ac:dyDescent="0.3">
      <c r="A2291" t="str">
        <f t="shared" si="35"/>
        <v>0422035</v>
      </c>
      <c r="B2291" s="101" t="s">
        <v>18</v>
      </c>
      <c r="C2291" s="101" t="s">
        <v>172</v>
      </c>
      <c r="D2291" s="101" t="s">
        <v>497</v>
      </c>
      <c r="E2291" s="101" t="s">
        <v>17</v>
      </c>
    </row>
    <row r="2292" spans="1:5" x14ac:dyDescent="0.3">
      <c r="A2292" t="str">
        <f t="shared" si="35"/>
        <v>0422036</v>
      </c>
      <c r="B2292" s="101" t="s">
        <v>18</v>
      </c>
      <c r="C2292" s="101" t="s">
        <v>172</v>
      </c>
      <c r="D2292" s="101" t="s">
        <v>580</v>
      </c>
      <c r="E2292" s="101" t="s">
        <v>17</v>
      </c>
    </row>
    <row r="2293" spans="1:5" x14ac:dyDescent="0.3">
      <c r="A2293" t="str">
        <f t="shared" si="35"/>
        <v>0422037</v>
      </c>
      <c r="B2293" s="101" t="s">
        <v>18</v>
      </c>
      <c r="C2293" s="101" t="s">
        <v>172</v>
      </c>
      <c r="D2293" s="101" t="s">
        <v>625</v>
      </c>
      <c r="E2293" s="101" t="s">
        <v>17</v>
      </c>
    </row>
    <row r="2294" spans="1:5" x14ac:dyDescent="0.3">
      <c r="A2294" t="str">
        <f t="shared" si="35"/>
        <v>0422038</v>
      </c>
      <c r="B2294" s="101" t="s">
        <v>18</v>
      </c>
      <c r="C2294" s="101" t="s">
        <v>172</v>
      </c>
      <c r="D2294" s="101" t="s">
        <v>581</v>
      </c>
      <c r="E2294" s="101" t="s">
        <v>17</v>
      </c>
    </row>
    <row r="2295" spans="1:5" x14ac:dyDescent="0.3">
      <c r="A2295" t="str">
        <f t="shared" si="35"/>
        <v>0422039</v>
      </c>
      <c r="B2295" s="101" t="s">
        <v>18</v>
      </c>
      <c r="C2295" s="101" t="s">
        <v>172</v>
      </c>
      <c r="D2295" s="101" t="s">
        <v>582</v>
      </c>
      <c r="E2295" s="101" t="s">
        <v>17</v>
      </c>
    </row>
    <row r="2296" spans="1:5" x14ac:dyDescent="0.3">
      <c r="A2296" t="str">
        <f t="shared" si="35"/>
        <v>0422040</v>
      </c>
      <c r="B2296" s="101" t="s">
        <v>18</v>
      </c>
      <c r="C2296" s="101" t="s">
        <v>172</v>
      </c>
      <c r="D2296" s="101" t="s">
        <v>614</v>
      </c>
      <c r="E2296" s="101" t="s">
        <v>17</v>
      </c>
    </row>
    <row r="2297" spans="1:5" x14ac:dyDescent="0.3">
      <c r="A2297" t="str">
        <f t="shared" si="35"/>
        <v>0422041</v>
      </c>
      <c r="B2297" s="101" t="s">
        <v>18</v>
      </c>
      <c r="C2297" s="101" t="s">
        <v>172</v>
      </c>
      <c r="D2297" s="101" t="s">
        <v>583</v>
      </c>
      <c r="E2297" s="101" t="s">
        <v>17</v>
      </c>
    </row>
    <row r="2298" spans="1:5" x14ac:dyDescent="0.3">
      <c r="A2298" t="str">
        <f t="shared" si="35"/>
        <v>0422047</v>
      </c>
      <c r="B2298" s="101" t="s">
        <v>18</v>
      </c>
      <c r="C2298" s="101" t="s">
        <v>172</v>
      </c>
      <c r="D2298" s="101" t="s">
        <v>585</v>
      </c>
      <c r="E2298" s="101" t="s">
        <v>17</v>
      </c>
    </row>
    <row r="2299" spans="1:5" x14ac:dyDescent="0.3">
      <c r="A2299" t="str">
        <f t="shared" si="35"/>
        <v>0422803</v>
      </c>
      <c r="B2299" s="101" t="s">
        <v>18</v>
      </c>
      <c r="C2299" s="101" t="s">
        <v>172</v>
      </c>
      <c r="D2299" s="101" t="s">
        <v>540</v>
      </c>
      <c r="E2299" s="101" t="s">
        <v>17</v>
      </c>
    </row>
    <row r="2300" spans="1:5" x14ac:dyDescent="0.3">
      <c r="A2300" t="str">
        <f t="shared" si="35"/>
        <v>0422804</v>
      </c>
      <c r="B2300" s="101" t="s">
        <v>18</v>
      </c>
      <c r="C2300" s="101" t="s">
        <v>172</v>
      </c>
      <c r="D2300" s="101" t="s">
        <v>542</v>
      </c>
      <c r="E2300" s="101" t="s">
        <v>17</v>
      </c>
    </row>
    <row r="2301" spans="1:5" x14ac:dyDescent="0.3">
      <c r="A2301" t="str">
        <f t="shared" si="35"/>
        <v>0422807</v>
      </c>
      <c r="B2301" s="101" t="s">
        <v>18</v>
      </c>
      <c r="C2301" s="101" t="s">
        <v>172</v>
      </c>
      <c r="D2301" s="101" t="s">
        <v>185</v>
      </c>
      <c r="E2301" s="101" t="s">
        <v>17</v>
      </c>
    </row>
    <row r="2302" spans="1:5" x14ac:dyDescent="0.3">
      <c r="A2302" t="str">
        <f t="shared" si="35"/>
        <v>0422808</v>
      </c>
      <c r="B2302" s="101" t="s">
        <v>18</v>
      </c>
      <c r="C2302" s="101" t="s">
        <v>172</v>
      </c>
      <c r="D2302" s="101" t="s">
        <v>186</v>
      </c>
      <c r="E2302" s="101" t="s">
        <v>17</v>
      </c>
    </row>
    <row r="2303" spans="1:5" x14ac:dyDescent="0.3">
      <c r="A2303" t="str">
        <f t="shared" si="35"/>
        <v>0422541</v>
      </c>
      <c r="B2303" s="101" t="s">
        <v>18</v>
      </c>
      <c r="C2303" s="101" t="s">
        <v>172</v>
      </c>
      <c r="D2303" s="101" t="s">
        <v>325</v>
      </c>
      <c r="E2303" s="101" t="s">
        <v>17</v>
      </c>
    </row>
    <row r="2304" spans="1:5" x14ac:dyDescent="0.3">
      <c r="A2304" t="str">
        <f t="shared" si="35"/>
        <v>0422542</v>
      </c>
      <c r="B2304" s="101" t="s">
        <v>18</v>
      </c>
      <c r="C2304" s="101" t="s">
        <v>172</v>
      </c>
      <c r="D2304" s="101" t="s">
        <v>353</v>
      </c>
      <c r="E2304" s="101" t="s">
        <v>17</v>
      </c>
    </row>
    <row r="2305" spans="1:5" x14ac:dyDescent="0.3">
      <c r="A2305" t="str">
        <f t="shared" si="35"/>
        <v>0422543</v>
      </c>
      <c r="B2305" s="101" t="s">
        <v>18</v>
      </c>
      <c r="C2305" s="101" t="s">
        <v>172</v>
      </c>
      <c r="D2305" s="101" t="s">
        <v>347</v>
      </c>
      <c r="E2305" s="101" t="s">
        <v>17</v>
      </c>
    </row>
    <row r="2306" spans="1:5" x14ac:dyDescent="0.3">
      <c r="A2306" t="str">
        <f t="shared" si="35"/>
        <v>0422544</v>
      </c>
      <c r="B2306" s="101" t="s">
        <v>18</v>
      </c>
      <c r="C2306" s="101" t="s">
        <v>172</v>
      </c>
      <c r="D2306" s="101" t="s">
        <v>412</v>
      </c>
      <c r="E2306" s="101" t="s">
        <v>17</v>
      </c>
    </row>
    <row r="2307" spans="1:5" x14ac:dyDescent="0.3">
      <c r="A2307" t="str">
        <f t="shared" ref="A2307:A2370" si="36">CONCATENATE(B2307,C2307,D2307,F2307)</f>
        <v>0422545</v>
      </c>
      <c r="B2307" s="101" t="s">
        <v>18</v>
      </c>
      <c r="C2307" s="101" t="s">
        <v>172</v>
      </c>
      <c r="D2307" s="101" t="s">
        <v>413</v>
      </c>
      <c r="E2307" s="101" t="s">
        <v>17</v>
      </c>
    </row>
    <row r="2308" spans="1:5" x14ac:dyDescent="0.3">
      <c r="A2308" t="str">
        <f t="shared" si="36"/>
        <v>0422546</v>
      </c>
      <c r="B2308" s="101" t="s">
        <v>18</v>
      </c>
      <c r="C2308" s="101" t="s">
        <v>172</v>
      </c>
      <c r="D2308" s="101" t="s">
        <v>373</v>
      </c>
      <c r="E2308" s="101" t="s">
        <v>17</v>
      </c>
    </row>
    <row r="2309" spans="1:5" x14ac:dyDescent="0.3">
      <c r="A2309" t="str">
        <f t="shared" si="36"/>
        <v>0422547</v>
      </c>
      <c r="B2309" s="101" t="s">
        <v>18</v>
      </c>
      <c r="C2309" s="101" t="s">
        <v>172</v>
      </c>
      <c r="D2309" s="101" t="s">
        <v>414</v>
      </c>
      <c r="E2309" s="101" t="s">
        <v>17</v>
      </c>
    </row>
    <row r="2310" spans="1:5" x14ac:dyDescent="0.3">
      <c r="A2310" t="str">
        <f t="shared" si="36"/>
        <v>0422548</v>
      </c>
      <c r="B2310" s="101" t="s">
        <v>18</v>
      </c>
      <c r="C2310" s="101" t="s">
        <v>172</v>
      </c>
      <c r="D2310" s="101" t="s">
        <v>354</v>
      </c>
      <c r="E2310" s="101" t="s">
        <v>17</v>
      </c>
    </row>
    <row r="2311" spans="1:5" x14ac:dyDescent="0.3">
      <c r="A2311" t="str">
        <f t="shared" si="36"/>
        <v>0422549</v>
      </c>
      <c r="B2311" s="101" t="s">
        <v>18</v>
      </c>
      <c r="C2311" s="101" t="s">
        <v>172</v>
      </c>
      <c r="D2311" s="101" t="s">
        <v>348</v>
      </c>
      <c r="E2311" s="101" t="s">
        <v>17</v>
      </c>
    </row>
    <row r="2312" spans="1:5" x14ac:dyDescent="0.3">
      <c r="A2312" t="str">
        <f t="shared" si="36"/>
        <v>0422550</v>
      </c>
      <c r="B2312" s="101" t="s">
        <v>18</v>
      </c>
      <c r="C2312" s="101" t="s">
        <v>172</v>
      </c>
      <c r="D2312" s="101" t="s">
        <v>415</v>
      </c>
      <c r="E2312" s="101" t="s">
        <v>17</v>
      </c>
    </row>
    <row r="2313" spans="1:5" x14ac:dyDescent="0.3">
      <c r="A2313" t="str">
        <f t="shared" si="36"/>
        <v>0422551</v>
      </c>
      <c r="B2313" s="101" t="s">
        <v>18</v>
      </c>
      <c r="C2313" s="101" t="s">
        <v>172</v>
      </c>
      <c r="D2313" s="101" t="s">
        <v>416</v>
      </c>
      <c r="E2313" s="101" t="s">
        <v>17</v>
      </c>
    </row>
    <row r="2314" spans="1:5" x14ac:dyDescent="0.3">
      <c r="A2314" t="str">
        <f t="shared" si="36"/>
        <v>0422564</v>
      </c>
      <c r="B2314" s="101" t="s">
        <v>18</v>
      </c>
      <c r="C2314" s="101" t="s">
        <v>172</v>
      </c>
      <c r="D2314" s="101" t="s">
        <v>423</v>
      </c>
      <c r="E2314" s="101" t="s">
        <v>17</v>
      </c>
    </row>
    <row r="2315" spans="1:5" x14ac:dyDescent="0.3">
      <c r="A2315" t="str">
        <f t="shared" si="36"/>
        <v>0422573</v>
      </c>
      <c r="B2315" s="101" t="s">
        <v>18</v>
      </c>
      <c r="C2315" s="101" t="s">
        <v>172</v>
      </c>
      <c r="D2315" s="101" t="s">
        <v>432</v>
      </c>
      <c r="E2315" s="101" t="s">
        <v>17</v>
      </c>
    </row>
    <row r="2316" spans="1:5" x14ac:dyDescent="0.3">
      <c r="A2316" t="str">
        <f t="shared" si="36"/>
        <v>0422579</v>
      </c>
      <c r="B2316" s="101" t="s">
        <v>18</v>
      </c>
      <c r="C2316" s="101" t="s">
        <v>172</v>
      </c>
      <c r="D2316" s="101" t="s">
        <v>438</v>
      </c>
      <c r="E2316" s="101" t="s">
        <v>17</v>
      </c>
    </row>
    <row r="2317" spans="1:5" x14ac:dyDescent="0.3">
      <c r="A2317" t="str">
        <f t="shared" si="36"/>
        <v>0422580</v>
      </c>
      <c r="B2317" s="101" t="s">
        <v>18</v>
      </c>
      <c r="C2317" s="101" t="s">
        <v>172</v>
      </c>
      <c r="D2317" s="101" t="s">
        <v>439</v>
      </c>
      <c r="E2317" s="101" t="s">
        <v>17</v>
      </c>
    </row>
    <row r="2318" spans="1:5" x14ac:dyDescent="0.3">
      <c r="A2318" t="str">
        <f t="shared" si="36"/>
        <v>0422584</v>
      </c>
      <c r="B2318" s="101" t="s">
        <v>18</v>
      </c>
      <c r="C2318" s="101" t="s">
        <v>172</v>
      </c>
      <c r="D2318" s="101" t="s">
        <v>443</v>
      </c>
      <c r="E2318" s="101" t="s">
        <v>17</v>
      </c>
    </row>
    <row r="2319" spans="1:5" x14ac:dyDescent="0.3">
      <c r="A2319" t="str">
        <f t="shared" si="36"/>
        <v>042246</v>
      </c>
      <c r="B2319" s="101" t="s">
        <v>18</v>
      </c>
      <c r="C2319" s="101" t="s">
        <v>172</v>
      </c>
      <c r="D2319" s="101" t="s">
        <v>202</v>
      </c>
      <c r="E2319" s="101" t="s">
        <v>19</v>
      </c>
    </row>
    <row r="2320" spans="1:5" x14ac:dyDescent="0.3">
      <c r="A2320" t="str">
        <f t="shared" si="36"/>
        <v>0422556</v>
      </c>
      <c r="B2320" s="101" t="s">
        <v>18</v>
      </c>
      <c r="C2320" s="101" t="s">
        <v>172</v>
      </c>
      <c r="D2320" s="101" t="s">
        <v>342</v>
      </c>
      <c r="E2320" s="101" t="s">
        <v>19</v>
      </c>
    </row>
    <row r="2321" spans="1:5" x14ac:dyDescent="0.3">
      <c r="A2321" t="str">
        <f t="shared" si="36"/>
        <v>0422056</v>
      </c>
      <c r="B2321" s="101" t="s">
        <v>18</v>
      </c>
      <c r="C2321" s="101" t="s">
        <v>172</v>
      </c>
      <c r="D2321" s="101" t="s">
        <v>626</v>
      </c>
      <c r="E2321" s="101" t="s">
        <v>140</v>
      </c>
    </row>
    <row r="2322" spans="1:5" x14ac:dyDescent="0.3">
      <c r="A2322" t="str">
        <f t="shared" si="36"/>
        <v>0422060</v>
      </c>
      <c r="B2322" s="101" t="s">
        <v>18</v>
      </c>
      <c r="C2322" s="101" t="s">
        <v>172</v>
      </c>
      <c r="D2322" s="101" t="s">
        <v>627</v>
      </c>
      <c r="E2322" s="101" t="s">
        <v>140</v>
      </c>
    </row>
    <row r="2323" spans="1:5" x14ac:dyDescent="0.3">
      <c r="A2323" t="str">
        <f t="shared" si="36"/>
        <v>0422568</v>
      </c>
      <c r="B2323" s="101" t="s">
        <v>18</v>
      </c>
      <c r="C2323" s="101" t="s">
        <v>172</v>
      </c>
      <c r="D2323" s="101" t="s">
        <v>427</v>
      </c>
      <c r="E2323" s="101" t="s">
        <v>140</v>
      </c>
    </row>
    <row r="2324" spans="1:5" x14ac:dyDescent="0.3">
      <c r="A2324" t="str">
        <f t="shared" si="36"/>
        <v>0422572</v>
      </c>
      <c r="B2324" s="101" t="s">
        <v>18</v>
      </c>
      <c r="C2324" s="101" t="s">
        <v>172</v>
      </c>
      <c r="D2324" s="101" t="s">
        <v>431</v>
      </c>
      <c r="E2324" s="101" t="s">
        <v>140</v>
      </c>
    </row>
    <row r="2325" spans="1:5" x14ac:dyDescent="0.3">
      <c r="A2325" t="str">
        <f t="shared" si="36"/>
        <v>0422054</v>
      </c>
      <c r="B2325" s="101" t="s">
        <v>18</v>
      </c>
      <c r="C2325" s="101" t="s">
        <v>172</v>
      </c>
      <c r="D2325" s="101" t="s">
        <v>628</v>
      </c>
      <c r="E2325" s="101" t="s">
        <v>17</v>
      </c>
    </row>
    <row r="2326" spans="1:5" x14ac:dyDescent="0.3">
      <c r="A2326" t="str">
        <f t="shared" si="36"/>
        <v>0422058</v>
      </c>
      <c r="B2326" s="101" t="s">
        <v>18</v>
      </c>
      <c r="C2326" s="101" t="s">
        <v>172</v>
      </c>
      <c r="D2326" s="101" t="s">
        <v>629</v>
      </c>
      <c r="E2326" s="101" t="s">
        <v>17</v>
      </c>
    </row>
    <row r="2327" spans="1:5" x14ac:dyDescent="0.3">
      <c r="A2327" t="str">
        <f t="shared" si="36"/>
        <v>0422536</v>
      </c>
      <c r="B2327" s="101" t="s">
        <v>18</v>
      </c>
      <c r="C2327" s="101" t="s">
        <v>172</v>
      </c>
      <c r="D2327" s="101" t="s">
        <v>352</v>
      </c>
      <c r="E2327" s="101" t="s">
        <v>17</v>
      </c>
    </row>
    <row r="2328" spans="1:5" x14ac:dyDescent="0.3">
      <c r="A2328" t="str">
        <f t="shared" si="36"/>
        <v>0422566</v>
      </c>
      <c r="B2328" s="101" t="s">
        <v>18</v>
      </c>
      <c r="C2328" s="101" t="s">
        <v>172</v>
      </c>
      <c r="D2328" s="101" t="s">
        <v>425</v>
      </c>
      <c r="E2328" s="101" t="s">
        <v>17</v>
      </c>
    </row>
    <row r="2329" spans="1:5" x14ac:dyDescent="0.3">
      <c r="A2329" t="str">
        <f t="shared" si="36"/>
        <v>0422570</v>
      </c>
      <c r="B2329" s="101" t="s">
        <v>18</v>
      </c>
      <c r="C2329" s="101" t="s">
        <v>172</v>
      </c>
      <c r="D2329" s="101" t="s">
        <v>429</v>
      </c>
      <c r="E2329" s="101" t="s">
        <v>17</v>
      </c>
    </row>
    <row r="2330" spans="1:5" x14ac:dyDescent="0.3">
      <c r="A2330" t="str">
        <f t="shared" si="36"/>
        <v>0422818</v>
      </c>
      <c r="B2330" s="101" t="s">
        <v>18</v>
      </c>
      <c r="C2330" s="101" t="s">
        <v>172</v>
      </c>
      <c r="D2330" s="101" t="s">
        <v>546</v>
      </c>
      <c r="E2330" s="101" t="s">
        <v>17</v>
      </c>
    </row>
    <row r="2331" spans="1:5" x14ac:dyDescent="0.3">
      <c r="A2331" t="str">
        <f t="shared" si="36"/>
        <v>0422819</v>
      </c>
      <c r="B2331" s="101" t="s">
        <v>18</v>
      </c>
      <c r="C2331" s="101" t="s">
        <v>172</v>
      </c>
      <c r="D2331" s="101" t="s">
        <v>547</v>
      </c>
      <c r="E2331" s="101" t="s">
        <v>17</v>
      </c>
    </row>
    <row r="2332" spans="1:5" x14ac:dyDescent="0.3">
      <c r="A2332" t="str">
        <f t="shared" si="36"/>
        <v>0422043</v>
      </c>
      <c r="B2332" s="101" t="s">
        <v>18</v>
      </c>
      <c r="C2332" s="101" t="s">
        <v>172</v>
      </c>
      <c r="D2332" s="101" t="s">
        <v>419</v>
      </c>
      <c r="E2332" s="101" t="s">
        <v>17</v>
      </c>
    </row>
    <row r="2333" spans="1:5" x14ac:dyDescent="0.3">
      <c r="A2333" t="str">
        <f t="shared" si="36"/>
        <v>0422574</v>
      </c>
      <c r="B2333" s="101" t="s">
        <v>18</v>
      </c>
      <c r="C2333" s="101" t="s">
        <v>172</v>
      </c>
      <c r="D2333" s="101" t="s">
        <v>433</v>
      </c>
      <c r="E2333" s="101" t="s">
        <v>17</v>
      </c>
    </row>
    <row r="2334" spans="1:5" x14ac:dyDescent="0.3">
      <c r="A2334" t="str">
        <f t="shared" si="36"/>
        <v>0422581</v>
      </c>
      <c r="B2334" s="101" t="s">
        <v>18</v>
      </c>
      <c r="C2334" s="101" t="s">
        <v>172</v>
      </c>
      <c r="D2334" s="101" t="s">
        <v>440</v>
      </c>
      <c r="E2334" s="101" t="s">
        <v>17</v>
      </c>
    </row>
    <row r="2335" spans="1:5" x14ac:dyDescent="0.3">
      <c r="A2335" t="str">
        <f t="shared" si="36"/>
        <v>0422553</v>
      </c>
      <c r="B2335" s="101" t="s">
        <v>18</v>
      </c>
      <c r="C2335" s="101" t="s">
        <v>172</v>
      </c>
      <c r="D2335" s="101" t="s">
        <v>417</v>
      </c>
      <c r="E2335" s="101" t="s">
        <v>17</v>
      </c>
    </row>
    <row r="2336" spans="1:5" x14ac:dyDescent="0.3">
      <c r="A2336" t="str">
        <f t="shared" si="36"/>
        <v>0422048</v>
      </c>
      <c r="B2336" s="101" t="s">
        <v>18</v>
      </c>
      <c r="C2336" s="101" t="s">
        <v>172</v>
      </c>
      <c r="D2336" s="101" t="s">
        <v>586</v>
      </c>
      <c r="E2336" s="101" t="s">
        <v>17</v>
      </c>
    </row>
    <row r="2337" spans="1:5" x14ac:dyDescent="0.3">
      <c r="A2337" t="str">
        <f t="shared" si="36"/>
        <v>0422052</v>
      </c>
      <c r="B2337" s="101" t="s">
        <v>18</v>
      </c>
      <c r="C2337" s="101" t="s">
        <v>172</v>
      </c>
      <c r="D2337" s="101" t="s">
        <v>630</v>
      </c>
      <c r="E2337" s="101" t="s">
        <v>17</v>
      </c>
    </row>
    <row r="2338" spans="1:5" x14ac:dyDescent="0.3">
      <c r="A2338" t="str">
        <f t="shared" si="36"/>
        <v>0422585</v>
      </c>
      <c r="B2338" s="101" t="s">
        <v>18</v>
      </c>
      <c r="C2338" s="101" t="s">
        <v>172</v>
      </c>
      <c r="D2338" s="101" t="s">
        <v>444</v>
      </c>
      <c r="E2338" s="101" t="s">
        <v>17</v>
      </c>
    </row>
    <row r="2339" spans="1:5" x14ac:dyDescent="0.3">
      <c r="A2339" t="str">
        <f t="shared" si="36"/>
        <v>0422586</v>
      </c>
      <c r="B2339" s="101" t="s">
        <v>18</v>
      </c>
      <c r="C2339" s="101" t="s">
        <v>172</v>
      </c>
      <c r="D2339" s="101" t="s">
        <v>445</v>
      </c>
      <c r="E2339" s="101" t="s">
        <v>17</v>
      </c>
    </row>
    <row r="2340" spans="1:5" x14ac:dyDescent="0.3">
      <c r="A2340" t="str">
        <f t="shared" si="36"/>
        <v>0422063</v>
      </c>
      <c r="B2340" s="101" t="s">
        <v>18</v>
      </c>
      <c r="C2340" s="101" t="s">
        <v>172</v>
      </c>
      <c r="D2340" s="101" t="s">
        <v>631</v>
      </c>
      <c r="E2340" s="101" t="s">
        <v>17</v>
      </c>
    </row>
    <row r="2341" spans="1:5" x14ac:dyDescent="0.3">
      <c r="A2341" t="str">
        <f t="shared" si="36"/>
        <v>0422064</v>
      </c>
      <c r="B2341" s="101" t="s">
        <v>18</v>
      </c>
      <c r="C2341" s="101" t="s">
        <v>172</v>
      </c>
      <c r="D2341" s="101" t="s">
        <v>610</v>
      </c>
      <c r="E2341" s="101" t="s">
        <v>17</v>
      </c>
    </row>
    <row r="2342" spans="1:5" x14ac:dyDescent="0.3">
      <c r="A2342" t="str">
        <f t="shared" si="36"/>
        <v>0422065</v>
      </c>
      <c r="B2342" s="101" t="s">
        <v>18</v>
      </c>
      <c r="C2342" s="101" t="s">
        <v>172</v>
      </c>
      <c r="D2342" s="101" t="s">
        <v>611</v>
      </c>
      <c r="E2342" s="101" t="s">
        <v>17</v>
      </c>
    </row>
    <row r="2343" spans="1:5" x14ac:dyDescent="0.3">
      <c r="A2343" t="str">
        <f t="shared" si="36"/>
        <v>0422066</v>
      </c>
      <c r="B2343" s="101" t="s">
        <v>18</v>
      </c>
      <c r="C2343" s="101" t="s">
        <v>172</v>
      </c>
      <c r="D2343" s="101" t="s">
        <v>609</v>
      </c>
      <c r="E2343" s="101" t="s">
        <v>17</v>
      </c>
    </row>
    <row r="2344" spans="1:5" x14ac:dyDescent="0.3">
      <c r="A2344" t="str">
        <f t="shared" si="36"/>
        <v>0422067</v>
      </c>
      <c r="B2344" s="101" t="s">
        <v>18</v>
      </c>
      <c r="C2344" s="101" t="s">
        <v>172</v>
      </c>
      <c r="D2344" s="101" t="s">
        <v>602</v>
      </c>
      <c r="E2344" s="101" t="s">
        <v>17</v>
      </c>
    </row>
    <row r="2345" spans="1:5" x14ac:dyDescent="0.3">
      <c r="A2345" t="str">
        <f t="shared" si="36"/>
        <v>0422068</v>
      </c>
      <c r="B2345" s="101" t="s">
        <v>18</v>
      </c>
      <c r="C2345" s="101" t="s">
        <v>172</v>
      </c>
      <c r="D2345" s="101" t="s">
        <v>603</v>
      </c>
      <c r="E2345" s="101" t="s">
        <v>17</v>
      </c>
    </row>
    <row r="2346" spans="1:5" x14ac:dyDescent="0.3">
      <c r="A2346" t="str">
        <f t="shared" si="36"/>
        <v>0422069</v>
      </c>
      <c r="B2346" s="101" t="s">
        <v>18</v>
      </c>
      <c r="C2346" s="101" t="s">
        <v>172</v>
      </c>
      <c r="D2346" s="101" t="s">
        <v>604</v>
      </c>
      <c r="E2346" s="101" t="s">
        <v>17</v>
      </c>
    </row>
    <row r="2347" spans="1:5" x14ac:dyDescent="0.3">
      <c r="A2347" t="str">
        <f t="shared" si="36"/>
        <v>0422070</v>
      </c>
      <c r="B2347" s="101" t="s">
        <v>18</v>
      </c>
      <c r="C2347" s="101" t="s">
        <v>172</v>
      </c>
      <c r="D2347" s="101" t="s">
        <v>605</v>
      </c>
      <c r="E2347" s="101" t="s">
        <v>17</v>
      </c>
    </row>
    <row r="2348" spans="1:5" x14ac:dyDescent="0.3">
      <c r="A2348" t="str">
        <f t="shared" si="36"/>
        <v>0422071</v>
      </c>
      <c r="B2348" s="101" t="s">
        <v>18</v>
      </c>
      <c r="C2348" s="101" t="s">
        <v>172</v>
      </c>
      <c r="D2348" s="101" t="s">
        <v>600</v>
      </c>
      <c r="E2348" s="101" t="s">
        <v>17</v>
      </c>
    </row>
    <row r="2349" spans="1:5" x14ac:dyDescent="0.3">
      <c r="A2349" t="str">
        <f t="shared" si="36"/>
        <v>0422072</v>
      </c>
      <c r="B2349" s="101" t="s">
        <v>18</v>
      </c>
      <c r="C2349" s="101" t="s">
        <v>172</v>
      </c>
      <c r="D2349" s="101" t="s">
        <v>601</v>
      </c>
      <c r="E2349" s="101" t="s">
        <v>17</v>
      </c>
    </row>
    <row r="2350" spans="1:5" x14ac:dyDescent="0.3">
      <c r="A2350" t="str">
        <f t="shared" si="36"/>
        <v>0422074</v>
      </c>
      <c r="B2350" s="101" t="s">
        <v>18</v>
      </c>
      <c r="C2350" s="101" t="s">
        <v>172</v>
      </c>
      <c r="D2350" s="101" t="s">
        <v>613</v>
      </c>
      <c r="E2350" s="101" t="s">
        <v>17</v>
      </c>
    </row>
    <row r="2351" spans="1:5" x14ac:dyDescent="0.3">
      <c r="A2351" t="str">
        <f t="shared" si="36"/>
        <v>0422588</v>
      </c>
      <c r="B2351" s="101" t="s">
        <v>18</v>
      </c>
      <c r="C2351" s="101" t="s">
        <v>172</v>
      </c>
      <c r="D2351" s="101" t="s">
        <v>447</v>
      </c>
      <c r="E2351" s="101" t="s">
        <v>17</v>
      </c>
    </row>
    <row r="2352" spans="1:5" x14ac:dyDescent="0.3">
      <c r="A2352" t="str">
        <f t="shared" si="36"/>
        <v>0422589</v>
      </c>
      <c r="B2352" s="101" t="s">
        <v>18</v>
      </c>
      <c r="C2352" s="101" t="s">
        <v>172</v>
      </c>
      <c r="D2352" s="101" t="s">
        <v>448</v>
      </c>
      <c r="E2352" s="101" t="s">
        <v>17</v>
      </c>
    </row>
    <row r="2353" spans="1:5" x14ac:dyDescent="0.3">
      <c r="A2353" t="str">
        <f t="shared" si="36"/>
        <v>0422590</v>
      </c>
      <c r="B2353" s="101" t="s">
        <v>18</v>
      </c>
      <c r="C2353" s="101" t="s">
        <v>172</v>
      </c>
      <c r="D2353" s="101" t="s">
        <v>449</v>
      </c>
      <c r="E2353" s="101" t="s">
        <v>17</v>
      </c>
    </row>
    <row r="2354" spans="1:5" x14ac:dyDescent="0.3">
      <c r="A2354" t="str">
        <f t="shared" si="36"/>
        <v>0422591</v>
      </c>
      <c r="B2354" s="101" t="s">
        <v>18</v>
      </c>
      <c r="C2354" s="101" t="s">
        <v>172</v>
      </c>
      <c r="D2354" s="101" t="s">
        <v>450</v>
      </c>
      <c r="E2354" s="101" t="s">
        <v>17</v>
      </c>
    </row>
    <row r="2355" spans="1:5" x14ac:dyDescent="0.3">
      <c r="A2355" t="str">
        <f t="shared" si="36"/>
        <v>0422592</v>
      </c>
      <c r="B2355" s="101" t="s">
        <v>18</v>
      </c>
      <c r="C2355" s="101" t="s">
        <v>172</v>
      </c>
      <c r="D2355" s="101" t="s">
        <v>451</v>
      </c>
      <c r="E2355" s="101" t="s">
        <v>17</v>
      </c>
    </row>
    <row r="2356" spans="1:5" x14ac:dyDescent="0.3">
      <c r="A2356" t="str">
        <f t="shared" si="36"/>
        <v>0422593</v>
      </c>
      <c r="B2356" s="101" t="s">
        <v>18</v>
      </c>
      <c r="C2356" s="101" t="s">
        <v>172</v>
      </c>
      <c r="D2356" s="101" t="s">
        <v>452</v>
      </c>
      <c r="E2356" s="101" t="s">
        <v>17</v>
      </c>
    </row>
    <row r="2357" spans="1:5" x14ac:dyDescent="0.3">
      <c r="A2357" t="str">
        <f t="shared" si="36"/>
        <v>0422594</v>
      </c>
      <c r="B2357" s="101" t="s">
        <v>18</v>
      </c>
      <c r="C2357" s="101" t="s">
        <v>172</v>
      </c>
      <c r="D2357" s="101" t="s">
        <v>454</v>
      </c>
      <c r="E2357" s="101" t="s">
        <v>17</v>
      </c>
    </row>
    <row r="2358" spans="1:5" x14ac:dyDescent="0.3">
      <c r="A2358" t="str">
        <f t="shared" si="36"/>
        <v>0422595</v>
      </c>
      <c r="B2358" s="101" t="s">
        <v>18</v>
      </c>
      <c r="C2358" s="101" t="s">
        <v>172</v>
      </c>
      <c r="D2358" s="101" t="s">
        <v>456</v>
      </c>
      <c r="E2358" s="101" t="s">
        <v>17</v>
      </c>
    </row>
    <row r="2359" spans="1:5" x14ac:dyDescent="0.3">
      <c r="A2359" t="str">
        <f t="shared" si="36"/>
        <v>0422596</v>
      </c>
      <c r="B2359" s="101" t="s">
        <v>18</v>
      </c>
      <c r="C2359" s="101" t="s">
        <v>172</v>
      </c>
      <c r="D2359" s="101" t="s">
        <v>457</v>
      </c>
      <c r="E2359" s="101" t="s">
        <v>17</v>
      </c>
    </row>
    <row r="2360" spans="1:5" x14ac:dyDescent="0.3">
      <c r="A2360" t="str">
        <f t="shared" si="36"/>
        <v>0422597</v>
      </c>
      <c r="B2360" s="101" t="s">
        <v>18</v>
      </c>
      <c r="C2360" s="101" t="s">
        <v>172</v>
      </c>
      <c r="D2360" s="101" t="s">
        <v>458</v>
      </c>
      <c r="E2360" s="101" t="s">
        <v>17</v>
      </c>
    </row>
    <row r="2361" spans="1:5" x14ac:dyDescent="0.3">
      <c r="A2361" t="str">
        <f t="shared" si="36"/>
        <v>0422599</v>
      </c>
      <c r="B2361" s="101" t="s">
        <v>18</v>
      </c>
      <c r="C2361" s="101" t="s">
        <v>172</v>
      </c>
      <c r="D2361" s="101" t="s">
        <v>460</v>
      </c>
      <c r="E2361" s="101" t="s">
        <v>17</v>
      </c>
    </row>
    <row r="2362" spans="1:5" x14ac:dyDescent="0.3">
      <c r="A2362" t="str">
        <f t="shared" si="36"/>
        <v>0422001</v>
      </c>
      <c r="B2362" s="101" t="s">
        <v>18</v>
      </c>
      <c r="C2362" s="101" t="s">
        <v>172</v>
      </c>
      <c r="D2362" s="101" t="s">
        <v>549</v>
      </c>
      <c r="E2362" s="101" t="s">
        <v>17</v>
      </c>
    </row>
    <row r="2363" spans="1:5" x14ac:dyDescent="0.3">
      <c r="A2363" t="str">
        <f t="shared" si="36"/>
        <v>0422002</v>
      </c>
      <c r="B2363" s="101" t="s">
        <v>18</v>
      </c>
      <c r="C2363" s="101" t="s">
        <v>172</v>
      </c>
      <c r="D2363" s="101" t="s">
        <v>596</v>
      </c>
      <c r="E2363" s="101" t="s">
        <v>17</v>
      </c>
    </row>
    <row r="2364" spans="1:5" x14ac:dyDescent="0.3">
      <c r="A2364" t="str">
        <f t="shared" si="36"/>
        <v>0422003</v>
      </c>
      <c r="B2364" s="101" t="s">
        <v>18</v>
      </c>
      <c r="C2364" s="101" t="s">
        <v>172</v>
      </c>
      <c r="D2364" s="101" t="s">
        <v>597</v>
      </c>
      <c r="E2364" s="101" t="s">
        <v>17</v>
      </c>
    </row>
    <row r="2365" spans="1:5" x14ac:dyDescent="0.3">
      <c r="A2365" t="str">
        <f t="shared" si="36"/>
        <v>0422004</v>
      </c>
      <c r="B2365" s="101" t="s">
        <v>18</v>
      </c>
      <c r="C2365" s="101" t="s">
        <v>172</v>
      </c>
      <c r="D2365" s="101" t="s">
        <v>598</v>
      </c>
      <c r="E2365" s="101" t="s">
        <v>17</v>
      </c>
    </row>
    <row r="2366" spans="1:5" x14ac:dyDescent="0.3">
      <c r="A2366" t="str">
        <f t="shared" si="36"/>
        <v>0422005</v>
      </c>
      <c r="B2366" s="101" t="s">
        <v>18</v>
      </c>
      <c r="C2366" s="101" t="s">
        <v>172</v>
      </c>
      <c r="D2366" s="101" t="s">
        <v>399</v>
      </c>
      <c r="E2366" s="101" t="s">
        <v>17</v>
      </c>
    </row>
    <row r="2367" spans="1:5" x14ac:dyDescent="0.3">
      <c r="A2367" t="str">
        <f t="shared" si="36"/>
        <v>0422006</v>
      </c>
      <c r="B2367" s="101" t="s">
        <v>18</v>
      </c>
      <c r="C2367" s="101" t="s">
        <v>172</v>
      </c>
      <c r="D2367" s="101" t="s">
        <v>400</v>
      </c>
      <c r="E2367" s="101" t="s">
        <v>17</v>
      </c>
    </row>
    <row r="2368" spans="1:5" x14ac:dyDescent="0.3">
      <c r="A2368" t="str">
        <f t="shared" si="36"/>
        <v>0422007</v>
      </c>
      <c r="B2368" s="101" t="s">
        <v>18</v>
      </c>
      <c r="C2368" s="101" t="s">
        <v>172</v>
      </c>
      <c r="D2368" s="101" t="s">
        <v>401</v>
      </c>
      <c r="E2368" s="101" t="s">
        <v>17</v>
      </c>
    </row>
    <row r="2369" spans="1:5" x14ac:dyDescent="0.3">
      <c r="A2369" t="str">
        <f t="shared" si="36"/>
        <v>0422008</v>
      </c>
      <c r="B2369" s="101" t="s">
        <v>18</v>
      </c>
      <c r="C2369" s="101" t="s">
        <v>172</v>
      </c>
      <c r="D2369" s="101" t="s">
        <v>405</v>
      </c>
      <c r="E2369" s="101" t="s">
        <v>17</v>
      </c>
    </row>
    <row r="2370" spans="1:5" x14ac:dyDescent="0.3">
      <c r="A2370" t="str">
        <f t="shared" si="36"/>
        <v>0422009</v>
      </c>
      <c r="B2370" s="101" t="s">
        <v>18</v>
      </c>
      <c r="C2370" s="101" t="s">
        <v>172</v>
      </c>
      <c r="D2370" s="101" t="s">
        <v>406</v>
      </c>
      <c r="E2370" s="101" t="s">
        <v>17</v>
      </c>
    </row>
    <row r="2371" spans="1:5" x14ac:dyDescent="0.3">
      <c r="A2371" t="str">
        <f t="shared" ref="A2371:A2434" si="37">CONCATENATE(B2371,C2371,D2371,F2371)</f>
        <v>0422010</v>
      </c>
      <c r="B2371" s="101" t="s">
        <v>18</v>
      </c>
      <c r="C2371" s="101" t="s">
        <v>172</v>
      </c>
      <c r="D2371" s="101" t="s">
        <v>599</v>
      </c>
      <c r="E2371" s="101" t="s">
        <v>17</v>
      </c>
    </row>
    <row r="2372" spans="1:5" x14ac:dyDescent="0.3">
      <c r="A2372" t="str">
        <f t="shared" si="37"/>
        <v>0422011</v>
      </c>
      <c r="B2372" s="101" t="s">
        <v>18</v>
      </c>
      <c r="C2372" s="101" t="s">
        <v>172</v>
      </c>
      <c r="D2372" s="101" t="s">
        <v>402</v>
      </c>
      <c r="E2372" s="101" t="s">
        <v>17</v>
      </c>
    </row>
    <row r="2373" spans="1:5" x14ac:dyDescent="0.3">
      <c r="A2373" t="str">
        <f t="shared" si="37"/>
        <v>0422012</v>
      </c>
      <c r="B2373" s="101" t="s">
        <v>18</v>
      </c>
      <c r="C2373" s="101" t="s">
        <v>172</v>
      </c>
      <c r="D2373" s="101" t="s">
        <v>392</v>
      </c>
      <c r="E2373" s="101" t="s">
        <v>17</v>
      </c>
    </row>
    <row r="2374" spans="1:5" x14ac:dyDescent="0.3">
      <c r="A2374" t="str">
        <f t="shared" si="37"/>
        <v>0422013</v>
      </c>
      <c r="B2374" s="101" t="s">
        <v>18</v>
      </c>
      <c r="C2374" s="101" t="s">
        <v>172</v>
      </c>
      <c r="D2374" s="101" t="s">
        <v>403</v>
      </c>
      <c r="E2374" s="101" t="s">
        <v>17</v>
      </c>
    </row>
    <row r="2375" spans="1:5" x14ac:dyDescent="0.3">
      <c r="A2375" t="str">
        <f t="shared" si="37"/>
        <v>0422014</v>
      </c>
      <c r="B2375" s="101" t="s">
        <v>18</v>
      </c>
      <c r="C2375" s="101" t="s">
        <v>172</v>
      </c>
      <c r="D2375" s="101" t="s">
        <v>531</v>
      </c>
      <c r="E2375" s="101" t="s">
        <v>17</v>
      </c>
    </row>
    <row r="2376" spans="1:5" x14ac:dyDescent="0.3">
      <c r="A2376" t="str">
        <f t="shared" si="37"/>
        <v>0422015</v>
      </c>
      <c r="B2376" s="101" t="s">
        <v>18</v>
      </c>
      <c r="C2376" s="101" t="s">
        <v>172</v>
      </c>
      <c r="D2376" s="101" t="s">
        <v>321</v>
      </c>
      <c r="E2376" s="101" t="s">
        <v>17</v>
      </c>
    </row>
    <row r="2377" spans="1:5" x14ac:dyDescent="0.3">
      <c r="A2377" t="str">
        <f t="shared" si="37"/>
        <v>0422016</v>
      </c>
      <c r="B2377" s="101" t="s">
        <v>18</v>
      </c>
      <c r="C2377" s="101" t="s">
        <v>172</v>
      </c>
      <c r="D2377" s="101" t="s">
        <v>396</v>
      </c>
      <c r="E2377" s="101" t="s">
        <v>17</v>
      </c>
    </row>
    <row r="2378" spans="1:5" x14ac:dyDescent="0.3">
      <c r="A2378" t="str">
        <f t="shared" si="37"/>
        <v>0422017</v>
      </c>
      <c r="B2378" s="101" t="s">
        <v>18</v>
      </c>
      <c r="C2378" s="101" t="s">
        <v>172</v>
      </c>
      <c r="D2378" s="101" t="s">
        <v>575</v>
      </c>
      <c r="E2378" s="101" t="s">
        <v>17</v>
      </c>
    </row>
    <row r="2379" spans="1:5" x14ac:dyDescent="0.3">
      <c r="A2379" t="str">
        <f t="shared" si="37"/>
        <v>0422018</v>
      </c>
      <c r="B2379" s="101" t="s">
        <v>18</v>
      </c>
      <c r="C2379" s="101" t="s">
        <v>172</v>
      </c>
      <c r="D2379" s="101" t="s">
        <v>576</v>
      </c>
      <c r="E2379" s="101" t="s">
        <v>17</v>
      </c>
    </row>
    <row r="2380" spans="1:5" x14ac:dyDescent="0.3">
      <c r="A2380" t="str">
        <f t="shared" si="37"/>
        <v>0422019</v>
      </c>
      <c r="B2380" s="101" t="s">
        <v>18</v>
      </c>
      <c r="C2380" s="101" t="s">
        <v>172</v>
      </c>
      <c r="D2380" s="101" t="s">
        <v>393</v>
      </c>
      <c r="E2380" s="101" t="s">
        <v>17</v>
      </c>
    </row>
    <row r="2381" spans="1:5" x14ac:dyDescent="0.3">
      <c r="A2381" t="str">
        <f t="shared" si="37"/>
        <v>0422020</v>
      </c>
      <c r="B2381" s="101" t="s">
        <v>18</v>
      </c>
      <c r="C2381" s="101" t="s">
        <v>172</v>
      </c>
      <c r="D2381" s="101" t="s">
        <v>577</v>
      </c>
      <c r="E2381" s="101" t="s">
        <v>17</v>
      </c>
    </row>
    <row r="2382" spans="1:5" x14ac:dyDescent="0.3">
      <c r="A2382" t="str">
        <f t="shared" si="37"/>
        <v>0422021</v>
      </c>
      <c r="B2382" s="101" t="s">
        <v>18</v>
      </c>
      <c r="C2382" s="101" t="s">
        <v>172</v>
      </c>
      <c r="D2382" s="101" t="s">
        <v>477</v>
      </c>
      <c r="E2382" s="101" t="s">
        <v>17</v>
      </c>
    </row>
    <row r="2383" spans="1:5" x14ac:dyDescent="0.3">
      <c r="A2383" t="str">
        <f t="shared" si="37"/>
        <v>0422022</v>
      </c>
      <c r="B2383" s="101" t="s">
        <v>18</v>
      </c>
      <c r="C2383" s="101" t="s">
        <v>172</v>
      </c>
      <c r="D2383" s="101" t="s">
        <v>322</v>
      </c>
      <c r="E2383" s="101" t="s">
        <v>17</v>
      </c>
    </row>
    <row r="2384" spans="1:5" x14ac:dyDescent="0.3">
      <c r="A2384" t="str">
        <f t="shared" si="37"/>
        <v>0422023</v>
      </c>
      <c r="B2384" s="101" t="s">
        <v>18</v>
      </c>
      <c r="C2384" s="101" t="s">
        <v>172</v>
      </c>
      <c r="D2384" s="101" t="s">
        <v>480</v>
      </c>
      <c r="E2384" s="101" t="s">
        <v>17</v>
      </c>
    </row>
    <row r="2385" spans="1:5" x14ac:dyDescent="0.3">
      <c r="A2385" t="str">
        <f t="shared" si="37"/>
        <v>0422024</v>
      </c>
      <c r="B2385" s="101" t="s">
        <v>18</v>
      </c>
      <c r="C2385" s="101" t="s">
        <v>172</v>
      </c>
      <c r="D2385" s="101" t="s">
        <v>481</v>
      </c>
      <c r="E2385" s="101" t="s">
        <v>17</v>
      </c>
    </row>
    <row r="2386" spans="1:5" x14ac:dyDescent="0.3">
      <c r="A2386" t="str">
        <f t="shared" si="37"/>
        <v>0422025</v>
      </c>
      <c r="B2386" s="101" t="s">
        <v>18</v>
      </c>
      <c r="C2386" s="101" t="s">
        <v>172</v>
      </c>
      <c r="D2386" s="101" t="s">
        <v>367</v>
      </c>
      <c r="E2386" s="101" t="s">
        <v>17</v>
      </c>
    </row>
    <row r="2387" spans="1:5" x14ac:dyDescent="0.3">
      <c r="A2387" t="str">
        <f t="shared" si="37"/>
        <v>0422044</v>
      </c>
      <c r="B2387" s="101" t="s">
        <v>18</v>
      </c>
      <c r="C2387" s="101" t="s">
        <v>172</v>
      </c>
      <c r="D2387" s="101" t="s">
        <v>420</v>
      </c>
      <c r="E2387" s="101" t="s">
        <v>17</v>
      </c>
    </row>
    <row r="2388" spans="1:5" x14ac:dyDescent="0.3">
      <c r="A2388" t="str">
        <f t="shared" si="37"/>
        <v>0422045</v>
      </c>
      <c r="B2388" s="101" t="s">
        <v>18</v>
      </c>
      <c r="C2388" s="101" t="s">
        <v>172</v>
      </c>
      <c r="D2388" s="101" t="s">
        <v>453</v>
      </c>
      <c r="E2388" s="101" t="s">
        <v>17</v>
      </c>
    </row>
    <row r="2389" spans="1:5" x14ac:dyDescent="0.3">
      <c r="A2389" t="str">
        <f t="shared" si="37"/>
        <v>0422055</v>
      </c>
      <c r="B2389" s="101" t="s">
        <v>18</v>
      </c>
      <c r="C2389" s="101" t="s">
        <v>172</v>
      </c>
      <c r="D2389" s="101" t="s">
        <v>608</v>
      </c>
      <c r="E2389" s="101" t="s">
        <v>17</v>
      </c>
    </row>
    <row r="2390" spans="1:5" x14ac:dyDescent="0.3">
      <c r="A2390" t="str">
        <f t="shared" si="37"/>
        <v>0422062</v>
      </c>
      <c r="B2390" s="101" t="s">
        <v>18</v>
      </c>
      <c r="C2390" s="101" t="s">
        <v>172</v>
      </c>
      <c r="D2390" s="101" t="s">
        <v>632</v>
      </c>
      <c r="E2390" s="101" t="s">
        <v>17</v>
      </c>
    </row>
    <row r="2391" spans="1:5" x14ac:dyDescent="0.3">
      <c r="A2391" t="str">
        <f t="shared" si="37"/>
        <v>0422824</v>
      </c>
      <c r="B2391" s="101" t="s">
        <v>18</v>
      </c>
      <c r="C2391" s="101" t="s">
        <v>172</v>
      </c>
      <c r="D2391" s="101" t="s">
        <v>551</v>
      </c>
      <c r="E2391" s="101" t="s">
        <v>17</v>
      </c>
    </row>
    <row r="2392" spans="1:5" x14ac:dyDescent="0.3">
      <c r="A2392" t="str">
        <f t="shared" si="37"/>
        <v>0422825</v>
      </c>
      <c r="B2392" s="101" t="s">
        <v>18</v>
      </c>
      <c r="C2392" s="101" t="s">
        <v>172</v>
      </c>
      <c r="D2392" s="101" t="s">
        <v>552</v>
      </c>
      <c r="E2392" s="101" t="s">
        <v>17</v>
      </c>
    </row>
    <row r="2393" spans="1:5" x14ac:dyDescent="0.3">
      <c r="A2393" t="str">
        <f t="shared" si="37"/>
        <v>0422510</v>
      </c>
      <c r="B2393" s="101" t="s">
        <v>18</v>
      </c>
      <c r="C2393" s="101" t="s">
        <v>172</v>
      </c>
      <c r="D2393" s="101" t="s">
        <v>385</v>
      </c>
      <c r="E2393" s="101" t="s">
        <v>17</v>
      </c>
    </row>
    <row r="2394" spans="1:5" x14ac:dyDescent="0.3">
      <c r="A2394" t="str">
        <f t="shared" si="37"/>
        <v>0422511</v>
      </c>
      <c r="B2394" s="101" t="s">
        <v>18</v>
      </c>
      <c r="C2394" s="101" t="s">
        <v>172</v>
      </c>
      <c r="D2394" s="101" t="s">
        <v>386</v>
      </c>
      <c r="E2394" s="101" t="s">
        <v>17</v>
      </c>
    </row>
    <row r="2395" spans="1:5" x14ac:dyDescent="0.3">
      <c r="A2395" t="str">
        <f t="shared" si="37"/>
        <v>0422512</v>
      </c>
      <c r="B2395" s="101" t="s">
        <v>18</v>
      </c>
      <c r="C2395" s="101" t="s">
        <v>172</v>
      </c>
      <c r="D2395" s="101" t="s">
        <v>398</v>
      </c>
      <c r="E2395" s="101" t="s">
        <v>17</v>
      </c>
    </row>
    <row r="2396" spans="1:5" x14ac:dyDescent="0.3">
      <c r="A2396" t="str">
        <f t="shared" si="37"/>
        <v>0422513</v>
      </c>
      <c r="B2396" s="101" t="s">
        <v>18</v>
      </c>
      <c r="C2396" s="101" t="s">
        <v>172</v>
      </c>
      <c r="D2396" s="101" t="s">
        <v>387</v>
      </c>
      <c r="E2396" s="101" t="s">
        <v>17</v>
      </c>
    </row>
    <row r="2397" spans="1:5" x14ac:dyDescent="0.3">
      <c r="A2397" t="str">
        <f t="shared" si="37"/>
        <v>0422514</v>
      </c>
      <c r="B2397" s="101" t="s">
        <v>18</v>
      </c>
      <c r="C2397" s="101" t="s">
        <v>172</v>
      </c>
      <c r="D2397" s="101" t="s">
        <v>388</v>
      </c>
      <c r="E2397" s="101" t="s">
        <v>17</v>
      </c>
    </row>
    <row r="2398" spans="1:5" x14ac:dyDescent="0.3">
      <c r="A2398" t="str">
        <f t="shared" si="37"/>
        <v>0422515</v>
      </c>
      <c r="B2398" s="101" t="s">
        <v>18</v>
      </c>
      <c r="C2398" s="101" t="s">
        <v>172</v>
      </c>
      <c r="D2398" s="101" t="s">
        <v>407</v>
      </c>
      <c r="E2398" s="101" t="s">
        <v>17</v>
      </c>
    </row>
    <row r="2399" spans="1:5" x14ac:dyDescent="0.3">
      <c r="A2399" t="str">
        <f t="shared" si="37"/>
        <v>0422516</v>
      </c>
      <c r="B2399" s="101" t="s">
        <v>18</v>
      </c>
      <c r="C2399" s="101" t="s">
        <v>172</v>
      </c>
      <c r="D2399" s="101" t="s">
        <v>389</v>
      </c>
      <c r="E2399" s="101" t="s">
        <v>17</v>
      </c>
    </row>
    <row r="2400" spans="1:5" x14ac:dyDescent="0.3">
      <c r="A2400" t="str">
        <f t="shared" si="37"/>
        <v>0422517</v>
      </c>
      <c r="B2400" s="101" t="s">
        <v>18</v>
      </c>
      <c r="C2400" s="101" t="s">
        <v>172</v>
      </c>
      <c r="D2400" s="101" t="s">
        <v>390</v>
      </c>
      <c r="E2400" s="101" t="s">
        <v>17</v>
      </c>
    </row>
    <row r="2401" spans="1:5" x14ac:dyDescent="0.3">
      <c r="A2401" t="str">
        <f t="shared" si="37"/>
        <v>0422518</v>
      </c>
      <c r="B2401" s="101" t="s">
        <v>18</v>
      </c>
      <c r="C2401" s="101" t="s">
        <v>172</v>
      </c>
      <c r="D2401" s="101" t="s">
        <v>382</v>
      </c>
      <c r="E2401" s="101" t="s">
        <v>17</v>
      </c>
    </row>
    <row r="2402" spans="1:5" x14ac:dyDescent="0.3">
      <c r="A2402" t="str">
        <f t="shared" si="37"/>
        <v>0422519</v>
      </c>
      <c r="B2402" s="101" t="s">
        <v>18</v>
      </c>
      <c r="C2402" s="101" t="s">
        <v>172</v>
      </c>
      <c r="D2402" s="101" t="s">
        <v>383</v>
      </c>
      <c r="E2402" s="101" t="s">
        <v>17</v>
      </c>
    </row>
    <row r="2403" spans="1:5" x14ac:dyDescent="0.3">
      <c r="A2403" t="str">
        <f t="shared" si="37"/>
        <v>0422520</v>
      </c>
      <c r="B2403" s="101" t="s">
        <v>18</v>
      </c>
      <c r="C2403" s="101" t="s">
        <v>172</v>
      </c>
      <c r="D2403" s="101" t="s">
        <v>404</v>
      </c>
      <c r="E2403" s="101" t="s">
        <v>17</v>
      </c>
    </row>
    <row r="2404" spans="1:5" x14ac:dyDescent="0.3">
      <c r="A2404" t="str">
        <f t="shared" si="37"/>
        <v>0422521</v>
      </c>
      <c r="B2404" s="101" t="s">
        <v>18</v>
      </c>
      <c r="C2404" s="101" t="s">
        <v>172</v>
      </c>
      <c r="D2404" s="101" t="s">
        <v>384</v>
      </c>
      <c r="E2404" s="101" t="s">
        <v>17</v>
      </c>
    </row>
    <row r="2405" spans="1:5" x14ac:dyDescent="0.3">
      <c r="A2405" t="str">
        <f t="shared" si="37"/>
        <v>0422522</v>
      </c>
      <c r="B2405" s="101" t="s">
        <v>18</v>
      </c>
      <c r="C2405" s="101" t="s">
        <v>172</v>
      </c>
      <c r="D2405" s="101" t="s">
        <v>345</v>
      </c>
      <c r="E2405" s="101" t="s">
        <v>17</v>
      </c>
    </row>
    <row r="2406" spans="1:5" x14ac:dyDescent="0.3">
      <c r="A2406" t="str">
        <f t="shared" si="37"/>
        <v>0422523</v>
      </c>
      <c r="B2406" s="101" t="s">
        <v>18</v>
      </c>
      <c r="C2406" s="101" t="s">
        <v>172</v>
      </c>
      <c r="D2406" s="101" t="s">
        <v>408</v>
      </c>
      <c r="E2406" s="101" t="s">
        <v>17</v>
      </c>
    </row>
    <row r="2407" spans="1:5" x14ac:dyDescent="0.3">
      <c r="A2407" t="str">
        <f t="shared" si="37"/>
        <v>0422524</v>
      </c>
      <c r="B2407" s="101" t="s">
        <v>18</v>
      </c>
      <c r="C2407" s="101" t="s">
        <v>172</v>
      </c>
      <c r="D2407" s="101" t="s">
        <v>351</v>
      </c>
      <c r="E2407" s="101" t="s">
        <v>17</v>
      </c>
    </row>
    <row r="2408" spans="1:5" x14ac:dyDescent="0.3">
      <c r="A2408" t="str">
        <f t="shared" si="37"/>
        <v>0422525</v>
      </c>
      <c r="B2408" s="101" t="s">
        <v>18</v>
      </c>
      <c r="C2408" s="101" t="s">
        <v>172</v>
      </c>
      <c r="D2408" s="101" t="s">
        <v>394</v>
      </c>
      <c r="E2408" s="101" t="s">
        <v>17</v>
      </c>
    </row>
    <row r="2409" spans="1:5" x14ac:dyDescent="0.3">
      <c r="A2409" t="str">
        <f t="shared" si="37"/>
        <v>0422526</v>
      </c>
      <c r="B2409" s="101" t="s">
        <v>18</v>
      </c>
      <c r="C2409" s="101" t="s">
        <v>172</v>
      </c>
      <c r="D2409" s="101" t="s">
        <v>379</v>
      </c>
      <c r="E2409" s="101" t="s">
        <v>17</v>
      </c>
    </row>
    <row r="2410" spans="1:5" x14ac:dyDescent="0.3">
      <c r="A2410" t="str">
        <f t="shared" si="37"/>
        <v>0422527</v>
      </c>
      <c r="B2410" s="101" t="s">
        <v>18</v>
      </c>
      <c r="C2410" s="101" t="s">
        <v>172</v>
      </c>
      <c r="D2410" s="101" t="s">
        <v>380</v>
      </c>
      <c r="E2410" s="101" t="s">
        <v>17</v>
      </c>
    </row>
    <row r="2411" spans="1:5" x14ac:dyDescent="0.3">
      <c r="A2411" t="str">
        <f t="shared" si="37"/>
        <v>0422528</v>
      </c>
      <c r="B2411" s="101" t="s">
        <v>18</v>
      </c>
      <c r="C2411" s="101" t="s">
        <v>172</v>
      </c>
      <c r="D2411" s="101" t="s">
        <v>381</v>
      </c>
      <c r="E2411" s="101" t="s">
        <v>17</v>
      </c>
    </row>
    <row r="2412" spans="1:5" x14ac:dyDescent="0.3">
      <c r="A2412" t="str">
        <f t="shared" si="37"/>
        <v>0422529</v>
      </c>
      <c r="B2412" s="101" t="s">
        <v>18</v>
      </c>
      <c r="C2412" s="101" t="s">
        <v>172</v>
      </c>
      <c r="D2412" s="101" t="s">
        <v>364</v>
      </c>
      <c r="E2412" s="101" t="s">
        <v>17</v>
      </c>
    </row>
    <row r="2413" spans="1:5" x14ac:dyDescent="0.3">
      <c r="A2413" t="str">
        <f t="shared" si="37"/>
        <v>0422530</v>
      </c>
      <c r="B2413" s="101" t="s">
        <v>18</v>
      </c>
      <c r="C2413" s="101" t="s">
        <v>172</v>
      </c>
      <c r="D2413" s="101" t="s">
        <v>377</v>
      </c>
      <c r="E2413" s="101" t="s">
        <v>17</v>
      </c>
    </row>
    <row r="2414" spans="1:5" x14ac:dyDescent="0.3">
      <c r="A2414" t="str">
        <f t="shared" si="37"/>
        <v>0422531</v>
      </c>
      <c r="B2414" s="101" t="s">
        <v>18</v>
      </c>
      <c r="C2414" s="101" t="s">
        <v>172</v>
      </c>
      <c r="D2414" s="101" t="s">
        <v>409</v>
      </c>
      <c r="E2414" s="101" t="s">
        <v>17</v>
      </c>
    </row>
    <row r="2415" spans="1:5" x14ac:dyDescent="0.3">
      <c r="A2415" t="str">
        <f t="shared" si="37"/>
        <v>0422532</v>
      </c>
      <c r="B2415" s="101" t="s">
        <v>18</v>
      </c>
      <c r="C2415" s="101" t="s">
        <v>172</v>
      </c>
      <c r="D2415" s="101" t="s">
        <v>323</v>
      </c>
      <c r="E2415" s="101" t="s">
        <v>17</v>
      </c>
    </row>
    <row r="2416" spans="1:5" x14ac:dyDescent="0.3">
      <c r="A2416" t="str">
        <f t="shared" si="37"/>
        <v>0422533</v>
      </c>
      <c r="B2416" s="101" t="s">
        <v>18</v>
      </c>
      <c r="C2416" s="101" t="s">
        <v>172</v>
      </c>
      <c r="D2416" s="101" t="s">
        <v>397</v>
      </c>
      <c r="E2416" s="101" t="s">
        <v>17</v>
      </c>
    </row>
    <row r="2417" spans="1:5" x14ac:dyDescent="0.3">
      <c r="A2417" t="str">
        <f t="shared" si="37"/>
        <v>0422534</v>
      </c>
      <c r="B2417" s="101" t="s">
        <v>18</v>
      </c>
      <c r="C2417" s="101" t="s">
        <v>172</v>
      </c>
      <c r="D2417" s="101" t="s">
        <v>350</v>
      </c>
      <c r="E2417" s="101" t="s">
        <v>17</v>
      </c>
    </row>
    <row r="2418" spans="1:5" x14ac:dyDescent="0.3">
      <c r="A2418" t="str">
        <f t="shared" si="37"/>
        <v>0422554</v>
      </c>
      <c r="B2418" s="101" t="s">
        <v>18</v>
      </c>
      <c r="C2418" s="101" t="s">
        <v>172</v>
      </c>
      <c r="D2418" s="101" t="s">
        <v>391</v>
      </c>
      <c r="E2418" s="101" t="s">
        <v>17</v>
      </c>
    </row>
    <row r="2419" spans="1:5" x14ac:dyDescent="0.3">
      <c r="A2419" t="str">
        <f t="shared" si="37"/>
        <v>0422555</v>
      </c>
      <c r="B2419" s="101" t="s">
        <v>18</v>
      </c>
      <c r="C2419" s="101" t="s">
        <v>172</v>
      </c>
      <c r="D2419" s="101" t="s">
        <v>418</v>
      </c>
      <c r="E2419" s="101" t="s">
        <v>17</v>
      </c>
    </row>
    <row r="2420" spans="1:5" x14ac:dyDescent="0.3">
      <c r="A2420" t="str">
        <f t="shared" si="37"/>
        <v>0422567</v>
      </c>
      <c r="B2420" s="101" t="s">
        <v>18</v>
      </c>
      <c r="C2420" s="101" t="s">
        <v>172</v>
      </c>
      <c r="D2420" s="101" t="s">
        <v>426</v>
      </c>
      <c r="E2420" s="101" t="s">
        <v>17</v>
      </c>
    </row>
    <row r="2421" spans="1:5" x14ac:dyDescent="0.3">
      <c r="A2421" t="str">
        <f t="shared" si="37"/>
        <v>0422577</v>
      </c>
      <c r="B2421" s="101" t="s">
        <v>18</v>
      </c>
      <c r="C2421" s="101" t="s">
        <v>172</v>
      </c>
      <c r="D2421" s="101" t="s">
        <v>436</v>
      </c>
      <c r="E2421" s="101" t="s">
        <v>17</v>
      </c>
    </row>
    <row r="2422" spans="1:5" x14ac:dyDescent="0.3">
      <c r="A2422" t="str">
        <f t="shared" si="37"/>
        <v>0422578</v>
      </c>
      <c r="B2422" s="101" t="s">
        <v>18</v>
      </c>
      <c r="C2422" s="101" t="s">
        <v>172</v>
      </c>
      <c r="D2422" s="101" t="s">
        <v>437</v>
      </c>
      <c r="E2422" s="101" t="s">
        <v>17</v>
      </c>
    </row>
    <row r="2423" spans="1:5" x14ac:dyDescent="0.3">
      <c r="A2423" t="str">
        <f t="shared" si="37"/>
        <v>0422583</v>
      </c>
      <c r="B2423" s="101" t="s">
        <v>18</v>
      </c>
      <c r="C2423" s="101" t="s">
        <v>172</v>
      </c>
      <c r="D2423" s="101" t="s">
        <v>442</v>
      </c>
      <c r="E2423" s="101" t="s">
        <v>17</v>
      </c>
    </row>
    <row r="2424" spans="1:5" x14ac:dyDescent="0.3">
      <c r="A2424" t="str">
        <f t="shared" si="37"/>
        <v>0522801</v>
      </c>
      <c r="B2424" s="101" t="s">
        <v>313</v>
      </c>
      <c r="C2424" s="101" t="s">
        <v>172</v>
      </c>
      <c r="D2424" s="101" t="s">
        <v>144</v>
      </c>
      <c r="E2424" s="101" t="s">
        <v>139</v>
      </c>
    </row>
    <row r="2425" spans="1:5" x14ac:dyDescent="0.3">
      <c r="A2425" t="str">
        <f t="shared" si="37"/>
        <v>0522802</v>
      </c>
      <c r="B2425" s="101" t="s">
        <v>313</v>
      </c>
      <c r="C2425" s="101" t="s">
        <v>172</v>
      </c>
      <c r="D2425" s="101" t="s">
        <v>145</v>
      </c>
      <c r="E2425" s="101" t="s">
        <v>139</v>
      </c>
    </row>
    <row r="2426" spans="1:5" x14ac:dyDescent="0.3">
      <c r="A2426" t="str">
        <f t="shared" si="37"/>
        <v>0522500</v>
      </c>
      <c r="B2426" s="101" t="s">
        <v>313</v>
      </c>
      <c r="C2426" s="101" t="s">
        <v>172</v>
      </c>
      <c r="D2426" s="101" t="s">
        <v>146</v>
      </c>
      <c r="E2426" s="101" t="s">
        <v>139</v>
      </c>
    </row>
    <row r="2427" spans="1:5" x14ac:dyDescent="0.3">
      <c r="A2427" t="str">
        <f t="shared" si="37"/>
        <v>0522501</v>
      </c>
      <c r="B2427" s="101" t="s">
        <v>313</v>
      </c>
      <c r="C2427" s="101" t="s">
        <v>172</v>
      </c>
      <c r="D2427" s="101" t="s">
        <v>147</v>
      </c>
      <c r="E2427" s="101" t="s">
        <v>139</v>
      </c>
    </row>
    <row r="2428" spans="1:5" x14ac:dyDescent="0.3">
      <c r="A2428" t="str">
        <f t="shared" si="37"/>
        <v>0522803</v>
      </c>
      <c r="B2428" s="101" t="s">
        <v>313</v>
      </c>
      <c r="C2428" s="101" t="s">
        <v>172</v>
      </c>
      <c r="D2428" s="101" t="s">
        <v>540</v>
      </c>
      <c r="E2428" s="101" t="s">
        <v>17</v>
      </c>
    </row>
    <row r="2429" spans="1:5" x14ac:dyDescent="0.3">
      <c r="A2429" t="str">
        <f t="shared" si="37"/>
        <v>0522804</v>
      </c>
      <c r="B2429" s="101" t="s">
        <v>313</v>
      </c>
      <c r="C2429" s="101" t="s">
        <v>172</v>
      </c>
      <c r="D2429" s="101" t="s">
        <v>542</v>
      </c>
      <c r="E2429" s="101" t="s">
        <v>17</v>
      </c>
    </row>
    <row r="2430" spans="1:5" x14ac:dyDescent="0.3">
      <c r="A2430" t="str">
        <f t="shared" si="37"/>
        <v>0522564</v>
      </c>
      <c r="B2430" s="101" t="s">
        <v>313</v>
      </c>
      <c r="C2430" s="101" t="s">
        <v>172</v>
      </c>
      <c r="D2430" s="101" t="s">
        <v>423</v>
      </c>
      <c r="E2430" s="101" t="s">
        <v>17</v>
      </c>
    </row>
    <row r="2431" spans="1:5" x14ac:dyDescent="0.3">
      <c r="A2431" t="str">
        <f t="shared" si="37"/>
        <v>0522579</v>
      </c>
      <c r="B2431" s="101" t="s">
        <v>313</v>
      </c>
      <c r="C2431" s="101" t="s">
        <v>172</v>
      </c>
      <c r="D2431" s="101" t="s">
        <v>438</v>
      </c>
      <c r="E2431" s="101" t="s">
        <v>17</v>
      </c>
    </row>
    <row r="2432" spans="1:5" x14ac:dyDescent="0.3">
      <c r="A2432" t="str">
        <f t="shared" si="37"/>
        <v>0522026</v>
      </c>
      <c r="B2432" s="101" t="s">
        <v>313</v>
      </c>
      <c r="C2432" s="101" t="s">
        <v>172</v>
      </c>
      <c r="D2432" s="101" t="s">
        <v>579</v>
      </c>
      <c r="E2432" s="101" t="s">
        <v>140</v>
      </c>
    </row>
    <row r="2433" spans="1:5" x14ac:dyDescent="0.3">
      <c r="A2433" t="str">
        <f t="shared" si="37"/>
        <v>0522027</v>
      </c>
      <c r="B2433" s="101" t="s">
        <v>313</v>
      </c>
      <c r="C2433" s="101" t="s">
        <v>172</v>
      </c>
      <c r="D2433" s="101" t="s">
        <v>545</v>
      </c>
      <c r="E2433" s="101" t="s">
        <v>140</v>
      </c>
    </row>
    <row r="2434" spans="1:5" x14ac:dyDescent="0.3">
      <c r="A2434" t="str">
        <f t="shared" si="37"/>
        <v>0522535</v>
      </c>
      <c r="B2434" s="101" t="s">
        <v>313</v>
      </c>
      <c r="C2434" s="101" t="s">
        <v>172</v>
      </c>
      <c r="D2434" s="101" t="s">
        <v>410</v>
      </c>
      <c r="E2434" s="101" t="s">
        <v>140</v>
      </c>
    </row>
    <row r="2435" spans="1:5" x14ac:dyDescent="0.3">
      <c r="A2435" t="str">
        <f t="shared" ref="A2435:A2498" si="38">CONCATENATE(B2435,C2435,D2435,F2435)</f>
        <v>0522559</v>
      </c>
      <c r="B2435" s="101" t="s">
        <v>313</v>
      </c>
      <c r="C2435" s="101" t="s">
        <v>172</v>
      </c>
      <c r="D2435" s="101" t="s">
        <v>363</v>
      </c>
      <c r="E2435" s="101" t="s">
        <v>140</v>
      </c>
    </row>
    <row r="2436" spans="1:5" x14ac:dyDescent="0.3">
      <c r="A2436" t="str">
        <f t="shared" si="38"/>
        <v>0522029</v>
      </c>
      <c r="B2436" s="101" t="s">
        <v>313</v>
      </c>
      <c r="C2436" s="101" t="s">
        <v>172</v>
      </c>
      <c r="D2436" s="101" t="s">
        <v>355</v>
      </c>
      <c r="E2436" s="101" t="s">
        <v>17</v>
      </c>
    </row>
    <row r="2437" spans="1:5" x14ac:dyDescent="0.3">
      <c r="A2437" t="str">
        <f t="shared" si="38"/>
        <v>0522030</v>
      </c>
      <c r="B2437" s="101" t="s">
        <v>313</v>
      </c>
      <c r="C2437" s="101" t="s">
        <v>172</v>
      </c>
      <c r="D2437" s="101" t="s">
        <v>357</v>
      </c>
      <c r="E2437" s="101" t="s">
        <v>17</v>
      </c>
    </row>
    <row r="2438" spans="1:5" x14ac:dyDescent="0.3">
      <c r="A2438" t="str">
        <f t="shared" si="38"/>
        <v>0522539</v>
      </c>
      <c r="B2438" s="101" t="s">
        <v>313</v>
      </c>
      <c r="C2438" s="101" t="s">
        <v>172</v>
      </c>
      <c r="D2438" s="101" t="s">
        <v>378</v>
      </c>
      <c r="E2438" s="101" t="s">
        <v>17</v>
      </c>
    </row>
    <row r="2439" spans="1:5" x14ac:dyDescent="0.3">
      <c r="A2439" t="str">
        <f t="shared" si="38"/>
        <v>0522540</v>
      </c>
      <c r="B2439" s="101" t="s">
        <v>313</v>
      </c>
      <c r="C2439" s="101" t="s">
        <v>172</v>
      </c>
      <c r="D2439" s="101" t="s">
        <v>411</v>
      </c>
      <c r="E2439" s="101" t="s">
        <v>17</v>
      </c>
    </row>
    <row r="2440" spans="1:5" x14ac:dyDescent="0.3">
      <c r="A2440" t="str">
        <f t="shared" si="38"/>
        <v>0622801</v>
      </c>
      <c r="B2440" s="101" t="s">
        <v>317</v>
      </c>
      <c r="C2440" s="101" t="s">
        <v>172</v>
      </c>
      <c r="D2440" s="101" t="s">
        <v>144</v>
      </c>
      <c r="E2440" s="101" t="s">
        <v>139</v>
      </c>
    </row>
    <row r="2441" spans="1:5" x14ac:dyDescent="0.3">
      <c r="A2441" t="str">
        <f t="shared" si="38"/>
        <v>0622802</v>
      </c>
      <c r="B2441" s="101" t="s">
        <v>317</v>
      </c>
      <c r="C2441" s="101" t="s">
        <v>172</v>
      </c>
      <c r="D2441" s="101" t="s">
        <v>145</v>
      </c>
      <c r="E2441" s="101" t="s">
        <v>139</v>
      </c>
    </row>
    <row r="2442" spans="1:5" x14ac:dyDescent="0.3">
      <c r="A2442" t="str">
        <f t="shared" si="38"/>
        <v>0622500</v>
      </c>
      <c r="B2442" s="101" t="s">
        <v>317</v>
      </c>
      <c r="C2442" s="101" t="s">
        <v>172</v>
      </c>
      <c r="D2442" s="101" t="s">
        <v>146</v>
      </c>
      <c r="E2442" s="101" t="s">
        <v>139</v>
      </c>
    </row>
    <row r="2443" spans="1:5" x14ac:dyDescent="0.3">
      <c r="A2443" t="str">
        <f t="shared" si="38"/>
        <v>0622501</v>
      </c>
      <c r="B2443" s="101" t="s">
        <v>317</v>
      </c>
      <c r="C2443" s="101" t="s">
        <v>172</v>
      </c>
      <c r="D2443" s="101" t="s">
        <v>147</v>
      </c>
      <c r="E2443" s="101" t="s">
        <v>139</v>
      </c>
    </row>
    <row r="2444" spans="1:5" x14ac:dyDescent="0.3">
      <c r="A2444" t="str">
        <f t="shared" si="38"/>
        <v>0622803</v>
      </c>
      <c r="B2444" s="101" t="s">
        <v>317</v>
      </c>
      <c r="C2444" s="101" t="s">
        <v>172</v>
      </c>
      <c r="D2444" s="101" t="s">
        <v>540</v>
      </c>
      <c r="E2444" s="101" t="s">
        <v>17</v>
      </c>
    </row>
    <row r="2445" spans="1:5" x14ac:dyDescent="0.3">
      <c r="A2445" t="str">
        <f t="shared" si="38"/>
        <v>0622804</v>
      </c>
      <c r="B2445" s="101" t="s">
        <v>317</v>
      </c>
      <c r="C2445" s="101" t="s">
        <v>172</v>
      </c>
      <c r="D2445" s="101" t="s">
        <v>542</v>
      </c>
      <c r="E2445" s="101" t="s">
        <v>17</v>
      </c>
    </row>
    <row r="2446" spans="1:5" x14ac:dyDescent="0.3">
      <c r="A2446" t="str">
        <f t="shared" si="38"/>
        <v>0622564</v>
      </c>
      <c r="B2446" s="101" t="s">
        <v>317</v>
      </c>
      <c r="C2446" s="101" t="s">
        <v>172</v>
      </c>
      <c r="D2446" s="101" t="s">
        <v>423</v>
      </c>
      <c r="E2446" s="101" t="s">
        <v>17</v>
      </c>
    </row>
    <row r="2447" spans="1:5" x14ac:dyDescent="0.3">
      <c r="A2447" t="str">
        <f t="shared" si="38"/>
        <v>0622579</v>
      </c>
      <c r="B2447" s="101" t="s">
        <v>317</v>
      </c>
      <c r="C2447" s="101" t="s">
        <v>172</v>
      </c>
      <c r="D2447" s="101" t="s">
        <v>438</v>
      </c>
      <c r="E2447" s="101" t="s">
        <v>17</v>
      </c>
    </row>
    <row r="2448" spans="1:5" x14ac:dyDescent="0.3">
      <c r="A2448" t="str">
        <f t="shared" si="38"/>
        <v>0622026</v>
      </c>
      <c r="B2448" s="101" t="s">
        <v>317</v>
      </c>
      <c r="C2448" s="101" t="s">
        <v>172</v>
      </c>
      <c r="D2448" s="101" t="s">
        <v>579</v>
      </c>
      <c r="E2448" s="101" t="s">
        <v>140</v>
      </c>
    </row>
    <row r="2449" spans="1:5" x14ac:dyDescent="0.3">
      <c r="A2449" t="str">
        <f t="shared" si="38"/>
        <v>0622027</v>
      </c>
      <c r="B2449" s="101" t="s">
        <v>317</v>
      </c>
      <c r="C2449" s="101" t="s">
        <v>172</v>
      </c>
      <c r="D2449" s="101" t="s">
        <v>545</v>
      </c>
      <c r="E2449" s="101" t="s">
        <v>140</v>
      </c>
    </row>
    <row r="2450" spans="1:5" x14ac:dyDescent="0.3">
      <c r="A2450" t="str">
        <f t="shared" si="38"/>
        <v>0622535</v>
      </c>
      <c r="B2450" s="101" t="s">
        <v>317</v>
      </c>
      <c r="C2450" s="101" t="s">
        <v>172</v>
      </c>
      <c r="D2450" s="101" t="s">
        <v>410</v>
      </c>
      <c r="E2450" s="101" t="s">
        <v>140</v>
      </c>
    </row>
    <row r="2451" spans="1:5" x14ac:dyDescent="0.3">
      <c r="A2451" t="str">
        <f t="shared" si="38"/>
        <v>0622559</v>
      </c>
      <c r="B2451" s="101" t="s">
        <v>317</v>
      </c>
      <c r="C2451" s="101" t="s">
        <v>172</v>
      </c>
      <c r="D2451" s="101" t="s">
        <v>363</v>
      </c>
      <c r="E2451" s="101" t="s">
        <v>140</v>
      </c>
    </row>
    <row r="2452" spans="1:5" x14ac:dyDescent="0.3">
      <c r="A2452" t="str">
        <f t="shared" si="38"/>
        <v>0622029</v>
      </c>
      <c r="B2452" s="101" t="s">
        <v>317</v>
      </c>
      <c r="C2452" s="101" t="s">
        <v>172</v>
      </c>
      <c r="D2452" s="101" t="s">
        <v>355</v>
      </c>
      <c r="E2452" s="101" t="s">
        <v>17</v>
      </c>
    </row>
    <row r="2453" spans="1:5" x14ac:dyDescent="0.3">
      <c r="A2453" t="str">
        <f t="shared" si="38"/>
        <v>0622030</v>
      </c>
      <c r="B2453" s="101" t="s">
        <v>317</v>
      </c>
      <c r="C2453" s="101" t="s">
        <v>172</v>
      </c>
      <c r="D2453" s="101" t="s">
        <v>357</v>
      </c>
      <c r="E2453" s="101" t="s">
        <v>17</v>
      </c>
    </row>
    <row r="2454" spans="1:5" x14ac:dyDescent="0.3">
      <c r="A2454" t="str">
        <f t="shared" si="38"/>
        <v>0622539</v>
      </c>
      <c r="B2454" s="101" t="s">
        <v>317</v>
      </c>
      <c r="C2454" s="101" t="s">
        <v>172</v>
      </c>
      <c r="D2454" s="101" t="s">
        <v>378</v>
      </c>
      <c r="E2454" s="101" t="s">
        <v>17</v>
      </c>
    </row>
    <row r="2455" spans="1:5" x14ac:dyDescent="0.3">
      <c r="A2455" t="str">
        <f t="shared" si="38"/>
        <v>0622540</v>
      </c>
      <c r="B2455" s="101" t="s">
        <v>317</v>
      </c>
      <c r="C2455" s="101" t="s">
        <v>172</v>
      </c>
      <c r="D2455" s="101" t="s">
        <v>411</v>
      </c>
      <c r="E2455" s="101" t="s">
        <v>17</v>
      </c>
    </row>
    <row r="2456" spans="1:5" x14ac:dyDescent="0.3">
      <c r="A2456" t="str">
        <f t="shared" si="38"/>
        <v>0722801</v>
      </c>
      <c r="B2456" s="101" t="s">
        <v>319</v>
      </c>
      <c r="C2456" s="101" t="s">
        <v>172</v>
      </c>
      <c r="D2456" s="101" t="s">
        <v>144</v>
      </c>
      <c r="E2456" s="101" t="s">
        <v>139</v>
      </c>
    </row>
    <row r="2457" spans="1:5" x14ac:dyDescent="0.3">
      <c r="A2457" t="str">
        <f t="shared" si="38"/>
        <v>0722802</v>
      </c>
      <c r="B2457" s="101" t="s">
        <v>319</v>
      </c>
      <c r="C2457" s="101" t="s">
        <v>172</v>
      </c>
      <c r="D2457" s="101" t="s">
        <v>145</v>
      </c>
      <c r="E2457" s="101" t="s">
        <v>139</v>
      </c>
    </row>
    <row r="2458" spans="1:5" x14ac:dyDescent="0.3">
      <c r="A2458" t="str">
        <f t="shared" si="38"/>
        <v>0722500</v>
      </c>
      <c r="B2458" s="101" t="s">
        <v>319</v>
      </c>
      <c r="C2458" s="101" t="s">
        <v>172</v>
      </c>
      <c r="D2458" s="101" t="s">
        <v>146</v>
      </c>
      <c r="E2458" s="101" t="s">
        <v>139</v>
      </c>
    </row>
    <row r="2459" spans="1:5" x14ac:dyDescent="0.3">
      <c r="A2459" t="str">
        <f t="shared" si="38"/>
        <v>0722501</v>
      </c>
      <c r="B2459" s="101" t="s">
        <v>319</v>
      </c>
      <c r="C2459" s="101" t="s">
        <v>172</v>
      </c>
      <c r="D2459" s="101" t="s">
        <v>147</v>
      </c>
      <c r="E2459" s="101" t="s">
        <v>139</v>
      </c>
    </row>
    <row r="2460" spans="1:5" x14ac:dyDescent="0.3">
      <c r="A2460" t="str">
        <f t="shared" si="38"/>
        <v>0722803</v>
      </c>
      <c r="B2460" s="101" t="s">
        <v>319</v>
      </c>
      <c r="C2460" s="101" t="s">
        <v>172</v>
      </c>
      <c r="D2460" s="101" t="s">
        <v>540</v>
      </c>
      <c r="E2460" s="101" t="s">
        <v>17</v>
      </c>
    </row>
    <row r="2461" spans="1:5" x14ac:dyDescent="0.3">
      <c r="A2461" t="str">
        <f t="shared" si="38"/>
        <v>0722804</v>
      </c>
      <c r="B2461" s="101" t="s">
        <v>319</v>
      </c>
      <c r="C2461" s="101" t="s">
        <v>172</v>
      </c>
      <c r="D2461" s="101" t="s">
        <v>542</v>
      </c>
      <c r="E2461" s="101" t="s">
        <v>17</v>
      </c>
    </row>
    <row r="2462" spans="1:5" x14ac:dyDescent="0.3">
      <c r="A2462" t="str">
        <f t="shared" si="38"/>
        <v>0722564</v>
      </c>
      <c r="B2462" s="101" t="s">
        <v>319</v>
      </c>
      <c r="C2462" s="101" t="s">
        <v>172</v>
      </c>
      <c r="D2462" s="101" t="s">
        <v>423</v>
      </c>
      <c r="E2462" s="101" t="s">
        <v>17</v>
      </c>
    </row>
    <row r="2463" spans="1:5" x14ac:dyDescent="0.3">
      <c r="A2463" t="str">
        <f t="shared" si="38"/>
        <v>0722579</v>
      </c>
      <c r="B2463" s="101" t="s">
        <v>319</v>
      </c>
      <c r="C2463" s="101" t="s">
        <v>172</v>
      </c>
      <c r="D2463" s="101" t="s">
        <v>438</v>
      </c>
      <c r="E2463" s="101" t="s">
        <v>17</v>
      </c>
    </row>
    <row r="2464" spans="1:5" x14ac:dyDescent="0.3">
      <c r="A2464" t="str">
        <f t="shared" si="38"/>
        <v>0722026</v>
      </c>
      <c r="B2464" s="101" t="s">
        <v>319</v>
      </c>
      <c r="C2464" s="101" t="s">
        <v>172</v>
      </c>
      <c r="D2464" s="101" t="s">
        <v>579</v>
      </c>
      <c r="E2464" s="101" t="s">
        <v>140</v>
      </c>
    </row>
    <row r="2465" spans="1:5" x14ac:dyDescent="0.3">
      <c r="A2465" t="str">
        <f t="shared" si="38"/>
        <v>0722027</v>
      </c>
      <c r="B2465" s="101" t="s">
        <v>319</v>
      </c>
      <c r="C2465" s="101" t="s">
        <v>172</v>
      </c>
      <c r="D2465" s="101" t="s">
        <v>545</v>
      </c>
      <c r="E2465" s="101" t="s">
        <v>140</v>
      </c>
    </row>
    <row r="2466" spans="1:5" x14ac:dyDescent="0.3">
      <c r="A2466" t="str">
        <f t="shared" si="38"/>
        <v>0722535</v>
      </c>
      <c r="B2466" s="101" t="s">
        <v>319</v>
      </c>
      <c r="C2466" s="101" t="s">
        <v>172</v>
      </c>
      <c r="D2466" s="101" t="s">
        <v>410</v>
      </c>
      <c r="E2466" s="101" t="s">
        <v>140</v>
      </c>
    </row>
    <row r="2467" spans="1:5" x14ac:dyDescent="0.3">
      <c r="A2467" t="str">
        <f t="shared" si="38"/>
        <v>0722559</v>
      </c>
      <c r="B2467" s="101" t="s">
        <v>319</v>
      </c>
      <c r="C2467" s="101" t="s">
        <v>172</v>
      </c>
      <c r="D2467" s="101" t="s">
        <v>363</v>
      </c>
      <c r="E2467" s="101" t="s">
        <v>140</v>
      </c>
    </row>
    <row r="2468" spans="1:5" x14ac:dyDescent="0.3">
      <c r="A2468" t="str">
        <f t="shared" si="38"/>
        <v>0722029</v>
      </c>
      <c r="B2468" s="101" t="s">
        <v>319</v>
      </c>
      <c r="C2468" s="101" t="s">
        <v>172</v>
      </c>
      <c r="D2468" s="101" t="s">
        <v>355</v>
      </c>
      <c r="E2468" s="101" t="s">
        <v>17</v>
      </c>
    </row>
    <row r="2469" spans="1:5" x14ac:dyDescent="0.3">
      <c r="A2469" t="str">
        <f t="shared" si="38"/>
        <v>0722030</v>
      </c>
      <c r="B2469" s="101" t="s">
        <v>319</v>
      </c>
      <c r="C2469" s="101" t="s">
        <v>172</v>
      </c>
      <c r="D2469" s="101" t="s">
        <v>357</v>
      </c>
      <c r="E2469" s="101" t="s">
        <v>17</v>
      </c>
    </row>
    <row r="2470" spans="1:5" x14ac:dyDescent="0.3">
      <c r="A2470" t="str">
        <f t="shared" si="38"/>
        <v>0722539</v>
      </c>
      <c r="B2470" s="101" t="s">
        <v>319</v>
      </c>
      <c r="C2470" s="101" t="s">
        <v>172</v>
      </c>
      <c r="D2470" s="101" t="s">
        <v>378</v>
      </c>
      <c r="E2470" s="101" t="s">
        <v>17</v>
      </c>
    </row>
    <row r="2471" spans="1:5" x14ac:dyDescent="0.3">
      <c r="A2471" t="str">
        <f t="shared" si="38"/>
        <v>0722540</v>
      </c>
      <c r="B2471" s="101" t="s">
        <v>319</v>
      </c>
      <c r="C2471" s="101" t="s">
        <v>172</v>
      </c>
      <c r="D2471" s="101" t="s">
        <v>411</v>
      </c>
      <c r="E2471" s="101" t="s">
        <v>17</v>
      </c>
    </row>
    <row r="2472" spans="1:5" x14ac:dyDescent="0.3">
      <c r="A2472" t="str">
        <f t="shared" si="38"/>
        <v>0822801</v>
      </c>
      <c r="B2472" s="101" t="s">
        <v>320</v>
      </c>
      <c r="C2472" s="101" t="s">
        <v>172</v>
      </c>
      <c r="D2472" s="101" t="s">
        <v>144</v>
      </c>
      <c r="E2472" s="101" t="s">
        <v>139</v>
      </c>
    </row>
    <row r="2473" spans="1:5" x14ac:dyDescent="0.3">
      <c r="A2473" t="str">
        <f t="shared" si="38"/>
        <v>0822802</v>
      </c>
      <c r="B2473" s="101" t="s">
        <v>320</v>
      </c>
      <c r="C2473" s="101" t="s">
        <v>172</v>
      </c>
      <c r="D2473" s="101" t="s">
        <v>145</v>
      </c>
      <c r="E2473" s="101" t="s">
        <v>139</v>
      </c>
    </row>
    <row r="2474" spans="1:5" x14ac:dyDescent="0.3">
      <c r="A2474" t="str">
        <f t="shared" si="38"/>
        <v>0822500</v>
      </c>
      <c r="B2474" s="101" t="s">
        <v>320</v>
      </c>
      <c r="C2474" s="101" t="s">
        <v>172</v>
      </c>
      <c r="D2474" s="101" t="s">
        <v>146</v>
      </c>
      <c r="E2474" s="101" t="s">
        <v>139</v>
      </c>
    </row>
    <row r="2475" spans="1:5" x14ac:dyDescent="0.3">
      <c r="A2475" t="str">
        <f t="shared" si="38"/>
        <v>0822501</v>
      </c>
      <c r="B2475" s="101" t="s">
        <v>320</v>
      </c>
      <c r="C2475" s="101" t="s">
        <v>172</v>
      </c>
      <c r="D2475" s="101" t="s">
        <v>147</v>
      </c>
      <c r="E2475" s="101" t="s">
        <v>139</v>
      </c>
    </row>
    <row r="2476" spans="1:5" x14ac:dyDescent="0.3">
      <c r="A2476" t="str">
        <f t="shared" si="38"/>
        <v>0822803</v>
      </c>
      <c r="B2476" s="101" t="s">
        <v>320</v>
      </c>
      <c r="C2476" s="101" t="s">
        <v>172</v>
      </c>
      <c r="D2476" s="101" t="s">
        <v>540</v>
      </c>
      <c r="E2476" s="101" t="s">
        <v>17</v>
      </c>
    </row>
    <row r="2477" spans="1:5" x14ac:dyDescent="0.3">
      <c r="A2477" t="str">
        <f t="shared" si="38"/>
        <v>0822804</v>
      </c>
      <c r="B2477" s="101" t="s">
        <v>320</v>
      </c>
      <c r="C2477" s="101" t="s">
        <v>172</v>
      </c>
      <c r="D2477" s="101" t="s">
        <v>542</v>
      </c>
      <c r="E2477" s="101" t="s">
        <v>17</v>
      </c>
    </row>
    <row r="2478" spans="1:5" x14ac:dyDescent="0.3">
      <c r="A2478" t="str">
        <f t="shared" si="38"/>
        <v>0822564</v>
      </c>
      <c r="B2478" s="101" t="s">
        <v>320</v>
      </c>
      <c r="C2478" s="101" t="s">
        <v>172</v>
      </c>
      <c r="D2478" s="101" t="s">
        <v>423</v>
      </c>
      <c r="E2478" s="101" t="s">
        <v>17</v>
      </c>
    </row>
    <row r="2479" spans="1:5" x14ac:dyDescent="0.3">
      <c r="A2479" t="str">
        <f t="shared" si="38"/>
        <v>0822579</v>
      </c>
      <c r="B2479" s="101" t="s">
        <v>320</v>
      </c>
      <c r="C2479" s="101" t="s">
        <v>172</v>
      </c>
      <c r="D2479" s="101" t="s">
        <v>438</v>
      </c>
      <c r="E2479" s="101" t="s">
        <v>17</v>
      </c>
    </row>
    <row r="2480" spans="1:5" x14ac:dyDescent="0.3">
      <c r="A2480" t="str">
        <f t="shared" si="38"/>
        <v>0822026</v>
      </c>
      <c r="B2480" s="101" t="s">
        <v>320</v>
      </c>
      <c r="C2480" s="101" t="s">
        <v>172</v>
      </c>
      <c r="D2480" s="101" t="s">
        <v>579</v>
      </c>
      <c r="E2480" s="101" t="s">
        <v>140</v>
      </c>
    </row>
    <row r="2481" spans="1:5" x14ac:dyDescent="0.3">
      <c r="A2481" t="str">
        <f t="shared" si="38"/>
        <v>0822027</v>
      </c>
      <c r="B2481" s="101" t="s">
        <v>320</v>
      </c>
      <c r="C2481" s="101" t="s">
        <v>172</v>
      </c>
      <c r="D2481" s="101" t="s">
        <v>545</v>
      </c>
      <c r="E2481" s="101" t="s">
        <v>140</v>
      </c>
    </row>
    <row r="2482" spans="1:5" x14ac:dyDescent="0.3">
      <c r="A2482" t="str">
        <f t="shared" si="38"/>
        <v>0822535</v>
      </c>
      <c r="B2482" s="101" t="s">
        <v>320</v>
      </c>
      <c r="C2482" s="101" t="s">
        <v>172</v>
      </c>
      <c r="D2482" s="101" t="s">
        <v>410</v>
      </c>
      <c r="E2482" s="101" t="s">
        <v>140</v>
      </c>
    </row>
    <row r="2483" spans="1:5" x14ac:dyDescent="0.3">
      <c r="A2483" t="str">
        <f t="shared" si="38"/>
        <v>0822559</v>
      </c>
      <c r="B2483" s="101" t="s">
        <v>320</v>
      </c>
      <c r="C2483" s="101" t="s">
        <v>172</v>
      </c>
      <c r="D2483" s="101" t="s">
        <v>363</v>
      </c>
      <c r="E2483" s="101" t="s">
        <v>140</v>
      </c>
    </row>
    <row r="2484" spans="1:5" x14ac:dyDescent="0.3">
      <c r="A2484" t="str">
        <f t="shared" si="38"/>
        <v>0822029</v>
      </c>
      <c r="B2484" s="101" t="s">
        <v>320</v>
      </c>
      <c r="C2484" s="101" t="s">
        <v>172</v>
      </c>
      <c r="D2484" s="101" t="s">
        <v>355</v>
      </c>
      <c r="E2484" s="101" t="s">
        <v>17</v>
      </c>
    </row>
    <row r="2485" spans="1:5" x14ac:dyDescent="0.3">
      <c r="A2485" t="str">
        <f t="shared" si="38"/>
        <v>0822030</v>
      </c>
      <c r="B2485" s="101" t="s">
        <v>320</v>
      </c>
      <c r="C2485" s="101" t="s">
        <v>172</v>
      </c>
      <c r="D2485" s="101" t="s">
        <v>357</v>
      </c>
      <c r="E2485" s="101" t="s">
        <v>17</v>
      </c>
    </row>
    <row r="2486" spans="1:5" x14ac:dyDescent="0.3">
      <c r="A2486" t="str">
        <f t="shared" si="38"/>
        <v>0822539</v>
      </c>
      <c r="B2486" s="101" t="s">
        <v>320</v>
      </c>
      <c r="C2486" s="101" t="s">
        <v>172</v>
      </c>
      <c r="D2486" s="101" t="s">
        <v>378</v>
      </c>
      <c r="E2486" s="101" t="s">
        <v>17</v>
      </c>
    </row>
    <row r="2487" spans="1:5" x14ac:dyDescent="0.3">
      <c r="A2487" t="str">
        <f t="shared" si="38"/>
        <v>0822540</v>
      </c>
      <c r="B2487" s="101" t="s">
        <v>320</v>
      </c>
      <c r="C2487" s="101" t="s">
        <v>172</v>
      </c>
      <c r="D2487" s="101" t="s">
        <v>411</v>
      </c>
      <c r="E2487" s="101" t="s">
        <v>17</v>
      </c>
    </row>
    <row r="2488" spans="1:5" x14ac:dyDescent="0.3">
      <c r="A2488" t="str">
        <f t="shared" si="38"/>
        <v>0323801</v>
      </c>
      <c r="B2488" s="101" t="s">
        <v>16</v>
      </c>
      <c r="C2488" s="101" t="s">
        <v>174</v>
      </c>
      <c r="D2488" s="101" t="s">
        <v>144</v>
      </c>
      <c r="E2488" s="101" t="s">
        <v>139</v>
      </c>
    </row>
    <row r="2489" spans="1:5" x14ac:dyDescent="0.3">
      <c r="A2489" t="str">
        <f t="shared" si="38"/>
        <v>0323802</v>
      </c>
      <c r="B2489" s="101" t="s">
        <v>16</v>
      </c>
      <c r="C2489" s="101" t="s">
        <v>174</v>
      </c>
      <c r="D2489" s="101" t="s">
        <v>145</v>
      </c>
      <c r="E2489" s="101" t="s">
        <v>139</v>
      </c>
    </row>
    <row r="2490" spans="1:5" x14ac:dyDescent="0.3">
      <c r="A2490" t="str">
        <f t="shared" si="38"/>
        <v>0323500</v>
      </c>
      <c r="B2490" s="101" t="s">
        <v>16</v>
      </c>
      <c r="C2490" s="101" t="s">
        <v>174</v>
      </c>
      <c r="D2490" s="101" t="s">
        <v>146</v>
      </c>
      <c r="E2490" s="101" t="s">
        <v>139</v>
      </c>
    </row>
    <row r="2491" spans="1:5" x14ac:dyDescent="0.3">
      <c r="A2491" t="str">
        <f t="shared" si="38"/>
        <v>0323501</v>
      </c>
      <c r="B2491" s="101" t="s">
        <v>16</v>
      </c>
      <c r="C2491" s="101" t="s">
        <v>174</v>
      </c>
      <c r="D2491" s="101" t="s">
        <v>147</v>
      </c>
      <c r="E2491" s="101" t="s">
        <v>139</v>
      </c>
    </row>
    <row r="2492" spans="1:5" x14ac:dyDescent="0.3">
      <c r="A2492" t="str">
        <f t="shared" si="38"/>
        <v>0323811</v>
      </c>
      <c r="B2492" s="101" t="s">
        <v>16</v>
      </c>
      <c r="C2492" s="101" t="s">
        <v>174</v>
      </c>
      <c r="D2492" s="101" t="s">
        <v>189</v>
      </c>
      <c r="E2492" s="101" t="s">
        <v>17</v>
      </c>
    </row>
    <row r="2493" spans="1:5" x14ac:dyDescent="0.3">
      <c r="A2493" t="str">
        <f t="shared" si="38"/>
        <v>0323812</v>
      </c>
      <c r="B2493" s="101" t="s">
        <v>16</v>
      </c>
      <c r="C2493" s="101" t="s">
        <v>174</v>
      </c>
      <c r="D2493" s="101" t="s">
        <v>190</v>
      </c>
      <c r="E2493" s="101" t="s">
        <v>17</v>
      </c>
    </row>
    <row r="2494" spans="1:5" x14ac:dyDescent="0.3">
      <c r="A2494" t="str">
        <f t="shared" si="38"/>
        <v>0323814</v>
      </c>
      <c r="B2494" s="101" t="s">
        <v>16</v>
      </c>
      <c r="C2494" s="101" t="s">
        <v>174</v>
      </c>
      <c r="D2494" s="101" t="s">
        <v>333</v>
      </c>
      <c r="E2494" s="101" t="s">
        <v>17</v>
      </c>
    </row>
    <row r="2495" spans="1:5" x14ac:dyDescent="0.3">
      <c r="A2495" t="str">
        <f t="shared" si="38"/>
        <v>0323815</v>
      </c>
      <c r="B2495" s="101" t="s">
        <v>16</v>
      </c>
      <c r="C2495" s="101" t="s">
        <v>174</v>
      </c>
      <c r="D2495" s="101" t="s">
        <v>335</v>
      </c>
      <c r="E2495" s="101" t="s">
        <v>17</v>
      </c>
    </row>
    <row r="2496" spans="1:5" x14ac:dyDescent="0.3">
      <c r="A2496" t="str">
        <f t="shared" si="38"/>
        <v>0323514</v>
      </c>
      <c r="B2496" s="101" t="s">
        <v>16</v>
      </c>
      <c r="C2496" s="101" t="s">
        <v>174</v>
      </c>
      <c r="D2496" s="101" t="s">
        <v>388</v>
      </c>
      <c r="E2496" s="101" t="s">
        <v>17</v>
      </c>
    </row>
    <row r="2497" spans="1:5" x14ac:dyDescent="0.3">
      <c r="A2497" t="str">
        <f t="shared" si="38"/>
        <v>0323515</v>
      </c>
      <c r="B2497" s="101" t="s">
        <v>16</v>
      </c>
      <c r="C2497" s="101" t="s">
        <v>174</v>
      </c>
      <c r="D2497" s="101" t="s">
        <v>407</v>
      </c>
      <c r="E2497" s="101" t="s">
        <v>17</v>
      </c>
    </row>
    <row r="2498" spans="1:5" x14ac:dyDescent="0.3">
      <c r="A2498" t="str">
        <f t="shared" si="38"/>
        <v>0323516</v>
      </c>
      <c r="B2498" s="101" t="s">
        <v>16</v>
      </c>
      <c r="C2498" s="101" t="s">
        <v>174</v>
      </c>
      <c r="D2498" s="101" t="s">
        <v>389</v>
      </c>
      <c r="E2498" s="101" t="s">
        <v>17</v>
      </c>
    </row>
    <row r="2499" spans="1:5" x14ac:dyDescent="0.3">
      <c r="A2499" t="str">
        <f t="shared" ref="A2499:A2562" si="39">CONCATENATE(B2499,C2499,D2499,F2499)</f>
        <v>0323517</v>
      </c>
      <c r="B2499" s="101" t="s">
        <v>16</v>
      </c>
      <c r="C2499" s="101" t="s">
        <v>174</v>
      </c>
      <c r="D2499" s="101" t="s">
        <v>390</v>
      </c>
      <c r="E2499" s="101" t="s">
        <v>17</v>
      </c>
    </row>
    <row r="2500" spans="1:5" x14ac:dyDescent="0.3">
      <c r="A2500" t="str">
        <f t="shared" si="39"/>
        <v>0323826</v>
      </c>
      <c r="B2500" s="101" t="s">
        <v>16</v>
      </c>
      <c r="C2500" s="101" t="s">
        <v>174</v>
      </c>
      <c r="D2500" s="101" t="s">
        <v>359</v>
      </c>
      <c r="E2500" s="101" t="s">
        <v>19</v>
      </c>
    </row>
    <row r="2501" spans="1:5" x14ac:dyDescent="0.3">
      <c r="A2501" t="str">
        <f t="shared" si="39"/>
        <v>0323827</v>
      </c>
      <c r="B2501" s="101" t="s">
        <v>16</v>
      </c>
      <c r="C2501" s="101" t="s">
        <v>174</v>
      </c>
      <c r="D2501" s="101" t="s">
        <v>361</v>
      </c>
      <c r="E2501" s="101" t="s">
        <v>19</v>
      </c>
    </row>
    <row r="2502" spans="1:5" x14ac:dyDescent="0.3">
      <c r="A2502" t="str">
        <f t="shared" si="39"/>
        <v>0323518</v>
      </c>
      <c r="B2502" s="101" t="s">
        <v>16</v>
      </c>
      <c r="C2502" s="101" t="s">
        <v>174</v>
      </c>
      <c r="D2502" s="101" t="s">
        <v>382</v>
      </c>
      <c r="E2502" s="101" t="s">
        <v>19</v>
      </c>
    </row>
    <row r="2503" spans="1:5" x14ac:dyDescent="0.3">
      <c r="A2503" t="str">
        <f t="shared" si="39"/>
        <v>0323519</v>
      </c>
      <c r="B2503" s="101" t="s">
        <v>16</v>
      </c>
      <c r="C2503" s="101" t="s">
        <v>174</v>
      </c>
      <c r="D2503" s="101" t="s">
        <v>383</v>
      </c>
      <c r="E2503" s="101" t="s">
        <v>19</v>
      </c>
    </row>
    <row r="2504" spans="1:5" x14ac:dyDescent="0.3">
      <c r="A2504" t="str">
        <f t="shared" si="39"/>
        <v>0323828</v>
      </c>
      <c r="B2504" s="101" t="s">
        <v>16</v>
      </c>
      <c r="C2504" s="101" t="s">
        <v>174</v>
      </c>
      <c r="D2504" s="101" t="s">
        <v>371</v>
      </c>
      <c r="E2504" s="101" t="s">
        <v>140</v>
      </c>
    </row>
    <row r="2505" spans="1:5" x14ac:dyDescent="0.3">
      <c r="A2505" t="str">
        <f t="shared" si="39"/>
        <v>0323829</v>
      </c>
      <c r="B2505" s="101" t="s">
        <v>16</v>
      </c>
      <c r="C2505" s="101" t="s">
        <v>174</v>
      </c>
      <c r="D2505" s="101" t="s">
        <v>372</v>
      </c>
      <c r="E2505" s="101" t="s">
        <v>140</v>
      </c>
    </row>
    <row r="2506" spans="1:5" x14ac:dyDescent="0.3">
      <c r="A2506" t="str">
        <f t="shared" si="39"/>
        <v>0323520</v>
      </c>
      <c r="B2506" s="101" t="s">
        <v>16</v>
      </c>
      <c r="C2506" s="101" t="s">
        <v>174</v>
      </c>
      <c r="D2506" s="101" t="s">
        <v>404</v>
      </c>
      <c r="E2506" s="101" t="s">
        <v>140</v>
      </c>
    </row>
    <row r="2507" spans="1:5" x14ac:dyDescent="0.3">
      <c r="A2507" t="str">
        <f t="shared" si="39"/>
        <v>0323521</v>
      </c>
      <c r="B2507" s="101" t="s">
        <v>16</v>
      </c>
      <c r="C2507" s="101" t="s">
        <v>174</v>
      </c>
      <c r="D2507" s="101" t="s">
        <v>384</v>
      </c>
      <c r="E2507" s="101" t="s">
        <v>140</v>
      </c>
    </row>
    <row r="2508" spans="1:5" x14ac:dyDescent="0.3">
      <c r="A2508" t="str">
        <f t="shared" si="39"/>
        <v>0323013</v>
      </c>
      <c r="B2508" s="101" t="s">
        <v>16</v>
      </c>
      <c r="C2508" s="101" t="s">
        <v>174</v>
      </c>
      <c r="D2508" s="101" t="s">
        <v>403</v>
      </c>
      <c r="E2508" s="101" t="s">
        <v>17</v>
      </c>
    </row>
    <row r="2509" spans="1:5" x14ac:dyDescent="0.3">
      <c r="A2509" t="str">
        <f t="shared" si="39"/>
        <v>0323016</v>
      </c>
      <c r="B2509" s="101" t="s">
        <v>16</v>
      </c>
      <c r="C2509" s="101" t="s">
        <v>174</v>
      </c>
      <c r="D2509" s="101" t="s">
        <v>396</v>
      </c>
      <c r="E2509" s="101" t="s">
        <v>17</v>
      </c>
    </row>
    <row r="2510" spans="1:5" x14ac:dyDescent="0.3">
      <c r="A2510" t="str">
        <f t="shared" si="39"/>
        <v>0323030</v>
      </c>
      <c r="B2510" s="101" t="s">
        <v>16</v>
      </c>
      <c r="C2510" s="101" t="s">
        <v>174</v>
      </c>
      <c r="D2510" s="101" t="s">
        <v>357</v>
      </c>
      <c r="E2510" s="101" t="s">
        <v>17</v>
      </c>
    </row>
    <row r="2511" spans="1:5" x14ac:dyDescent="0.3">
      <c r="A2511" t="str">
        <f t="shared" si="39"/>
        <v>0323033</v>
      </c>
      <c r="B2511" s="101" t="s">
        <v>16</v>
      </c>
      <c r="C2511" s="101" t="s">
        <v>174</v>
      </c>
      <c r="D2511" s="101" t="s">
        <v>327</v>
      </c>
      <c r="E2511" s="101" t="s">
        <v>17</v>
      </c>
    </row>
    <row r="2512" spans="1:5" x14ac:dyDescent="0.3">
      <c r="A2512" t="str">
        <f t="shared" si="39"/>
        <v>0323038</v>
      </c>
      <c r="B2512" s="101" t="s">
        <v>16</v>
      </c>
      <c r="C2512" s="101" t="s">
        <v>174</v>
      </c>
      <c r="D2512" s="101" t="s">
        <v>581</v>
      </c>
      <c r="E2512" s="101" t="s">
        <v>17</v>
      </c>
    </row>
    <row r="2513" spans="1:5" x14ac:dyDescent="0.3">
      <c r="A2513" t="str">
        <f t="shared" si="39"/>
        <v>0323042</v>
      </c>
      <c r="B2513" s="101" t="s">
        <v>16</v>
      </c>
      <c r="C2513" s="101" t="s">
        <v>174</v>
      </c>
      <c r="D2513" s="101" t="s">
        <v>584</v>
      </c>
      <c r="E2513" s="101" t="s">
        <v>17</v>
      </c>
    </row>
    <row r="2514" spans="1:5" x14ac:dyDescent="0.3">
      <c r="A2514" t="str">
        <f t="shared" si="39"/>
        <v>0323062</v>
      </c>
      <c r="B2514" s="101" t="s">
        <v>16</v>
      </c>
      <c r="C2514" s="101" t="s">
        <v>174</v>
      </c>
      <c r="D2514" s="101" t="s">
        <v>632</v>
      </c>
      <c r="E2514" s="101" t="s">
        <v>17</v>
      </c>
    </row>
    <row r="2515" spans="1:5" x14ac:dyDescent="0.3">
      <c r="A2515" t="str">
        <f t="shared" si="39"/>
        <v>0323078</v>
      </c>
      <c r="B2515" s="101" t="s">
        <v>16</v>
      </c>
      <c r="C2515" s="101" t="s">
        <v>174</v>
      </c>
      <c r="D2515" s="101" t="s">
        <v>618</v>
      </c>
      <c r="E2515" s="101" t="s">
        <v>17</v>
      </c>
    </row>
    <row r="2516" spans="1:5" x14ac:dyDescent="0.3">
      <c r="A2516" t="str">
        <f t="shared" si="39"/>
        <v>0323085</v>
      </c>
      <c r="B2516" s="101" t="s">
        <v>16</v>
      </c>
      <c r="C2516" s="101" t="s">
        <v>174</v>
      </c>
      <c r="D2516" s="101" t="s">
        <v>633</v>
      </c>
      <c r="E2516" s="101" t="s">
        <v>17</v>
      </c>
    </row>
    <row r="2517" spans="1:5" x14ac:dyDescent="0.3">
      <c r="A2517" t="str">
        <f t="shared" si="39"/>
        <v>0323089</v>
      </c>
      <c r="B2517" s="101" t="s">
        <v>16</v>
      </c>
      <c r="C2517" s="101" t="s">
        <v>174</v>
      </c>
      <c r="D2517" s="101" t="s">
        <v>589</v>
      </c>
      <c r="E2517" s="101" t="s">
        <v>17</v>
      </c>
    </row>
    <row r="2518" spans="1:5" x14ac:dyDescent="0.3">
      <c r="A2518" t="str">
        <f t="shared" si="39"/>
        <v>0323559</v>
      </c>
      <c r="B2518" s="101" t="s">
        <v>16</v>
      </c>
      <c r="C2518" s="101" t="s">
        <v>174</v>
      </c>
      <c r="D2518" s="101" t="s">
        <v>363</v>
      </c>
      <c r="E2518" s="101" t="s">
        <v>17</v>
      </c>
    </row>
    <row r="2519" spans="1:5" x14ac:dyDescent="0.3">
      <c r="A2519" t="str">
        <f t="shared" si="39"/>
        <v>0323563</v>
      </c>
      <c r="B2519" s="101" t="s">
        <v>16</v>
      </c>
      <c r="C2519" s="101" t="s">
        <v>174</v>
      </c>
      <c r="D2519" s="101" t="s">
        <v>422</v>
      </c>
      <c r="E2519" s="101" t="s">
        <v>17</v>
      </c>
    </row>
    <row r="2520" spans="1:5" x14ac:dyDescent="0.3">
      <c r="A2520" t="str">
        <f t="shared" si="39"/>
        <v>0323612</v>
      </c>
      <c r="B2520" s="101" t="s">
        <v>16</v>
      </c>
      <c r="C2520" s="101" t="s">
        <v>174</v>
      </c>
      <c r="D2520" s="101" t="s">
        <v>469</v>
      </c>
      <c r="E2520" s="101" t="s">
        <v>17</v>
      </c>
    </row>
    <row r="2521" spans="1:5" x14ac:dyDescent="0.3">
      <c r="A2521" t="str">
        <f t="shared" si="39"/>
        <v>0323534</v>
      </c>
      <c r="B2521" s="101" t="s">
        <v>16</v>
      </c>
      <c r="C2521" s="101" t="s">
        <v>174</v>
      </c>
      <c r="D2521" s="101" t="s">
        <v>350</v>
      </c>
      <c r="E2521" s="101" t="s">
        <v>17</v>
      </c>
    </row>
    <row r="2522" spans="1:5" x14ac:dyDescent="0.3">
      <c r="A2522" t="str">
        <f t="shared" si="39"/>
        <v>0323551</v>
      </c>
      <c r="B2522" s="101" t="s">
        <v>16</v>
      </c>
      <c r="C2522" s="101" t="s">
        <v>174</v>
      </c>
      <c r="D2522" s="101" t="s">
        <v>416</v>
      </c>
      <c r="E2522" s="101" t="s">
        <v>17</v>
      </c>
    </row>
    <row r="2523" spans="1:5" x14ac:dyDescent="0.3">
      <c r="A2523" t="str">
        <f t="shared" si="39"/>
        <v>0323587</v>
      </c>
      <c r="B2523" s="101" t="s">
        <v>16</v>
      </c>
      <c r="C2523" s="101" t="s">
        <v>174</v>
      </c>
      <c r="D2523" s="101" t="s">
        <v>446</v>
      </c>
      <c r="E2523" s="101" t="s">
        <v>17</v>
      </c>
    </row>
    <row r="2524" spans="1:5" x14ac:dyDescent="0.3">
      <c r="A2524" t="str">
        <f t="shared" si="39"/>
        <v>0323603</v>
      </c>
      <c r="B2524" s="101" t="s">
        <v>16</v>
      </c>
      <c r="C2524" s="101" t="s">
        <v>174</v>
      </c>
      <c r="D2524" s="101" t="s">
        <v>462</v>
      </c>
      <c r="E2524" s="101" t="s">
        <v>17</v>
      </c>
    </row>
    <row r="2525" spans="1:5" x14ac:dyDescent="0.3">
      <c r="A2525" t="str">
        <f t="shared" si="39"/>
        <v>0323002</v>
      </c>
      <c r="B2525" s="101" t="s">
        <v>16</v>
      </c>
      <c r="C2525" s="101" t="s">
        <v>174</v>
      </c>
      <c r="D2525" s="101" t="s">
        <v>596</v>
      </c>
      <c r="E2525" s="101" t="s">
        <v>17</v>
      </c>
    </row>
    <row r="2526" spans="1:5" x14ac:dyDescent="0.3">
      <c r="A2526" t="str">
        <f t="shared" si="39"/>
        <v>0323004</v>
      </c>
      <c r="B2526" s="101" t="s">
        <v>16</v>
      </c>
      <c r="C2526" s="101" t="s">
        <v>174</v>
      </c>
      <c r="D2526" s="101" t="s">
        <v>598</v>
      </c>
      <c r="E2526" s="101" t="s">
        <v>17</v>
      </c>
    </row>
    <row r="2527" spans="1:5" x14ac:dyDescent="0.3">
      <c r="A2527" t="str">
        <f t="shared" si="39"/>
        <v>0323019</v>
      </c>
      <c r="B2527" s="101" t="s">
        <v>16</v>
      </c>
      <c r="C2527" s="101" t="s">
        <v>174</v>
      </c>
      <c r="D2527" s="101" t="s">
        <v>393</v>
      </c>
      <c r="E2527" s="101" t="s">
        <v>17</v>
      </c>
    </row>
    <row r="2528" spans="1:5" x14ac:dyDescent="0.3">
      <c r="A2528" t="str">
        <f t="shared" si="39"/>
        <v>0323021</v>
      </c>
      <c r="B2528" s="101" t="s">
        <v>16</v>
      </c>
      <c r="C2528" s="101" t="s">
        <v>174</v>
      </c>
      <c r="D2528" s="101" t="s">
        <v>477</v>
      </c>
      <c r="E2528" s="101" t="s">
        <v>17</v>
      </c>
    </row>
    <row r="2529" spans="1:5" x14ac:dyDescent="0.3">
      <c r="A2529" t="str">
        <f t="shared" si="39"/>
        <v>0323051</v>
      </c>
      <c r="B2529" s="101" t="s">
        <v>16</v>
      </c>
      <c r="C2529" s="101" t="s">
        <v>174</v>
      </c>
      <c r="D2529" s="101" t="s">
        <v>588</v>
      </c>
      <c r="E2529" s="101" t="s">
        <v>17</v>
      </c>
    </row>
    <row r="2530" spans="1:5" x14ac:dyDescent="0.3">
      <c r="A2530" t="str">
        <f t="shared" si="39"/>
        <v>0323053</v>
      </c>
      <c r="B2530" s="101" t="s">
        <v>16</v>
      </c>
      <c r="C2530" s="101" t="s">
        <v>174</v>
      </c>
      <c r="D2530" s="101" t="s">
        <v>607</v>
      </c>
      <c r="E2530" s="101" t="s">
        <v>17</v>
      </c>
    </row>
    <row r="2531" spans="1:5" x14ac:dyDescent="0.3">
      <c r="A2531" t="str">
        <f t="shared" si="39"/>
        <v>0323065</v>
      </c>
      <c r="B2531" s="101" t="s">
        <v>16</v>
      </c>
      <c r="C2531" s="101" t="s">
        <v>174</v>
      </c>
      <c r="D2531" s="101" t="s">
        <v>611</v>
      </c>
      <c r="E2531" s="101" t="s">
        <v>17</v>
      </c>
    </row>
    <row r="2532" spans="1:5" x14ac:dyDescent="0.3">
      <c r="A2532" t="str">
        <f t="shared" si="39"/>
        <v>0323067</v>
      </c>
      <c r="B2532" s="101" t="s">
        <v>16</v>
      </c>
      <c r="C2532" s="101" t="s">
        <v>174</v>
      </c>
      <c r="D2532" s="101" t="s">
        <v>602</v>
      </c>
      <c r="E2532" s="101" t="s">
        <v>17</v>
      </c>
    </row>
    <row r="2533" spans="1:5" x14ac:dyDescent="0.3">
      <c r="A2533" t="str">
        <f t="shared" si="39"/>
        <v>0323069</v>
      </c>
      <c r="B2533" s="101" t="s">
        <v>16</v>
      </c>
      <c r="C2533" s="101" t="s">
        <v>174</v>
      </c>
      <c r="D2533" s="101" t="s">
        <v>604</v>
      </c>
      <c r="E2533" s="101" t="s">
        <v>17</v>
      </c>
    </row>
    <row r="2534" spans="1:5" x14ac:dyDescent="0.3">
      <c r="A2534" t="str">
        <f t="shared" si="39"/>
        <v>0323523</v>
      </c>
      <c r="B2534" s="101" t="s">
        <v>16</v>
      </c>
      <c r="C2534" s="101" t="s">
        <v>174</v>
      </c>
      <c r="D2534" s="101" t="s">
        <v>408</v>
      </c>
      <c r="E2534" s="101" t="s">
        <v>17</v>
      </c>
    </row>
    <row r="2535" spans="1:5" x14ac:dyDescent="0.3">
      <c r="A2535" t="str">
        <f t="shared" si="39"/>
        <v>0323525</v>
      </c>
      <c r="B2535" s="101" t="s">
        <v>16</v>
      </c>
      <c r="C2535" s="101" t="s">
        <v>174</v>
      </c>
      <c r="D2535" s="101" t="s">
        <v>394</v>
      </c>
      <c r="E2535" s="101" t="s">
        <v>17</v>
      </c>
    </row>
    <row r="2536" spans="1:5" x14ac:dyDescent="0.3">
      <c r="A2536" t="str">
        <f t="shared" si="39"/>
        <v>0323540</v>
      </c>
      <c r="B2536" s="101" t="s">
        <v>16</v>
      </c>
      <c r="C2536" s="101" t="s">
        <v>174</v>
      </c>
      <c r="D2536" s="101" t="s">
        <v>411</v>
      </c>
      <c r="E2536" s="101" t="s">
        <v>17</v>
      </c>
    </row>
    <row r="2537" spans="1:5" x14ac:dyDescent="0.3">
      <c r="A2537" t="str">
        <f t="shared" si="39"/>
        <v>0323542</v>
      </c>
      <c r="B2537" s="101" t="s">
        <v>16</v>
      </c>
      <c r="C2537" s="101" t="s">
        <v>174</v>
      </c>
      <c r="D2537" s="101" t="s">
        <v>353</v>
      </c>
      <c r="E2537" s="101" t="s">
        <v>17</v>
      </c>
    </row>
    <row r="2538" spans="1:5" x14ac:dyDescent="0.3">
      <c r="A2538" t="str">
        <f t="shared" si="39"/>
        <v>0323576</v>
      </c>
      <c r="B2538" s="101" t="s">
        <v>16</v>
      </c>
      <c r="C2538" s="101" t="s">
        <v>174</v>
      </c>
      <c r="D2538" s="101" t="s">
        <v>435</v>
      </c>
      <c r="E2538" s="101" t="s">
        <v>17</v>
      </c>
    </row>
    <row r="2539" spans="1:5" x14ac:dyDescent="0.3">
      <c r="A2539" t="str">
        <f t="shared" si="39"/>
        <v>0323578</v>
      </c>
      <c r="B2539" s="101" t="s">
        <v>16</v>
      </c>
      <c r="C2539" s="101" t="s">
        <v>174</v>
      </c>
      <c r="D2539" s="101" t="s">
        <v>437</v>
      </c>
      <c r="E2539" s="101" t="s">
        <v>17</v>
      </c>
    </row>
    <row r="2540" spans="1:5" x14ac:dyDescent="0.3">
      <c r="A2540" t="str">
        <f t="shared" si="39"/>
        <v>0323592</v>
      </c>
      <c r="B2540" s="101" t="s">
        <v>16</v>
      </c>
      <c r="C2540" s="101" t="s">
        <v>174</v>
      </c>
      <c r="D2540" s="101" t="s">
        <v>451</v>
      </c>
      <c r="E2540" s="101" t="s">
        <v>17</v>
      </c>
    </row>
    <row r="2541" spans="1:5" x14ac:dyDescent="0.3">
      <c r="A2541" t="str">
        <f t="shared" si="39"/>
        <v>0323594</v>
      </c>
      <c r="B2541" s="101" t="s">
        <v>16</v>
      </c>
      <c r="C2541" s="101" t="s">
        <v>174</v>
      </c>
      <c r="D2541" s="101" t="s">
        <v>454</v>
      </c>
      <c r="E2541" s="101" t="s">
        <v>17</v>
      </c>
    </row>
    <row r="2542" spans="1:5" x14ac:dyDescent="0.3">
      <c r="A2542" t="str">
        <f t="shared" si="39"/>
        <v>0323009</v>
      </c>
      <c r="B2542" s="101" t="s">
        <v>16</v>
      </c>
      <c r="C2542" s="101" t="s">
        <v>174</v>
      </c>
      <c r="D2542" s="101" t="s">
        <v>406</v>
      </c>
      <c r="E2542" s="101" t="s">
        <v>17</v>
      </c>
    </row>
    <row r="2543" spans="1:5" x14ac:dyDescent="0.3">
      <c r="A2543" t="str">
        <f t="shared" si="39"/>
        <v>0323026</v>
      </c>
      <c r="B2543" s="101" t="s">
        <v>16</v>
      </c>
      <c r="C2543" s="101" t="s">
        <v>174</v>
      </c>
      <c r="D2543" s="101" t="s">
        <v>579</v>
      </c>
      <c r="E2543" s="101" t="s">
        <v>17</v>
      </c>
    </row>
    <row r="2544" spans="1:5" x14ac:dyDescent="0.3">
      <c r="A2544" t="str">
        <f t="shared" si="39"/>
        <v>0323058</v>
      </c>
      <c r="B2544" s="101" t="s">
        <v>16</v>
      </c>
      <c r="C2544" s="101" t="s">
        <v>174</v>
      </c>
      <c r="D2544" s="101" t="s">
        <v>629</v>
      </c>
      <c r="E2544" s="101" t="s">
        <v>17</v>
      </c>
    </row>
    <row r="2545" spans="1:5" x14ac:dyDescent="0.3">
      <c r="A2545" t="str">
        <f t="shared" si="39"/>
        <v>0323074</v>
      </c>
      <c r="B2545" s="101" t="s">
        <v>16</v>
      </c>
      <c r="C2545" s="101" t="s">
        <v>174</v>
      </c>
      <c r="D2545" s="101" t="s">
        <v>613</v>
      </c>
      <c r="E2545" s="101" t="s">
        <v>17</v>
      </c>
    </row>
    <row r="2546" spans="1:5" x14ac:dyDescent="0.3">
      <c r="A2546" t="str">
        <f t="shared" si="39"/>
        <v>0323081</v>
      </c>
      <c r="B2546" s="101" t="s">
        <v>16</v>
      </c>
      <c r="C2546" s="101" t="s">
        <v>174</v>
      </c>
      <c r="D2546" s="101" t="s">
        <v>621</v>
      </c>
      <c r="E2546" s="101" t="s">
        <v>17</v>
      </c>
    </row>
    <row r="2547" spans="1:5" x14ac:dyDescent="0.3">
      <c r="A2547" t="str">
        <f t="shared" si="39"/>
        <v>0323530</v>
      </c>
      <c r="B2547" s="101" t="s">
        <v>16</v>
      </c>
      <c r="C2547" s="101" t="s">
        <v>174</v>
      </c>
      <c r="D2547" s="101" t="s">
        <v>377</v>
      </c>
      <c r="E2547" s="101" t="s">
        <v>17</v>
      </c>
    </row>
    <row r="2548" spans="1:5" x14ac:dyDescent="0.3">
      <c r="A2548" t="str">
        <f t="shared" si="39"/>
        <v>0323547</v>
      </c>
      <c r="B2548" s="101" t="s">
        <v>16</v>
      </c>
      <c r="C2548" s="101" t="s">
        <v>174</v>
      </c>
      <c r="D2548" s="101" t="s">
        <v>414</v>
      </c>
      <c r="E2548" s="101" t="s">
        <v>17</v>
      </c>
    </row>
    <row r="2549" spans="1:5" x14ac:dyDescent="0.3">
      <c r="A2549" t="str">
        <f t="shared" si="39"/>
        <v>0323583</v>
      </c>
      <c r="B2549" s="101" t="s">
        <v>16</v>
      </c>
      <c r="C2549" s="101" t="s">
        <v>174</v>
      </c>
      <c r="D2549" s="101" t="s">
        <v>442</v>
      </c>
      <c r="E2549" s="101" t="s">
        <v>17</v>
      </c>
    </row>
    <row r="2550" spans="1:5" x14ac:dyDescent="0.3">
      <c r="A2550" t="str">
        <f t="shared" si="39"/>
        <v>0323599</v>
      </c>
      <c r="B2550" s="101" t="s">
        <v>16</v>
      </c>
      <c r="C2550" s="101" t="s">
        <v>174</v>
      </c>
      <c r="D2550" s="101" t="s">
        <v>460</v>
      </c>
      <c r="E2550" s="101" t="s">
        <v>17</v>
      </c>
    </row>
    <row r="2551" spans="1:5" x14ac:dyDescent="0.3">
      <c r="A2551" t="str">
        <f t="shared" si="39"/>
        <v>0323035</v>
      </c>
      <c r="B2551" s="101" t="s">
        <v>16</v>
      </c>
      <c r="C2551" s="101" t="s">
        <v>174</v>
      </c>
      <c r="D2551" s="101" t="s">
        <v>497</v>
      </c>
      <c r="E2551" s="101" t="s">
        <v>17</v>
      </c>
    </row>
    <row r="2552" spans="1:5" x14ac:dyDescent="0.3">
      <c r="A2552" t="str">
        <f t="shared" si="39"/>
        <v>0323039</v>
      </c>
      <c r="B2552" s="101" t="s">
        <v>16</v>
      </c>
      <c r="C2552" s="101" t="s">
        <v>174</v>
      </c>
      <c r="D2552" s="101" t="s">
        <v>582</v>
      </c>
      <c r="E2552" s="101" t="s">
        <v>17</v>
      </c>
    </row>
    <row r="2553" spans="1:5" x14ac:dyDescent="0.3">
      <c r="A2553" t="str">
        <f t="shared" si="39"/>
        <v>0323082</v>
      </c>
      <c r="B2553" s="101" t="s">
        <v>16</v>
      </c>
      <c r="C2553" s="101" t="s">
        <v>174</v>
      </c>
      <c r="D2553" s="101" t="s">
        <v>622</v>
      </c>
      <c r="E2553" s="101" t="s">
        <v>17</v>
      </c>
    </row>
    <row r="2554" spans="1:5" x14ac:dyDescent="0.3">
      <c r="A2554" t="str">
        <f t="shared" si="39"/>
        <v>0323086</v>
      </c>
      <c r="B2554" s="101" t="s">
        <v>16</v>
      </c>
      <c r="C2554" s="101" t="s">
        <v>174</v>
      </c>
      <c r="D2554" s="101" t="s">
        <v>634</v>
      </c>
      <c r="E2554" s="101" t="s">
        <v>17</v>
      </c>
    </row>
    <row r="2555" spans="1:5" x14ac:dyDescent="0.3">
      <c r="A2555" t="str">
        <f t="shared" si="39"/>
        <v>0323556</v>
      </c>
      <c r="B2555" s="101" t="s">
        <v>16</v>
      </c>
      <c r="C2555" s="101" t="s">
        <v>174</v>
      </c>
      <c r="D2555" s="101" t="s">
        <v>342</v>
      </c>
      <c r="E2555" s="101" t="s">
        <v>17</v>
      </c>
    </row>
    <row r="2556" spans="1:5" x14ac:dyDescent="0.3">
      <c r="A2556" t="str">
        <f t="shared" si="39"/>
        <v>0323560</v>
      </c>
      <c r="B2556" s="101" t="s">
        <v>16</v>
      </c>
      <c r="C2556" s="101" t="s">
        <v>174</v>
      </c>
      <c r="D2556" s="101" t="s">
        <v>375</v>
      </c>
      <c r="E2556" s="101" t="s">
        <v>17</v>
      </c>
    </row>
    <row r="2557" spans="1:5" x14ac:dyDescent="0.3">
      <c r="A2557" t="str">
        <f t="shared" si="39"/>
        <v>0323606</v>
      </c>
      <c r="B2557" s="101" t="s">
        <v>16</v>
      </c>
      <c r="C2557" s="101" t="s">
        <v>174</v>
      </c>
      <c r="D2557" s="101" t="s">
        <v>465</v>
      </c>
      <c r="E2557" s="101" t="s">
        <v>17</v>
      </c>
    </row>
    <row r="2558" spans="1:5" x14ac:dyDescent="0.3">
      <c r="A2558" t="str">
        <f t="shared" si="39"/>
        <v>0323613</v>
      </c>
      <c r="B2558" s="101" t="s">
        <v>16</v>
      </c>
      <c r="C2558" s="101" t="s">
        <v>174</v>
      </c>
      <c r="D2558" s="101" t="s">
        <v>470</v>
      </c>
      <c r="E2558" s="101" t="s">
        <v>17</v>
      </c>
    </row>
    <row r="2559" spans="1:5" x14ac:dyDescent="0.3">
      <c r="A2559" t="str">
        <f t="shared" si="39"/>
        <v>0323011</v>
      </c>
      <c r="B2559" s="101" t="s">
        <v>16</v>
      </c>
      <c r="C2559" s="101" t="s">
        <v>174</v>
      </c>
      <c r="D2559" s="101" t="s">
        <v>402</v>
      </c>
      <c r="E2559" s="101" t="s">
        <v>17</v>
      </c>
    </row>
    <row r="2560" spans="1:5" x14ac:dyDescent="0.3">
      <c r="A2560" t="str">
        <f t="shared" si="39"/>
        <v>0323028</v>
      </c>
      <c r="B2560" s="101" t="s">
        <v>16</v>
      </c>
      <c r="C2560" s="101" t="s">
        <v>174</v>
      </c>
      <c r="D2560" s="101" t="s">
        <v>368</v>
      </c>
      <c r="E2560" s="101" t="s">
        <v>17</v>
      </c>
    </row>
    <row r="2561" spans="1:5" x14ac:dyDescent="0.3">
      <c r="A2561" t="str">
        <f t="shared" si="39"/>
        <v>0323060</v>
      </c>
      <c r="B2561" s="101" t="s">
        <v>16</v>
      </c>
      <c r="C2561" s="101" t="s">
        <v>174</v>
      </c>
      <c r="D2561" s="101" t="s">
        <v>627</v>
      </c>
      <c r="E2561" s="101" t="s">
        <v>17</v>
      </c>
    </row>
    <row r="2562" spans="1:5" x14ac:dyDescent="0.3">
      <c r="A2562" t="str">
        <f t="shared" si="39"/>
        <v>0323076</v>
      </c>
      <c r="B2562" s="101" t="s">
        <v>16</v>
      </c>
      <c r="C2562" s="101" t="s">
        <v>174</v>
      </c>
      <c r="D2562" s="101" t="s">
        <v>616</v>
      </c>
      <c r="E2562" s="101" t="s">
        <v>17</v>
      </c>
    </row>
    <row r="2563" spans="1:5" x14ac:dyDescent="0.3">
      <c r="A2563" t="str">
        <f t="shared" ref="A2563:A2626" si="40">CONCATENATE(B2563,C2563,D2563,F2563)</f>
        <v>0323532</v>
      </c>
      <c r="B2563" s="101" t="s">
        <v>16</v>
      </c>
      <c r="C2563" s="101" t="s">
        <v>174</v>
      </c>
      <c r="D2563" s="101" t="s">
        <v>323</v>
      </c>
      <c r="E2563" s="101" t="s">
        <v>17</v>
      </c>
    </row>
    <row r="2564" spans="1:5" x14ac:dyDescent="0.3">
      <c r="A2564" t="str">
        <f t="shared" si="40"/>
        <v>0323537</v>
      </c>
      <c r="B2564" s="101" t="s">
        <v>16</v>
      </c>
      <c r="C2564" s="101" t="s">
        <v>174</v>
      </c>
      <c r="D2564" s="101" t="s">
        <v>395</v>
      </c>
      <c r="E2564" s="101" t="s">
        <v>17</v>
      </c>
    </row>
    <row r="2565" spans="1:5" x14ac:dyDescent="0.3">
      <c r="A2565" t="str">
        <f t="shared" si="40"/>
        <v>0323549</v>
      </c>
      <c r="B2565" s="101" t="s">
        <v>16</v>
      </c>
      <c r="C2565" s="101" t="s">
        <v>174</v>
      </c>
      <c r="D2565" s="101" t="s">
        <v>348</v>
      </c>
      <c r="E2565" s="101" t="s">
        <v>17</v>
      </c>
    </row>
    <row r="2566" spans="1:5" x14ac:dyDescent="0.3">
      <c r="A2566" t="str">
        <f t="shared" si="40"/>
        <v>0323585</v>
      </c>
      <c r="B2566" s="101" t="s">
        <v>16</v>
      </c>
      <c r="C2566" s="101" t="s">
        <v>174</v>
      </c>
      <c r="D2566" s="101" t="s">
        <v>444</v>
      </c>
      <c r="E2566" s="101" t="s">
        <v>17</v>
      </c>
    </row>
    <row r="2567" spans="1:5" x14ac:dyDescent="0.3">
      <c r="A2567" t="str">
        <f t="shared" si="40"/>
        <v>0323601</v>
      </c>
      <c r="B2567" s="101" t="s">
        <v>16</v>
      </c>
      <c r="C2567" s="101" t="s">
        <v>174</v>
      </c>
      <c r="D2567" s="101" t="s">
        <v>231</v>
      </c>
      <c r="E2567" s="101" t="s">
        <v>17</v>
      </c>
    </row>
    <row r="2568" spans="1:5" x14ac:dyDescent="0.3">
      <c r="A2568" t="str">
        <f t="shared" si="40"/>
        <v>0323036</v>
      </c>
      <c r="B2568" s="101" t="s">
        <v>16</v>
      </c>
      <c r="C2568" s="101" t="s">
        <v>174</v>
      </c>
      <c r="D2568" s="101" t="s">
        <v>580</v>
      </c>
      <c r="E2568" s="101" t="s">
        <v>17</v>
      </c>
    </row>
    <row r="2569" spans="1:5" x14ac:dyDescent="0.3">
      <c r="A2569" t="str">
        <f t="shared" si="40"/>
        <v>0323040</v>
      </c>
      <c r="B2569" s="101" t="s">
        <v>16</v>
      </c>
      <c r="C2569" s="101" t="s">
        <v>174</v>
      </c>
      <c r="D2569" s="101" t="s">
        <v>614</v>
      </c>
      <c r="E2569" s="101" t="s">
        <v>17</v>
      </c>
    </row>
    <row r="2570" spans="1:5" x14ac:dyDescent="0.3">
      <c r="A2570" t="str">
        <f t="shared" si="40"/>
        <v>0323083</v>
      </c>
      <c r="B2570" s="101" t="s">
        <v>16</v>
      </c>
      <c r="C2570" s="101" t="s">
        <v>174</v>
      </c>
      <c r="D2570" s="101" t="s">
        <v>623</v>
      </c>
      <c r="E2570" s="101" t="s">
        <v>17</v>
      </c>
    </row>
    <row r="2571" spans="1:5" x14ac:dyDescent="0.3">
      <c r="A2571" t="str">
        <f t="shared" si="40"/>
        <v>0323087</v>
      </c>
      <c r="B2571" s="101" t="s">
        <v>16</v>
      </c>
      <c r="C2571" s="101" t="s">
        <v>174</v>
      </c>
      <c r="D2571" s="101" t="s">
        <v>635</v>
      </c>
      <c r="E2571" s="101" t="s">
        <v>17</v>
      </c>
    </row>
    <row r="2572" spans="1:5" x14ac:dyDescent="0.3">
      <c r="A2572" t="str">
        <f t="shared" si="40"/>
        <v>0323557</v>
      </c>
      <c r="B2572" s="101" t="s">
        <v>16</v>
      </c>
      <c r="C2572" s="101" t="s">
        <v>174</v>
      </c>
      <c r="D2572" s="101" t="s">
        <v>343</v>
      </c>
      <c r="E2572" s="101" t="s">
        <v>17</v>
      </c>
    </row>
    <row r="2573" spans="1:5" x14ac:dyDescent="0.3">
      <c r="A2573" t="str">
        <f t="shared" si="40"/>
        <v>0323561</v>
      </c>
      <c r="B2573" s="101" t="s">
        <v>16</v>
      </c>
      <c r="C2573" s="101" t="s">
        <v>174</v>
      </c>
      <c r="D2573" s="101" t="s">
        <v>376</v>
      </c>
      <c r="E2573" s="101" t="s">
        <v>17</v>
      </c>
    </row>
    <row r="2574" spans="1:5" x14ac:dyDescent="0.3">
      <c r="A2574" t="str">
        <f t="shared" si="40"/>
        <v>0323590</v>
      </c>
      <c r="B2574" s="101" t="s">
        <v>16</v>
      </c>
      <c r="C2574" s="101" t="s">
        <v>174</v>
      </c>
      <c r="D2574" s="101" t="s">
        <v>449</v>
      </c>
      <c r="E2574" s="101" t="s">
        <v>17</v>
      </c>
    </row>
    <row r="2575" spans="1:5" x14ac:dyDescent="0.3">
      <c r="A2575" t="str">
        <f t="shared" si="40"/>
        <v>0323614</v>
      </c>
      <c r="B2575" s="101" t="s">
        <v>16</v>
      </c>
      <c r="C2575" s="101" t="s">
        <v>174</v>
      </c>
      <c r="D2575" s="101" t="s">
        <v>291</v>
      </c>
      <c r="E2575" s="101" t="s">
        <v>17</v>
      </c>
    </row>
    <row r="2576" spans="1:5" x14ac:dyDescent="0.3">
      <c r="A2576" t="str">
        <f t="shared" si="40"/>
        <v>0323006</v>
      </c>
      <c r="B2576" s="101" t="s">
        <v>16</v>
      </c>
      <c r="C2576" s="101" t="s">
        <v>174</v>
      </c>
      <c r="D2576" s="101" t="s">
        <v>400</v>
      </c>
      <c r="E2576" s="101" t="s">
        <v>17</v>
      </c>
    </row>
    <row r="2577" spans="1:5" x14ac:dyDescent="0.3">
      <c r="A2577" t="str">
        <f t="shared" si="40"/>
        <v>0323014</v>
      </c>
      <c r="B2577" s="101" t="s">
        <v>16</v>
      </c>
      <c r="C2577" s="101" t="s">
        <v>174</v>
      </c>
      <c r="D2577" s="101" t="s">
        <v>531</v>
      </c>
      <c r="E2577" s="101" t="s">
        <v>17</v>
      </c>
    </row>
    <row r="2578" spans="1:5" x14ac:dyDescent="0.3">
      <c r="A2578" t="str">
        <f t="shared" si="40"/>
        <v>0323023</v>
      </c>
      <c r="B2578" s="101" t="s">
        <v>16</v>
      </c>
      <c r="C2578" s="101" t="s">
        <v>174</v>
      </c>
      <c r="D2578" s="101" t="s">
        <v>480</v>
      </c>
      <c r="E2578" s="101" t="s">
        <v>17</v>
      </c>
    </row>
    <row r="2579" spans="1:5" x14ac:dyDescent="0.3">
      <c r="A2579" t="str">
        <f t="shared" si="40"/>
        <v>0323031</v>
      </c>
      <c r="B2579" s="101" t="s">
        <v>16</v>
      </c>
      <c r="C2579" s="101" t="s">
        <v>174</v>
      </c>
      <c r="D2579" s="101" t="s">
        <v>369</v>
      </c>
      <c r="E2579" s="101" t="s">
        <v>17</v>
      </c>
    </row>
    <row r="2580" spans="1:5" x14ac:dyDescent="0.3">
      <c r="A2580" t="str">
        <f t="shared" si="40"/>
        <v>0323055</v>
      </c>
      <c r="B2580" s="101" t="s">
        <v>16</v>
      </c>
      <c r="C2580" s="101" t="s">
        <v>174</v>
      </c>
      <c r="D2580" s="101" t="s">
        <v>608</v>
      </c>
      <c r="E2580" s="101" t="s">
        <v>17</v>
      </c>
    </row>
    <row r="2581" spans="1:5" x14ac:dyDescent="0.3">
      <c r="A2581" t="str">
        <f t="shared" si="40"/>
        <v>0323063</v>
      </c>
      <c r="B2581" s="101" t="s">
        <v>16</v>
      </c>
      <c r="C2581" s="101" t="s">
        <v>174</v>
      </c>
      <c r="D2581" s="101" t="s">
        <v>631</v>
      </c>
      <c r="E2581" s="101" t="s">
        <v>17</v>
      </c>
    </row>
    <row r="2582" spans="1:5" x14ac:dyDescent="0.3">
      <c r="A2582" t="str">
        <f t="shared" si="40"/>
        <v>0323071</v>
      </c>
      <c r="B2582" s="101" t="s">
        <v>16</v>
      </c>
      <c r="C2582" s="101" t="s">
        <v>174</v>
      </c>
      <c r="D2582" s="101" t="s">
        <v>600</v>
      </c>
      <c r="E2582" s="101" t="s">
        <v>17</v>
      </c>
    </row>
    <row r="2583" spans="1:5" x14ac:dyDescent="0.3">
      <c r="A2583" t="str">
        <f t="shared" si="40"/>
        <v>0323079</v>
      </c>
      <c r="B2583" s="101" t="s">
        <v>16</v>
      </c>
      <c r="C2583" s="101" t="s">
        <v>174</v>
      </c>
      <c r="D2583" s="101" t="s">
        <v>619</v>
      </c>
      <c r="E2583" s="101" t="s">
        <v>17</v>
      </c>
    </row>
    <row r="2584" spans="1:5" x14ac:dyDescent="0.3">
      <c r="A2584" t="str">
        <f t="shared" si="40"/>
        <v>0323527</v>
      </c>
      <c r="B2584" s="101" t="s">
        <v>16</v>
      </c>
      <c r="C2584" s="101" t="s">
        <v>174</v>
      </c>
      <c r="D2584" s="101" t="s">
        <v>380</v>
      </c>
      <c r="E2584" s="101" t="s">
        <v>17</v>
      </c>
    </row>
    <row r="2585" spans="1:5" x14ac:dyDescent="0.3">
      <c r="A2585" t="str">
        <f t="shared" si="40"/>
        <v>0323535</v>
      </c>
      <c r="B2585" s="101" t="s">
        <v>16</v>
      </c>
      <c r="C2585" s="101" t="s">
        <v>174</v>
      </c>
      <c r="D2585" s="101" t="s">
        <v>410</v>
      </c>
      <c r="E2585" s="101" t="s">
        <v>17</v>
      </c>
    </row>
    <row r="2586" spans="1:5" x14ac:dyDescent="0.3">
      <c r="A2586" t="str">
        <f t="shared" si="40"/>
        <v>0323544</v>
      </c>
      <c r="B2586" s="101" t="s">
        <v>16</v>
      </c>
      <c r="C2586" s="101" t="s">
        <v>174</v>
      </c>
      <c r="D2586" s="101" t="s">
        <v>412</v>
      </c>
      <c r="E2586" s="101" t="s">
        <v>17</v>
      </c>
    </row>
    <row r="2587" spans="1:5" x14ac:dyDescent="0.3">
      <c r="A2587" t="str">
        <f t="shared" si="40"/>
        <v>0323552</v>
      </c>
      <c r="B2587" s="101" t="s">
        <v>16</v>
      </c>
      <c r="C2587" s="101" t="s">
        <v>174</v>
      </c>
      <c r="D2587" s="101" t="s">
        <v>374</v>
      </c>
      <c r="E2587" s="101" t="s">
        <v>17</v>
      </c>
    </row>
    <row r="2588" spans="1:5" x14ac:dyDescent="0.3">
      <c r="A2588" t="str">
        <f t="shared" si="40"/>
        <v>0323554</v>
      </c>
      <c r="B2588" s="101" t="s">
        <v>16</v>
      </c>
      <c r="C2588" s="101" t="s">
        <v>174</v>
      </c>
      <c r="D2588" s="101" t="s">
        <v>391</v>
      </c>
      <c r="E2588" s="101" t="s">
        <v>17</v>
      </c>
    </row>
    <row r="2589" spans="1:5" x14ac:dyDescent="0.3">
      <c r="A2589" t="str">
        <f t="shared" si="40"/>
        <v>0323580</v>
      </c>
      <c r="B2589" s="101" t="s">
        <v>16</v>
      </c>
      <c r="C2589" s="101" t="s">
        <v>174</v>
      </c>
      <c r="D2589" s="101" t="s">
        <v>439</v>
      </c>
      <c r="E2589" s="101" t="s">
        <v>17</v>
      </c>
    </row>
    <row r="2590" spans="1:5" x14ac:dyDescent="0.3">
      <c r="A2590" t="str">
        <f t="shared" si="40"/>
        <v>0323588</v>
      </c>
      <c r="B2590" s="101" t="s">
        <v>16</v>
      </c>
      <c r="C2590" s="101" t="s">
        <v>174</v>
      </c>
      <c r="D2590" s="101" t="s">
        <v>447</v>
      </c>
      <c r="E2590" s="101" t="s">
        <v>17</v>
      </c>
    </row>
    <row r="2591" spans="1:5" x14ac:dyDescent="0.3">
      <c r="A2591" t="str">
        <f t="shared" si="40"/>
        <v>0323596</v>
      </c>
      <c r="B2591" s="101" t="s">
        <v>16</v>
      </c>
      <c r="C2591" s="101" t="s">
        <v>174</v>
      </c>
      <c r="D2591" s="101" t="s">
        <v>457</v>
      </c>
      <c r="E2591" s="101" t="s">
        <v>17</v>
      </c>
    </row>
    <row r="2592" spans="1:5" x14ac:dyDescent="0.3">
      <c r="A2592" t="str">
        <f t="shared" si="40"/>
        <v>0323604</v>
      </c>
      <c r="B2592" s="101" t="s">
        <v>16</v>
      </c>
      <c r="C2592" s="101" t="s">
        <v>174</v>
      </c>
      <c r="D2592" s="101" t="s">
        <v>463</v>
      </c>
      <c r="E2592" s="101" t="s">
        <v>17</v>
      </c>
    </row>
    <row r="2593" spans="1:5" x14ac:dyDescent="0.3">
      <c r="A2593" t="str">
        <f t="shared" si="40"/>
        <v>0323001</v>
      </c>
      <c r="B2593" s="101" t="s">
        <v>16</v>
      </c>
      <c r="C2593" s="101" t="s">
        <v>174</v>
      </c>
      <c r="D2593" s="101" t="s">
        <v>549</v>
      </c>
      <c r="E2593" s="101" t="s">
        <v>17</v>
      </c>
    </row>
    <row r="2594" spans="1:5" x14ac:dyDescent="0.3">
      <c r="A2594" t="str">
        <f t="shared" si="40"/>
        <v>0323003</v>
      </c>
      <c r="B2594" s="101" t="s">
        <v>16</v>
      </c>
      <c r="C2594" s="101" t="s">
        <v>174</v>
      </c>
      <c r="D2594" s="101" t="s">
        <v>597</v>
      </c>
      <c r="E2594" s="101" t="s">
        <v>17</v>
      </c>
    </row>
    <row r="2595" spans="1:5" x14ac:dyDescent="0.3">
      <c r="A2595" t="str">
        <f t="shared" si="40"/>
        <v>0323020</v>
      </c>
      <c r="B2595" s="101" t="s">
        <v>16</v>
      </c>
      <c r="C2595" s="101" t="s">
        <v>174</v>
      </c>
      <c r="D2595" s="101" t="s">
        <v>577</v>
      </c>
      <c r="E2595" s="101" t="s">
        <v>17</v>
      </c>
    </row>
    <row r="2596" spans="1:5" x14ac:dyDescent="0.3">
      <c r="A2596" t="str">
        <f t="shared" si="40"/>
        <v>0323050</v>
      </c>
      <c r="B2596" s="101" t="s">
        <v>16</v>
      </c>
      <c r="C2596" s="101" t="s">
        <v>174</v>
      </c>
      <c r="D2596" s="101" t="s">
        <v>587</v>
      </c>
      <c r="E2596" s="101" t="s">
        <v>17</v>
      </c>
    </row>
    <row r="2597" spans="1:5" x14ac:dyDescent="0.3">
      <c r="A2597" t="str">
        <f t="shared" si="40"/>
        <v>0323052</v>
      </c>
      <c r="B2597" s="101" t="s">
        <v>16</v>
      </c>
      <c r="C2597" s="101" t="s">
        <v>174</v>
      </c>
      <c r="D2597" s="101" t="s">
        <v>630</v>
      </c>
      <c r="E2597" s="101" t="s">
        <v>17</v>
      </c>
    </row>
    <row r="2598" spans="1:5" x14ac:dyDescent="0.3">
      <c r="A2598" t="str">
        <f t="shared" si="40"/>
        <v>0323068</v>
      </c>
      <c r="B2598" s="101" t="s">
        <v>16</v>
      </c>
      <c r="C2598" s="101" t="s">
        <v>174</v>
      </c>
      <c r="D2598" s="101" t="s">
        <v>603</v>
      </c>
      <c r="E2598" s="101" t="s">
        <v>17</v>
      </c>
    </row>
    <row r="2599" spans="1:5" x14ac:dyDescent="0.3">
      <c r="A2599" t="str">
        <f t="shared" si="40"/>
        <v>0323522</v>
      </c>
      <c r="B2599" s="101" t="s">
        <v>16</v>
      </c>
      <c r="C2599" s="101" t="s">
        <v>174</v>
      </c>
      <c r="D2599" s="101" t="s">
        <v>345</v>
      </c>
      <c r="E2599" s="101" t="s">
        <v>17</v>
      </c>
    </row>
    <row r="2600" spans="1:5" x14ac:dyDescent="0.3">
      <c r="A2600" t="str">
        <f t="shared" si="40"/>
        <v>0323524</v>
      </c>
      <c r="B2600" s="101" t="s">
        <v>16</v>
      </c>
      <c r="C2600" s="101" t="s">
        <v>174</v>
      </c>
      <c r="D2600" s="101" t="s">
        <v>351</v>
      </c>
      <c r="E2600" s="101" t="s">
        <v>17</v>
      </c>
    </row>
    <row r="2601" spans="1:5" x14ac:dyDescent="0.3">
      <c r="A2601" t="str">
        <f t="shared" si="40"/>
        <v>0323541</v>
      </c>
      <c r="B2601" s="101" t="s">
        <v>16</v>
      </c>
      <c r="C2601" s="101" t="s">
        <v>174</v>
      </c>
      <c r="D2601" s="101" t="s">
        <v>325</v>
      </c>
      <c r="E2601" s="101" t="s">
        <v>17</v>
      </c>
    </row>
    <row r="2602" spans="1:5" x14ac:dyDescent="0.3">
      <c r="A2602" t="str">
        <f t="shared" si="40"/>
        <v>0323575</v>
      </c>
      <c r="B2602" s="101" t="s">
        <v>16</v>
      </c>
      <c r="C2602" s="101" t="s">
        <v>174</v>
      </c>
      <c r="D2602" s="101" t="s">
        <v>434</v>
      </c>
      <c r="E2602" s="101" t="s">
        <v>17</v>
      </c>
    </row>
    <row r="2603" spans="1:5" x14ac:dyDescent="0.3">
      <c r="A2603" t="str">
        <f t="shared" si="40"/>
        <v>0323577</v>
      </c>
      <c r="B2603" s="101" t="s">
        <v>16</v>
      </c>
      <c r="C2603" s="101" t="s">
        <v>174</v>
      </c>
      <c r="D2603" s="101" t="s">
        <v>436</v>
      </c>
      <c r="E2603" s="101" t="s">
        <v>17</v>
      </c>
    </row>
    <row r="2604" spans="1:5" x14ac:dyDescent="0.3">
      <c r="A2604" t="str">
        <f t="shared" si="40"/>
        <v>0323591</v>
      </c>
      <c r="B2604" s="101" t="s">
        <v>16</v>
      </c>
      <c r="C2604" s="101" t="s">
        <v>174</v>
      </c>
      <c r="D2604" s="101" t="s">
        <v>450</v>
      </c>
      <c r="E2604" s="101" t="s">
        <v>17</v>
      </c>
    </row>
    <row r="2605" spans="1:5" x14ac:dyDescent="0.3">
      <c r="A2605" t="str">
        <f t="shared" si="40"/>
        <v>0323593</v>
      </c>
      <c r="B2605" s="101" t="s">
        <v>16</v>
      </c>
      <c r="C2605" s="101" t="s">
        <v>174</v>
      </c>
      <c r="D2605" s="101" t="s">
        <v>452</v>
      </c>
      <c r="E2605" s="101" t="s">
        <v>17</v>
      </c>
    </row>
    <row r="2606" spans="1:5" x14ac:dyDescent="0.3">
      <c r="A2606" t="str">
        <f t="shared" si="40"/>
        <v>0323005</v>
      </c>
      <c r="B2606" s="101" t="s">
        <v>16</v>
      </c>
      <c r="C2606" s="101" t="s">
        <v>174</v>
      </c>
      <c r="D2606" s="101" t="s">
        <v>399</v>
      </c>
      <c r="E2606" s="101" t="s">
        <v>17</v>
      </c>
    </row>
    <row r="2607" spans="1:5" x14ac:dyDescent="0.3">
      <c r="A2607" t="str">
        <f t="shared" si="40"/>
        <v>0323010</v>
      </c>
      <c r="B2607" s="101" t="s">
        <v>16</v>
      </c>
      <c r="C2607" s="101" t="s">
        <v>174</v>
      </c>
      <c r="D2607" s="101" t="s">
        <v>599</v>
      </c>
      <c r="E2607" s="101" t="s">
        <v>17</v>
      </c>
    </row>
    <row r="2608" spans="1:5" x14ac:dyDescent="0.3">
      <c r="A2608" t="str">
        <f t="shared" si="40"/>
        <v>0323022</v>
      </c>
      <c r="B2608" s="101" t="s">
        <v>16</v>
      </c>
      <c r="C2608" s="101" t="s">
        <v>174</v>
      </c>
      <c r="D2608" s="101" t="s">
        <v>322</v>
      </c>
      <c r="E2608" s="101" t="s">
        <v>17</v>
      </c>
    </row>
    <row r="2609" spans="1:5" x14ac:dyDescent="0.3">
      <c r="A2609" t="str">
        <f t="shared" si="40"/>
        <v>0323027</v>
      </c>
      <c r="B2609" s="101" t="s">
        <v>16</v>
      </c>
      <c r="C2609" s="101" t="s">
        <v>174</v>
      </c>
      <c r="D2609" s="101" t="s">
        <v>545</v>
      </c>
      <c r="E2609" s="101" t="s">
        <v>17</v>
      </c>
    </row>
    <row r="2610" spans="1:5" x14ac:dyDescent="0.3">
      <c r="A2610" t="str">
        <f t="shared" si="40"/>
        <v>0323054</v>
      </c>
      <c r="B2610" s="101" t="s">
        <v>16</v>
      </c>
      <c r="C2610" s="101" t="s">
        <v>174</v>
      </c>
      <c r="D2610" s="101" t="s">
        <v>628</v>
      </c>
      <c r="E2610" s="101" t="s">
        <v>17</v>
      </c>
    </row>
    <row r="2611" spans="1:5" x14ac:dyDescent="0.3">
      <c r="A2611" t="str">
        <f t="shared" si="40"/>
        <v>0323059</v>
      </c>
      <c r="B2611" s="101" t="s">
        <v>16</v>
      </c>
      <c r="C2611" s="101" t="s">
        <v>174</v>
      </c>
      <c r="D2611" s="101" t="s">
        <v>482</v>
      </c>
      <c r="E2611" s="101" t="s">
        <v>17</v>
      </c>
    </row>
    <row r="2612" spans="1:5" x14ac:dyDescent="0.3">
      <c r="A2612" t="str">
        <f t="shared" si="40"/>
        <v>0323070</v>
      </c>
      <c r="B2612" s="101" t="s">
        <v>16</v>
      </c>
      <c r="C2612" s="101" t="s">
        <v>174</v>
      </c>
      <c r="D2612" s="101" t="s">
        <v>605</v>
      </c>
      <c r="E2612" s="101" t="s">
        <v>17</v>
      </c>
    </row>
    <row r="2613" spans="1:5" x14ac:dyDescent="0.3">
      <c r="A2613" t="str">
        <f t="shared" si="40"/>
        <v>0323073</v>
      </c>
      <c r="B2613" s="101" t="s">
        <v>16</v>
      </c>
      <c r="C2613" s="101" t="s">
        <v>174</v>
      </c>
      <c r="D2613" s="101" t="s">
        <v>612</v>
      </c>
      <c r="E2613" s="101" t="s">
        <v>17</v>
      </c>
    </row>
    <row r="2614" spans="1:5" x14ac:dyDescent="0.3">
      <c r="A2614" t="str">
        <f t="shared" si="40"/>
        <v>0323526</v>
      </c>
      <c r="B2614" s="101" t="s">
        <v>16</v>
      </c>
      <c r="C2614" s="101" t="s">
        <v>174</v>
      </c>
      <c r="D2614" s="101" t="s">
        <v>379</v>
      </c>
      <c r="E2614" s="101" t="s">
        <v>17</v>
      </c>
    </row>
    <row r="2615" spans="1:5" x14ac:dyDescent="0.3">
      <c r="A2615" t="str">
        <f t="shared" si="40"/>
        <v>0323531</v>
      </c>
      <c r="B2615" s="101" t="s">
        <v>16</v>
      </c>
      <c r="C2615" s="101" t="s">
        <v>174</v>
      </c>
      <c r="D2615" s="101" t="s">
        <v>409</v>
      </c>
      <c r="E2615" s="101" t="s">
        <v>17</v>
      </c>
    </row>
    <row r="2616" spans="1:5" x14ac:dyDescent="0.3">
      <c r="A2616" t="str">
        <f t="shared" si="40"/>
        <v>0323543</v>
      </c>
      <c r="B2616" s="101" t="s">
        <v>16</v>
      </c>
      <c r="C2616" s="101" t="s">
        <v>174</v>
      </c>
      <c r="D2616" s="101" t="s">
        <v>347</v>
      </c>
      <c r="E2616" s="101" t="s">
        <v>17</v>
      </c>
    </row>
    <row r="2617" spans="1:5" x14ac:dyDescent="0.3">
      <c r="A2617" t="str">
        <f t="shared" si="40"/>
        <v>0323548</v>
      </c>
      <c r="B2617" s="101" t="s">
        <v>16</v>
      </c>
      <c r="C2617" s="101" t="s">
        <v>174</v>
      </c>
      <c r="D2617" s="101" t="s">
        <v>354</v>
      </c>
      <c r="E2617" s="101" t="s">
        <v>17</v>
      </c>
    </row>
    <row r="2618" spans="1:5" x14ac:dyDescent="0.3">
      <c r="A2618" t="str">
        <f t="shared" si="40"/>
        <v>0323579</v>
      </c>
      <c r="B2618" s="101" t="s">
        <v>16</v>
      </c>
      <c r="C2618" s="101" t="s">
        <v>174</v>
      </c>
      <c r="D2618" s="101" t="s">
        <v>438</v>
      </c>
      <c r="E2618" s="101" t="s">
        <v>17</v>
      </c>
    </row>
    <row r="2619" spans="1:5" x14ac:dyDescent="0.3">
      <c r="A2619" t="str">
        <f t="shared" si="40"/>
        <v>0323584</v>
      </c>
      <c r="B2619" s="101" t="s">
        <v>16</v>
      </c>
      <c r="C2619" s="101" t="s">
        <v>174</v>
      </c>
      <c r="D2619" s="101" t="s">
        <v>443</v>
      </c>
      <c r="E2619" s="101" t="s">
        <v>17</v>
      </c>
    </row>
    <row r="2620" spans="1:5" x14ac:dyDescent="0.3">
      <c r="A2620" t="str">
        <f t="shared" si="40"/>
        <v>0323595</v>
      </c>
      <c r="B2620" s="101" t="s">
        <v>16</v>
      </c>
      <c r="C2620" s="101" t="s">
        <v>174</v>
      </c>
      <c r="D2620" s="101" t="s">
        <v>456</v>
      </c>
      <c r="E2620" s="101" t="s">
        <v>17</v>
      </c>
    </row>
    <row r="2621" spans="1:5" x14ac:dyDescent="0.3">
      <c r="A2621" t="str">
        <f t="shared" si="40"/>
        <v>0323600</v>
      </c>
      <c r="B2621" s="101" t="s">
        <v>16</v>
      </c>
      <c r="C2621" s="101" t="s">
        <v>174</v>
      </c>
      <c r="D2621" s="101" t="s">
        <v>230</v>
      </c>
      <c r="E2621" s="101" t="s">
        <v>17</v>
      </c>
    </row>
    <row r="2622" spans="1:5" x14ac:dyDescent="0.3">
      <c r="A2622" t="str">
        <f t="shared" si="40"/>
        <v>0323029</v>
      </c>
      <c r="B2622" s="101" t="s">
        <v>16</v>
      </c>
      <c r="C2622" s="101" t="s">
        <v>174</v>
      </c>
      <c r="D2622" s="101" t="s">
        <v>355</v>
      </c>
      <c r="E2622" s="101" t="s">
        <v>17</v>
      </c>
    </row>
    <row r="2623" spans="1:5" x14ac:dyDescent="0.3">
      <c r="A2623" t="str">
        <f t="shared" si="40"/>
        <v>0323061</v>
      </c>
      <c r="B2623" s="101" t="s">
        <v>16</v>
      </c>
      <c r="C2623" s="101" t="s">
        <v>174</v>
      </c>
      <c r="D2623" s="101" t="s">
        <v>636</v>
      </c>
      <c r="E2623" s="101" t="s">
        <v>17</v>
      </c>
    </row>
    <row r="2624" spans="1:5" x14ac:dyDescent="0.3">
      <c r="A2624" t="str">
        <f t="shared" si="40"/>
        <v>0323077</v>
      </c>
      <c r="B2624" s="101" t="s">
        <v>16</v>
      </c>
      <c r="C2624" s="101" t="s">
        <v>174</v>
      </c>
      <c r="D2624" s="101" t="s">
        <v>617</v>
      </c>
      <c r="E2624" s="101" t="s">
        <v>17</v>
      </c>
    </row>
    <row r="2625" spans="1:5" x14ac:dyDescent="0.3">
      <c r="A2625" t="str">
        <f t="shared" si="40"/>
        <v>0323533</v>
      </c>
      <c r="B2625" s="101" t="s">
        <v>16</v>
      </c>
      <c r="C2625" s="101" t="s">
        <v>174</v>
      </c>
      <c r="D2625" s="101" t="s">
        <v>397</v>
      </c>
      <c r="E2625" s="101" t="s">
        <v>17</v>
      </c>
    </row>
    <row r="2626" spans="1:5" x14ac:dyDescent="0.3">
      <c r="A2626" t="str">
        <f t="shared" si="40"/>
        <v>0323550</v>
      </c>
      <c r="B2626" s="101" t="s">
        <v>16</v>
      </c>
      <c r="C2626" s="101" t="s">
        <v>174</v>
      </c>
      <c r="D2626" s="101" t="s">
        <v>415</v>
      </c>
      <c r="E2626" s="101" t="s">
        <v>17</v>
      </c>
    </row>
    <row r="2627" spans="1:5" x14ac:dyDescent="0.3">
      <c r="A2627" t="str">
        <f t="shared" ref="A2627:A2690" si="41">CONCATENATE(B2627,C2627,D2627,F2627)</f>
        <v>0323586</v>
      </c>
      <c r="B2627" s="101" t="s">
        <v>16</v>
      </c>
      <c r="C2627" s="101" t="s">
        <v>174</v>
      </c>
      <c r="D2627" s="101" t="s">
        <v>445</v>
      </c>
      <c r="E2627" s="101" t="s">
        <v>17</v>
      </c>
    </row>
    <row r="2628" spans="1:5" x14ac:dyDescent="0.3">
      <c r="A2628" t="str">
        <f t="shared" si="41"/>
        <v>0323602</v>
      </c>
      <c r="B2628" s="101" t="s">
        <v>16</v>
      </c>
      <c r="C2628" s="101" t="s">
        <v>174</v>
      </c>
      <c r="D2628" s="101" t="s">
        <v>461</v>
      </c>
      <c r="E2628" s="101" t="s">
        <v>17</v>
      </c>
    </row>
    <row r="2629" spans="1:5" x14ac:dyDescent="0.3">
      <c r="A2629" t="str">
        <f t="shared" si="41"/>
        <v>0323037</v>
      </c>
      <c r="B2629" s="101" t="s">
        <v>16</v>
      </c>
      <c r="C2629" s="101" t="s">
        <v>174</v>
      </c>
      <c r="D2629" s="101" t="s">
        <v>625</v>
      </c>
      <c r="E2629" s="101" t="s">
        <v>17</v>
      </c>
    </row>
    <row r="2630" spans="1:5" x14ac:dyDescent="0.3">
      <c r="A2630" t="str">
        <f t="shared" si="41"/>
        <v>0323041</v>
      </c>
      <c r="B2630" s="101" t="s">
        <v>16</v>
      </c>
      <c r="C2630" s="101" t="s">
        <v>174</v>
      </c>
      <c r="D2630" s="101" t="s">
        <v>583</v>
      </c>
      <c r="E2630" s="101" t="s">
        <v>17</v>
      </c>
    </row>
    <row r="2631" spans="1:5" x14ac:dyDescent="0.3">
      <c r="A2631" t="str">
        <f t="shared" si="41"/>
        <v>0323088</v>
      </c>
      <c r="B2631" s="101" t="s">
        <v>16</v>
      </c>
      <c r="C2631" s="101" t="s">
        <v>174</v>
      </c>
      <c r="D2631" s="101" t="s">
        <v>637</v>
      </c>
      <c r="E2631" s="101" t="s">
        <v>17</v>
      </c>
    </row>
    <row r="2632" spans="1:5" x14ac:dyDescent="0.3">
      <c r="A2632" t="str">
        <f t="shared" si="41"/>
        <v>0323558</v>
      </c>
      <c r="B2632" s="101" t="s">
        <v>16</v>
      </c>
      <c r="C2632" s="101" t="s">
        <v>174</v>
      </c>
      <c r="D2632" s="101" t="s">
        <v>362</v>
      </c>
      <c r="E2632" s="101" t="s">
        <v>17</v>
      </c>
    </row>
    <row r="2633" spans="1:5" x14ac:dyDescent="0.3">
      <c r="A2633" t="str">
        <f t="shared" si="41"/>
        <v>0323562</v>
      </c>
      <c r="B2633" s="101" t="s">
        <v>16</v>
      </c>
      <c r="C2633" s="101" t="s">
        <v>174</v>
      </c>
      <c r="D2633" s="101" t="s">
        <v>421</v>
      </c>
      <c r="E2633" s="101" t="s">
        <v>17</v>
      </c>
    </row>
    <row r="2634" spans="1:5" x14ac:dyDescent="0.3">
      <c r="A2634" t="str">
        <f t="shared" si="41"/>
        <v>0323581</v>
      </c>
      <c r="B2634" s="101" t="s">
        <v>16</v>
      </c>
      <c r="C2634" s="101" t="s">
        <v>174</v>
      </c>
      <c r="D2634" s="101" t="s">
        <v>440</v>
      </c>
      <c r="E2634" s="101" t="s">
        <v>17</v>
      </c>
    </row>
    <row r="2635" spans="1:5" x14ac:dyDescent="0.3">
      <c r="A2635" t="str">
        <f t="shared" si="41"/>
        <v>0323597</v>
      </c>
      <c r="B2635" s="101" t="s">
        <v>16</v>
      </c>
      <c r="C2635" s="101" t="s">
        <v>174</v>
      </c>
      <c r="D2635" s="101" t="s">
        <v>458</v>
      </c>
      <c r="E2635" s="101" t="s">
        <v>17</v>
      </c>
    </row>
    <row r="2636" spans="1:5" x14ac:dyDescent="0.3">
      <c r="A2636" t="str">
        <f t="shared" si="41"/>
        <v>0323615</v>
      </c>
      <c r="B2636" s="101" t="s">
        <v>16</v>
      </c>
      <c r="C2636" s="101" t="s">
        <v>174</v>
      </c>
      <c r="D2636" s="101" t="s">
        <v>292</v>
      </c>
      <c r="E2636" s="101" t="s">
        <v>17</v>
      </c>
    </row>
    <row r="2637" spans="1:5" x14ac:dyDescent="0.3">
      <c r="A2637" t="str">
        <f t="shared" si="41"/>
        <v>0323015</v>
      </c>
      <c r="B2637" s="101" t="s">
        <v>16</v>
      </c>
      <c r="C2637" s="101" t="s">
        <v>174</v>
      </c>
      <c r="D2637" s="101" t="s">
        <v>321</v>
      </c>
      <c r="E2637" s="101" t="s">
        <v>17</v>
      </c>
    </row>
    <row r="2638" spans="1:5" x14ac:dyDescent="0.3">
      <c r="A2638" t="str">
        <f t="shared" si="41"/>
        <v>0323008</v>
      </c>
      <c r="B2638" s="101" t="s">
        <v>16</v>
      </c>
      <c r="C2638" s="101" t="s">
        <v>174</v>
      </c>
      <c r="D2638" s="101" t="s">
        <v>405</v>
      </c>
      <c r="E2638" s="101" t="s">
        <v>17</v>
      </c>
    </row>
    <row r="2639" spans="1:5" x14ac:dyDescent="0.3">
      <c r="A2639" t="str">
        <f t="shared" si="41"/>
        <v>0323025</v>
      </c>
      <c r="B2639" s="101" t="s">
        <v>16</v>
      </c>
      <c r="C2639" s="101" t="s">
        <v>174</v>
      </c>
      <c r="D2639" s="101" t="s">
        <v>367</v>
      </c>
      <c r="E2639" s="101" t="s">
        <v>17</v>
      </c>
    </row>
    <row r="2640" spans="1:5" x14ac:dyDescent="0.3">
      <c r="A2640" t="str">
        <f t="shared" si="41"/>
        <v>0323032</v>
      </c>
      <c r="B2640" s="101" t="s">
        <v>16</v>
      </c>
      <c r="C2640" s="101" t="s">
        <v>174</v>
      </c>
      <c r="D2640" s="101" t="s">
        <v>370</v>
      </c>
      <c r="E2640" s="101" t="s">
        <v>17</v>
      </c>
    </row>
    <row r="2641" spans="1:5" x14ac:dyDescent="0.3">
      <c r="A2641" t="str">
        <f t="shared" si="41"/>
        <v>0323057</v>
      </c>
      <c r="B2641" s="101" t="s">
        <v>16</v>
      </c>
      <c r="C2641" s="101" t="s">
        <v>174</v>
      </c>
      <c r="D2641" s="101" t="s">
        <v>638</v>
      </c>
      <c r="E2641" s="101" t="s">
        <v>17</v>
      </c>
    </row>
    <row r="2642" spans="1:5" x14ac:dyDescent="0.3">
      <c r="A2642" t="str">
        <f t="shared" si="41"/>
        <v>0323064</v>
      </c>
      <c r="B2642" s="101" t="s">
        <v>16</v>
      </c>
      <c r="C2642" s="101" t="s">
        <v>174</v>
      </c>
      <c r="D2642" s="101" t="s">
        <v>610</v>
      </c>
      <c r="E2642" s="101" t="s">
        <v>17</v>
      </c>
    </row>
    <row r="2643" spans="1:5" x14ac:dyDescent="0.3">
      <c r="A2643" t="str">
        <f t="shared" si="41"/>
        <v>0323080</v>
      </c>
      <c r="B2643" s="101" t="s">
        <v>16</v>
      </c>
      <c r="C2643" s="101" t="s">
        <v>174</v>
      </c>
      <c r="D2643" s="101" t="s">
        <v>620</v>
      </c>
      <c r="E2643" s="101" t="s">
        <v>17</v>
      </c>
    </row>
    <row r="2644" spans="1:5" x14ac:dyDescent="0.3">
      <c r="A2644" t="str">
        <f t="shared" si="41"/>
        <v>0323529</v>
      </c>
      <c r="B2644" s="101" t="s">
        <v>16</v>
      </c>
      <c r="C2644" s="101" t="s">
        <v>174</v>
      </c>
      <c r="D2644" s="101" t="s">
        <v>364</v>
      </c>
      <c r="E2644" s="101" t="s">
        <v>17</v>
      </c>
    </row>
    <row r="2645" spans="1:5" x14ac:dyDescent="0.3">
      <c r="A2645" t="str">
        <f t="shared" si="41"/>
        <v>0323536</v>
      </c>
      <c r="B2645" s="101" t="s">
        <v>16</v>
      </c>
      <c r="C2645" s="101" t="s">
        <v>174</v>
      </c>
      <c r="D2645" s="101" t="s">
        <v>352</v>
      </c>
      <c r="E2645" s="101" t="s">
        <v>17</v>
      </c>
    </row>
    <row r="2646" spans="1:5" x14ac:dyDescent="0.3">
      <c r="A2646" t="str">
        <f t="shared" si="41"/>
        <v>0323546</v>
      </c>
      <c r="B2646" s="101" t="s">
        <v>16</v>
      </c>
      <c r="C2646" s="101" t="s">
        <v>174</v>
      </c>
      <c r="D2646" s="101" t="s">
        <v>373</v>
      </c>
      <c r="E2646" s="101" t="s">
        <v>17</v>
      </c>
    </row>
    <row r="2647" spans="1:5" x14ac:dyDescent="0.3">
      <c r="A2647" t="str">
        <f t="shared" si="41"/>
        <v>0323553</v>
      </c>
      <c r="B2647" s="101" t="s">
        <v>16</v>
      </c>
      <c r="C2647" s="101" t="s">
        <v>174</v>
      </c>
      <c r="D2647" s="101" t="s">
        <v>417</v>
      </c>
      <c r="E2647" s="101" t="s">
        <v>17</v>
      </c>
    </row>
    <row r="2648" spans="1:5" x14ac:dyDescent="0.3">
      <c r="A2648" t="str">
        <f t="shared" si="41"/>
        <v>0323582</v>
      </c>
      <c r="B2648" s="101" t="s">
        <v>16</v>
      </c>
      <c r="C2648" s="101" t="s">
        <v>174</v>
      </c>
      <c r="D2648" s="101" t="s">
        <v>441</v>
      </c>
      <c r="E2648" s="101" t="s">
        <v>17</v>
      </c>
    </row>
    <row r="2649" spans="1:5" x14ac:dyDescent="0.3">
      <c r="A2649" t="str">
        <f t="shared" si="41"/>
        <v>0323589</v>
      </c>
      <c r="B2649" s="101" t="s">
        <v>16</v>
      </c>
      <c r="C2649" s="101" t="s">
        <v>174</v>
      </c>
      <c r="D2649" s="101" t="s">
        <v>448</v>
      </c>
      <c r="E2649" s="101" t="s">
        <v>17</v>
      </c>
    </row>
    <row r="2650" spans="1:5" x14ac:dyDescent="0.3">
      <c r="A2650" t="str">
        <f t="shared" si="41"/>
        <v>0323598</v>
      </c>
      <c r="B2650" s="101" t="s">
        <v>16</v>
      </c>
      <c r="C2650" s="101" t="s">
        <v>174</v>
      </c>
      <c r="D2650" s="101" t="s">
        <v>459</v>
      </c>
      <c r="E2650" s="101" t="s">
        <v>17</v>
      </c>
    </row>
    <row r="2651" spans="1:5" x14ac:dyDescent="0.3">
      <c r="A2651" t="str">
        <f t="shared" si="41"/>
        <v>0323605</v>
      </c>
      <c r="B2651" s="101" t="s">
        <v>16</v>
      </c>
      <c r="C2651" s="101" t="s">
        <v>174</v>
      </c>
      <c r="D2651" s="101" t="s">
        <v>464</v>
      </c>
      <c r="E2651" s="101" t="s">
        <v>17</v>
      </c>
    </row>
    <row r="2652" spans="1:5" x14ac:dyDescent="0.3">
      <c r="A2652" t="str">
        <f t="shared" si="41"/>
        <v>0423801</v>
      </c>
      <c r="B2652" s="101" t="s">
        <v>18</v>
      </c>
      <c r="C2652" s="101" t="s">
        <v>174</v>
      </c>
      <c r="D2652" s="101" t="s">
        <v>144</v>
      </c>
      <c r="E2652" s="101" t="s">
        <v>139</v>
      </c>
    </row>
    <row r="2653" spans="1:5" x14ac:dyDescent="0.3">
      <c r="A2653" t="str">
        <f t="shared" si="41"/>
        <v>0423802</v>
      </c>
      <c r="B2653" s="101" t="s">
        <v>18</v>
      </c>
      <c r="C2653" s="101" t="s">
        <v>174</v>
      </c>
      <c r="D2653" s="101" t="s">
        <v>145</v>
      </c>
      <c r="E2653" s="101" t="s">
        <v>139</v>
      </c>
    </row>
    <row r="2654" spans="1:5" x14ac:dyDescent="0.3">
      <c r="A2654" t="str">
        <f t="shared" si="41"/>
        <v>0423500</v>
      </c>
      <c r="B2654" s="101" t="s">
        <v>18</v>
      </c>
      <c r="C2654" s="101" t="s">
        <v>174</v>
      </c>
      <c r="D2654" s="101" t="s">
        <v>146</v>
      </c>
      <c r="E2654" s="101" t="s">
        <v>139</v>
      </c>
    </row>
    <row r="2655" spans="1:5" x14ac:dyDescent="0.3">
      <c r="A2655" t="str">
        <f t="shared" si="41"/>
        <v>0423501</v>
      </c>
      <c r="B2655" s="101" t="s">
        <v>18</v>
      </c>
      <c r="C2655" s="101" t="s">
        <v>174</v>
      </c>
      <c r="D2655" s="101" t="s">
        <v>147</v>
      </c>
      <c r="E2655" s="101" t="s">
        <v>139</v>
      </c>
    </row>
    <row r="2656" spans="1:5" x14ac:dyDescent="0.3">
      <c r="A2656" t="str">
        <f t="shared" si="41"/>
        <v>0423811</v>
      </c>
      <c r="B2656" s="101" t="s">
        <v>18</v>
      </c>
      <c r="C2656" s="101" t="s">
        <v>174</v>
      </c>
      <c r="D2656" s="101" t="s">
        <v>189</v>
      </c>
      <c r="E2656" s="101" t="s">
        <v>17</v>
      </c>
    </row>
    <row r="2657" spans="1:5" x14ac:dyDescent="0.3">
      <c r="A2657" t="str">
        <f t="shared" si="41"/>
        <v>0423812</v>
      </c>
      <c r="B2657" s="101" t="s">
        <v>18</v>
      </c>
      <c r="C2657" s="101" t="s">
        <v>174</v>
      </c>
      <c r="D2657" s="101" t="s">
        <v>190</v>
      </c>
      <c r="E2657" s="101" t="s">
        <v>17</v>
      </c>
    </row>
    <row r="2658" spans="1:5" x14ac:dyDescent="0.3">
      <c r="A2658" t="str">
        <f t="shared" si="41"/>
        <v>0423814</v>
      </c>
      <c r="B2658" s="101" t="s">
        <v>18</v>
      </c>
      <c r="C2658" s="101" t="s">
        <v>174</v>
      </c>
      <c r="D2658" s="101" t="s">
        <v>333</v>
      </c>
      <c r="E2658" s="101" t="s">
        <v>17</v>
      </c>
    </row>
    <row r="2659" spans="1:5" x14ac:dyDescent="0.3">
      <c r="A2659" t="str">
        <f t="shared" si="41"/>
        <v>0423815</v>
      </c>
      <c r="B2659" s="101" t="s">
        <v>18</v>
      </c>
      <c r="C2659" s="101" t="s">
        <v>174</v>
      </c>
      <c r="D2659" s="101" t="s">
        <v>335</v>
      </c>
      <c r="E2659" s="101" t="s">
        <v>17</v>
      </c>
    </row>
    <row r="2660" spans="1:5" x14ac:dyDescent="0.3">
      <c r="A2660" t="str">
        <f t="shared" si="41"/>
        <v>0423514</v>
      </c>
      <c r="B2660" s="101" t="s">
        <v>18</v>
      </c>
      <c r="C2660" s="101" t="s">
        <v>174</v>
      </c>
      <c r="D2660" s="101" t="s">
        <v>388</v>
      </c>
      <c r="E2660" s="101" t="s">
        <v>17</v>
      </c>
    </row>
    <row r="2661" spans="1:5" x14ac:dyDescent="0.3">
      <c r="A2661" t="str">
        <f t="shared" si="41"/>
        <v>0423515</v>
      </c>
      <c r="B2661" s="101" t="s">
        <v>18</v>
      </c>
      <c r="C2661" s="101" t="s">
        <v>174</v>
      </c>
      <c r="D2661" s="101" t="s">
        <v>407</v>
      </c>
      <c r="E2661" s="101" t="s">
        <v>17</v>
      </c>
    </row>
    <row r="2662" spans="1:5" x14ac:dyDescent="0.3">
      <c r="A2662" t="str">
        <f t="shared" si="41"/>
        <v>0423516</v>
      </c>
      <c r="B2662" s="101" t="s">
        <v>18</v>
      </c>
      <c r="C2662" s="101" t="s">
        <v>174</v>
      </c>
      <c r="D2662" s="101" t="s">
        <v>389</v>
      </c>
      <c r="E2662" s="101" t="s">
        <v>17</v>
      </c>
    </row>
    <row r="2663" spans="1:5" x14ac:dyDescent="0.3">
      <c r="A2663" t="str">
        <f t="shared" si="41"/>
        <v>0423517</v>
      </c>
      <c r="B2663" s="101" t="s">
        <v>18</v>
      </c>
      <c r="C2663" s="101" t="s">
        <v>174</v>
      </c>
      <c r="D2663" s="101" t="s">
        <v>390</v>
      </c>
      <c r="E2663" s="101" t="s">
        <v>17</v>
      </c>
    </row>
    <row r="2664" spans="1:5" x14ac:dyDescent="0.3">
      <c r="A2664" t="str">
        <f t="shared" si="41"/>
        <v>0423826</v>
      </c>
      <c r="B2664" s="101" t="s">
        <v>18</v>
      </c>
      <c r="C2664" s="101" t="s">
        <v>174</v>
      </c>
      <c r="D2664" s="101" t="s">
        <v>359</v>
      </c>
      <c r="E2664" s="101" t="s">
        <v>19</v>
      </c>
    </row>
    <row r="2665" spans="1:5" x14ac:dyDescent="0.3">
      <c r="A2665" t="str">
        <f t="shared" si="41"/>
        <v>0423827</v>
      </c>
      <c r="B2665" s="101" t="s">
        <v>18</v>
      </c>
      <c r="C2665" s="101" t="s">
        <v>174</v>
      </c>
      <c r="D2665" s="101" t="s">
        <v>361</v>
      </c>
      <c r="E2665" s="101" t="s">
        <v>19</v>
      </c>
    </row>
    <row r="2666" spans="1:5" x14ac:dyDescent="0.3">
      <c r="A2666" t="str">
        <f t="shared" si="41"/>
        <v>0423518</v>
      </c>
      <c r="B2666" s="101" t="s">
        <v>18</v>
      </c>
      <c r="C2666" s="101" t="s">
        <v>174</v>
      </c>
      <c r="D2666" s="101" t="s">
        <v>382</v>
      </c>
      <c r="E2666" s="101" t="s">
        <v>19</v>
      </c>
    </row>
    <row r="2667" spans="1:5" x14ac:dyDescent="0.3">
      <c r="A2667" t="str">
        <f t="shared" si="41"/>
        <v>0423519</v>
      </c>
      <c r="B2667" s="101" t="s">
        <v>18</v>
      </c>
      <c r="C2667" s="101" t="s">
        <v>174</v>
      </c>
      <c r="D2667" s="101" t="s">
        <v>383</v>
      </c>
      <c r="E2667" s="101" t="s">
        <v>19</v>
      </c>
    </row>
    <row r="2668" spans="1:5" x14ac:dyDescent="0.3">
      <c r="A2668" t="str">
        <f t="shared" si="41"/>
        <v>0423828</v>
      </c>
      <c r="B2668" s="101" t="s">
        <v>18</v>
      </c>
      <c r="C2668" s="101" t="s">
        <v>174</v>
      </c>
      <c r="D2668" s="101" t="s">
        <v>371</v>
      </c>
      <c r="E2668" s="101" t="s">
        <v>140</v>
      </c>
    </row>
    <row r="2669" spans="1:5" x14ac:dyDescent="0.3">
      <c r="A2669" t="str">
        <f t="shared" si="41"/>
        <v>0423829</v>
      </c>
      <c r="B2669" s="101" t="s">
        <v>18</v>
      </c>
      <c r="C2669" s="101" t="s">
        <v>174</v>
      </c>
      <c r="D2669" s="101" t="s">
        <v>372</v>
      </c>
      <c r="E2669" s="101" t="s">
        <v>140</v>
      </c>
    </row>
    <row r="2670" spans="1:5" x14ac:dyDescent="0.3">
      <c r="A2670" t="str">
        <f t="shared" si="41"/>
        <v>0423520</v>
      </c>
      <c r="B2670" s="101" t="s">
        <v>18</v>
      </c>
      <c r="C2670" s="101" t="s">
        <v>174</v>
      </c>
      <c r="D2670" s="101" t="s">
        <v>404</v>
      </c>
      <c r="E2670" s="101" t="s">
        <v>140</v>
      </c>
    </row>
    <row r="2671" spans="1:5" x14ac:dyDescent="0.3">
      <c r="A2671" t="str">
        <f t="shared" si="41"/>
        <v>0423521</v>
      </c>
      <c r="B2671" s="101" t="s">
        <v>18</v>
      </c>
      <c r="C2671" s="101" t="s">
        <v>174</v>
      </c>
      <c r="D2671" s="101" t="s">
        <v>384</v>
      </c>
      <c r="E2671" s="101" t="s">
        <v>140</v>
      </c>
    </row>
    <row r="2672" spans="1:5" x14ac:dyDescent="0.3">
      <c r="A2672" t="str">
        <f t="shared" si="41"/>
        <v>0423013</v>
      </c>
      <c r="B2672" s="101" t="s">
        <v>18</v>
      </c>
      <c r="C2672" s="101" t="s">
        <v>174</v>
      </c>
      <c r="D2672" s="101" t="s">
        <v>403</v>
      </c>
      <c r="E2672" s="101" t="s">
        <v>17</v>
      </c>
    </row>
    <row r="2673" spans="1:5" x14ac:dyDescent="0.3">
      <c r="A2673" t="str">
        <f t="shared" si="41"/>
        <v>0423016</v>
      </c>
      <c r="B2673" s="101" t="s">
        <v>18</v>
      </c>
      <c r="C2673" s="101" t="s">
        <v>174</v>
      </c>
      <c r="D2673" s="101" t="s">
        <v>396</v>
      </c>
      <c r="E2673" s="101" t="s">
        <v>17</v>
      </c>
    </row>
    <row r="2674" spans="1:5" x14ac:dyDescent="0.3">
      <c r="A2674" t="str">
        <f t="shared" si="41"/>
        <v>0423030</v>
      </c>
      <c r="B2674" s="101" t="s">
        <v>18</v>
      </c>
      <c r="C2674" s="101" t="s">
        <v>174</v>
      </c>
      <c r="D2674" s="101" t="s">
        <v>357</v>
      </c>
      <c r="E2674" s="101" t="s">
        <v>17</v>
      </c>
    </row>
    <row r="2675" spans="1:5" x14ac:dyDescent="0.3">
      <c r="A2675" t="str">
        <f t="shared" si="41"/>
        <v>0423033</v>
      </c>
      <c r="B2675" s="101" t="s">
        <v>18</v>
      </c>
      <c r="C2675" s="101" t="s">
        <v>174</v>
      </c>
      <c r="D2675" s="101" t="s">
        <v>327</v>
      </c>
      <c r="E2675" s="101" t="s">
        <v>17</v>
      </c>
    </row>
    <row r="2676" spans="1:5" x14ac:dyDescent="0.3">
      <c r="A2676" t="str">
        <f t="shared" si="41"/>
        <v>0423038</v>
      </c>
      <c r="B2676" s="101" t="s">
        <v>18</v>
      </c>
      <c r="C2676" s="101" t="s">
        <v>174</v>
      </c>
      <c r="D2676" s="101" t="s">
        <v>581</v>
      </c>
      <c r="E2676" s="101" t="s">
        <v>17</v>
      </c>
    </row>
    <row r="2677" spans="1:5" x14ac:dyDescent="0.3">
      <c r="A2677" t="str">
        <f t="shared" si="41"/>
        <v>0423042</v>
      </c>
      <c r="B2677" s="101" t="s">
        <v>18</v>
      </c>
      <c r="C2677" s="101" t="s">
        <v>174</v>
      </c>
      <c r="D2677" s="101" t="s">
        <v>584</v>
      </c>
      <c r="E2677" s="101" t="s">
        <v>17</v>
      </c>
    </row>
    <row r="2678" spans="1:5" x14ac:dyDescent="0.3">
      <c r="A2678" t="str">
        <f t="shared" si="41"/>
        <v>0423062</v>
      </c>
      <c r="B2678" s="101" t="s">
        <v>18</v>
      </c>
      <c r="C2678" s="101" t="s">
        <v>174</v>
      </c>
      <c r="D2678" s="101" t="s">
        <v>632</v>
      </c>
      <c r="E2678" s="101" t="s">
        <v>17</v>
      </c>
    </row>
    <row r="2679" spans="1:5" x14ac:dyDescent="0.3">
      <c r="A2679" t="str">
        <f t="shared" si="41"/>
        <v>0423078</v>
      </c>
      <c r="B2679" s="101" t="s">
        <v>18</v>
      </c>
      <c r="C2679" s="101" t="s">
        <v>174</v>
      </c>
      <c r="D2679" s="101" t="s">
        <v>618</v>
      </c>
      <c r="E2679" s="101" t="s">
        <v>17</v>
      </c>
    </row>
    <row r="2680" spans="1:5" x14ac:dyDescent="0.3">
      <c r="A2680" t="str">
        <f t="shared" si="41"/>
        <v>0423085</v>
      </c>
      <c r="B2680" s="101" t="s">
        <v>18</v>
      </c>
      <c r="C2680" s="101" t="s">
        <v>174</v>
      </c>
      <c r="D2680" s="101" t="s">
        <v>633</v>
      </c>
      <c r="E2680" s="101" t="s">
        <v>17</v>
      </c>
    </row>
    <row r="2681" spans="1:5" x14ac:dyDescent="0.3">
      <c r="A2681" t="str">
        <f t="shared" si="41"/>
        <v>0423089</v>
      </c>
      <c r="B2681" s="101" t="s">
        <v>18</v>
      </c>
      <c r="C2681" s="101" t="s">
        <v>174</v>
      </c>
      <c r="D2681" s="101" t="s">
        <v>589</v>
      </c>
      <c r="E2681" s="101" t="s">
        <v>17</v>
      </c>
    </row>
    <row r="2682" spans="1:5" x14ac:dyDescent="0.3">
      <c r="A2682" t="str">
        <f t="shared" si="41"/>
        <v>0423559</v>
      </c>
      <c r="B2682" s="101" t="s">
        <v>18</v>
      </c>
      <c r="C2682" s="101" t="s">
        <v>174</v>
      </c>
      <c r="D2682" s="101" t="s">
        <v>363</v>
      </c>
      <c r="E2682" s="101" t="s">
        <v>17</v>
      </c>
    </row>
    <row r="2683" spans="1:5" x14ac:dyDescent="0.3">
      <c r="A2683" t="str">
        <f t="shared" si="41"/>
        <v>0423563</v>
      </c>
      <c r="B2683" s="101" t="s">
        <v>18</v>
      </c>
      <c r="C2683" s="101" t="s">
        <v>174</v>
      </c>
      <c r="D2683" s="101" t="s">
        <v>422</v>
      </c>
      <c r="E2683" s="101" t="s">
        <v>17</v>
      </c>
    </row>
    <row r="2684" spans="1:5" x14ac:dyDescent="0.3">
      <c r="A2684" t="str">
        <f t="shared" si="41"/>
        <v>0423612</v>
      </c>
      <c r="B2684" s="101" t="s">
        <v>18</v>
      </c>
      <c r="C2684" s="101" t="s">
        <v>174</v>
      </c>
      <c r="D2684" s="101" t="s">
        <v>469</v>
      </c>
      <c r="E2684" s="101" t="s">
        <v>17</v>
      </c>
    </row>
    <row r="2685" spans="1:5" x14ac:dyDescent="0.3">
      <c r="A2685" t="str">
        <f t="shared" si="41"/>
        <v>0423534</v>
      </c>
      <c r="B2685" s="101" t="s">
        <v>18</v>
      </c>
      <c r="C2685" s="101" t="s">
        <v>174</v>
      </c>
      <c r="D2685" s="101" t="s">
        <v>350</v>
      </c>
      <c r="E2685" s="101" t="s">
        <v>17</v>
      </c>
    </row>
    <row r="2686" spans="1:5" x14ac:dyDescent="0.3">
      <c r="A2686" t="str">
        <f t="shared" si="41"/>
        <v>0423551</v>
      </c>
      <c r="B2686" s="101" t="s">
        <v>18</v>
      </c>
      <c r="C2686" s="101" t="s">
        <v>174</v>
      </c>
      <c r="D2686" s="101" t="s">
        <v>416</v>
      </c>
      <c r="E2686" s="101" t="s">
        <v>17</v>
      </c>
    </row>
    <row r="2687" spans="1:5" x14ac:dyDescent="0.3">
      <c r="A2687" t="str">
        <f t="shared" si="41"/>
        <v>0423587</v>
      </c>
      <c r="B2687" s="101" t="s">
        <v>18</v>
      </c>
      <c r="C2687" s="101" t="s">
        <v>174</v>
      </c>
      <c r="D2687" s="101" t="s">
        <v>446</v>
      </c>
      <c r="E2687" s="101" t="s">
        <v>17</v>
      </c>
    </row>
    <row r="2688" spans="1:5" x14ac:dyDescent="0.3">
      <c r="A2688" t="str">
        <f t="shared" si="41"/>
        <v>0423603</v>
      </c>
      <c r="B2688" s="101" t="s">
        <v>18</v>
      </c>
      <c r="C2688" s="101" t="s">
        <v>174</v>
      </c>
      <c r="D2688" s="101" t="s">
        <v>462</v>
      </c>
      <c r="E2688" s="101" t="s">
        <v>17</v>
      </c>
    </row>
    <row r="2689" spans="1:5" x14ac:dyDescent="0.3">
      <c r="A2689" t="str">
        <f t="shared" si="41"/>
        <v>0423002</v>
      </c>
      <c r="B2689" s="101" t="s">
        <v>18</v>
      </c>
      <c r="C2689" s="101" t="s">
        <v>174</v>
      </c>
      <c r="D2689" s="101" t="s">
        <v>596</v>
      </c>
      <c r="E2689" s="101" t="s">
        <v>17</v>
      </c>
    </row>
    <row r="2690" spans="1:5" x14ac:dyDescent="0.3">
      <c r="A2690" t="str">
        <f t="shared" si="41"/>
        <v>0423004</v>
      </c>
      <c r="B2690" s="101" t="s">
        <v>18</v>
      </c>
      <c r="C2690" s="101" t="s">
        <v>174</v>
      </c>
      <c r="D2690" s="101" t="s">
        <v>598</v>
      </c>
      <c r="E2690" s="101" t="s">
        <v>17</v>
      </c>
    </row>
    <row r="2691" spans="1:5" x14ac:dyDescent="0.3">
      <c r="A2691" t="str">
        <f t="shared" ref="A2691:A2754" si="42">CONCATENATE(B2691,C2691,D2691,F2691)</f>
        <v>0423019</v>
      </c>
      <c r="B2691" s="101" t="s">
        <v>18</v>
      </c>
      <c r="C2691" s="101" t="s">
        <v>174</v>
      </c>
      <c r="D2691" s="101" t="s">
        <v>393</v>
      </c>
      <c r="E2691" s="101" t="s">
        <v>17</v>
      </c>
    </row>
    <row r="2692" spans="1:5" x14ac:dyDescent="0.3">
      <c r="A2692" t="str">
        <f t="shared" si="42"/>
        <v>0423021</v>
      </c>
      <c r="B2692" s="101" t="s">
        <v>18</v>
      </c>
      <c r="C2692" s="101" t="s">
        <v>174</v>
      </c>
      <c r="D2692" s="101" t="s">
        <v>477</v>
      </c>
      <c r="E2692" s="101" t="s">
        <v>17</v>
      </c>
    </row>
    <row r="2693" spans="1:5" x14ac:dyDescent="0.3">
      <c r="A2693" t="str">
        <f t="shared" si="42"/>
        <v>0423051</v>
      </c>
      <c r="B2693" s="101" t="s">
        <v>18</v>
      </c>
      <c r="C2693" s="101" t="s">
        <v>174</v>
      </c>
      <c r="D2693" s="101" t="s">
        <v>588</v>
      </c>
      <c r="E2693" s="101" t="s">
        <v>17</v>
      </c>
    </row>
    <row r="2694" spans="1:5" x14ac:dyDescent="0.3">
      <c r="A2694" t="str">
        <f t="shared" si="42"/>
        <v>0423053</v>
      </c>
      <c r="B2694" s="101" t="s">
        <v>18</v>
      </c>
      <c r="C2694" s="101" t="s">
        <v>174</v>
      </c>
      <c r="D2694" s="101" t="s">
        <v>607</v>
      </c>
      <c r="E2694" s="101" t="s">
        <v>17</v>
      </c>
    </row>
    <row r="2695" spans="1:5" x14ac:dyDescent="0.3">
      <c r="A2695" t="str">
        <f t="shared" si="42"/>
        <v>0423065</v>
      </c>
      <c r="B2695" s="101" t="s">
        <v>18</v>
      </c>
      <c r="C2695" s="101" t="s">
        <v>174</v>
      </c>
      <c r="D2695" s="101" t="s">
        <v>611</v>
      </c>
      <c r="E2695" s="101" t="s">
        <v>17</v>
      </c>
    </row>
    <row r="2696" spans="1:5" x14ac:dyDescent="0.3">
      <c r="A2696" t="str">
        <f t="shared" si="42"/>
        <v>0423067</v>
      </c>
      <c r="B2696" s="101" t="s">
        <v>18</v>
      </c>
      <c r="C2696" s="101" t="s">
        <v>174</v>
      </c>
      <c r="D2696" s="101" t="s">
        <v>602</v>
      </c>
      <c r="E2696" s="101" t="s">
        <v>17</v>
      </c>
    </row>
    <row r="2697" spans="1:5" x14ac:dyDescent="0.3">
      <c r="A2697" t="str">
        <f t="shared" si="42"/>
        <v>0423069</v>
      </c>
      <c r="B2697" s="101" t="s">
        <v>18</v>
      </c>
      <c r="C2697" s="101" t="s">
        <v>174</v>
      </c>
      <c r="D2697" s="101" t="s">
        <v>604</v>
      </c>
      <c r="E2697" s="101" t="s">
        <v>17</v>
      </c>
    </row>
    <row r="2698" spans="1:5" x14ac:dyDescent="0.3">
      <c r="A2698" t="str">
        <f t="shared" si="42"/>
        <v>0423523</v>
      </c>
      <c r="B2698" s="101" t="s">
        <v>18</v>
      </c>
      <c r="C2698" s="101" t="s">
        <v>174</v>
      </c>
      <c r="D2698" s="101" t="s">
        <v>408</v>
      </c>
      <c r="E2698" s="101" t="s">
        <v>17</v>
      </c>
    </row>
    <row r="2699" spans="1:5" x14ac:dyDescent="0.3">
      <c r="A2699" t="str">
        <f t="shared" si="42"/>
        <v>0423525</v>
      </c>
      <c r="B2699" s="101" t="s">
        <v>18</v>
      </c>
      <c r="C2699" s="101" t="s">
        <v>174</v>
      </c>
      <c r="D2699" s="101" t="s">
        <v>394</v>
      </c>
      <c r="E2699" s="101" t="s">
        <v>17</v>
      </c>
    </row>
    <row r="2700" spans="1:5" x14ac:dyDescent="0.3">
      <c r="A2700" t="str">
        <f t="shared" si="42"/>
        <v>0423540</v>
      </c>
      <c r="B2700" s="101" t="s">
        <v>18</v>
      </c>
      <c r="C2700" s="101" t="s">
        <v>174</v>
      </c>
      <c r="D2700" s="101" t="s">
        <v>411</v>
      </c>
      <c r="E2700" s="101" t="s">
        <v>17</v>
      </c>
    </row>
    <row r="2701" spans="1:5" x14ac:dyDescent="0.3">
      <c r="A2701" t="str">
        <f t="shared" si="42"/>
        <v>0423542</v>
      </c>
      <c r="B2701" s="101" t="s">
        <v>18</v>
      </c>
      <c r="C2701" s="101" t="s">
        <v>174</v>
      </c>
      <c r="D2701" s="101" t="s">
        <v>353</v>
      </c>
      <c r="E2701" s="101" t="s">
        <v>17</v>
      </c>
    </row>
    <row r="2702" spans="1:5" x14ac:dyDescent="0.3">
      <c r="A2702" t="str">
        <f t="shared" si="42"/>
        <v>0423576</v>
      </c>
      <c r="B2702" s="101" t="s">
        <v>18</v>
      </c>
      <c r="C2702" s="101" t="s">
        <v>174</v>
      </c>
      <c r="D2702" s="101" t="s">
        <v>435</v>
      </c>
      <c r="E2702" s="101" t="s">
        <v>17</v>
      </c>
    </row>
    <row r="2703" spans="1:5" x14ac:dyDescent="0.3">
      <c r="A2703" t="str">
        <f t="shared" si="42"/>
        <v>0423578</v>
      </c>
      <c r="B2703" s="101" t="s">
        <v>18</v>
      </c>
      <c r="C2703" s="101" t="s">
        <v>174</v>
      </c>
      <c r="D2703" s="101" t="s">
        <v>437</v>
      </c>
      <c r="E2703" s="101" t="s">
        <v>17</v>
      </c>
    </row>
    <row r="2704" spans="1:5" x14ac:dyDescent="0.3">
      <c r="A2704" t="str">
        <f t="shared" si="42"/>
        <v>0423592</v>
      </c>
      <c r="B2704" s="101" t="s">
        <v>18</v>
      </c>
      <c r="C2704" s="101" t="s">
        <v>174</v>
      </c>
      <c r="D2704" s="101" t="s">
        <v>451</v>
      </c>
      <c r="E2704" s="101" t="s">
        <v>17</v>
      </c>
    </row>
    <row r="2705" spans="1:5" x14ac:dyDescent="0.3">
      <c r="A2705" t="str">
        <f t="shared" si="42"/>
        <v>0423594</v>
      </c>
      <c r="B2705" s="101" t="s">
        <v>18</v>
      </c>
      <c r="C2705" s="101" t="s">
        <v>174</v>
      </c>
      <c r="D2705" s="101" t="s">
        <v>454</v>
      </c>
      <c r="E2705" s="101" t="s">
        <v>17</v>
      </c>
    </row>
    <row r="2706" spans="1:5" x14ac:dyDescent="0.3">
      <c r="A2706" t="str">
        <f t="shared" si="42"/>
        <v>0423009</v>
      </c>
      <c r="B2706" s="101" t="s">
        <v>18</v>
      </c>
      <c r="C2706" s="101" t="s">
        <v>174</v>
      </c>
      <c r="D2706" s="101" t="s">
        <v>406</v>
      </c>
      <c r="E2706" s="101" t="s">
        <v>17</v>
      </c>
    </row>
    <row r="2707" spans="1:5" x14ac:dyDescent="0.3">
      <c r="A2707" t="str">
        <f t="shared" si="42"/>
        <v>0423026</v>
      </c>
      <c r="B2707" s="101" t="s">
        <v>18</v>
      </c>
      <c r="C2707" s="101" t="s">
        <v>174</v>
      </c>
      <c r="D2707" s="101" t="s">
        <v>579</v>
      </c>
      <c r="E2707" s="101" t="s">
        <v>17</v>
      </c>
    </row>
    <row r="2708" spans="1:5" x14ac:dyDescent="0.3">
      <c r="A2708" t="str">
        <f t="shared" si="42"/>
        <v>0423058</v>
      </c>
      <c r="B2708" s="101" t="s">
        <v>18</v>
      </c>
      <c r="C2708" s="101" t="s">
        <v>174</v>
      </c>
      <c r="D2708" s="101" t="s">
        <v>629</v>
      </c>
      <c r="E2708" s="101" t="s">
        <v>17</v>
      </c>
    </row>
    <row r="2709" spans="1:5" x14ac:dyDescent="0.3">
      <c r="A2709" t="str">
        <f t="shared" si="42"/>
        <v>0423074</v>
      </c>
      <c r="B2709" s="101" t="s">
        <v>18</v>
      </c>
      <c r="C2709" s="101" t="s">
        <v>174</v>
      </c>
      <c r="D2709" s="101" t="s">
        <v>613</v>
      </c>
      <c r="E2709" s="101" t="s">
        <v>17</v>
      </c>
    </row>
    <row r="2710" spans="1:5" x14ac:dyDescent="0.3">
      <c r="A2710" t="str">
        <f t="shared" si="42"/>
        <v>0423081</v>
      </c>
      <c r="B2710" s="101" t="s">
        <v>18</v>
      </c>
      <c r="C2710" s="101" t="s">
        <v>174</v>
      </c>
      <c r="D2710" s="101" t="s">
        <v>621</v>
      </c>
      <c r="E2710" s="101" t="s">
        <v>17</v>
      </c>
    </row>
    <row r="2711" spans="1:5" x14ac:dyDescent="0.3">
      <c r="A2711" t="str">
        <f t="shared" si="42"/>
        <v>0423530</v>
      </c>
      <c r="B2711" s="101" t="s">
        <v>18</v>
      </c>
      <c r="C2711" s="101" t="s">
        <v>174</v>
      </c>
      <c r="D2711" s="101" t="s">
        <v>377</v>
      </c>
      <c r="E2711" s="101" t="s">
        <v>17</v>
      </c>
    </row>
    <row r="2712" spans="1:5" x14ac:dyDescent="0.3">
      <c r="A2712" t="str">
        <f t="shared" si="42"/>
        <v>0423547</v>
      </c>
      <c r="B2712" s="101" t="s">
        <v>18</v>
      </c>
      <c r="C2712" s="101" t="s">
        <v>174</v>
      </c>
      <c r="D2712" s="101" t="s">
        <v>414</v>
      </c>
      <c r="E2712" s="101" t="s">
        <v>17</v>
      </c>
    </row>
    <row r="2713" spans="1:5" x14ac:dyDescent="0.3">
      <c r="A2713" t="str">
        <f t="shared" si="42"/>
        <v>0423583</v>
      </c>
      <c r="B2713" s="101" t="s">
        <v>18</v>
      </c>
      <c r="C2713" s="101" t="s">
        <v>174</v>
      </c>
      <c r="D2713" s="101" t="s">
        <v>442</v>
      </c>
      <c r="E2713" s="101" t="s">
        <v>17</v>
      </c>
    </row>
    <row r="2714" spans="1:5" x14ac:dyDescent="0.3">
      <c r="A2714" t="str">
        <f t="shared" si="42"/>
        <v>0423599</v>
      </c>
      <c r="B2714" s="101" t="s">
        <v>18</v>
      </c>
      <c r="C2714" s="101" t="s">
        <v>174</v>
      </c>
      <c r="D2714" s="101" t="s">
        <v>460</v>
      </c>
      <c r="E2714" s="101" t="s">
        <v>17</v>
      </c>
    </row>
    <row r="2715" spans="1:5" x14ac:dyDescent="0.3">
      <c r="A2715" t="str">
        <f t="shared" si="42"/>
        <v>0423035</v>
      </c>
      <c r="B2715" s="101" t="s">
        <v>18</v>
      </c>
      <c r="C2715" s="101" t="s">
        <v>174</v>
      </c>
      <c r="D2715" s="101" t="s">
        <v>497</v>
      </c>
      <c r="E2715" s="101" t="s">
        <v>17</v>
      </c>
    </row>
    <row r="2716" spans="1:5" x14ac:dyDescent="0.3">
      <c r="A2716" t="str">
        <f t="shared" si="42"/>
        <v>0423039</v>
      </c>
      <c r="B2716" s="101" t="s">
        <v>18</v>
      </c>
      <c r="C2716" s="101" t="s">
        <v>174</v>
      </c>
      <c r="D2716" s="101" t="s">
        <v>582</v>
      </c>
      <c r="E2716" s="101" t="s">
        <v>17</v>
      </c>
    </row>
    <row r="2717" spans="1:5" x14ac:dyDescent="0.3">
      <c r="A2717" t="str">
        <f t="shared" si="42"/>
        <v>0423082</v>
      </c>
      <c r="B2717" s="101" t="s">
        <v>18</v>
      </c>
      <c r="C2717" s="101" t="s">
        <v>174</v>
      </c>
      <c r="D2717" s="101" t="s">
        <v>622</v>
      </c>
      <c r="E2717" s="101" t="s">
        <v>17</v>
      </c>
    </row>
    <row r="2718" spans="1:5" x14ac:dyDescent="0.3">
      <c r="A2718" t="str">
        <f t="shared" si="42"/>
        <v>0423086</v>
      </c>
      <c r="B2718" s="101" t="s">
        <v>18</v>
      </c>
      <c r="C2718" s="101" t="s">
        <v>174</v>
      </c>
      <c r="D2718" s="101" t="s">
        <v>634</v>
      </c>
      <c r="E2718" s="101" t="s">
        <v>17</v>
      </c>
    </row>
    <row r="2719" spans="1:5" x14ac:dyDescent="0.3">
      <c r="A2719" t="str">
        <f t="shared" si="42"/>
        <v>0423556</v>
      </c>
      <c r="B2719" s="101" t="s">
        <v>18</v>
      </c>
      <c r="C2719" s="101" t="s">
        <v>174</v>
      </c>
      <c r="D2719" s="101" t="s">
        <v>342</v>
      </c>
      <c r="E2719" s="101" t="s">
        <v>17</v>
      </c>
    </row>
    <row r="2720" spans="1:5" x14ac:dyDescent="0.3">
      <c r="A2720" t="str">
        <f t="shared" si="42"/>
        <v>0423560</v>
      </c>
      <c r="B2720" s="101" t="s">
        <v>18</v>
      </c>
      <c r="C2720" s="101" t="s">
        <v>174</v>
      </c>
      <c r="D2720" s="101" t="s">
        <v>375</v>
      </c>
      <c r="E2720" s="101" t="s">
        <v>17</v>
      </c>
    </row>
    <row r="2721" spans="1:5" x14ac:dyDescent="0.3">
      <c r="A2721" t="str">
        <f t="shared" si="42"/>
        <v>0423606</v>
      </c>
      <c r="B2721" s="101" t="s">
        <v>18</v>
      </c>
      <c r="C2721" s="101" t="s">
        <v>174</v>
      </c>
      <c r="D2721" s="101" t="s">
        <v>465</v>
      </c>
      <c r="E2721" s="101" t="s">
        <v>17</v>
      </c>
    </row>
    <row r="2722" spans="1:5" x14ac:dyDescent="0.3">
      <c r="A2722" t="str">
        <f t="shared" si="42"/>
        <v>0423613</v>
      </c>
      <c r="B2722" s="101" t="s">
        <v>18</v>
      </c>
      <c r="C2722" s="101" t="s">
        <v>174</v>
      </c>
      <c r="D2722" s="101" t="s">
        <v>470</v>
      </c>
      <c r="E2722" s="101" t="s">
        <v>17</v>
      </c>
    </row>
    <row r="2723" spans="1:5" x14ac:dyDescent="0.3">
      <c r="A2723" t="str">
        <f t="shared" si="42"/>
        <v>0423011</v>
      </c>
      <c r="B2723" s="101" t="s">
        <v>18</v>
      </c>
      <c r="C2723" s="101" t="s">
        <v>174</v>
      </c>
      <c r="D2723" s="101" t="s">
        <v>402</v>
      </c>
      <c r="E2723" s="101" t="s">
        <v>17</v>
      </c>
    </row>
    <row r="2724" spans="1:5" x14ac:dyDescent="0.3">
      <c r="A2724" t="str">
        <f t="shared" si="42"/>
        <v>0423028</v>
      </c>
      <c r="B2724" s="101" t="s">
        <v>18</v>
      </c>
      <c r="C2724" s="101" t="s">
        <v>174</v>
      </c>
      <c r="D2724" s="101" t="s">
        <v>368</v>
      </c>
      <c r="E2724" s="101" t="s">
        <v>17</v>
      </c>
    </row>
    <row r="2725" spans="1:5" x14ac:dyDescent="0.3">
      <c r="A2725" t="str">
        <f t="shared" si="42"/>
        <v>0423060</v>
      </c>
      <c r="B2725" s="101" t="s">
        <v>18</v>
      </c>
      <c r="C2725" s="101" t="s">
        <v>174</v>
      </c>
      <c r="D2725" s="101" t="s">
        <v>627</v>
      </c>
      <c r="E2725" s="101" t="s">
        <v>17</v>
      </c>
    </row>
    <row r="2726" spans="1:5" x14ac:dyDescent="0.3">
      <c r="A2726" t="str">
        <f t="shared" si="42"/>
        <v>0423076</v>
      </c>
      <c r="B2726" s="101" t="s">
        <v>18</v>
      </c>
      <c r="C2726" s="101" t="s">
        <v>174</v>
      </c>
      <c r="D2726" s="101" t="s">
        <v>616</v>
      </c>
      <c r="E2726" s="101" t="s">
        <v>17</v>
      </c>
    </row>
    <row r="2727" spans="1:5" x14ac:dyDescent="0.3">
      <c r="A2727" t="str">
        <f t="shared" si="42"/>
        <v>0423532</v>
      </c>
      <c r="B2727" s="101" t="s">
        <v>18</v>
      </c>
      <c r="C2727" s="101" t="s">
        <v>174</v>
      </c>
      <c r="D2727" s="101" t="s">
        <v>323</v>
      </c>
      <c r="E2727" s="101" t="s">
        <v>17</v>
      </c>
    </row>
    <row r="2728" spans="1:5" x14ac:dyDescent="0.3">
      <c r="A2728" t="str">
        <f t="shared" si="42"/>
        <v>0423537</v>
      </c>
      <c r="B2728" s="101" t="s">
        <v>18</v>
      </c>
      <c r="C2728" s="101" t="s">
        <v>174</v>
      </c>
      <c r="D2728" s="101" t="s">
        <v>395</v>
      </c>
      <c r="E2728" s="101" t="s">
        <v>17</v>
      </c>
    </row>
    <row r="2729" spans="1:5" x14ac:dyDescent="0.3">
      <c r="A2729" t="str">
        <f t="shared" si="42"/>
        <v>0423549</v>
      </c>
      <c r="B2729" s="101" t="s">
        <v>18</v>
      </c>
      <c r="C2729" s="101" t="s">
        <v>174</v>
      </c>
      <c r="D2729" s="101" t="s">
        <v>348</v>
      </c>
      <c r="E2729" s="101" t="s">
        <v>17</v>
      </c>
    </row>
    <row r="2730" spans="1:5" x14ac:dyDescent="0.3">
      <c r="A2730" t="str">
        <f t="shared" si="42"/>
        <v>0423585</v>
      </c>
      <c r="B2730" s="101" t="s">
        <v>18</v>
      </c>
      <c r="C2730" s="101" t="s">
        <v>174</v>
      </c>
      <c r="D2730" s="101" t="s">
        <v>444</v>
      </c>
      <c r="E2730" s="101" t="s">
        <v>17</v>
      </c>
    </row>
    <row r="2731" spans="1:5" x14ac:dyDescent="0.3">
      <c r="A2731" t="str">
        <f t="shared" si="42"/>
        <v>0423601</v>
      </c>
      <c r="B2731" s="101" t="s">
        <v>18</v>
      </c>
      <c r="C2731" s="101" t="s">
        <v>174</v>
      </c>
      <c r="D2731" s="101" t="s">
        <v>231</v>
      </c>
      <c r="E2731" s="101" t="s">
        <v>17</v>
      </c>
    </row>
    <row r="2732" spans="1:5" x14ac:dyDescent="0.3">
      <c r="A2732" t="str">
        <f t="shared" si="42"/>
        <v>0423036</v>
      </c>
      <c r="B2732" s="101" t="s">
        <v>18</v>
      </c>
      <c r="C2732" s="101" t="s">
        <v>174</v>
      </c>
      <c r="D2732" s="101" t="s">
        <v>580</v>
      </c>
      <c r="E2732" s="101" t="s">
        <v>17</v>
      </c>
    </row>
    <row r="2733" spans="1:5" x14ac:dyDescent="0.3">
      <c r="A2733" t="str">
        <f t="shared" si="42"/>
        <v>0423040</v>
      </c>
      <c r="B2733" s="101" t="s">
        <v>18</v>
      </c>
      <c r="C2733" s="101" t="s">
        <v>174</v>
      </c>
      <c r="D2733" s="101" t="s">
        <v>614</v>
      </c>
      <c r="E2733" s="101" t="s">
        <v>17</v>
      </c>
    </row>
    <row r="2734" spans="1:5" x14ac:dyDescent="0.3">
      <c r="A2734" t="str">
        <f t="shared" si="42"/>
        <v>0423083</v>
      </c>
      <c r="B2734" s="101" t="s">
        <v>18</v>
      </c>
      <c r="C2734" s="101" t="s">
        <v>174</v>
      </c>
      <c r="D2734" s="101" t="s">
        <v>623</v>
      </c>
      <c r="E2734" s="101" t="s">
        <v>17</v>
      </c>
    </row>
    <row r="2735" spans="1:5" x14ac:dyDescent="0.3">
      <c r="A2735" t="str">
        <f t="shared" si="42"/>
        <v>0423087</v>
      </c>
      <c r="B2735" s="101" t="s">
        <v>18</v>
      </c>
      <c r="C2735" s="101" t="s">
        <v>174</v>
      </c>
      <c r="D2735" s="101" t="s">
        <v>635</v>
      </c>
      <c r="E2735" s="101" t="s">
        <v>17</v>
      </c>
    </row>
    <row r="2736" spans="1:5" x14ac:dyDescent="0.3">
      <c r="A2736" t="str">
        <f t="shared" si="42"/>
        <v>0423557</v>
      </c>
      <c r="B2736" s="101" t="s">
        <v>18</v>
      </c>
      <c r="C2736" s="101" t="s">
        <v>174</v>
      </c>
      <c r="D2736" s="101" t="s">
        <v>343</v>
      </c>
      <c r="E2736" s="101" t="s">
        <v>17</v>
      </c>
    </row>
    <row r="2737" spans="1:5" x14ac:dyDescent="0.3">
      <c r="A2737" t="str">
        <f t="shared" si="42"/>
        <v>0423561</v>
      </c>
      <c r="B2737" s="101" t="s">
        <v>18</v>
      </c>
      <c r="C2737" s="101" t="s">
        <v>174</v>
      </c>
      <c r="D2737" s="101" t="s">
        <v>376</v>
      </c>
      <c r="E2737" s="101" t="s">
        <v>17</v>
      </c>
    </row>
    <row r="2738" spans="1:5" x14ac:dyDescent="0.3">
      <c r="A2738" t="str">
        <f t="shared" si="42"/>
        <v>0423590</v>
      </c>
      <c r="B2738" s="101" t="s">
        <v>18</v>
      </c>
      <c r="C2738" s="101" t="s">
        <v>174</v>
      </c>
      <c r="D2738" s="101" t="s">
        <v>449</v>
      </c>
      <c r="E2738" s="101" t="s">
        <v>17</v>
      </c>
    </row>
    <row r="2739" spans="1:5" x14ac:dyDescent="0.3">
      <c r="A2739" t="str">
        <f t="shared" si="42"/>
        <v>0423614</v>
      </c>
      <c r="B2739" s="101" t="s">
        <v>18</v>
      </c>
      <c r="C2739" s="101" t="s">
        <v>174</v>
      </c>
      <c r="D2739" s="101" t="s">
        <v>291</v>
      </c>
      <c r="E2739" s="101" t="s">
        <v>17</v>
      </c>
    </row>
    <row r="2740" spans="1:5" x14ac:dyDescent="0.3">
      <c r="A2740" t="str">
        <f t="shared" si="42"/>
        <v>0423006</v>
      </c>
      <c r="B2740" s="101" t="s">
        <v>18</v>
      </c>
      <c r="C2740" s="101" t="s">
        <v>174</v>
      </c>
      <c r="D2740" s="101" t="s">
        <v>400</v>
      </c>
      <c r="E2740" s="101" t="s">
        <v>17</v>
      </c>
    </row>
    <row r="2741" spans="1:5" x14ac:dyDescent="0.3">
      <c r="A2741" t="str">
        <f t="shared" si="42"/>
        <v>0423014</v>
      </c>
      <c r="B2741" s="101" t="s">
        <v>18</v>
      </c>
      <c r="C2741" s="101" t="s">
        <v>174</v>
      </c>
      <c r="D2741" s="101" t="s">
        <v>531</v>
      </c>
      <c r="E2741" s="101" t="s">
        <v>17</v>
      </c>
    </row>
    <row r="2742" spans="1:5" x14ac:dyDescent="0.3">
      <c r="A2742" t="str">
        <f t="shared" si="42"/>
        <v>0423023</v>
      </c>
      <c r="B2742" s="101" t="s">
        <v>18</v>
      </c>
      <c r="C2742" s="101" t="s">
        <v>174</v>
      </c>
      <c r="D2742" s="101" t="s">
        <v>480</v>
      </c>
      <c r="E2742" s="101" t="s">
        <v>17</v>
      </c>
    </row>
    <row r="2743" spans="1:5" x14ac:dyDescent="0.3">
      <c r="A2743" t="str">
        <f t="shared" si="42"/>
        <v>0423031</v>
      </c>
      <c r="B2743" s="101" t="s">
        <v>18</v>
      </c>
      <c r="C2743" s="101" t="s">
        <v>174</v>
      </c>
      <c r="D2743" s="101" t="s">
        <v>369</v>
      </c>
      <c r="E2743" s="101" t="s">
        <v>17</v>
      </c>
    </row>
    <row r="2744" spans="1:5" x14ac:dyDescent="0.3">
      <c r="A2744" t="str">
        <f t="shared" si="42"/>
        <v>0423055</v>
      </c>
      <c r="B2744" s="101" t="s">
        <v>18</v>
      </c>
      <c r="C2744" s="101" t="s">
        <v>174</v>
      </c>
      <c r="D2744" s="101" t="s">
        <v>608</v>
      </c>
      <c r="E2744" s="101" t="s">
        <v>17</v>
      </c>
    </row>
    <row r="2745" spans="1:5" x14ac:dyDescent="0.3">
      <c r="A2745" t="str">
        <f t="shared" si="42"/>
        <v>0423063</v>
      </c>
      <c r="B2745" s="101" t="s">
        <v>18</v>
      </c>
      <c r="C2745" s="101" t="s">
        <v>174</v>
      </c>
      <c r="D2745" s="101" t="s">
        <v>631</v>
      </c>
      <c r="E2745" s="101" t="s">
        <v>17</v>
      </c>
    </row>
    <row r="2746" spans="1:5" x14ac:dyDescent="0.3">
      <c r="A2746" t="str">
        <f t="shared" si="42"/>
        <v>0423071</v>
      </c>
      <c r="B2746" s="101" t="s">
        <v>18</v>
      </c>
      <c r="C2746" s="101" t="s">
        <v>174</v>
      </c>
      <c r="D2746" s="101" t="s">
        <v>600</v>
      </c>
      <c r="E2746" s="101" t="s">
        <v>17</v>
      </c>
    </row>
    <row r="2747" spans="1:5" x14ac:dyDescent="0.3">
      <c r="A2747" t="str">
        <f t="shared" si="42"/>
        <v>0423079</v>
      </c>
      <c r="B2747" s="101" t="s">
        <v>18</v>
      </c>
      <c r="C2747" s="101" t="s">
        <v>174</v>
      </c>
      <c r="D2747" s="101" t="s">
        <v>619</v>
      </c>
      <c r="E2747" s="101" t="s">
        <v>17</v>
      </c>
    </row>
    <row r="2748" spans="1:5" x14ac:dyDescent="0.3">
      <c r="A2748" t="str">
        <f t="shared" si="42"/>
        <v>0423527</v>
      </c>
      <c r="B2748" s="101" t="s">
        <v>18</v>
      </c>
      <c r="C2748" s="101" t="s">
        <v>174</v>
      </c>
      <c r="D2748" s="101" t="s">
        <v>380</v>
      </c>
      <c r="E2748" s="101" t="s">
        <v>17</v>
      </c>
    </row>
    <row r="2749" spans="1:5" x14ac:dyDescent="0.3">
      <c r="A2749" t="str">
        <f t="shared" si="42"/>
        <v>0423535</v>
      </c>
      <c r="B2749" s="101" t="s">
        <v>18</v>
      </c>
      <c r="C2749" s="101" t="s">
        <v>174</v>
      </c>
      <c r="D2749" s="101" t="s">
        <v>410</v>
      </c>
      <c r="E2749" s="101" t="s">
        <v>17</v>
      </c>
    </row>
    <row r="2750" spans="1:5" x14ac:dyDescent="0.3">
      <c r="A2750" t="str">
        <f t="shared" si="42"/>
        <v>0423544</v>
      </c>
      <c r="B2750" s="101" t="s">
        <v>18</v>
      </c>
      <c r="C2750" s="101" t="s">
        <v>174</v>
      </c>
      <c r="D2750" s="101" t="s">
        <v>412</v>
      </c>
      <c r="E2750" s="101" t="s">
        <v>17</v>
      </c>
    </row>
    <row r="2751" spans="1:5" x14ac:dyDescent="0.3">
      <c r="A2751" t="str">
        <f t="shared" si="42"/>
        <v>0423552</v>
      </c>
      <c r="B2751" s="101" t="s">
        <v>18</v>
      </c>
      <c r="C2751" s="101" t="s">
        <v>174</v>
      </c>
      <c r="D2751" s="101" t="s">
        <v>374</v>
      </c>
      <c r="E2751" s="101" t="s">
        <v>17</v>
      </c>
    </row>
    <row r="2752" spans="1:5" x14ac:dyDescent="0.3">
      <c r="A2752" t="str">
        <f t="shared" si="42"/>
        <v>0423554</v>
      </c>
      <c r="B2752" s="101" t="s">
        <v>18</v>
      </c>
      <c r="C2752" s="101" t="s">
        <v>174</v>
      </c>
      <c r="D2752" s="101" t="s">
        <v>391</v>
      </c>
      <c r="E2752" s="101" t="s">
        <v>17</v>
      </c>
    </row>
    <row r="2753" spans="1:5" x14ac:dyDescent="0.3">
      <c r="A2753" t="str">
        <f t="shared" si="42"/>
        <v>0423580</v>
      </c>
      <c r="B2753" s="101" t="s">
        <v>18</v>
      </c>
      <c r="C2753" s="101" t="s">
        <v>174</v>
      </c>
      <c r="D2753" s="101" t="s">
        <v>439</v>
      </c>
      <c r="E2753" s="101" t="s">
        <v>17</v>
      </c>
    </row>
    <row r="2754" spans="1:5" x14ac:dyDescent="0.3">
      <c r="A2754" t="str">
        <f t="shared" si="42"/>
        <v>0423588</v>
      </c>
      <c r="B2754" s="101" t="s">
        <v>18</v>
      </c>
      <c r="C2754" s="101" t="s">
        <v>174</v>
      </c>
      <c r="D2754" s="101" t="s">
        <v>447</v>
      </c>
      <c r="E2754" s="101" t="s">
        <v>17</v>
      </c>
    </row>
    <row r="2755" spans="1:5" x14ac:dyDescent="0.3">
      <c r="A2755" t="str">
        <f t="shared" ref="A2755:A2818" si="43">CONCATENATE(B2755,C2755,D2755,F2755)</f>
        <v>0423596</v>
      </c>
      <c r="B2755" s="101" t="s">
        <v>18</v>
      </c>
      <c r="C2755" s="101" t="s">
        <v>174</v>
      </c>
      <c r="D2755" s="101" t="s">
        <v>457</v>
      </c>
      <c r="E2755" s="101" t="s">
        <v>17</v>
      </c>
    </row>
    <row r="2756" spans="1:5" x14ac:dyDescent="0.3">
      <c r="A2756" t="str">
        <f t="shared" si="43"/>
        <v>0423604</v>
      </c>
      <c r="B2756" s="101" t="s">
        <v>18</v>
      </c>
      <c r="C2756" s="101" t="s">
        <v>174</v>
      </c>
      <c r="D2756" s="101" t="s">
        <v>463</v>
      </c>
      <c r="E2756" s="101" t="s">
        <v>17</v>
      </c>
    </row>
    <row r="2757" spans="1:5" x14ac:dyDescent="0.3">
      <c r="A2757" t="str">
        <f t="shared" si="43"/>
        <v>0423001</v>
      </c>
      <c r="B2757" s="101" t="s">
        <v>18</v>
      </c>
      <c r="C2757" s="101" t="s">
        <v>174</v>
      </c>
      <c r="D2757" s="101" t="s">
        <v>549</v>
      </c>
      <c r="E2757" s="101" t="s">
        <v>17</v>
      </c>
    </row>
    <row r="2758" spans="1:5" x14ac:dyDescent="0.3">
      <c r="A2758" t="str">
        <f t="shared" si="43"/>
        <v>0423003</v>
      </c>
      <c r="B2758" s="101" t="s">
        <v>18</v>
      </c>
      <c r="C2758" s="101" t="s">
        <v>174</v>
      </c>
      <c r="D2758" s="101" t="s">
        <v>597</v>
      </c>
      <c r="E2758" s="101" t="s">
        <v>17</v>
      </c>
    </row>
    <row r="2759" spans="1:5" x14ac:dyDescent="0.3">
      <c r="A2759" t="str">
        <f t="shared" si="43"/>
        <v>0423020</v>
      </c>
      <c r="B2759" s="101" t="s">
        <v>18</v>
      </c>
      <c r="C2759" s="101" t="s">
        <v>174</v>
      </c>
      <c r="D2759" s="101" t="s">
        <v>577</v>
      </c>
      <c r="E2759" s="101" t="s">
        <v>17</v>
      </c>
    </row>
    <row r="2760" spans="1:5" x14ac:dyDescent="0.3">
      <c r="A2760" t="str">
        <f t="shared" si="43"/>
        <v>0423050</v>
      </c>
      <c r="B2760" s="101" t="s">
        <v>18</v>
      </c>
      <c r="C2760" s="101" t="s">
        <v>174</v>
      </c>
      <c r="D2760" s="101" t="s">
        <v>587</v>
      </c>
      <c r="E2760" s="101" t="s">
        <v>17</v>
      </c>
    </row>
    <row r="2761" spans="1:5" x14ac:dyDescent="0.3">
      <c r="A2761" t="str">
        <f t="shared" si="43"/>
        <v>0423052</v>
      </c>
      <c r="B2761" s="101" t="s">
        <v>18</v>
      </c>
      <c r="C2761" s="101" t="s">
        <v>174</v>
      </c>
      <c r="D2761" s="101" t="s">
        <v>630</v>
      </c>
      <c r="E2761" s="101" t="s">
        <v>17</v>
      </c>
    </row>
    <row r="2762" spans="1:5" x14ac:dyDescent="0.3">
      <c r="A2762" t="str">
        <f t="shared" si="43"/>
        <v>0423068</v>
      </c>
      <c r="B2762" s="101" t="s">
        <v>18</v>
      </c>
      <c r="C2762" s="101" t="s">
        <v>174</v>
      </c>
      <c r="D2762" s="101" t="s">
        <v>603</v>
      </c>
      <c r="E2762" s="101" t="s">
        <v>17</v>
      </c>
    </row>
    <row r="2763" spans="1:5" x14ac:dyDescent="0.3">
      <c r="A2763" t="str">
        <f t="shared" si="43"/>
        <v>0423522</v>
      </c>
      <c r="B2763" s="101" t="s">
        <v>18</v>
      </c>
      <c r="C2763" s="101" t="s">
        <v>174</v>
      </c>
      <c r="D2763" s="101" t="s">
        <v>345</v>
      </c>
      <c r="E2763" s="101" t="s">
        <v>17</v>
      </c>
    </row>
    <row r="2764" spans="1:5" x14ac:dyDescent="0.3">
      <c r="A2764" t="str">
        <f t="shared" si="43"/>
        <v>0423524</v>
      </c>
      <c r="B2764" s="101" t="s">
        <v>18</v>
      </c>
      <c r="C2764" s="101" t="s">
        <v>174</v>
      </c>
      <c r="D2764" s="101" t="s">
        <v>351</v>
      </c>
      <c r="E2764" s="101" t="s">
        <v>17</v>
      </c>
    </row>
    <row r="2765" spans="1:5" x14ac:dyDescent="0.3">
      <c r="A2765" t="str">
        <f t="shared" si="43"/>
        <v>0423541</v>
      </c>
      <c r="B2765" s="101" t="s">
        <v>18</v>
      </c>
      <c r="C2765" s="101" t="s">
        <v>174</v>
      </c>
      <c r="D2765" s="101" t="s">
        <v>325</v>
      </c>
      <c r="E2765" s="101" t="s">
        <v>17</v>
      </c>
    </row>
    <row r="2766" spans="1:5" x14ac:dyDescent="0.3">
      <c r="A2766" t="str">
        <f t="shared" si="43"/>
        <v>0423575</v>
      </c>
      <c r="B2766" s="101" t="s">
        <v>18</v>
      </c>
      <c r="C2766" s="101" t="s">
        <v>174</v>
      </c>
      <c r="D2766" s="101" t="s">
        <v>434</v>
      </c>
      <c r="E2766" s="101" t="s">
        <v>17</v>
      </c>
    </row>
    <row r="2767" spans="1:5" x14ac:dyDescent="0.3">
      <c r="A2767" t="str">
        <f t="shared" si="43"/>
        <v>0423577</v>
      </c>
      <c r="B2767" s="101" t="s">
        <v>18</v>
      </c>
      <c r="C2767" s="101" t="s">
        <v>174</v>
      </c>
      <c r="D2767" s="101" t="s">
        <v>436</v>
      </c>
      <c r="E2767" s="101" t="s">
        <v>17</v>
      </c>
    </row>
    <row r="2768" spans="1:5" x14ac:dyDescent="0.3">
      <c r="A2768" t="str">
        <f t="shared" si="43"/>
        <v>0423591</v>
      </c>
      <c r="B2768" s="101" t="s">
        <v>18</v>
      </c>
      <c r="C2768" s="101" t="s">
        <v>174</v>
      </c>
      <c r="D2768" s="101" t="s">
        <v>450</v>
      </c>
      <c r="E2768" s="101" t="s">
        <v>17</v>
      </c>
    </row>
    <row r="2769" spans="1:5" x14ac:dyDescent="0.3">
      <c r="A2769" t="str">
        <f t="shared" si="43"/>
        <v>0423593</v>
      </c>
      <c r="B2769" s="101" t="s">
        <v>18</v>
      </c>
      <c r="C2769" s="101" t="s">
        <v>174</v>
      </c>
      <c r="D2769" s="101" t="s">
        <v>452</v>
      </c>
      <c r="E2769" s="101" t="s">
        <v>17</v>
      </c>
    </row>
    <row r="2770" spans="1:5" x14ac:dyDescent="0.3">
      <c r="A2770" t="str">
        <f t="shared" si="43"/>
        <v>0423005</v>
      </c>
      <c r="B2770" s="101" t="s">
        <v>18</v>
      </c>
      <c r="C2770" s="101" t="s">
        <v>174</v>
      </c>
      <c r="D2770" s="101" t="s">
        <v>399</v>
      </c>
      <c r="E2770" s="101" t="s">
        <v>17</v>
      </c>
    </row>
    <row r="2771" spans="1:5" x14ac:dyDescent="0.3">
      <c r="A2771" t="str">
        <f t="shared" si="43"/>
        <v>0423010</v>
      </c>
      <c r="B2771" s="101" t="s">
        <v>18</v>
      </c>
      <c r="C2771" s="101" t="s">
        <v>174</v>
      </c>
      <c r="D2771" s="101" t="s">
        <v>599</v>
      </c>
      <c r="E2771" s="101" t="s">
        <v>17</v>
      </c>
    </row>
    <row r="2772" spans="1:5" x14ac:dyDescent="0.3">
      <c r="A2772" t="str">
        <f t="shared" si="43"/>
        <v>0423022</v>
      </c>
      <c r="B2772" s="101" t="s">
        <v>18</v>
      </c>
      <c r="C2772" s="101" t="s">
        <v>174</v>
      </c>
      <c r="D2772" s="101" t="s">
        <v>322</v>
      </c>
      <c r="E2772" s="101" t="s">
        <v>17</v>
      </c>
    </row>
    <row r="2773" spans="1:5" x14ac:dyDescent="0.3">
      <c r="A2773" t="str">
        <f t="shared" si="43"/>
        <v>0423027</v>
      </c>
      <c r="B2773" s="101" t="s">
        <v>18</v>
      </c>
      <c r="C2773" s="101" t="s">
        <v>174</v>
      </c>
      <c r="D2773" s="101" t="s">
        <v>545</v>
      </c>
      <c r="E2773" s="101" t="s">
        <v>17</v>
      </c>
    </row>
    <row r="2774" spans="1:5" x14ac:dyDescent="0.3">
      <c r="A2774" t="str">
        <f t="shared" si="43"/>
        <v>0423054</v>
      </c>
      <c r="B2774" s="101" t="s">
        <v>18</v>
      </c>
      <c r="C2774" s="101" t="s">
        <v>174</v>
      </c>
      <c r="D2774" s="101" t="s">
        <v>628</v>
      </c>
      <c r="E2774" s="101" t="s">
        <v>17</v>
      </c>
    </row>
    <row r="2775" spans="1:5" x14ac:dyDescent="0.3">
      <c r="A2775" t="str">
        <f t="shared" si="43"/>
        <v>0423059</v>
      </c>
      <c r="B2775" s="101" t="s">
        <v>18</v>
      </c>
      <c r="C2775" s="101" t="s">
        <v>174</v>
      </c>
      <c r="D2775" s="101" t="s">
        <v>482</v>
      </c>
      <c r="E2775" s="101" t="s">
        <v>17</v>
      </c>
    </row>
    <row r="2776" spans="1:5" x14ac:dyDescent="0.3">
      <c r="A2776" t="str">
        <f t="shared" si="43"/>
        <v>0423070</v>
      </c>
      <c r="B2776" s="101" t="s">
        <v>18</v>
      </c>
      <c r="C2776" s="101" t="s">
        <v>174</v>
      </c>
      <c r="D2776" s="101" t="s">
        <v>605</v>
      </c>
      <c r="E2776" s="101" t="s">
        <v>17</v>
      </c>
    </row>
    <row r="2777" spans="1:5" x14ac:dyDescent="0.3">
      <c r="A2777" t="str">
        <f t="shared" si="43"/>
        <v>0423073</v>
      </c>
      <c r="B2777" s="101" t="s">
        <v>18</v>
      </c>
      <c r="C2777" s="101" t="s">
        <v>174</v>
      </c>
      <c r="D2777" s="101" t="s">
        <v>612</v>
      </c>
      <c r="E2777" s="101" t="s">
        <v>17</v>
      </c>
    </row>
    <row r="2778" spans="1:5" x14ac:dyDescent="0.3">
      <c r="A2778" t="str">
        <f t="shared" si="43"/>
        <v>0423526</v>
      </c>
      <c r="B2778" s="101" t="s">
        <v>18</v>
      </c>
      <c r="C2778" s="101" t="s">
        <v>174</v>
      </c>
      <c r="D2778" s="101" t="s">
        <v>379</v>
      </c>
      <c r="E2778" s="101" t="s">
        <v>17</v>
      </c>
    </row>
    <row r="2779" spans="1:5" x14ac:dyDescent="0.3">
      <c r="A2779" t="str">
        <f t="shared" si="43"/>
        <v>0423531</v>
      </c>
      <c r="B2779" s="101" t="s">
        <v>18</v>
      </c>
      <c r="C2779" s="101" t="s">
        <v>174</v>
      </c>
      <c r="D2779" s="101" t="s">
        <v>409</v>
      </c>
      <c r="E2779" s="101" t="s">
        <v>17</v>
      </c>
    </row>
    <row r="2780" spans="1:5" x14ac:dyDescent="0.3">
      <c r="A2780" t="str">
        <f t="shared" si="43"/>
        <v>0423543</v>
      </c>
      <c r="B2780" s="101" t="s">
        <v>18</v>
      </c>
      <c r="C2780" s="101" t="s">
        <v>174</v>
      </c>
      <c r="D2780" s="101" t="s">
        <v>347</v>
      </c>
      <c r="E2780" s="101" t="s">
        <v>17</v>
      </c>
    </row>
    <row r="2781" spans="1:5" x14ac:dyDescent="0.3">
      <c r="A2781" t="str">
        <f t="shared" si="43"/>
        <v>0423548</v>
      </c>
      <c r="B2781" s="101" t="s">
        <v>18</v>
      </c>
      <c r="C2781" s="101" t="s">
        <v>174</v>
      </c>
      <c r="D2781" s="101" t="s">
        <v>354</v>
      </c>
      <c r="E2781" s="101" t="s">
        <v>17</v>
      </c>
    </row>
    <row r="2782" spans="1:5" x14ac:dyDescent="0.3">
      <c r="A2782" t="str">
        <f t="shared" si="43"/>
        <v>0423579</v>
      </c>
      <c r="B2782" s="101" t="s">
        <v>18</v>
      </c>
      <c r="C2782" s="101" t="s">
        <v>174</v>
      </c>
      <c r="D2782" s="101" t="s">
        <v>438</v>
      </c>
      <c r="E2782" s="101" t="s">
        <v>17</v>
      </c>
    </row>
    <row r="2783" spans="1:5" x14ac:dyDescent="0.3">
      <c r="A2783" t="str">
        <f t="shared" si="43"/>
        <v>0423584</v>
      </c>
      <c r="B2783" s="101" t="s">
        <v>18</v>
      </c>
      <c r="C2783" s="101" t="s">
        <v>174</v>
      </c>
      <c r="D2783" s="101" t="s">
        <v>443</v>
      </c>
      <c r="E2783" s="101" t="s">
        <v>17</v>
      </c>
    </row>
    <row r="2784" spans="1:5" x14ac:dyDescent="0.3">
      <c r="A2784" t="str">
        <f t="shared" si="43"/>
        <v>0423595</v>
      </c>
      <c r="B2784" s="101" t="s">
        <v>18</v>
      </c>
      <c r="C2784" s="101" t="s">
        <v>174</v>
      </c>
      <c r="D2784" s="101" t="s">
        <v>456</v>
      </c>
      <c r="E2784" s="101" t="s">
        <v>17</v>
      </c>
    </row>
    <row r="2785" spans="1:5" x14ac:dyDescent="0.3">
      <c r="A2785" t="str">
        <f t="shared" si="43"/>
        <v>0423600</v>
      </c>
      <c r="B2785" s="101" t="s">
        <v>18</v>
      </c>
      <c r="C2785" s="101" t="s">
        <v>174</v>
      </c>
      <c r="D2785" s="101" t="s">
        <v>230</v>
      </c>
      <c r="E2785" s="101" t="s">
        <v>17</v>
      </c>
    </row>
    <row r="2786" spans="1:5" x14ac:dyDescent="0.3">
      <c r="A2786" t="str">
        <f t="shared" si="43"/>
        <v>0423029</v>
      </c>
      <c r="B2786" s="101" t="s">
        <v>18</v>
      </c>
      <c r="C2786" s="101" t="s">
        <v>174</v>
      </c>
      <c r="D2786" s="101" t="s">
        <v>355</v>
      </c>
      <c r="E2786" s="101" t="s">
        <v>17</v>
      </c>
    </row>
    <row r="2787" spans="1:5" x14ac:dyDescent="0.3">
      <c r="A2787" t="str">
        <f t="shared" si="43"/>
        <v>0423061</v>
      </c>
      <c r="B2787" s="101" t="s">
        <v>18</v>
      </c>
      <c r="C2787" s="101" t="s">
        <v>174</v>
      </c>
      <c r="D2787" s="101" t="s">
        <v>636</v>
      </c>
      <c r="E2787" s="101" t="s">
        <v>17</v>
      </c>
    </row>
    <row r="2788" spans="1:5" x14ac:dyDescent="0.3">
      <c r="A2788" t="str">
        <f t="shared" si="43"/>
        <v>0423077</v>
      </c>
      <c r="B2788" s="101" t="s">
        <v>18</v>
      </c>
      <c r="C2788" s="101" t="s">
        <v>174</v>
      </c>
      <c r="D2788" s="101" t="s">
        <v>617</v>
      </c>
      <c r="E2788" s="101" t="s">
        <v>17</v>
      </c>
    </row>
    <row r="2789" spans="1:5" x14ac:dyDescent="0.3">
      <c r="A2789" t="str">
        <f t="shared" si="43"/>
        <v>0423533</v>
      </c>
      <c r="B2789" s="101" t="s">
        <v>18</v>
      </c>
      <c r="C2789" s="101" t="s">
        <v>174</v>
      </c>
      <c r="D2789" s="101" t="s">
        <v>397</v>
      </c>
      <c r="E2789" s="101" t="s">
        <v>17</v>
      </c>
    </row>
    <row r="2790" spans="1:5" x14ac:dyDescent="0.3">
      <c r="A2790" t="str">
        <f t="shared" si="43"/>
        <v>0423550</v>
      </c>
      <c r="B2790" s="101" t="s">
        <v>18</v>
      </c>
      <c r="C2790" s="101" t="s">
        <v>174</v>
      </c>
      <c r="D2790" s="101" t="s">
        <v>415</v>
      </c>
      <c r="E2790" s="101" t="s">
        <v>17</v>
      </c>
    </row>
    <row r="2791" spans="1:5" x14ac:dyDescent="0.3">
      <c r="A2791" t="str">
        <f t="shared" si="43"/>
        <v>0423586</v>
      </c>
      <c r="B2791" s="101" t="s">
        <v>18</v>
      </c>
      <c r="C2791" s="101" t="s">
        <v>174</v>
      </c>
      <c r="D2791" s="101" t="s">
        <v>445</v>
      </c>
      <c r="E2791" s="101" t="s">
        <v>17</v>
      </c>
    </row>
    <row r="2792" spans="1:5" x14ac:dyDescent="0.3">
      <c r="A2792" t="str">
        <f t="shared" si="43"/>
        <v>0423602</v>
      </c>
      <c r="B2792" s="101" t="s">
        <v>18</v>
      </c>
      <c r="C2792" s="101" t="s">
        <v>174</v>
      </c>
      <c r="D2792" s="101" t="s">
        <v>461</v>
      </c>
      <c r="E2792" s="101" t="s">
        <v>17</v>
      </c>
    </row>
    <row r="2793" spans="1:5" x14ac:dyDescent="0.3">
      <c r="A2793" t="str">
        <f t="shared" si="43"/>
        <v>0423037</v>
      </c>
      <c r="B2793" s="101" t="s">
        <v>18</v>
      </c>
      <c r="C2793" s="101" t="s">
        <v>174</v>
      </c>
      <c r="D2793" s="101" t="s">
        <v>625</v>
      </c>
      <c r="E2793" s="101" t="s">
        <v>17</v>
      </c>
    </row>
    <row r="2794" spans="1:5" x14ac:dyDescent="0.3">
      <c r="A2794" t="str">
        <f t="shared" si="43"/>
        <v>0423041</v>
      </c>
      <c r="B2794" s="101" t="s">
        <v>18</v>
      </c>
      <c r="C2794" s="101" t="s">
        <v>174</v>
      </c>
      <c r="D2794" s="101" t="s">
        <v>583</v>
      </c>
      <c r="E2794" s="101" t="s">
        <v>17</v>
      </c>
    </row>
    <row r="2795" spans="1:5" x14ac:dyDescent="0.3">
      <c r="A2795" t="str">
        <f t="shared" si="43"/>
        <v>0423088</v>
      </c>
      <c r="B2795" s="101" t="s">
        <v>18</v>
      </c>
      <c r="C2795" s="101" t="s">
        <v>174</v>
      </c>
      <c r="D2795" s="101" t="s">
        <v>637</v>
      </c>
      <c r="E2795" s="101" t="s">
        <v>17</v>
      </c>
    </row>
    <row r="2796" spans="1:5" x14ac:dyDescent="0.3">
      <c r="A2796" t="str">
        <f t="shared" si="43"/>
        <v>0423558</v>
      </c>
      <c r="B2796" s="101" t="s">
        <v>18</v>
      </c>
      <c r="C2796" s="101" t="s">
        <v>174</v>
      </c>
      <c r="D2796" s="101" t="s">
        <v>362</v>
      </c>
      <c r="E2796" s="101" t="s">
        <v>17</v>
      </c>
    </row>
    <row r="2797" spans="1:5" x14ac:dyDescent="0.3">
      <c r="A2797" t="str">
        <f t="shared" si="43"/>
        <v>0423562</v>
      </c>
      <c r="B2797" s="101" t="s">
        <v>18</v>
      </c>
      <c r="C2797" s="101" t="s">
        <v>174</v>
      </c>
      <c r="D2797" s="101" t="s">
        <v>421</v>
      </c>
      <c r="E2797" s="101" t="s">
        <v>17</v>
      </c>
    </row>
    <row r="2798" spans="1:5" x14ac:dyDescent="0.3">
      <c r="A2798" t="str">
        <f t="shared" si="43"/>
        <v>0423581</v>
      </c>
      <c r="B2798" s="101" t="s">
        <v>18</v>
      </c>
      <c r="C2798" s="101" t="s">
        <v>174</v>
      </c>
      <c r="D2798" s="101" t="s">
        <v>440</v>
      </c>
      <c r="E2798" s="101" t="s">
        <v>17</v>
      </c>
    </row>
    <row r="2799" spans="1:5" x14ac:dyDescent="0.3">
      <c r="A2799" t="str">
        <f t="shared" si="43"/>
        <v>0423597</v>
      </c>
      <c r="B2799" s="101" t="s">
        <v>18</v>
      </c>
      <c r="C2799" s="101" t="s">
        <v>174</v>
      </c>
      <c r="D2799" s="101" t="s">
        <v>458</v>
      </c>
      <c r="E2799" s="101" t="s">
        <v>17</v>
      </c>
    </row>
    <row r="2800" spans="1:5" x14ac:dyDescent="0.3">
      <c r="A2800" t="str">
        <f t="shared" si="43"/>
        <v>0423615</v>
      </c>
      <c r="B2800" s="101" t="s">
        <v>18</v>
      </c>
      <c r="C2800" s="101" t="s">
        <v>174</v>
      </c>
      <c r="D2800" s="101" t="s">
        <v>292</v>
      </c>
      <c r="E2800" s="101" t="s">
        <v>17</v>
      </c>
    </row>
    <row r="2801" spans="1:5" x14ac:dyDescent="0.3">
      <c r="A2801" t="str">
        <f t="shared" si="43"/>
        <v>0423015</v>
      </c>
      <c r="B2801" s="101" t="s">
        <v>18</v>
      </c>
      <c r="C2801" s="101" t="s">
        <v>174</v>
      </c>
      <c r="D2801" s="101" t="s">
        <v>321</v>
      </c>
      <c r="E2801" s="101" t="s">
        <v>17</v>
      </c>
    </row>
    <row r="2802" spans="1:5" x14ac:dyDescent="0.3">
      <c r="A2802" t="str">
        <f t="shared" si="43"/>
        <v>0423008</v>
      </c>
      <c r="B2802" s="101" t="s">
        <v>18</v>
      </c>
      <c r="C2802" s="101" t="s">
        <v>174</v>
      </c>
      <c r="D2802" s="101" t="s">
        <v>405</v>
      </c>
      <c r="E2802" s="101" t="s">
        <v>17</v>
      </c>
    </row>
    <row r="2803" spans="1:5" x14ac:dyDescent="0.3">
      <c r="A2803" t="str">
        <f t="shared" si="43"/>
        <v>0423025</v>
      </c>
      <c r="B2803" s="101" t="s">
        <v>18</v>
      </c>
      <c r="C2803" s="101" t="s">
        <v>174</v>
      </c>
      <c r="D2803" s="101" t="s">
        <v>367</v>
      </c>
      <c r="E2803" s="101" t="s">
        <v>17</v>
      </c>
    </row>
    <row r="2804" spans="1:5" x14ac:dyDescent="0.3">
      <c r="A2804" t="str">
        <f t="shared" si="43"/>
        <v>0423032</v>
      </c>
      <c r="B2804" s="101" t="s">
        <v>18</v>
      </c>
      <c r="C2804" s="101" t="s">
        <v>174</v>
      </c>
      <c r="D2804" s="101" t="s">
        <v>370</v>
      </c>
      <c r="E2804" s="101" t="s">
        <v>17</v>
      </c>
    </row>
    <row r="2805" spans="1:5" x14ac:dyDescent="0.3">
      <c r="A2805" t="str">
        <f t="shared" si="43"/>
        <v>0423057</v>
      </c>
      <c r="B2805" s="101" t="s">
        <v>18</v>
      </c>
      <c r="C2805" s="101" t="s">
        <v>174</v>
      </c>
      <c r="D2805" s="101" t="s">
        <v>638</v>
      </c>
      <c r="E2805" s="101" t="s">
        <v>17</v>
      </c>
    </row>
    <row r="2806" spans="1:5" x14ac:dyDescent="0.3">
      <c r="A2806" t="str">
        <f t="shared" si="43"/>
        <v>0423064</v>
      </c>
      <c r="B2806" s="101" t="s">
        <v>18</v>
      </c>
      <c r="C2806" s="101" t="s">
        <v>174</v>
      </c>
      <c r="D2806" s="101" t="s">
        <v>610</v>
      </c>
      <c r="E2806" s="101" t="s">
        <v>17</v>
      </c>
    </row>
    <row r="2807" spans="1:5" x14ac:dyDescent="0.3">
      <c r="A2807" t="str">
        <f t="shared" si="43"/>
        <v>0423080</v>
      </c>
      <c r="B2807" s="101" t="s">
        <v>18</v>
      </c>
      <c r="C2807" s="101" t="s">
        <v>174</v>
      </c>
      <c r="D2807" s="101" t="s">
        <v>620</v>
      </c>
      <c r="E2807" s="101" t="s">
        <v>17</v>
      </c>
    </row>
    <row r="2808" spans="1:5" x14ac:dyDescent="0.3">
      <c r="A2808" t="str">
        <f t="shared" si="43"/>
        <v>0423529</v>
      </c>
      <c r="B2808" s="101" t="s">
        <v>18</v>
      </c>
      <c r="C2808" s="101" t="s">
        <v>174</v>
      </c>
      <c r="D2808" s="101" t="s">
        <v>364</v>
      </c>
      <c r="E2808" s="101" t="s">
        <v>17</v>
      </c>
    </row>
    <row r="2809" spans="1:5" x14ac:dyDescent="0.3">
      <c r="A2809" t="str">
        <f t="shared" si="43"/>
        <v>0423536</v>
      </c>
      <c r="B2809" s="101" t="s">
        <v>18</v>
      </c>
      <c r="C2809" s="101" t="s">
        <v>174</v>
      </c>
      <c r="D2809" s="101" t="s">
        <v>352</v>
      </c>
      <c r="E2809" s="101" t="s">
        <v>17</v>
      </c>
    </row>
    <row r="2810" spans="1:5" x14ac:dyDescent="0.3">
      <c r="A2810" t="str">
        <f t="shared" si="43"/>
        <v>0423546</v>
      </c>
      <c r="B2810" s="101" t="s">
        <v>18</v>
      </c>
      <c r="C2810" s="101" t="s">
        <v>174</v>
      </c>
      <c r="D2810" s="101" t="s">
        <v>373</v>
      </c>
      <c r="E2810" s="101" t="s">
        <v>17</v>
      </c>
    </row>
    <row r="2811" spans="1:5" x14ac:dyDescent="0.3">
      <c r="A2811" t="str">
        <f t="shared" si="43"/>
        <v>0423553</v>
      </c>
      <c r="B2811" s="101" t="s">
        <v>18</v>
      </c>
      <c r="C2811" s="101" t="s">
        <v>174</v>
      </c>
      <c r="D2811" s="101" t="s">
        <v>417</v>
      </c>
      <c r="E2811" s="101" t="s">
        <v>17</v>
      </c>
    </row>
    <row r="2812" spans="1:5" x14ac:dyDescent="0.3">
      <c r="A2812" t="str">
        <f t="shared" si="43"/>
        <v>0423582</v>
      </c>
      <c r="B2812" s="101" t="s">
        <v>18</v>
      </c>
      <c r="C2812" s="101" t="s">
        <v>174</v>
      </c>
      <c r="D2812" s="101" t="s">
        <v>441</v>
      </c>
      <c r="E2812" s="101" t="s">
        <v>17</v>
      </c>
    </row>
    <row r="2813" spans="1:5" x14ac:dyDescent="0.3">
      <c r="A2813" t="str">
        <f t="shared" si="43"/>
        <v>0423589</v>
      </c>
      <c r="B2813" s="101" t="s">
        <v>18</v>
      </c>
      <c r="C2813" s="101" t="s">
        <v>174</v>
      </c>
      <c r="D2813" s="101" t="s">
        <v>448</v>
      </c>
      <c r="E2813" s="101" t="s">
        <v>17</v>
      </c>
    </row>
    <row r="2814" spans="1:5" x14ac:dyDescent="0.3">
      <c r="A2814" t="str">
        <f t="shared" si="43"/>
        <v>0423598</v>
      </c>
      <c r="B2814" s="101" t="s">
        <v>18</v>
      </c>
      <c r="C2814" s="101" t="s">
        <v>174</v>
      </c>
      <c r="D2814" s="101" t="s">
        <v>459</v>
      </c>
      <c r="E2814" s="101" t="s">
        <v>17</v>
      </c>
    </row>
    <row r="2815" spans="1:5" x14ac:dyDescent="0.3">
      <c r="A2815" t="str">
        <f t="shared" si="43"/>
        <v>0423605</v>
      </c>
      <c r="B2815" s="101" t="s">
        <v>18</v>
      </c>
      <c r="C2815" s="101" t="s">
        <v>174</v>
      </c>
      <c r="D2815" s="101" t="s">
        <v>464</v>
      </c>
      <c r="E2815" s="101" t="s">
        <v>17</v>
      </c>
    </row>
    <row r="2816" spans="1:5" x14ac:dyDescent="0.3">
      <c r="A2816" t="str">
        <f t="shared" si="43"/>
        <v>0523801</v>
      </c>
      <c r="B2816" s="101" t="s">
        <v>313</v>
      </c>
      <c r="C2816" s="101" t="s">
        <v>174</v>
      </c>
      <c r="D2816" s="101" t="s">
        <v>144</v>
      </c>
      <c r="E2816" s="101" t="s">
        <v>139</v>
      </c>
    </row>
    <row r="2817" spans="1:5" x14ac:dyDescent="0.3">
      <c r="A2817" t="str">
        <f t="shared" si="43"/>
        <v>0523802</v>
      </c>
      <c r="B2817" s="101" t="s">
        <v>313</v>
      </c>
      <c r="C2817" s="101" t="s">
        <v>174</v>
      </c>
      <c r="D2817" s="101" t="s">
        <v>145</v>
      </c>
      <c r="E2817" s="101" t="s">
        <v>139</v>
      </c>
    </row>
    <row r="2818" spans="1:5" x14ac:dyDescent="0.3">
      <c r="A2818" t="str">
        <f t="shared" si="43"/>
        <v>0523500</v>
      </c>
      <c r="B2818" s="101" t="s">
        <v>313</v>
      </c>
      <c r="C2818" s="101" t="s">
        <v>174</v>
      </c>
      <c r="D2818" s="101" t="s">
        <v>146</v>
      </c>
      <c r="E2818" s="101" t="s">
        <v>139</v>
      </c>
    </row>
    <row r="2819" spans="1:5" x14ac:dyDescent="0.3">
      <c r="A2819" t="str">
        <f t="shared" ref="A2819:A2882" si="44">CONCATENATE(B2819,C2819,D2819,F2819)</f>
        <v>0523501</v>
      </c>
      <c r="B2819" s="101" t="s">
        <v>313</v>
      </c>
      <c r="C2819" s="101" t="s">
        <v>174</v>
      </c>
      <c r="D2819" s="101" t="s">
        <v>147</v>
      </c>
      <c r="E2819" s="101" t="s">
        <v>139</v>
      </c>
    </row>
    <row r="2820" spans="1:5" x14ac:dyDescent="0.3">
      <c r="A2820" t="str">
        <f t="shared" si="44"/>
        <v>0523807</v>
      </c>
      <c r="B2820" s="101" t="s">
        <v>313</v>
      </c>
      <c r="C2820" s="101" t="s">
        <v>174</v>
      </c>
      <c r="D2820" s="101" t="s">
        <v>185</v>
      </c>
      <c r="E2820" s="101" t="s">
        <v>17</v>
      </c>
    </row>
    <row r="2821" spans="1:5" x14ac:dyDescent="0.3">
      <c r="A2821" t="str">
        <f t="shared" si="44"/>
        <v>0523808</v>
      </c>
      <c r="B2821" s="101" t="s">
        <v>313</v>
      </c>
      <c r="C2821" s="101" t="s">
        <v>174</v>
      </c>
      <c r="D2821" s="101" t="s">
        <v>186</v>
      </c>
      <c r="E2821" s="101" t="s">
        <v>17</v>
      </c>
    </row>
    <row r="2822" spans="1:5" x14ac:dyDescent="0.3">
      <c r="A2822" t="str">
        <f t="shared" si="44"/>
        <v>0523809</v>
      </c>
      <c r="B2822" s="101" t="s">
        <v>313</v>
      </c>
      <c r="C2822" s="101" t="s">
        <v>174</v>
      </c>
      <c r="D2822" s="101" t="s">
        <v>187</v>
      </c>
      <c r="E2822" s="101" t="s">
        <v>17</v>
      </c>
    </row>
    <row r="2823" spans="1:5" x14ac:dyDescent="0.3">
      <c r="A2823" t="str">
        <f t="shared" si="44"/>
        <v>0523810</v>
      </c>
      <c r="B2823" s="101" t="s">
        <v>313</v>
      </c>
      <c r="C2823" s="101" t="s">
        <v>174</v>
      </c>
      <c r="D2823" s="101" t="s">
        <v>188</v>
      </c>
      <c r="E2823" s="101" t="s">
        <v>17</v>
      </c>
    </row>
    <row r="2824" spans="1:5" x14ac:dyDescent="0.3">
      <c r="A2824" t="str">
        <f t="shared" si="44"/>
        <v>0523510</v>
      </c>
      <c r="B2824" s="101" t="s">
        <v>313</v>
      </c>
      <c r="C2824" s="101" t="s">
        <v>174</v>
      </c>
      <c r="D2824" s="101" t="s">
        <v>385</v>
      </c>
      <c r="E2824" s="101" t="s">
        <v>17</v>
      </c>
    </row>
    <row r="2825" spans="1:5" x14ac:dyDescent="0.3">
      <c r="A2825" t="str">
        <f t="shared" si="44"/>
        <v>0523511</v>
      </c>
      <c r="B2825" s="101" t="s">
        <v>313</v>
      </c>
      <c r="C2825" s="101" t="s">
        <v>174</v>
      </c>
      <c r="D2825" s="101" t="s">
        <v>386</v>
      </c>
      <c r="E2825" s="101" t="s">
        <v>17</v>
      </c>
    </row>
    <row r="2826" spans="1:5" x14ac:dyDescent="0.3">
      <c r="A2826" t="str">
        <f t="shared" si="44"/>
        <v>0523512</v>
      </c>
      <c r="B2826" s="101" t="s">
        <v>313</v>
      </c>
      <c r="C2826" s="101" t="s">
        <v>174</v>
      </c>
      <c r="D2826" s="101" t="s">
        <v>398</v>
      </c>
      <c r="E2826" s="101" t="s">
        <v>17</v>
      </c>
    </row>
    <row r="2827" spans="1:5" x14ac:dyDescent="0.3">
      <c r="A2827" t="str">
        <f t="shared" si="44"/>
        <v>0523513</v>
      </c>
      <c r="B2827" s="101" t="s">
        <v>313</v>
      </c>
      <c r="C2827" s="101" t="s">
        <v>174</v>
      </c>
      <c r="D2827" s="101" t="s">
        <v>387</v>
      </c>
      <c r="E2827" s="101" t="s">
        <v>17</v>
      </c>
    </row>
    <row r="2828" spans="1:5" x14ac:dyDescent="0.3">
      <c r="A2828" t="str">
        <f t="shared" si="44"/>
        <v>0523044</v>
      </c>
      <c r="B2828" s="101" t="s">
        <v>313</v>
      </c>
      <c r="C2828" s="101" t="s">
        <v>174</v>
      </c>
      <c r="D2828" s="101" t="s">
        <v>420</v>
      </c>
      <c r="E2828" s="101" t="s">
        <v>17</v>
      </c>
    </row>
    <row r="2829" spans="1:5" x14ac:dyDescent="0.3">
      <c r="A2829" t="str">
        <f t="shared" si="44"/>
        <v>0523565</v>
      </c>
      <c r="B2829" s="101" t="s">
        <v>313</v>
      </c>
      <c r="C2829" s="101" t="s">
        <v>174</v>
      </c>
      <c r="D2829" s="101" t="s">
        <v>424</v>
      </c>
      <c r="E2829" s="101" t="s">
        <v>17</v>
      </c>
    </row>
    <row r="2830" spans="1:5" x14ac:dyDescent="0.3">
      <c r="A2830" t="str">
        <f t="shared" si="44"/>
        <v>0623801</v>
      </c>
      <c r="B2830" s="101" t="s">
        <v>317</v>
      </c>
      <c r="C2830" s="101" t="s">
        <v>174</v>
      </c>
      <c r="D2830" s="101" t="s">
        <v>144</v>
      </c>
      <c r="E2830" s="101" t="s">
        <v>139</v>
      </c>
    </row>
    <row r="2831" spans="1:5" x14ac:dyDescent="0.3">
      <c r="A2831" t="str">
        <f t="shared" si="44"/>
        <v>0623802</v>
      </c>
      <c r="B2831" s="101" t="s">
        <v>317</v>
      </c>
      <c r="C2831" s="101" t="s">
        <v>174</v>
      </c>
      <c r="D2831" s="101" t="s">
        <v>145</v>
      </c>
      <c r="E2831" s="101" t="s">
        <v>139</v>
      </c>
    </row>
    <row r="2832" spans="1:5" x14ac:dyDescent="0.3">
      <c r="A2832" t="str">
        <f t="shared" si="44"/>
        <v>0623500</v>
      </c>
      <c r="B2832" s="101" t="s">
        <v>317</v>
      </c>
      <c r="C2832" s="101" t="s">
        <v>174</v>
      </c>
      <c r="D2832" s="101" t="s">
        <v>146</v>
      </c>
      <c r="E2832" s="101" t="s">
        <v>139</v>
      </c>
    </row>
    <row r="2833" spans="1:5" x14ac:dyDescent="0.3">
      <c r="A2833" t="str">
        <f t="shared" si="44"/>
        <v>0623501</v>
      </c>
      <c r="B2833" s="101" t="s">
        <v>317</v>
      </c>
      <c r="C2833" s="101" t="s">
        <v>174</v>
      </c>
      <c r="D2833" s="101" t="s">
        <v>147</v>
      </c>
      <c r="E2833" s="101" t="s">
        <v>139</v>
      </c>
    </row>
    <row r="2834" spans="1:5" x14ac:dyDescent="0.3">
      <c r="A2834" t="str">
        <f t="shared" si="44"/>
        <v>0623807</v>
      </c>
      <c r="B2834" s="101" t="s">
        <v>317</v>
      </c>
      <c r="C2834" s="101" t="s">
        <v>174</v>
      </c>
      <c r="D2834" s="101" t="s">
        <v>185</v>
      </c>
      <c r="E2834" s="101" t="s">
        <v>17</v>
      </c>
    </row>
    <row r="2835" spans="1:5" x14ac:dyDescent="0.3">
      <c r="A2835" t="str">
        <f t="shared" si="44"/>
        <v>0623808</v>
      </c>
      <c r="B2835" s="101" t="s">
        <v>317</v>
      </c>
      <c r="C2835" s="101" t="s">
        <v>174</v>
      </c>
      <c r="D2835" s="101" t="s">
        <v>186</v>
      </c>
      <c r="E2835" s="101" t="s">
        <v>17</v>
      </c>
    </row>
    <row r="2836" spans="1:5" x14ac:dyDescent="0.3">
      <c r="A2836" t="str">
        <f t="shared" si="44"/>
        <v>0623809</v>
      </c>
      <c r="B2836" s="101" t="s">
        <v>317</v>
      </c>
      <c r="C2836" s="101" t="s">
        <v>174</v>
      </c>
      <c r="D2836" s="101" t="s">
        <v>187</v>
      </c>
      <c r="E2836" s="101" t="s">
        <v>17</v>
      </c>
    </row>
    <row r="2837" spans="1:5" x14ac:dyDescent="0.3">
      <c r="A2837" t="str">
        <f t="shared" si="44"/>
        <v>0623810</v>
      </c>
      <c r="B2837" s="101" t="s">
        <v>317</v>
      </c>
      <c r="C2837" s="101" t="s">
        <v>174</v>
      </c>
      <c r="D2837" s="101" t="s">
        <v>188</v>
      </c>
      <c r="E2837" s="101" t="s">
        <v>17</v>
      </c>
    </row>
    <row r="2838" spans="1:5" x14ac:dyDescent="0.3">
      <c r="A2838" t="str">
        <f t="shared" si="44"/>
        <v>0623510</v>
      </c>
      <c r="B2838" s="101" t="s">
        <v>317</v>
      </c>
      <c r="C2838" s="101" t="s">
        <v>174</v>
      </c>
      <c r="D2838" s="101" t="s">
        <v>385</v>
      </c>
      <c r="E2838" s="101" t="s">
        <v>17</v>
      </c>
    </row>
    <row r="2839" spans="1:5" x14ac:dyDescent="0.3">
      <c r="A2839" t="str">
        <f t="shared" si="44"/>
        <v>0623511</v>
      </c>
      <c r="B2839" s="101" t="s">
        <v>317</v>
      </c>
      <c r="C2839" s="101" t="s">
        <v>174</v>
      </c>
      <c r="D2839" s="101" t="s">
        <v>386</v>
      </c>
      <c r="E2839" s="101" t="s">
        <v>17</v>
      </c>
    </row>
    <row r="2840" spans="1:5" x14ac:dyDescent="0.3">
      <c r="A2840" t="str">
        <f t="shared" si="44"/>
        <v>0623512</v>
      </c>
      <c r="B2840" s="101" t="s">
        <v>317</v>
      </c>
      <c r="C2840" s="101" t="s">
        <v>174</v>
      </c>
      <c r="D2840" s="101" t="s">
        <v>398</v>
      </c>
      <c r="E2840" s="101" t="s">
        <v>17</v>
      </c>
    </row>
    <row r="2841" spans="1:5" x14ac:dyDescent="0.3">
      <c r="A2841" t="str">
        <f t="shared" si="44"/>
        <v>0623513</v>
      </c>
      <c r="B2841" s="101" t="s">
        <v>317</v>
      </c>
      <c r="C2841" s="101" t="s">
        <v>174</v>
      </c>
      <c r="D2841" s="101" t="s">
        <v>387</v>
      </c>
      <c r="E2841" s="101" t="s">
        <v>17</v>
      </c>
    </row>
    <row r="2842" spans="1:5" x14ac:dyDescent="0.3">
      <c r="A2842" t="str">
        <f t="shared" si="44"/>
        <v>0623044</v>
      </c>
      <c r="B2842" s="101" t="s">
        <v>317</v>
      </c>
      <c r="C2842" s="101" t="s">
        <v>174</v>
      </c>
      <c r="D2842" s="101" t="s">
        <v>420</v>
      </c>
      <c r="E2842" s="101" t="s">
        <v>17</v>
      </c>
    </row>
    <row r="2843" spans="1:5" x14ac:dyDescent="0.3">
      <c r="A2843" t="str">
        <f t="shared" si="44"/>
        <v>0623565</v>
      </c>
      <c r="B2843" s="101" t="s">
        <v>317</v>
      </c>
      <c r="C2843" s="101" t="s">
        <v>174</v>
      </c>
      <c r="D2843" s="101" t="s">
        <v>424</v>
      </c>
      <c r="E2843" s="101" t="s">
        <v>17</v>
      </c>
    </row>
    <row r="2844" spans="1:5" x14ac:dyDescent="0.3">
      <c r="A2844" t="str">
        <f t="shared" si="44"/>
        <v>0723801</v>
      </c>
      <c r="B2844" s="101" t="s">
        <v>319</v>
      </c>
      <c r="C2844" s="101" t="s">
        <v>174</v>
      </c>
      <c r="D2844" s="101" t="s">
        <v>144</v>
      </c>
      <c r="E2844" s="101" t="s">
        <v>139</v>
      </c>
    </row>
    <row r="2845" spans="1:5" x14ac:dyDescent="0.3">
      <c r="A2845" t="str">
        <f t="shared" si="44"/>
        <v>0723802</v>
      </c>
      <c r="B2845" s="101" t="s">
        <v>319</v>
      </c>
      <c r="C2845" s="101" t="s">
        <v>174</v>
      </c>
      <c r="D2845" s="101" t="s">
        <v>145</v>
      </c>
      <c r="E2845" s="101" t="s">
        <v>139</v>
      </c>
    </row>
    <row r="2846" spans="1:5" x14ac:dyDescent="0.3">
      <c r="A2846" t="str">
        <f t="shared" si="44"/>
        <v>0723500</v>
      </c>
      <c r="B2846" s="101" t="s">
        <v>319</v>
      </c>
      <c r="C2846" s="101" t="s">
        <v>174</v>
      </c>
      <c r="D2846" s="101" t="s">
        <v>146</v>
      </c>
      <c r="E2846" s="101" t="s">
        <v>139</v>
      </c>
    </row>
    <row r="2847" spans="1:5" x14ac:dyDescent="0.3">
      <c r="A2847" t="str">
        <f t="shared" si="44"/>
        <v>0723501</v>
      </c>
      <c r="B2847" s="101" t="s">
        <v>319</v>
      </c>
      <c r="C2847" s="101" t="s">
        <v>174</v>
      </c>
      <c r="D2847" s="101" t="s">
        <v>147</v>
      </c>
      <c r="E2847" s="101" t="s">
        <v>139</v>
      </c>
    </row>
    <row r="2848" spans="1:5" x14ac:dyDescent="0.3">
      <c r="A2848" t="str">
        <f t="shared" si="44"/>
        <v>0723807</v>
      </c>
      <c r="B2848" s="101" t="s">
        <v>319</v>
      </c>
      <c r="C2848" s="101" t="s">
        <v>174</v>
      </c>
      <c r="D2848" s="101" t="s">
        <v>185</v>
      </c>
      <c r="E2848" s="101" t="s">
        <v>17</v>
      </c>
    </row>
    <row r="2849" spans="1:5" x14ac:dyDescent="0.3">
      <c r="A2849" t="str">
        <f t="shared" si="44"/>
        <v>0723808</v>
      </c>
      <c r="B2849" s="101" t="s">
        <v>319</v>
      </c>
      <c r="C2849" s="101" t="s">
        <v>174</v>
      </c>
      <c r="D2849" s="101" t="s">
        <v>186</v>
      </c>
      <c r="E2849" s="101" t="s">
        <v>17</v>
      </c>
    </row>
    <row r="2850" spans="1:5" x14ac:dyDescent="0.3">
      <c r="A2850" t="str">
        <f t="shared" si="44"/>
        <v>0723809</v>
      </c>
      <c r="B2850" s="101" t="s">
        <v>319</v>
      </c>
      <c r="C2850" s="101" t="s">
        <v>174</v>
      </c>
      <c r="D2850" s="101" t="s">
        <v>187</v>
      </c>
      <c r="E2850" s="101" t="s">
        <v>17</v>
      </c>
    </row>
    <row r="2851" spans="1:5" x14ac:dyDescent="0.3">
      <c r="A2851" t="str">
        <f t="shared" si="44"/>
        <v>0723810</v>
      </c>
      <c r="B2851" s="101" t="s">
        <v>319</v>
      </c>
      <c r="C2851" s="101" t="s">
        <v>174</v>
      </c>
      <c r="D2851" s="101" t="s">
        <v>188</v>
      </c>
      <c r="E2851" s="101" t="s">
        <v>17</v>
      </c>
    </row>
    <row r="2852" spans="1:5" x14ac:dyDescent="0.3">
      <c r="A2852" t="str">
        <f t="shared" si="44"/>
        <v>0723510</v>
      </c>
      <c r="B2852" s="101" t="s">
        <v>319</v>
      </c>
      <c r="C2852" s="101" t="s">
        <v>174</v>
      </c>
      <c r="D2852" s="101" t="s">
        <v>385</v>
      </c>
      <c r="E2852" s="101" t="s">
        <v>17</v>
      </c>
    </row>
    <row r="2853" spans="1:5" x14ac:dyDescent="0.3">
      <c r="A2853" t="str">
        <f t="shared" si="44"/>
        <v>0723511</v>
      </c>
      <c r="B2853" s="101" t="s">
        <v>319</v>
      </c>
      <c r="C2853" s="101" t="s">
        <v>174</v>
      </c>
      <c r="D2853" s="101" t="s">
        <v>386</v>
      </c>
      <c r="E2853" s="101" t="s">
        <v>17</v>
      </c>
    </row>
    <row r="2854" spans="1:5" x14ac:dyDescent="0.3">
      <c r="A2854" t="str">
        <f t="shared" si="44"/>
        <v>0723512</v>
      </c>
      <c r="B2854" s="101" t="s">
        <v>319</v>
      </c>
      <c r="C2854" s="101" t="s">
        <v>174</v>
      </c>
      <c r="D2854" s="101" t="s">
        <v>398</v>
      </c>
      <c r="E2854" s="101" t="s">
        <v>17</v>
      </c>
    </row>
    <row r="2855" spans="1:5" x14ac:dyDescent="0.3">
      <c r="A2855" t="str">
        <f t="shared" si="44"/>
        <v>0723513</v>
      </c>
      <c r="B2855" s="101" t="s">
        <v>319</v>
      </c>
      <c r="C2855" s="101" t="s">
        <v>174</v>
      </c>
      <c r="D2855" s="101" t="s">
        <v>387</v>
      </c>
      <c r="E2855" s="101" t="s">
        <v>17</v>
      </c>
    </row>
    <row r="2856" spans="1:5" x14ac:dyDescent="0.3">
      <c r="A2856" t="str">
        <f t="shared" si="44"/>
        <v>0723044</v>
      </c>
      <c r="B2856" s="101" t="s">
        <v>319</v>
      </c>
      <c r="C2856" s="101" t="s">
        <v>174</v>
      </c>
      <c r="D2856" s="101" t="s">
        <v>420</v>
      </c>
      <c r="E2856" s="101" t="s">
        <v>17</v>
      </c>
    </row>
    <row r="2857" spans="1:5" x14ac:dyDescent="0.3">
      <c r="A2857" t="str">
        <f t="shared" si="44"/>
        <v>0723565</v>
      </c>
      <c r="B2857" s="101" t="s">
        <v>319</v>
      </c>
      <c r="C2857" s="101" t="s">
        <v>174</v>
      </c>
      <c r="D2857" s="101" t="s">
        <v>424</v>
      </c>
      <c r="E2857" s="101" t="s">
        <v>17</v>
      </c>
    </row>
    <row r="2858" spans="1:5" x14ac:dyDescent="0.3">
      <c r="A2858" t="str">
        <f t="shared" si="44"/>
        <v>0823801</v>
      </c>
      <c r="B2858" s="101" t="s">
        <v>320</v>
      </c>
      <c r="C2858" s="101" t="s">
        <v>174</v>
      </c>
      <c r="D2858" s="101" t="s">
        <v>144</v>
      </c>
      <c r="E2858" s="101" t="s">
        <v>139</v>
      </c>
    </row>
    <row r="2859" spans="1:5" x14ac:dyDescent="0.3">
      <c r="A2859" t="str">
        <f t="shared" si="44"/>
        <v>0823802</v>
      </c>
      <c r="B2859" s="101" t="s">
        <v>320</v>
      </c>
      <c r="C2859" s="101" t="s">
        <v>174</v>
      </c>
      <c r="D2859" s="101" t="s">
        <v>145</v>
      </c>
      <c r="E2859" s="101" t="s">
        <v>139</v>
      </c>
    </row>
    <row r="2860" spans="1:5" x14ac:dyDescent="0.3">
      <c r="A2860" t="str">
        <f t="shared" si="44"/>
        <v>0823500</v>
      </c>
      <c r="B2860" s="101" t="s">
        <v>320</v>
      </c>
      <c r="C2860" s="101" t="s">
        <v>174</v>
      </c>
      <c r="D2860" s="101" t="s">
        <v>146</v>
      </c>
      <c r="E2860" s="101" t="s">
        <v>139</v>
      </c>
    </row>
    <row r="2861" spans="1:5" x14ac:dyDescent="0.3">
      <c r="A2861" t="str">
        <f t="shared" si="44"/>
        <v>0823501</v>
      </c>
      <c r="B2861" s="101" t="s">
        <v>320</v>
      </c>
      <c r="C2861" s="101" t="s">
        <v>174</v>
      </c>
      <c r="D2861" s="101" t="s">
        <v>147</v>
      </c>
      <c r="E2861" s="101" t="s">
        <v>139</v>
      </c>
    </row>
    <row r="2862" spans="1:5" x14ac:dyDescent="0.3">
      <c r="A2862" t="str">
        <f t="shared" si="44"/>
        <v>0823807</v>
      </c>
      <c r="B2862" s="101" t="s">
        <v>320</v>
      </c>
      <c r="C2862" s="101" t="s">
        <v>174</v>
      </c>
      <c r="D2862" s="101" t="s">
        <v>185</v>
      </c>
      <c r="E2862" s="101" t="s">
        <v>17</v>
      </c>
    </row>
    <row r="2863" spans="1:5" x14ac:dyDescent="0.3">
      <c r="A2863" t="str">
        <f t="shared" si="44"/>
        <v>0823808</v>
      </c>
      <c r="B2863" s="101" t="s">
        <v>320</v>
      </c>
      <c r="C2863" s="101" t="s">
        <v>174</v>
      </c>
      <c r="D2863" s="101" t="s">
        <v>186</v>
      </c>
      <c r="E2863" s="101" t="s">
        <v>17</v>
      </c>
    </row>
    <row r="2864" spans="1:5" x14ac:dyDescent="0.3">
      <c r="A2864" t="str">
        <f t="shared" si="44"/>
        <v>0823809</v>
      </c>
      <c r="B2864" s="101" t="s">
        <v>320</v>
      </c>
      <c r="C2864" s="101" t="s">
        <v>174</v>
      </c>
      <c r="D2864" s="101" t="s">
        <v>187</v>
      </c>
      <c r="E2864" s="101" t="s">
        <v>17</v>
      </c>
    </row>
    <row r="2865" spans="1:6" x14ac:dyDescent="0.3">
      <c r="A2865" t="str">
        <f t="shared" si="44"/>
        <v>0823810</v>
      </c>
      <c r="B2865" s="101" t="s">
        <v>320</v>
      </c>
      <c r="C2865" s="101" t="s">
        <v>174</v>
      </c>
      <c r="D2865" s="101" t="s">
        <v>188</v>
      </c>
      <c r="E2865" s="101" t="s">
        <v>17</v>
      </c>
    </row>
    <row r="2866" spans="1:6" x14ac:dyDescent="0.3">
      <c r="A2866" t="str">
        <f t="shared" si="44"/>
        <v>0823510</v>
      </c>
      <c r="B2866" s="101" t="s">
        <v>320</v>
      </c>
      <c r="C2866" s="101" t="s">
        <v>174</v>
      </c>
      <c r="D2866" s="101" t="s">
        <v>385</v>
      </c>
      <c r="E2866" s="101" t="s">
        <v>17</v>
      </c>
    </row>
    <row r="2867" spans="1:6" x14ac:dyDescent="0.3">
      <c r="A2867" t="str">
        <f t="shared" si="44"/>
        <v>0823511</v>
      </c>
      <c r="B2867" s="101" t="s">
        <v>320</v>
      </c>
      <c r="C2867" s="101" t="s">
        <v>174</v>
      </c>
      <c r="D2867" s="101" t="s">
        <v>386</v>
      </c>
      <c r="E2867" s="101" t="s">
        <v>17</v>
      </c>
    </row>
    <row r="2868" spans="1:6" x14ac:dyDescent="0.3">
      <c r="A2868" t="str">
        <f t="shared" si="44"/>
        <v>0823512</v>
      </c>
      <c r="B2868" s="101" t="s">
        <v>320</v>
      </c>
      <c r="C2868" s="101" t="s">
        <v>174</v>
      </c>
      <c r="D2868" s="101" t="s">
        <v>398</v>
      </c>
      <c r="E2868" s="101" t="s">
        <v>17</v>
      </c>
    </row>
    <row r="2869" spans="1:6" x14ac:dyDescent="0.3">
      <c r="A2869" t="str">
        <f t="shared" si="44"/>
        <v>0823513</v>
      </c>
      <c r="B2869" s="101" t="s">
        <v>320</v>
      </c>
      <c r="C2869" s="101" t="s">
        <v>174</v>
      </c>
      <c r="D2869" s="101" t="s">
        <v>387</v>
      </c>
      <c r="E2869" s="101" t="s">
        <v>17</v>
      </c>
    </row>
    <row r="2870" spans="1:6" x14ac:dyDescent="0.3">
      <c r="A2870" t="str">
        <f t="shared" si="44"/>
        <v>0823044</v>
      </c>
      <c r="B2870" s="101" t="s">
        <v>320</v>
      </c>
      <c r="C2870" s="101" t="s">
        <v>174</v>
      </c>
      <c r="D2870" s="101" t="s">
        <v>420</v>
      </c>
      <c r="E2870" s="101" t="s">
        <v>17</v>
      </c>
    </row>
    <row r="2871" spans="1:6" x14ac:dyDescent="0.3">
      <c r="A2871" t="str">
        <f t="shared" si="44"/>
        <v>0823565</v>
      </c>
      <c r="B2871" s="101" t="s">
        <v>320</v>
      </c>
      <c r="C2871" s="101" t="s">
        <v>174</v>
      </c>
      <c r="D2871" s="101" t="s">
        <v>424</v>
      </c>
      <c r="E2871" s="101" t="s">
        <v>17</v>
      </c>
    </row>
    <row r="2872" spans="1:6" x14ac:dyDescent="0.3">
      <c r="A2872" t="str">
        <f t="shared" si="44"/>
        <v>0318500716</v>
      </c>
      <c r="B2872" s="101" t="s">
        <v>16</v>
      </c>
      <c r="C2872" s="101" t="s">
        <v>164</v>
      </c>
      <c r="D2872" s="101" t="s">
        <v>146</v>
      </c>
      <c r="E2872" s="101" t="s">
        <v>19</v>
      </c>
      <c r="F2872" s="101" t="s">
        <v>524</v>
      </c>
    </row>
    <row r="2873" spans="1:6" x14ac:dyDescent="0.3">
      <c r="A2873" t="str">
        <f t="shared" si="44"/>
        <v>0318500717</v>
      </c>
      <c r="B2873" s="101" t="s">
        <v>16</v>
      </c>
      <c r="C2873" s="101" t="s">
        <v>164</v>
      </c>
      <c r="D2873" s="101" t="s">
        <v>146</v>
      </c>
      <c r="E2873" s="101" t="s">
        <v>19</v>
      </c>
      <c r="F2873" s="101" t="s">
        <v>525</v>
      </c>
    </row>
    <row r="2874" spans="1:6" x14ac:dyDescent="0.3">
      <c r="A2874" t="str">
        <f t="shared" si="44"/>
        <v>0318500718</v>
      </c>
      <c r="B2874" s="101" t="s">
        <v>16</v>
      </c>
      <c r="C2874" s="101" t="s">
        <v>164</v>
      </c>
      <c r="D2874" s="101" t="s">
        <v>146</v>
      </c>
      <c r="E2874" s="101" t="s">
        <v>19</v>
      </c>
      <c r="F2874" s="101" t="s">
        <v>526</v>
      </c>
    </row>
    <row r="2875" spans="1:6" x14ac:dyDescent="0.3">
      <c r="A2875" t="str">
        <f t="shared" si="44"/>
        <v>0318500719</v>
      </c>
      <c r="B2875" s="101" t="s">
        <v>16</v>
      </c>
      <c r="C2875" s="101" t="s">
        <v>164</v>
      </c>
      <c r="D2875" s="101" t="s">
        <v>146</v>
      </c>
      <c r="E2875" s="101" t="s">
        <v>19</v>
      </c>
      <c r="F2875" s="101" t="s">
        <v>527</v>
      </c>
    </row>
    <row r="2876" spans="1:6" x14ac:dyDescent="0.3">
      <c r="A2876" t="str">
        <f t="shared" si="44"/>
        <v>0318500640</v>
      </c>
      <c r="B2876" s="101" t="s">
        <v>16</v>
      </c>
      <c r="C2876" s="101" t="s">
        <v>164</v>
      </c>
      <c r="D2876" s="101" t="s">
        <v>146</v>
      </c>
      <c r="E2876" s="101" t="s">
        <v>19</v>
      </c>
      <c r="F2876" s="101" t="s">
        <v>282</v>
      </c>
    </row>
    <row r="2877" spans="1:6" x14ac:dyDescent="0.3">
      <c r="A2877" t="str">
        <f t="shared" si="44"/>
        <v>0318500641</v>
      </c>
      <c r="B2877" s="101" t="s">
        <v>16</v>
      </c>
      <c r="C2877" s="101" t="s">
        <v>164</v>
      </c>
      <c r="D2877" s="101" t="s">
        <v>146</v>
      </c>
      <c r="E2877" s="101" t="s">
        <v>19</v>
      </c>
      <c r="F2877" s="101" t="s">
        <v>283</v>
      </c>
    </row>
    <row r="2878" spans="1:6" x14ac:dyDescent="0.3">
      <c r="A2878" t="str">
        <f t="shared" si="44"/>
        <v>0318500642</v>
      </c>
      <c r="B2878" s="101" t="s">
        <v>16</v>
      </c>
      <c r="C2878" s="101" t="s">
        <v>164</v>
      </c>
      <c r="D2878" s="101" t="s">
        <v>146</v>
      </c>
      <c r="E2878" s="101" t="s">
        <v>19</v>
      </c>
      <c r="F2878" s="101" t="s">
        <v>195</v>
      </c>
    </row>
    <row r="2879" spans="1:6" x14ac:dyDescent="0.3">
      <c r="A2879" t="str">
        <f t="shared" si="44"/>
        <v>0318500643</v>
      </c>
      <c r="B2879" s="101" t="s">
        <v>16</v>
      </c>
      <c r="C2879" s="101" t="s">
        <v>164</v>
      </c>
      <c r="D2879" s="101" t="s">
        <v>146</v>
      </c>
      <c r="E2879" s="101" t="s">
        <v>19</v>
      </c>
      <c r="F2879" s="101" t="s">
        <v>196</v>
      </c>
    </row>
    <row r="2880" spans="1:6" x14ac:dyDescent="0.3">
      <c r="A2880" t="str">
        <f t="shared" si="44"/>
        <v>0318500644</v>
      </c>
      <c r="B2880" s="101" t="s">
        <v>16</v>
      </c>
      <c r="C2880" s="101" t="s">
        <v>164</v>
      </c>
      <c r="D2880" s="101" t="s">
        <v>146</v>
      </c>
      <c r="E2880" s="101" t="s">
        <v>19</v>
      </c>
      <c r="F2880" s="101" t="s">
        <v>485</v>
      </c>
    </row>
    <row r="2881" spans="1:6" x14ac:dyDescent="0.3">
      <c r="A2881" t="str">
        <f t="shared" si="44"/>
        <v>0318500645</v>
      </c>
      <c r="B2881" s="101" t="s">
        <v>16</v>
      </c>
      <c r="C2881" s="101" t="s">
        <v>164</v>
      </c>
      <c r="D2881" s="101" t="s">
        <v>146</v>
      </c>
      <c r="E2881" s="101" t="s">
        <v>19</v>
      </c>
      <c r="F2881" s="101" t="s">
        <v>486</v>
      </c>
    </row>
    <row r="2882" spans="1:6" x14ac:dyDescent="0.3">
      <c r="A2882" t="str">
        <f t="shared" si="44"/>
        <v>0318500646</v>
      </c>
      <c r="B2882" s="101" t="s">
        <v>16</v>
      </c>
      <c r="C2882" s="101" t="s">
        <v>164</v>
      </c>
      <c r="D2882" s="101" t="s">
        <v>146</v>
      </c>
      <c r="E2882" s="101" t="s">
        <v>19</v>
      </c>
      <c r="F2882" s="101" t="s">
        <v>197</v>
      </c>
    </row>
    <row r="2883" spans="1:6" x14ac:dyDescent="0.3">
      <c r="A2883" t="str">
        <f t="shared" ref="A2883:A2946" si="45">CONCATENATE(B2883,C2883,D2883,F2883)</f>
        <v>0318500647</v>
      </c>
      <c r="B2883" s="101" t="s">
        <v>16</v>
      </c>
      <c r="C2883" s="101" t="s">
        <v>164</v>
      </c>
      <c r="D2883" s="101" t="s">
        <v>146</v>
      </c>
      <c r="E2883" s="101" t="s">
        <v>19</v>
      </c>
      <c r="F2883" s="101" t="s">
        <v>198</v>
      </c>
    </row>
    <row r="2884" spans="1:6" x14ac:dyDescent="0.3">
      <c r="A2884" t="str">
        <f t="shared" si="45"/>
        <v>0318500648</v>
      </c>
      <c r="B2884" s="101" t="s">
        <v>16</v>
      </c>
      <c r="C2884" s="101" t="s">
        <v>164</v>
      </c>
      <c r="D2884" s="101" t="s">
        <v>146</v>
      </c>
      <c r="E2884" s="101" t="s">
        <v>19</v>
      </c>
      <c r="F2884" s="101" t="s">
        <v>199</v>
      </c>
    </row>
    <row r="2885" spans="1:6" x14ac:dyDescent="0.3">
      <c r="A2885" t="str">
        <f t="shared" si="45"/>
        <v>0318500649</v>
      </c>
      <c r="B2885" s="101" t="s">
        <v>16</v>
      </c>
      <c r="C2885" s="101" t="s">
        <v>164</v>
      </c>
      <c r="D2885" s="101" t="s">
        <v>146</v>
      </c>
      <c r="E2885" s="101" t="s">
        <v>19</v>
      </c>
      <c r="F2885" s="101" t="s">
        <v>200</v>
      </c>
    </row>
    <row r="2886" spans="1:6" x14ac:dyDescent="0.3">
      <c r="A2886" t="str">
        <f t="shared" si="45"/>
        <v>0318500650</v>
      </c>
      <c r="B2886" s="101" t="s">
        <v>16</v>
      </c>
      <c r="C2886" s="101" t="s">
        <v>164</v>
      </c>
      <c r="D2886" s="101" t="s">
        <v>146</v>
      </c>
      <c r="E2886" s="101" t="s">
        <v>19</v>
      </c>
      <c r="F2886" s="101" t="s">
        <v>487</v>
      </c>
    </row>
    <row r="2887" spans="1:6" x14ac:dyDescent="0.3">
      <c r="A2887" t="str">
        <f t="shared" si="45"/>
        <v>0318500651</v>
      </c>
      <c r="B2887" s="101" t="s">
        <v>16</v>
      </c>
      <c r="C2887" s="101" t="s">
        <v>164</v>
      </c>
      <c r="D2887" s="101" t="s">
        <v>146</v>
      </c>
      <c r="E2887" s="101" t="s">
        <v>19</v>
      </c>
      <c r="F2887" s="101" t="s">
        <v>488</v>
      </c>
    </row>
    <row r="2888" spans="1:6" x14ac:dyDescent="0.3">
      <c r="A2888" t="str">
        <f t="shared" si="45"/>
        <v>0318500652</v>
      </c>
      <c r="B2888" s="101" t="s">
        <v>16</v>
      </c>
      <c r="C2888" s="101" t="s">
        <v>164</v>
      </c>
      <c r="D2888" s="101" t="s">
        <v>146</v>
      </c>
      <c r="E2888" s="101" t="s">
        <v>19</v>
      </c>
      <c r="F2888" s="101" t="s">
        <v>489</v>
      </c>
    </row>
    <row r="2889" spans="1:6" x14ac:dyDescent="0.3">
      <c r="A2889" t="str">
        <f t="shared" si="45"/>
        <v>0318500653</v>
      </c>
      <c r="B2889" s="101" t="s">
        <v>16</v>
      </c>
      <c r="C2889" s="101" t="s">
        <v>164</v>
      </c>
      <c r="D2889" s="101" t="s">
        <v>146</v>
      </c>
      <c r="E2889" s="101" t="s">
        <v>19</v>
      </c>
      <c r="F2889" s="101" t="s">
        <v>490</v>
      </c>
    </row>
    <row r="2890" spans="1:6" x14ac:dyDescent="0.3">
      <c r="A2890" t="str">
        <f t="shared" si="45"/>
        <v>0318500654</v>
      </c>
      <c r="B2890" s="101" t="s">
        <v>16</v>
      </c>
      <c r="C2890" s="101" t="s">
        <v>164</v>
      </c>
      <c r="D2890" s="101" t="s">
        <v>146</v>
      </c>
      <c r="E2890" s="101" t="s">
        <v>19</v>
      </c>
      <c r="F2890" s="101" t="s">
        <v>491</v>
      </c>
    </row>
    <row r="2891" spans="1:6" x14ac:dyDescent="0.3">
      <c r="A2891" t="str">
        <f t="shared" si="45"/>
        <v>0318500655</v>
      </c>
      <c r="B2891" s="101" t="s">
        <v>16</v>
      </c>
      <c r="C2891" s="101" t="s">
        <v>164</v>
      </c>
      <c r="D2891" s="101" t="s">
        <v>146</v>
      </c>
      <c r="E2891" s="101" t="s">
        <v>19</v>
      </c>
      <c r="F2891" s="101" t="s">
        <v>492</v>
      </c>
    </row>
    <row r="2892" spans="1:6" x14ac:dyDescent="0.3">
      <c r="A2892" t="str">
        <f t="shared" si="45"/>
        <v>0318500656</v>
      </c>
      <c r="B2892" s="101" t="s">
        <v>16</v>
      </c>
      <c r="C2892" s="101" t="s">
        <v>164</v>
      </c>
      <c r="D2892" s="101" t="s">
        <v>146</v>
      </c>
      <c r="E2892" s="101" t="s">
        <v>19</v>
      </c>
      <c r="F2892" s="101" t="s">
        <v>212</v>
      </c>
    </row>
    <row r="2893" spans="1:6" x14ac:dyDescent="0.3">
      <c r="A2893" t="str">
        <f t="shared" si="45"/>
        <v>0318500657</v>
      </c>
      <c r="B2893" s="101" t="s">
        <v>16</v>
      </c>
      <c r="C2893" s="101" t="s">
        <v>164</v>
      </c>
      <c r="D2893" s="101" t="s">
        <v>146</v>
      </c>
      <c r="E2893" s="101" t="s">
        <v>19</v>
      </c>
      <c r="F2893" s="101" t="s">
        <v>213</v>
      </c>
    </row>
    <row r="2894" spans="1:6" x14ac:dyDescent="0.3">
      <c r="A2894" t="str">
        <f t="shared" si="45"/>
        <v>0318500658</v>
      </c>
      <c r="B2894" s="101" t="s">
        <v>16</v>
      </c>
      <c r="C2894" s="101" t="s">
        <v>164</v>
      </c>
      <c r="D2894" s="101" t="s">
        <v>146</v>
      </c>
      <c r="E2894" s="101" t="s">
        <v>19</v>
      </c>
      <c r="F2894" s="101" t="s">
        <v>214</v>
      </c>
    </row>
    <row r="2895" spans="1:6" x14ac:dyDescent="0.3">
      <c r="A2895" t="str">
        <f t="shared" si="45"/>
        <v>0318500659</v>
      </c>
      <c r="B2895" s="101" t="s">
        <v>16</v>
      </c>
      <c r="C2895" s="101" t="s">
        <v>164</v>
      </c>
      <c r="D2895" s="101" t="s">
        <v>146</v>
      </c>
      <c r="E2895" s="101" t="s">
        <v>19</v>
      </c>
      <c r="F2895" s="101" t="s">
        <v>215</v>
      </c>
    </row>
    <row r="2896" spans="1:6" x14ac:dyDescent="0.3">
      <c r="A2896" t="str">
        <f t="shared" si="45"/>
        <v>0318500660</v>
      </c>
      <c r="B2896" s="101" t="s">
        <v>16</v>
      </c>
      <c r="C2896" s="101" t="s">
        <v>164</v>
      </c>
      <c r="D2896" s="101" t="s">
        <v>146</v>
      </c>
      <c r="E2896" s="101" t="s">
        <v>19</v>
      </c>
      <c r="F2896" s="101" t="s">
        <v>216</v>
      </c>
    </row>
    <row r="2897" spans="1:6" x14ac:dyDescent="0.3">
      <c r="A2897" t="str">
        <f t="shared" si="45"/>
        <v>0318500661</v>
      </c>
      <c r="B2897" s="101" t="s">
        <v>16</v>
      </c>
      <c r="C2897" s="101" t="s">
        <v>164</v>
      </c>
      <c r="D2897" s="101" t="s">
        <v>146</v>
      </c>
      <c r="E2897" s="101" t="s">
        <v>19</v>
      </c>
      <c r="F2897" s="101" t="s">
        <v>217</v>
      </c>
    </row>
    <row r="2898" spans="1:6" x14ac:dyDescent="0.3">
      <c r="A2898" t="str">
        <f t="shared" si="45"/>
        <v>0318500662</v>
      </c>
      <c r="B2898" s="101" t="s">
        <v>16</v>
      </c>
      <c r="C2898" s="101" t="s">
        <v>164</v>
      </c>
      <c r="D2898" s="101" t="s">
        <v>146</v>
      </c>
      <c r="E2898" s="101" t="s">
        <v>19</v>
      </c>
      <c r="F2898" s="101" t="s">
        <v>493</v>
      </c>
    </row>
    <row r="2899" spans="1:6" x14ac:dyDescent="0.3">
      <c r="A2899" t="str">
        <f t="shared" si="45"/>
        <v>0318500663</v>
      </c>
      <c r="B2899" s="101" t="s">
        <v>16</v>
      </c>
      <c r="C2899" s="101" t="s">
        <v>164</v>
      </c>
      <c r="D2899" s="101" t="s">
        <v>146</v>
      </c>
      <c r="E2899" s="101" t="s">
        <v>19</v>
      </c>
      <c r="F2899" s="101" t="s">
        <v>494</v>
      </c>
    </row>
    <row r="2900" spans="1:6" x14ac:dyDescent="0.3">
      <c r="A2900" t="str">
        <f t="shared" si="45"/>
        <v>0318500664</v>
      </c>
      <c r="B2900" s="101" t="s">
        <v>16</v>
      </c>
      <c r="C2900" s="101" t="s">
        <v>164</v>
      </c>
      <c r="D2900" s="101" t="s">
        <v>146</v>
      </c>
      <c r="E2900" s="101" t="s">
        <v>19</v>
      </c>
      <c r="F2900" s="101" t="s">
        <v>495</v>
      </c>
    </row>
    <row r="2901" spans="1:6" x14ac:dyDescent="0.3">
      <c r="A2901" t="str">
        <f t="shared" si="45"/>
        <v>0318500665</v>
      </c>
      <c r="B2901" s="101" t="s">
        <v>16</v>
      </c>
      <c r="C2901" s="101" t="s">
        <v>164</v>
      </c>
      <c r="D2901" s="101" t="s">
        <v>146</v>
      </c>
      <c r="E2901" s="101" t="s">
        <v>19</v>
      </c>
      <c r="F2901" s="101" t="s">
        <v>496</v>
      </c>
    </row>
    <row r="2902" spans="1:6" x14ac:dyDescent="0.3">
      <c r="A2902" t="str">
        <f t="shared" si="45"/>
        <v>0318500666</v>
      </c>
      <c r="B2902" s="101" t="s">
        <v>16</v>
      </c>
      <c r="C2902" s="101" t="s">
        <v>164</v>
      </c>
      <c r="D2902" s="101" t="s">
        <v>146</v>
      </c>
      <c r="E2902" s="101" t="s">
        <v>19</v>
      </c>
      <c r="F2902" s="101" t="s">
        <v>201</v>
      </c>
    </row>
    <row r="2903" spans="1:6" x14ac:dyDescent="0.3">
      <c r="A2903" t="str">
        <f t="shared" si="45"/>
        <v>0318500667</v>
      </c>
      <c r="B2903" s="101" t="s">
        <v>16</v>
      </c>
      <c r="C2903" s="101" t="s">
        <v>164</v>
      </c>
      <c r="D2903" s="101" t="s">
        <v>146</v>
      </c>
      <c r="E2903" s="101" t="s">
        <v>19</v>
      </c>
      <c r="F2903" s="101" t="s">
        <v>203</v>
      </c>
    </row>
    <row r="2904" spans="1:6" x14ac:dyDescent="0.3">
      <c r="A2904" t="str">
        <f t="shared" si="45"/>
        <v>0318500668</v>
      </c>
      <c r="B2904" s="101" t="s">
        <v>16</v>
      </c>
      <c r="C2904" s="101" t="s">
        <v>164</v>
      </c>
      <c r="D2904" s="101" t="s">
        <v>146</v>
      </c>
      <c r="E2904" s="101" t="s">
        <v>19</v>
      </c>
      <c r="F2904" s="101" t="s">
        <v>498</v>
      </c>
    </row>
    <row r="2905" spans="1:6" x14ac:dyDescent="0.3">
      <c r="A2905" t="str">
        <f t="shared" si="45"/>
        <v>0318500669</v>
      </c>
      <c r="B2905" s="101" t="s">
        <v>16</v>
      </c>
      <c r="C2905" s="101" t="s">
        <v>164</v>
      </c>
      <c r="D2905" s="101" t="s">
        <v>146</v>
      </c>
      <c r="E2905" s="101" t="s">
        <v>19</v>
      </c>
      <c r="F2905" s="101" t="s">
        <v>499</v>
      </c>
    </row>
    <row r="2906" spans="1:6" x14ac:dyDescent="0.3">
      <c r="A2906" t="str">
        <f t="shared" si="45"/>
        <v>0318500670</v>
      </c>
      <c r="B2906" s="101" t="s">
        <v>16</v>
      </c>
      <c r="C2906" s="101" t="s">
        <v>164</v>
      </c>
      <c r="D2906" s="101" t="s">
        <v>146</v>
      </c>
      <c r="E2906" s="101" t="s">
        <v>19</v>
      </c>
      <c r="F2906" s="101" t="s">
        <v>500</v>
      </c>
    </row>
    <row r="2907" spans="1:6" x14ac:dyDescent="0.3">
      <c r="A2907" t="str">
        <f t="shared" si="45"/>
        <v>0318500671</v>
      </c>
      <c r="B2907" s="101" t="s">
        <v>16</v>
      </c>
      <c r="C2907" s="101" t="s">
        <v>164</v>
      </c>
      <c r="D2907" s="101" t="s">
        <v>146</v>
      </c>
      <c r="E2907" s="101" t="s">
        <v>19</v>
      </c>
      <c r="F2907" s="101" t="s">
        <v>501</v>
      </c>
    </row>
    <row r="2908" spans="1:6" x14ac:dyDescent="0.3">
      <c r="A2908" t="str">
        <f t="shared" si="45"/>
        <v>0318500672</v>
      </c>
      <c r="B2908" s="101" t="s">
        <v>16</v>
      </c>
      <c r="C2908" s="101" t="s">
        <v>164</v>
      </c>
      <c r="D2908" s="101" t="s">
        <v>146</v>
      </c>
      <c r="E2908" s="101" t="s">
        <v>19</v>
      </c>
      <c r="F2908" s="101" t="s">
        <v>502</v>
      </c>
    </row>
    <row r="2909" spans="1:6" x14ac:dyDescent="0.3">
      <c r="A2909" t="str">
        <f t="shared" si="45"/>
        <v>0318500673</v>
      </c>
      <c r="B2909" s="101" t="s">
        <v>16</v>
      </c>
      <c r="C2909" s="101" t="s">
        <v>164</v>
      </c>
      <c r="D2909" s="101" t="s">
        <v>146</v>
      </c>
      <c r="E2909" s="101" t="s">
        <v>19</v>
      </c>
      <c r="F2909" s="101" t="s">
        <v>503</v>
      </c>
    </row>
    <row r="2910" spans="1:6" x14ac:dyDescent="0.3">
      <c r="A2910" t="str">
        <f t="shared" si="45"/>
        <v>0318500674</v>
      </c>
      <c r="B2910" s="101" t="s">
        <v>16</v>
      </c>
      <c r="C2910" s="101" t="s">
        <v>164</v>
      </c>
      <c r="D2910" s="101" t="s">
        <v>146</v>
      </c>
      <c r="E2910" s="101" t="s">
        <v>19</v>
      </c>
      <c r="F2910" s="101" t="s">
        <v>504</v>
      </c>
    </row>
    <row r="2911" spans="1:6" x14ac:dyDescent="0.3">
      <c r="A2911" t="str">
        <f t="shared" si="45"/>
        <v>0318501246</v>
      </c>
      <c r="B2911" s="101" t="s">
        <v>16</v>
      </c>
      <c r="C2911" s="101" t="s">
        <v>164</v>
      </c>
      <c r="D2911" s="101" t="s">
        <v>147</v>
      </c>
      <c r="E2911" s="101" t="s">
        <v>19</v>
      </c>
      <c r="F2911" s="101" t="s">
        <v>318</v>
      </c>
    </row>
    <row r="2912" spans="1:6" x14ac:dyDescent="0.3">
      <c r="A2912" t="str">
        <f t="shared" si="45"/>
        <v>0318501716</v>
      </c>
      <c r="B2912" s="101" t="s">
        <v>16</v>
      </c>
      <c r="C2912" s="101" t="s">
        <v>164</v>
      </c>
      <c r="D2912" s="101" t="s">
        <v>147</v>
      </c>
      <c r="E2912" s="101" t="s">
        <v>19</v>
      </c>
      <c r="F2912" s="101" t="s">
        <v>524</v>
      </c>
    </row>
    <row r="2913" spans="1:6" x14ac:dyDescent="0.3">
      <c r="A2913" t="str">
        <f t="shared" si="45"/>
        <v>0318501717</v>
      </c>
      <c r="B2913" s="101" t="s">
        <v>16</v>
      </c>
      <c r="C2913" s="101" t="s">
        <v>164</v>
      </c>
      <c r="D2913" s="101" t="s">
        <v>147</v>
      </c>
      <c r="E2913" s="101" t="s">
        <v>19</v>
      </c>
      <c r="F2913" s="101" t="s">
        <v>525</v>
      </c>
    </row>
    <row r="2914" spans="1:6" x14ac:dyDescent="0.3">
      <c r="A2914" t="str">
        <f t="shared" si="45"/>
        <v>0318501718</v>
      </c>
      <c r="B2914" s="101" t="s">
        <v>16</v>
      </c>
      <c r="C2914" s="101" t="s">
        <v>164</v>
      </c>
      <c r="D2914" s="101" t="s">
        <v>147</v>
      </c>
      <c r="E2914" s="101" t="s">
        <v>19</v>
      </c>
      <c r="F2914" s="101" t="s">
        <v>526</v>
      </c>
    </row>
    <row r="2915" spans="1:6" x14ac:dyDescent="0.3">
      <c r="A2915" t="str">
        <f t="shared" si="45"/>
        <v>0318501719</v>
      </c>
      <c r="B2915" s="101" t="s">
        <v>16</v>
      </c>
      <c r="C2915" s="101" t="s">
        <v>164</v>
      </c>
      <c r="D2915" s="101" t="s">
        <v>147</v>
      </c>
      <c r="E2915" s="101" t="s">
        <v>19</v>
      </c>
      <c r="F2915" s="101" t="s">
        <v>527</v>
      </c>
    </row>
    <row r="2916" spans="1:6" x14ac:dyDescent="0.3">
      <c r="A2916" t="str">
        <f t="shared" si="45"/>
        <v>0318501640</v>
      </c>
      <c r="B2916" s="101" t="s">
        <v>16</v>
      </c>
      <c r="C2916" s="101" t="s">
        <v>164</v>
      </c>
      <c r="D2916" s="101" t="s">
        <v>147</v>
      </c>
      <c r="E2916" s="101" t="s">
        <v>19</v>
      </c>
      <c r="F2916" s="101" t="s">
        <v>282</v>
      </c>
    </row>
    <row r="2917" spans="1:6" x14ac:dyDescent="0.3">
      <c r="A2917" t="str">
        <f t="shared" si="45"/>
        <v>0318501641</v>
      </c>
      <c r="B2917" s="101" t="s">
        <v>16</v>
      </c>
      <c r="C2917" s="101" t="s">
        <v>164</v>
      </c>
      <c r="D2917" s="101" t="s">
        <v>147</v>
      </c>
      <c r="E2917" s="101" t="s">
        <v>19</v>
      </c>
      <c r="F2917" s="101" t="s">
        <v>283</v>
      </c>
    </row>
    <row r="2918" spans="1:6" x14ac:dyDescent="0.3">
      <c r="A2918" t="str">
        <f t="shared" si="45"/>
        <v>0318501642</v>
      </c>
      <c r="B2918" s="101" t="s">
        <v>16</v>
      </c>
      <c r="C2918" s="101" t="s">
        <v>164</v>
      </c>
      <c r="D2918" s="101" t="s">
        <v>147</v>
      </c>
      <c r="E2918" s="101" t="s">
        <v>19</v>
      </c>
      <c r="F2918" s="101" t="s">
        <v>195</v>
      </c>
    </row>
    <row r="2919" spans="1:6" x14ac:dyDescent="0.3">
      <c r="A2919" t="str">
        <f t="shared" si="45"/>
        <v>0318501643</v>
      </c>
      <c r="B2919" s="101" t="s">
        <v>16</v>
      </c>
      <c r="C2919" s="101" t="s">
        <v>164</v>
      </c>
      <c r="D2919" s="101" t="s">
        <v>147</v>
      </c>
      <c r="E2919" s="101" t="s">
        <v>19</v>
      </c>
      <c r="F2919" s="101" t="s">
        <v>196</v>
      </c>
    </row>
    <row r="2920" spans="1:6" x14ac:dyDescent="0.3">
      <c r="A2920" t="str">
        <f t="shared" si="45"/>
        <v>0318501644</v>
      </c>
      <c r="B2920" s="101" t="s">
        <v>16</v>
      </c>
      <c r="C2920" s="101" t="s">
        <v>164</v>
      </c>
      <c r="D2920" s="101" t="s">
        <v>147</v>
      </c>
      <c r="E2920" s="101" t="s">
        <v>19</v>
      </c>
      <c r="F2920" s="101" t="s">
        <v>485</v>
      </c>
    </row>
    <row r="2921" spans="1:6" x14ac:dyDescent="0.3">
      <c r="A2921" t="str">
        <f t="shared" si="45"/>
        <v>0318501645</v>
      </c>
      <c r="B2921" s="101" t="s">
        <v>16</v>
      </c>
      <c r="C2921" s="101" t="s">
        <v>164</v>
      </c>
      <c r="D2921" s="101" t="s">
        <v>147</v>
      </c>
      <c r="E2921" s="101" t="s">
        <v>19</v>
      </c>
      <c r="F2921" s="101" t="s">
        <v>486</v>
      </c>
    </row>
    <row r="2922" spans="1:6" x14ac:dyDescent="0.3">
      <c r="A2922" t="str">
        <f t="shared" si="45"/>
        <v>0318501646</v>
      </c>
      <c r="B2922" s="101" t="s">
        <v>16</v>
      </c>
      <c r="C2922" s="101" t="s">
        <v>164</v>
      </c>
      <c r="D2922" s="101" t="s">
        <v>147</v>
      </c>
      <c r="E2922" s="101" t="s">
        <v>19</v>
      </c>
      <c r="F2922" s="101" t="s">
        <v>197</v>
      </c>
    </row>
    <row r="2923" spans="1:6" x14ac:dyDescent="0.3">
      <c r="A2923" t="str">
        <f t="shared" si="45"/>
        <v>0318501647</v>
      </c>
      <c r="B2923" s="101" t="s">
        <v>16</v>
      </c>
      <c r="C2923" s="101" t="s">
        <v>164</v>
      </c>
      <c r="D2923" s="101" t="s">
        <v>147</v>
      </c>
      <c r="E2923" s="101" t="s">
        <v>19</v>
      </c>
      <c r="F2923" s="101" t="s">
        <v>198</v>
      </c>
    </row>
    <row r="2924" spans="1:6" x14ac:dyDescent="0.3">
      <c r="A2924" t="str">
        <f t="shared" si="45"/>
        <v>0318501648</v>
      </c>
      <c r="B2924" s="101" t="s">
        <v>16</v>
      </c>
      <c r="C2924" s="101" t="s">
        <v>164</v>
      </c>
      <c r="D2924" s="101" t="s">
        <v>147</v>
      </c>
      <c r="E2924" s="101" t="s">
        <v>19</v>
      </c>
      <c r="F2924" s="101" t="s">
        <v>199</v>
      </c>
    </row>
    <row r="2925" spans="1:6" x14ac:dyDescent="0.3">
      <c r="A2925" t="str">
        <f t="shared" si="45"/>
        <v>0318501649</v>
      </c>
      <c r="B2925" s="101" t="s">
        <v>16</v>
      </c>
      <c r="C2925" s="101" t="s">
        <v>164</v>
      </c>
      <c r="D2925" s="101" t="s">
        <v>147</v>
      </c>
      <c r="E2925" s="101" t="s">
        <v>19</v>
      </c>
      <c r="F2925" s="101" t="s">
        <v>200</v>
      </c>
    </row>
    <row r="2926" spans="1:6" x14ac:dyDescent="0.3">
      <c r="A2926" t="str">
        <f t="shared" si="45"/>
        <v>0318501650</v>
      </c>
      <c r="B2926" s="101" t="s">
        <v>16</v>
      </c>
      <c r="C2926" s="101" t="s">
        <v>164</v>
      </c>
      <c r="D2926" s="101" t="s">
        <v>147</v>
      </c>
      <c r="E2926" s="101" t="s">
        <v>19</v>
      </c>
      <c r="F2926" s="101" t="s">
        <v>487</v>
      </c>
    </row>
    <row r="2927" spans="1:6" x14ac:dyDescent="0.3">
      <c r="A2927" t="str">
        <f t="shared" si="45"/>
        <v>0318501651</v>
      </c>
      <c r="B2927" s="101" t="s">
        <v>16</v>
      </c>
      <c r="C2927" s="101" t="s">
        <v>164</v>
      </c>
      <c r="D2927" s="101" t="s">
        <v>147</v>
      </c>
      <c r="E2927" s="101" t="s">
        <v>19</v>
      </c>
      <c r="F2927" s="101" t="s">
        <v>488</v>
      </c>
    </row>
    <row r="2928" spans="1:6" x14ac:dyDescent="0.3">
      <c r="A2928" t="str">
        <f t="shared" si="45"/>
        <v>0318501652</v>
      </c>
      <c r="B2928" s="101" t="s">
        <v>16</v>
      </c>
      <c r="C2928" s="101" t="s">
        <v>164</v>
      </c>
      <c r="D2928" s="101" t="s">
        <v>147</v>
      </c>
      <c r="E2928" s="101" t="s">
        <v>19</v>
      </c>
      <c r="F2928" s="101" t="s">
        <v>489</v>
      </c>
    </row>
    <row r="2929" spans="1:6" x14ac:dyDescent="0.3">
      <c r="A2929" t="str">
        <f t="shared" si="45"/>
        <v>0318501653</v>
      </c>
      <c r="B2929" s="101" t="s">
        <v>16</v>
      </c>
      <c r="C2929" s="101" t="s">
        <v>164</v>
      </c>
      <c r="D2929" s="101" t="s">
        <v>147</v>
      </c>
      <c r="E2929" s="101" t="s">
        <v>19</v>
      </c>
      <c r="F2929" s="101" t="s">
        <v>490</v>
      </c>
    </row>
    <row r="2930" spans="1:6" x14ac:dyDescent="0.3">
      <c r="A2930" t="str">
        <f t="shared" si="45"/>
        <v>0318501654</v>
      </c>
      <c r="B2930" s="101" t="s">
        <v>16</v>
      </c>
      <c r="C2930" s="101" t="s">
        <v>164</v>
      </c>
      <c r="D2930" s="101" t="s">
        <v>147</v>
      </c>
      <c r="E2930" s="101" t="s">
        <v>19</v>
      </c>
      <c r="F2930" s="101" t="s">
        <v>491</v>
      </c>
    </row>
    <row r="2931" spans="1:6" x14ac:dyDescent="0.3">
      <c r="A2931" t="str">
        <f t="shared" si="45"/>
        <v>0318501655</v>
      </c>
      <c r="B2931" s="101" t="s">
        <v>16</v>
      </c>
      <c r="C2931" s="101" t="s">
        <v>164</v>
      </c>
      <c r="D2931" s="101" t="s">
        <v>147</v>
      </c>
      <c r="E2931" s="101" t="s">
        <v>19</v>
      </c>
      <c r="F2931" s="101" t="s">
        <v>492</v>
      </c>
    </row>
    <row r="2932" spans="1:6" x14ac:dyDescent="0.3">
      <c r="A2932" t="str">
        <f t="shared" si="45"/>
        <v>0318501656</v>
      </c>
      <c r="B2932" s="101" t="s">
        <v>16</v>
      </c>
      <c r="C2932" s="101" t="s">
        <v>164</v>
      </c>
      <c r="D2932" s="101" t="s">
        <v>147</v>
      </c>
      <c r="E2932" s="101" t="s">
        <v>19</v>
      </c>
      <c r="F2932" s="101" t="s">
        <v>212</v>
      </c>
    </row>
    <row r="2933" spans="1:6" x14ac:dyDescent="0.3">
      <c r="A2933" t="str">
        <f t="shared" si="45"/>
        <v>0318501657</v>
      </c>
      <c r="B2933" s="101" t="s">
        <v>16</v>
      </c>
      <c r="C2933" s="101" t="s">
        <v>164</v>
      </c>
      <c r="D2933" s="101" t="s">
        <v>147</v>
      </c>
      <c r="E2933" s="101" t="s">
        <v>19</v>
      </c>
      <c r="F2933" s="101" t="s">
        <v>213</v>
      </c>
    </row>
    <row r="2934" spans="1:6" x14ac:dyDescent="0.3">
      <c r="A2934" t="str">
        <f t="shared" si="45"/>
        <v>0318501658</v>
      </c>
      <c r="B2934" s="101" t="s">
        <v>16</v>
      </c>
      <c r="C2934" s="101" t="s">
        <v>164</v>
      </c>
      <c r="D2934" s="101" t="s">
        <v>147</v>
      </c>
      <c r="E2934" s="101" t="s">
        <v>19</v>
      </c>
      <c r="F2934" s="101" t="s">
        <v>214</v>
      </c>
    </row>
    <row r="2935" spans="1:6" x14ac:dyDescent="0.3">
      <c r="A2935" t="str">
        <f t="shared" si="45"/>
        <v>0318501659</v>
      </c>
      <c r="B2935" s="101" t="s">
        <v>16</v>
      </c>
      <c r="C2935" s="101" t="s">
        <v>164</v>
      </c>
      <c r="D2935" s="101" t="s">
        <v>147</v>
      </c>
      <c r="E2935" s="101" t="s">
        <v>19</v>
      </c>
      <c r="F2935" s="101" t="s">
        <v>215</v>
      </c>
    </row>
    <row r="2936" spans="1:6" x14ac:dyDescent="0.3">
      <c r="A2936" t="str">
        <f t="shared" si="45"/>
        <v>0318501660</v>
      </c>
      <c r="B2936" s="101" t="s">
        <v>16</v>
      </c>
      <c r="C2936" s="101" t="s">
        <v>164</v>
      </c>
      <c r="D2936" s="101" t="s">
        <v>147</v>
      </c>
      <c r="E2936" s="101" t="s">
        <v>19</v>
      </c>
      <c r="F2936" s="101" t="s">
        <v>216</v>
      </c>
    </row>
    <row r="2937" spans="1:6" x14ac:dyDescent="0.3">
      <c r="A2937" t="str">
        <f t="shared" si="45"/>
        <v>0318501661</v>
      </c>
      <c r="B2937" s="101" t="s">
        <v>16</v>
      </c>
      <c r="C2937" s="101" t="s">
        <v>164</v>
      </c>
      <c r="D2937" s="101" t="s">
        <v>147</v>
      </c>
      <c r="E2937" s="101" t="s">
        <v>19</v>
      </c>
      <c r="F2937" s="101" t="s">
        <v>217</v>
      </c>
    </row>
    <row r="2938" spans="1:6" x14ac:dyDescent="0.3">
      <c r="A2938" t="str">
        <f t="shared" si="45"/>
        <v>0318501662</v>
      </c>
      <c r="B2938" s="101" t="s">
        <v>16</v>
      </c>
      <c r="C2938" s="101" t="s">
        <v>164</v>
      </c>
      <c r="D2938" s="101" t="s">
        <v>147</v>
      </c>
      <c r="E2938" s="101" t="s">
        <v>19</v>
      </c>
      <c r="F2938" s="101" t="s">
        <v>493</v>
      </c>
    </row>
    <row r="2939" spans="1:6" x14ac:dyDescent="0.3">
      <c r="A2939" t="str">
        <f t="shared" si="45"/>
        <v>0318501663</v>
      </c>
      <c r="B2939" s="101" t="s">
        <v>16</v>
      </c>
      <c r="C2939" s="101" t="s">
        <v>164</v>
      </c>
      <c r="D2939" s="101" t="s">
        <v>147</v>
      </c>
      <c r="E2939" s="101" t="s">
        <v>19</v>
      </c>
      <c r="F2939" s="101" t="s">
        <v>494</v>
      </c>
    </row>
    <row r="2940" spans="1:6" x14ac:dyDescent="0.3">
      <c r="A2940" t="str">
        <f t="shared" si="45"/>
        <v>0318501664</v>
      </c>
      <c r="B2940" s="101" t="s">
        <v>16</v>
      </c>
      <c r="C2940" s="101" t="s">
        <v>164</v>
      </c>
      <c r="D2940" s="101" t="s">
        <v>147</v>
      </c>
      <c r="E2940" s="101" t="s">
        <v>19</v>
      </c>
      <c r="F2940" s="101" t="s">
        <v>495</v>
      </c>
    </row>
    <row r="2941" spans="1:6" x14ac:dyDescent="0.3">
      <c r="A2941" t="str">
        <f t="shared" si="45"/>
        <v>0318501665</v>
      </c>
      <c r="B2941" s="101" t="s">
        <v>16</v>
      </c>
      <c r="C2941" s="101" t="s">
        <v>164</v>
      </c>
      <c r="D2941" s="101" t="s">
        <v>147</v>
      </c>
      <c r="E2941" s="101" t="s">
        <v>19</v>
      </c>
      <c r="F2941" s="101" t="s">
        <v>496</v>
      </c>
    </row>
    <row r="2942" spans="1:6" x14ac:dyDescent="0.3">
      <c r="A2942" t="str">
        <f t="shared" si="45"/>
        <v>0318501666</v>
      </c>
      <c r="B2942" s="101" t="s">
        <v>16</v>
      </c>
      <c r="C2942" s="101" t="s">
        <v>164</v>
      </c>
      <c r="D2942" s="101" t="s">
        <v>147</v>
      </c>
      <c r="E2942" s="101" t="s">
        <v>19</v>
      </c>
      <c r="F2942" s="101" t="s">
        <v>201</v>
      </c>
    </row>
    <row r="2943" spans="1:6" x14ac:dyDescent="0.3">
      <c r="A2943" t="str">
        <f t="shared" si="45"/>
        <v>0318501667</v>
      </c>
      <c r="B2943" s="101" t="s">
        <v>16</v>
      </c>
      <c r="C2943" s="101" t="s">
        <v>164</v>
      </c>
      <c r="D2943" s="101" t="s">
        <v>147</v>
      </c>
      <c r="E2943" s="101" t="s">
        <v>19</v>
      </c>
      <c r="F2943" s="101" t="s">
        <v>203</v>
      </c>
    </row>
    <row r="2944" spans="1:6" x14ac:dyDescent="0.3">
      <c r="A2944" t="str">
        <f t="shared" si="45"/>
        <v>0318501668</v>
      </c>
      <c r="B2944" s="101" t="s">
        <v>16</v>
      </c>
      <c r="C2944" s="101" t="s">
        <v>164</v>
      </c>
      <c r="D2944" s="101" t="s">
        <v>147</v>
      </c>
      <c r="E2944" s="101" t="s">
        <v>19</v>
      </c>
      <c r="F2944" s="101" t="s">
        <v>498</v>
      </c>
    </row>
    <row r="2945" spans="1:6" x14ac:dyDescent="0.3">
      <c r="A2945" t="str">
        <f t="shared" si="45"/>
        <v>0318501669</v>
      </c>
      <c r="B2945" s="101" t="s">
        <v>16</v>
      </c>
      <c r="C2945" s="101" t="s">
        <v>164</v>
      </c>
      <c r="D2945" s="101" t="s">
        <v>147</v>
      </c>
      <c r="E2945" s="101" t="s">
        <v>19</v>
      </c>
      <c r="F2945" s="101" t="s">
        <v>499</v>
      </c>
    </row>
    <row r="2946" spans="1:6" x14ac:dyDescent="0.3">
      <c r="A2946" t="str">
        <f t="shared" si="45"/>
        <v>0318501670</v>
      </c>
      <c r="B2946" s="101" t="s">
        <v>16</v>
      </c>
      <c r="C2946" s="101" t="s">
        <v>164</v>
      </c>
      <c r="D2946" s="101" t="s">
        <v>147</v>
      </c>
      <c r="E2946" s="101" t="s">
        <v>19</v>
      </c>
      <c r="F2946" s="101" t="s">
        <v>500</v>
      </c>
    </row>
    <row r="2947" spans="1:6" x14ac:dyDescent="0.3">
      <c r="A2947" t="str">
        <f t="shared" ref="A2947:A3010" si="46">CONCATENATE(B2947,C2947,D2947,F2947)</f>
        <v>0318501671</v>
      </c>
      <c r="B2947" s="101" t="s">
        <v>16</v>
      </c>
      <c r="C2947" s="101" t="s">
        <v>164</v>
      </c>
      <c r="D2947" s="101" t="s">
        <v>147</v>
      </c>
      <c r="E2947" s="101" t="s">
        <v>19</v>
      </c>
      <c r="F2947" s="101" t="s">
        <v>501</v>
      </c>
    </row>
    <row r="2948" spans="1:6" x14ac:dyDescent="0.3">
      <c r="A2948" t="str">
        <f t="shared" si="46"/>
        <v>0318501672</v>
      </c>
      <c r="B2948" s="101" t="s">
        <v>16</v>
      </c>
      <c r="C2948" s="101" t="s">
        <v>164</v>
      </c>
      <c r="D2948" s="101" t="s">
        <v>147</v>
      </c>
      <c r="E2948" s="101" t="s">
        <v>19</v>
      </c>
      <c r="F2948" s="101" t="s">
        <v>502</v>
      </c>
    </row>
    <row r="2949" spans="1:6" x14ac:dyDescent="0.3">
      <c r="A2949" t="str">
        <f t="shared" si="46"/>
        <v>0318501673</v>
      </c>
      <c r="B2949" s="101" t="s">
        <v>16</v>
      </c>
      <c r="C2949" s="101" t="s">
        <v>164</v>
      </c>
      <c r="D2949" s="101" t="s">
        <v>147</v>
      </c>
      <c r="E2949" s="101" t="s">
        <v>19</v>
      </c>
      <c r="F2949" s="101" t="s">
        <v>503</v>
      </c>
    </row>
    <row r="2950" spans="1:6" x14ac:dyDescent="0.3">
      <c r="A2950" t="str">
        <f t="shared" si="46"/>
        <v>0318501674</v>
      </c>
      <c r="B2950" s="101" t="s">
        <v>16</v>
      </c>
      <c r="C2950" s="101" t="s">
        <v>164</v>
      </c>
      <c r="D2950" s="101" t="s">
        <v>147</v>
      </c>
      <c r="E2950" s="101" t="s">
        <v>19</v>
      </c>
      <c r="F2950" s="101" t="s">
        <v>504</v>
      </c>
    </row>
    <row r="2951" spans="1:6" x14ac:dyDescent="0.3">
      <c r="A2951" t="str">
        <f t="shared" si="46"/>
        <v>0418500246</v>
      </c>
      <c r="B2951" s="101" t="s">
        <v>18</v>
      </c>
      <c r="C2951" s="101" t="s">
        <v>164</v>
      </c>
      <c r="D2951" s="101" t="s">
        <v>146</v>
      </c>
      <c r="E2951" s="101" t="s">
        <v>19</v>
      </c>
      <c r="F2951" s="101" t="s">
        <v>318</v>
      </c>
    </row>
    <row r="2952" spans="1:6" x14ac:dyDescent="0.3">
      <c r="A2952" t="str">
        <f t="shared" si="46"/>
        <v>0418500716</v>
      </c>
      <c r="B2952" s="101" t="s">
        <v>18</v>
      </c>
      <c r="C2952" s="101" t="s">
        <v>164</v>
      </c>
      <c r="D2952" s="101" t="s">
        <v>146</v>
      </c>
      <c r="E2952" s="101" t="s">
        <v>19</v>
      </c>
      <c r="F2952" s="101" t="s">
        <v>524</v>
      </c>
    </row>
    <row r="2953" spans="1:6" x14ac:dyDescent="0.3">
      <c r="A2953" t="str">
        <f t="shared" si="46"/>
        <v>0418500717</v>
      </c>
      <c r="B2953" s="101" t="s">
        <v>18</v>
      </c>
      <c r="C2953" s="101" t="s">
        <v>164</v>
      </c>
      <c r="D2953" s="101" t="s">
        <v>146</v>
      </c>
      <c r="E2953" s="101" t="s">
        <v>19</v>
      </c>
      <c r="F2953" s="101" t="s">
        <v>525</v>
      </c>
    </row>
    <row r="2954" spans="1:6" x14ac:dyDescent="0.3">
      <c r="A2954" t="str">
        <f t="shared" si="46"/>
        <v>0418500718</v>
      </c>
      <c r="B2954" s="101" t="s">
        <v>18</v>
      </c>
      <c r="C2954" s="101" t="s">
        <v>164</v>
      </c>
      <c r="D2954" s="101" t="s">
        <v>146</v>
      </c>
      <c r="E2954" s="101" t="s">
        <v>19</v>
      </c>
      <c r="F2954" s="101" t="s">
        <v>526</v>
      </c>
    </row>
    <row r="2955" spans="1:6" x14ac:dyDescent="0.3">
      <c r="A2955" t="str">
        <f t="shared" si="46"/>
        <v>0418500719</v>
      </c>
      <c r="B2955" s="101" t="s">
        <v>18</v>
      </c>
      <c r="C2955" s="101" t="s">
        <v>164</v>
      </c>
      <c r="D2955" s="101" t="s">
        <v>146</v>
      </c>
      <c r="E2955" s="101" t="s">
        <v>19</v>
      </c>
      <c r="F2955" s="101" t="s">
        <v>527</v>
      </c>
    </row>
    <row r="2956" spans="1:6" x14ac:dyDescent="0.3">
      <c r="A2956" t="str">
        <f t="shared" si="46"/>
        <v>0418500640</v>
      </c>
      <c r="B2956" s="101" t="s">
        <v>18</v>
      </c>
      <c r="C2956" s="101" t="s">
        <v>164</v>
      </c>
      <c r="D2956" s="101" t="s">
        <v>146</v>
      </c>
      <c r="E2956" s="101" t="s">
        <v>19</v>
      </c>
      <c r="F2956" s="101" t="s">
        <v>282</v>
      </c>
    </row>
    <row r="2957" spans="1:6" x14ac:dyDescent="0.3">
      <c r="A2957" t="str">
        <f t="shared" si="46"/>
        <v>0418500641</v>
      </c>
      <c r="B2957" s="101" t="s">
        <v>18</v>
      </c>
      <c r="C2957" s="101" t="s">
        <v>164</v>
      </c>
      <c r="D2957" s="101" t="s">
        <v>146</v>
      </c>
      <c r="E2957" s="101" t="s">
        <v>19</v>
      </c>
      <c r="F2957" s="101" t="s">
        <v>283</v>
      </c>
    </row>
    <row r="2958" spans="1:6" x14ac:dyDescent="0.3">
      <c r="A2958" t="str">
        <f t="shared" si="46"/>
        <v>0418500642</v>
      </c>
      <c r="B2958" s="101" t="s">
        <v>18</v>
      </c>
      <c r="C2958" s="101" t="s">
        <v>164</v>
      </c>
      <c r="D2958" s="101" t="s">
        <v>146</v>
      </c>
      <c r="E2958" s="101" t="s">
        <v>19</v>
      </c>
      <c r="F2958" s="101" t="s">
        <v>195</v>
      </c>
    </row>
    <row r="2959" spans="1:6" x14ac:dyDescent="0.3">
      <c r="A2959" t="str">
        <f t="shared" si="46"/>
        <v>0418500643</v>
      </c>
      <c r="B2959" s="101" t="s">
        <v>18</v>
      </c>
      <c r="C2959" s="101" t="s">
        <v>164</v>
      </c>
      <c r="D2959" s="101" t="s">
        <v>146</v>
      </c>
      <c r="E2959" s="101" t="s">
        <v>19</v>
      </c>
      <c r="F2959" s="101" t="s">
        <v>196</v>
      </c>
    </row>
    <row r="2960" spans="1:6" x14ac:dyDescent="0.3">
      <c r="A2960" t="str">
        <f t="shared" si="46"/>
        <v>0418500644</v>
      </c>
      <c r="B2960" s="101" t="s">
        <v>18</v>
      </c>
      <c r="C2960" s="101" t="s">
        <v>164</v>
      </c>
      <c r="D2960" s="101" t="s">
        <v>146</v>
      </c>
      <c r="E2960" s="101" t="s">
        <v>19</v>
      </c>
      <c r="F2960" s="101" t="s">
        <v>485</v>
      </c>
    </row>
    <row r="2961" spans="1:6" x14ac:dyDescent="0.3">
      <c r="A2961" t="str">
        <f t="shared" si="46"/>
        <v>0418500645</v>
      </c>
      <c r="B2961" s="101" t="s">
        <v>18</v>
      </c>
      <c r="C2961" s="101" t="s">
        <v>164</v>
      </c>
      <c r="D2961" s="101" t="s">
        <v>146</v>
      </c>
      <c r="E2961" s="101" t="s">
        <v>19</v>
      </c>
      <c r="F2961" s="101" t="s">
        <v>486</v>
      </c>
    </row>
    <row r="2962" spans="1:6" x14ac:dyDescent="0.3">
      <c r="A2962" t="str">
        <f t="shared" si="46"/>
        <v>0418500646</v>
      </c>
      <c r="B2962" s="101" t="s">
        <v>18</v>
      </c>
      <c r="C2962" s="101" t="s">
        <v>164</v>
      </c>
      <c r="D2962" s="101" t="s">
        <v>146</v>
      </c>
      <c r="E2962" s="101" t="s">
        <v>19</v>
      </c>
      <c r="F2962" s="101" t="s">
        <v>197</v>
      </c>
    </row>
    <row r="2963" spans="1:6" x14ac:dyDescent="0.3">
      <c r="A2963" t="str">
        <f t="shared" si="46"/>
        <v>0418500647</v>
      </c>
      <c r="B2963" s="101" t="s">
        <v>18</v>
      </c>
      <c r="C2963" s="101" t="s">
        <v>164</v>
      </c>
      <c r="D2963" s="101" t="s">
        <v>146</v>
      </c>
      <c r="E2963" s="101" t="s">
        <v>19</v>
      </c>
      <c r="F2963" s="101" t="s">
        <v>198</v>
      </c>
    </row>
    <row r="2964" spans="1:6" x14ac:dyDescent="0.3">
      <c r="A2964" t="str">
        <f t="shared" si="46"/>
        <v>0418500648</v>
      </c>
      <c r="B2964" s="101" t="s">
        <v>18</v>
      </c>
      <c r="C2964" s="101" t="s">
        <v>164</v>
      </c>
      <c r="D2964" s="101" t="s">
        <v>146</v>
      </c>
      <c r="E2964" s="101" t="s">
        <v>19</v>
      </c>
      <c r="F2964" s="101" t="s">
        <v>199</v>
      </c>
    </row>
    <row r="2965" spans="1:6" x14ac:dyDescent="0.3">
      <c r="A2965" t="str">
        <f t="shared" si="46"/>
        <v>0418500649</v>
      </c>
      <c r="B2965" s="101" t="s">
        <v>18</v>
      </c>
      <c r="C2965" s="101" t="s">
        <v>164</v>
      </c>
      <c r="D2965" s="101" t="s">
        <v>146</v>
      </c>
      <c r="E2965" s="101" t="s">
        <v>19</v>
      </c>
      <c r="F2965" s="101" t="s">
        <v>200</v>
      </c>
    </row>
    <row r="2966" spans="1:6" x14ac:dyDescent="0.3">
      <c r="A2966" t="str">
        <f t="shared" si="46"/>
        <v>0418500650</v>
      </c>
      <c r="B2966" s="101" t="s">
        <v>18</v>
      </c>
      <c r="C2966" s="101" t="s">
        <v>164</v>
      </c>
      <c r="D2966" s="101" t="s">
        <v>146</v>
      </c>
      <c r="E2966" s="101" t="s">
        <v>19</v>
      </c>
      <c r="F2966" s="101" t="s">
        <v>487</v>
      </c>
    </row>
    <row r="2967" spans="1:6" x14ac:dyDescent="0.3">
      <c r="A2967" t="str">
        <f t="shared" si="46"/>
        <v>0418500651</v>
      </c>
      <c r="B2967" s="101" t="s">
        <v>18</v>
      </c>
      <c r="C2967" s="101" t="s">
        <v>164</v>
      </c>
      <c r="D2967" s="101" t="s">
        <v>146</v>
      </c>
      <c r="E2967" s="101" t="s">
        <v>19</v>
      </c>
      <c r="F2967" s="101" t="s">
        <v>488</v>
      </c>
    </row>
    <row r="2968" spans="1:6" x14ac:dyDescent="0.3">
      <c r="A2968" t="str">
        <f t="shared" si="46"/>
        <v>0418500652</v>
      </c>
      <c r="B2968" s="101" t="s">
        <v>18</v>
      </c>
      <c r="C2968" s="101" t="s">
        <v>164</v>
      </c>
      <c r="D2968" s="101" t="s">
        <v>146</v>
      </c>
      <c r="E2968" s="101" t="s">
        <v>19</v>
      </c>
      <c r="F2968" s="101" t="s">
        <v>489</v>
      </c>
    </row>
    <row r="2969" spans="1:6" x14ac:dyDescent="0.3">
      <c r="A2969" t="str">
        <f t="shared" si="46"/>
        <v>0418500653</v>
      </c>
      <c r="B2969" s="101" t="s">
        <v>18</v>
      </c>
      <c r="C2969" s="101" t="s">
        <v>164</v>
      </c>
      <c r="D2969" s="101" t="s">
        <v>146</v>
      </c>
      <c r="E2969" s="101" t="s">
        <v>19</v>
      </c>
      <c r="F2969" s="101" t="s">
        <v>490</v>
      </c>
    </row>
    <row r="2970" spans="1:6" x14ac:dyDescent="0.3">
      <c r="A2970" t="str">
        <f t="shared" si="46"/>
        <v>0418500654</v>
      </c>
      <c r="B2970" s="101" t="s">
        <v>18</v>
      </c>
      <c r="C2970" s="101" t="s">
        <v>164</v>
      </c>
      <c r="D2970" s="101" t="s">
        <v>146</v>
      </c>
      <c r="E2970" s="101" t="s">
        <v>19</v>
      </c>
      <c r="F2970" s="101" t="s">
        <v>491</v>
      </c>
    </row>
    <row r="2971" spans="1:6" x14ac:dyDescent="0.3">
      <c r="A2971" t="str">
        <f t="shared" si="46"/>
        <v>0418500655</v>
      </c>
      <c r="B2971" s="101" t="s">
        <v>18</v>
      </c>
      <c r="C2971" s="101" t="s">
        <v>164</v>
      </c>
      <c r="D2971" s="101" t="s">
        <v>146</v>
      </c>
      <c r="E2971" s="101" t="s">
        <v>19</v>
      </c>
      <c r="F2971" s="101" t="s">
        <v>492</v>
      </c>
    </row>
    <row r="2972" spans="1:6" x14ac:dyDescent="0.3">
      <c r="A2972" t="str">
        <f t="shared" si="46"/>
        <v>0418500656</v>
      </c>
      <c r="B2972" s="101" t="s">
        <v>18</v>
      </c>
      <c r="C2972" s="101" t="s">
        <v>164</v>
      </c>
      <c r="D2972" s="101" t="s">
        <v>146</v>
      </c>
      <c r="E2972" s="101" t="s">
        <v>19</v>
      </c>
      <c r="F2972" s="101" t="s">
        <v>212</v>
      </c>
    </row>
    <row r="2973" spans="1:6" x14ac:dyDescent="0.3">
      <c r="A2973" t="str">
        <f t="shared" si="46"/>
        <v>0418500657</v>
      </c>
      <c r="B2973" s="101" t="s">
        <v>18</v>
      </c>
      <c r="C2973" s="101" t="s">
        <v>164</v>
      </c>
      <c r="D2973" s="101" t="s">
        <v>146</v>
      </c>
      <c r="E2973" s="101" t="s">
        <v>19</v>
      </c>
      <c r="F2973" s="101" t="s">
        <v>213</v>
      </c>
    </row>
    <row r="2974" spans="1:6" x14ac:dyDescent="0.3">
      <c r="A2974" t="str">
        <f t="shared" si="46"/>
        <v>0418500658</v>
      </c>
      <c r="B2974" s="101" t="s">
        <v>18</v>
      </c>
      <c r="C2974" s="101" t="s">
        <v>164</v>
      </c>
      <c r="D2974" s="101" t="s">
        <v>146</v>
      </c>
      <c r="E2974" s="101" t="s">
        <v>19</v>
      </c>
      <c r="F2974" s="101" t="s">
        <v>214</v>
      </c>
    </row>
    <row r="2975" spans="1:6" x14ac:dyDescent="0.3">
      <c r="A2975" t="str">
        <f t="shared" si="46"/>
        <v>0418500659</v>
      </c>
      <c r="B2975" s="101" t="s">
        <v>18</v>
      </c>
      <c r="C2975" s="101" t="s">
        <v>164</v>
      </c>
      <c r="D2975" s="101" t="s">
        <v>146</v>
      </c>
      <c r="E2975" s="101" t="s">
        <v>19</v>
      </c>
      <c r="F2975" s="101" t="s">
        <v>215</v>
      </c>
    </row>
    <row r="2976" spans="1:6" x14ac:dyDescent="0.3">
      <c r="A2976" t="str">
        <f t="shared" si="46"/>
        <v>0418500660</v>
      </c>
      <c r="B2976" s="101" t="s">
        <v>18</v>
      </c>
      <c r="C2976" s="101" t="s">
        <v>164</v>
      </c>
      <c r="D2976" s="101" t="s">
        <v>146</v>
      </c>
      <c r="E2976" s="101" t="s">
        <v>19</v>
      </c>
      <c r="F2976" s="101" t="s">
        <v>216</v>
      </c>
    </row>
    <row r="2977" spans="1:6" x14ac:dyDescent="0.3">
      <c r="A2977" t="str">
        <f t="shared" si="46"/>
        <v>0418500661</v>
      </c>
      <c r="B2977" s="101" t="s">
        <v>18</v>
      </c>
      <c r="C2977" s="101" t="s">
        <v>164</v>
      </c>
      <c r="D2977" s="101" t="s">
        <v>146</v>
      </c>
      <c r="E2977" s="101" t="s">
        <v>19</v>
      </c>
      <c r="F2977" s="101" t="s">
        <v>217</v>
      </c>
    </row>
    <row r="2978" spans="1:6" x14ac:dyDescent="0.3">
      <c r="A2978" t="str">
        <f t="shared" si="46"/>
        <v>0418500662</v>
      </c>
      <c r="B2978" s="101" t="s">
        <v>18</v>
      </c>
      <c r="C2978" s="101" t="s">
        <v>164</v>
      </c>
      <c r="D2978" s="101" t="s">
        <v>146</v>
      </c>
      <c r="E2978" s="101" t="s">
        <v>19</v>
      </c>
      <c r="F2978" s="101" t="s">
        <v>493</v>
      </c>
    </row>
    <row r="2979" spans="1:6" x14ac:dyDescent="0.3">
      <c r="A2979" t="str">
        <f t="shared" si="46"/>
        <v>0418500663</v>
      </c>
      <c r="B2979" s="101" t="s">
        <v>18</v>
      </c>
      <c r="C2979" s="101" t="s">
        <v>164</v>
      </c>
      <c r="D2979" s="101" t="s">
        <v>146</v>
      </c>
      <c r="E2979" s="101" t="s">
        <v>19</v>
      </c>
      <c r="F2979" s="101" t="s">
        <v>494</v>
      </c>
    </row>
    <row r="2980" spans="1:6" x14ac:dyDescent="0.3">
      <c r="A2980" t="str">
        <f t="shared" si="46"/>
        <v>0418500664</v>
      </c>
      <c r="B2980" s="101" t="s">
        <v>18</v>
      </c>
      <c r="C2980" s="101" t="s">
        <v>164</v>
      </c>
      <c r="D2980" s="101" t="s">
        <v>146</v>
      </c>
      <c r="E2980" s="101" t="s">
        <v>19</v>
      </c>
      <c r="F2980" s="101" t="s">
        <v>495</v>
      </c>
    </row>
    <row r="2981" spans="1:6" x14ac:dyDescent="0.3">
      <c r="A2981" t="str">
        <f t="shared" si="46"/>
        <v>0418500665</v>
      </c>
      <c r="B2981" s="101" t="s">
        <v>18</v>
      </c>
      <c r="C2981" s="101" t="s">
        <v>164</v>
      </c>
      <c r="D2981" s="101" t="s">
        <v>146</v>
      </c>
      <c r="E2981" s="101" t="s">
        <v>19</v>
      </c>
      <c r="F2981" s="101" t="s">
        <v>496</v>
      </c>
    </row>
    <row r="2982" spans="1:6" x14ac:dyDescent="0.3">
      <c r="A2982" t="str">
        <f t="shared" si="46"/>
        <v>0418500666</v>
      </c>
      <c r="B2982" s="101" t="s">
        <v>18</v>
      </c>
      <c r="C2982" s="101" t="s">
        <v>164</v>
      </c>
      <c r="D2982" s="101" t="s">
        <v>146</v>
      </c>
      <c r="E2982" s="101" t="s">
        <v>19</v>
      </c>
      <c r="F2982" s="101" t="s">
        <v>201</v>
      </c>
    </row>
    <row r="2983" spans="1:6" x14ac:dyDescent="0.3">
      <c r="A2983" t="str">
        <f t="shared" si="46"/>
        <v>0418500667</v>
      </c>
      <c r="B2983" s="101" t="s">
        <v>18</v>
      </c>
      <c r="C2983" s="101" t="s">
        <v>164</v>
      </c>
      <c r="D2983" s="101" t="s">
        <v>146</v>
      </c>
      <c r="E2983" s="101" t="s">
        <v>19</v>
      </c>
      <c r="F2983" s="101" t="s">
        <v>203</v>
      </c>
    </row>
    <row r="2984" spans="1:6" x14ac:dyDescent="0.3">
      <c r="A2984" t="str">
        <f t="shared" si="46"/>
        <v>0418500668</v>
      </c>
      <c r="B2984" s="101" t="s">
        <v>18</v>
      </c>
      <c r="C2984" s="101" t="s">
        <v>164</v>
      </c>
      <c r="D2984" s="101" t="s">
        <v>146</v>
      </c>
      <c r="E2984" s="101" t="s">
        <v>19</v>
      </c>
      <c r="F2984" s="101" t="s">
        <v>498</v>
      </c>
    </row>
    <row r="2985" spans="1:6" x14ac:dyDescent="0.3">
      <c r="A2985" t="str">
        <f t="shared" si="46"/>
        <v>0418500669</v>
      </c>
      <c r="B2985" s="101" t="s">
        <v>18</v>
      </c>
      <c r="C2985" s="101" t="s">
        <v>164</v>
      </c>
      <c r="D2985" s="101" t="s">
        <v>146</v>
      </c>
      <c r="E2985" s="101" t="s">
        <v>19</v>
      </c>
      <c r="F2985" s="101" t="s">
        <v>499</v>
      </c>
    </row>
    <row r="2986" spans="1:6" x14ac:dyDescent="0.3">
      <c r="A2986" t="str">
        <f t="shared" si="46"/>
        <v>0418500670</v>
      </c>
      <c r="B2986" s="101" t="s">
        <v>18</v>
      </c>
      <c r="C2986" s="101" t="s">
        <v>164</v>
      </c>
      <c r="D2986" s="101" t="s">
        <v>146</v>
      </c>
      <c r="E2986" s="101" t="s">
        <v>19</v>
      </c>
      <c r="F2986" s="101" t="s">
        <v>500</v>
      </c>
    </row>
    <row r="2987" spans="1:6" x14ac:dyDescent="0.3">
      <c r="A2987" t="str">
        <f t="shared" si="46"/>
        <v>0418500671</v>
      </c>
      <c r="B2987" s="101" t="s">
        <v>18</v>
      </c>
      <c r="C2987" s="101" t="s">
        <v>164</v>
      </c>
      <c r="D2987" s="101" t="s">
        <v>146</v>
      </c>
      <c r="E2987" s="101" t="s">
        <v>19</v>
      </c>
      <c r="F2987" s="101" t="s">
        <v>501</v>
      </c>
    </row>
    <row r="2988" spans="1:6" x14ac:dyDescent="0.3">
      <c r="A2988" t="str">
        <f t="shared" si="46"/>
        <v>0418500672</v>
      </c>
      <c r="B2988" s="101" t="s">
        <v>18</v>
      </c>
      <c r="C2988" s="101" t="s">
        <v>164</v>
      </c>
      <c r="D2988" s="101" t="s">
        <v>146</v>
      </c>
      <c r="E2988" s="101" t="s">
        <v>19</v>
      </c>
      <c r="F2988" s="101" t="s">
        <v>502</v>
      </c>
    </row>
    <row r="2989" spans="1:6" x14ac:dyDescent="0.3">
      <c r="A2989" t="str">
        <f t="shared" si="46"/>
        <v>0418500673</v>
      </c>
      <c r="B2989" s="101" t="s">
        <v>18</v>
      </c>
      <c r="C2989" s="101" t="s">
        <v>164</v>
      </c>
      <c r="D2989" s="101" t="s">
        <v>146</v>
      </c>
      <c r="E2989" s="101" t="s">
        <v>19</v>
      </c>
      <c r="F2989" s="101" t="s">
        <v>503</v>
      </c>
    </row>
    <row r="2990" spans="1:6" x14ac:dyDescent="0.3">
      <c r="A2990" t="str">
        <f t="shared" si="46"/>
        <v>0418500674</v>
      </c>
      <c r="B2990" s="101" t="s">
        <v>18</v>
      </c>
      <c r="C2990" s="101" t="s">
        <v>164</v>
      </c>
      <c r="D2990" s="101" t="s">
        <v>146</v>
      </c>
      <c r="E2990" s="101" t="s">
        <v>19</v>
      </c>
      <c r="F2990" s="101" t="s">
        <v>504</v>
      </c>
    </row>
    <row r="2991" spans="1:6" x14ac:dyDescent="0.3">
      <c r="A2991" t="str">
        <f t="shared" si="46"/>
        <v>0418501246</v>
      </c>
      <c r="B2991" s="101" t="s">
        <v>18</v>
      </c>
      <c r="C2991" s="101" t="s">
        <v>164</v>
      </c>
      <c r="D2991" s="101" t="s">
        <v>147</v>
      </c>
      <c r="E2991" s="101" t="s">
        <v>19</v>
      </c>
      <c r="F2991" s="101" t="s">
        <v>318</v>
      </c>
    </row>
    <row r="2992" spans="1:6" x14ac:dyDescent="0.3">
      <c r="A2992" t="str">
        <f t="shared" si="46"/>
        <v>0418501716</v>
      </c>
      <c r="B2992" s="101" t="s">
        <v>18</v>
      </c>
      <c r="C2992" s="101" t="s">
        <v>164</v>
      </c>
      <c r="D2992" s="101" t="s">
        <v>147</v>
      </c>
      <c r="E2992" s="101" t="s">
        <v>19</v>
      </c>
      <c r="F2992" s="101" t="s">
        <v>524</v>
      </c>
    </row>
    <row r="2993" spans="1:6" x14ac:dyDescent="0.3">
      <c r="A2993" t="str">
        <f t="shared" si="46"/>
        <v>0418501717</v>
      </c>
      <c r="B2993" s="101" t="s">
        <v>18</v>
      </c>
      <c r="C2993" s="101" t="s">
        <v>164</v>
      </c>
      <c r="D2993" s="101" t="s">
        <v>147</v>
      </c>
      <c r="E2993" s="101" t="s">
        <v>19</v>
      </c>
      <c r="F2993" s="101" t="s">
        <v>525</v>
      </c>
    </row>
    <row r="2994" spans="1:6" x14ac:dyDescent="0.3">
      <c r="A2994" t="str">
        <f t="shared" si="46"/>
        <v>0418501718</v>
      </c>
      <c r="B2994" s="101" t="s">
        <v>18</v>
      </c>
      <c r="C2994" s="101" t="s">
        <v>164</v>
      </c>
      <c r="D2994" s="101" t="s">
        <v>147</v>
      </c>
      <c r="E2994" s="101" t="s">
        <v>19</v>
      </c>
      <c r="F2994" s="101" t="s">
        <v>526</v>
      </c>
    </row>
    <row r="2995" spans="1:6" x14ac:dyDescent="0.3">
      <c r="A2995" t="str">
        <f t="shared" si="46"/>
        <v>0418501719</v>
      </c>
      <c r="B2995" s="101" t="s">
        <v>18</v>
      </c>
      <c r="C2995" s="101" t="s">
        <v>164</v>
      </c>
      <c r="D2995" s="101" t="s">
        <v>147</v>
      </c>
      <c r="E2995" s="101" t="s">
        <v>19</v>
      </c>
      <c r="F2995" s="101" t="s">
        <v>527</v>
      </c>
    </row>
    <row r="2996" spans="1:6" x14ac:dyDescent="0.3">
      <c r="A2996" t="str">
        <f t="shared" si="46"/>
        <v>0418501640</v>
      </c>
      <c r="B2996" s="101" t="s">
        <v>18</v>
      </c>
      <c r="C2996" s="101" t="s">
        <v>164</v>
      </c>
      <c r="D2996" s="101" t="s">
        <v>147</v>
      </c>
      <c r="E2996" s="101" t="s">
        <v>19</v>
      </c>
      <c r="F2996" s="101" t="s">
        <v>282</v>
      </c>
    </row>
    <row r="2997" spans="1:6" x14ac:dyDescent="0.3">
      <c r="A2997" t="str">
        <f t="shared" si="46"/>
        <v>0418501641</v>
      </c>
      <c r="B2997" s="101" t="s">
        <v>18</v>
      </c>
      <c r="C2997" s="101" t="s">
        <v>164</v>
      </c>
      <c r="D2997" s="101" t="s">
        <v>147</v>
      </c>
      <c r="E2997" s="101" t="s">
        <v>19</v>
      </c>
      <c r="F2997" s="101" t="s">
        <v>283</v>
      </c>
    </row>
    <row r="2998" spans="1:6" x14ac:dyDescent="0.3">
      <c r="A2998" t="str">
        <f t="shared" si="46"/>
        <v>0418501642</v>
      </c>
      <c r="B2998" s="101" t="s">
        <v>18</v>
      </c>
      <c r="C2998" s="101" t="s">
        <v>164</v>
      </c>
      <c r="D2998" s="101" t="s">
        <v>147</v>
      </c>
      <c r="E2998" s="101" t="s">
        <v>19</v>
      </c>
      <c r="F2998" s="101" t="s">
        <v>195</v>
      </c>
    </row>
    <row r="2999" spans="1:6" x14ac:dyDescent="0.3">
      <c r="A2999" t="str">
        <f t="shared" si="46"/>
        <v>0418501643</v>
      </c>
      <c r="B2999" s="101" t="s">
        <v>18</v>
      </c>
      <c r="C2999" s="101" t="s">
        <v>164</v>
      </c>
      <c r="D2999" s="101" t="s">
        <v>147</v>
      </c>
      <c r="E2999" s="101" t="s">
        <v>19</v>
      </c>
      <c r="F2999" s="101" t="s">
        <v>196</v>
      </c>
    </row>
    <row r="3000" spans="1:6" x14ac:dyDescent="0.3">
      <c r="A3000" t="str">
        <f t="shared" si="46"/>
        <v>0418501644</v>
      </c>
      <c r="B3000" s="101" t="s">
        <v>18</v>
      </c>
      <c r="C3000" s="101" t="s">
        <v>164</v>
      </c>
      <c r="D3000" s="101" t="s">
        <v>147</v>
      </c>
      <c r="E3000" s="101" t="s">
        <v>19</v>
      </c>
      <c r="F3000" s="101" t="s">
        <v>485</v>
      </c>
    </row>
    <row r="3001" spans="1:6" x14ac:dyDescent="0.3">
      <c r="A3001" t="str">
        <f t="shared" si="46"/>
        <v>0418501645</v>
      </c>
      <c r="B3001" s="101" t="s">
        <v>18</v>
      </c>
      <c r="C3001" s="101" t="s">
        <v>164</v>
      </c>
      <c r="D3001" s="101" t="s">
        <v>147</v>
      </c>
      <c r="E3001" s="101" t="s">
        <v>19</v>
      </c>
      <c r="F3001" s="101" t="s">
        <v>486</v>
      </c>
    </row>
    <row r="3002" spans="1:6" x14ac:dyDescent="0.3">
      <c r="A3002" t="str">
        <f t="shared" si="46"/>
        <v>0418501646</v>
      </c>
      <c r="B3002" s="101" t="s">
        <v>18</v>
      </c>
      <c r="C3002" s="101" t="s">
        <v>164</v>
      </c>
      <c r="D3002" s="101" t="s">
        <v>147</v>
      </c>
      <c r="E3002" s="101" t="s">
        <v>19</v>
      </c>
      <c r="F3002" s="101" t="s">
        <v>197</v>
      </c>
    </row>
    <row r="3003" spans="1:6" x14ac:dyDescent="0.3">
      <c r="A3003" t="str">
        <f t="shared" si="46"/>
        <v>0418501647</v>
      </c>
      <c r="B3003" s="101" t="s">
        <v>18</v>
      </c>
      <c r="C3003" s="101" t="s">
        <v>164</v>
      </c>
      <c r="D3003" s="101" t="s">
        <v>147</v>
      </c>
      <c r="E3003" s="101" t="s">
        <v>19</v>
      </c>
      <c r="F3003" s="101" t="s">
        <v>198</v>
      </c>
    </row>
    <row r="3004" spans="1:6" x14ac:dyDescent="0.3">
      <c r="A3004" t="str">
        <f t="shared" si="46"/>
        <v>0418501648</v>
      </c>
      <c r="B3004" s="101" t="s">
        <v>18</v>
      </c>
      <c r="C3004" s="101" t="s">
        <v>164</v>
      </c>
      <c r="D3004" s="101" t="s">
        <v>147</v>
      </c>
      <c r="E3004" s="101" t="s">
        <v>19</v>
      </c>
      <c r="F3004" s="101" t="s">
        <v>199</v>
      </c>
    </row>
    <row r="3005" spans="1:6" x14ac:dyDescent="0.3">
      <c r="A3005" t="str">
        <f t="shared" si="46"/>
        <v>0418501649</v>
      </c>
      <c r="B3005" s="101" t="s">
        <v>18</v>
      </c>
      <c r="C3005" s="101" t="s">
        <v>164</v>
      </c>
      <c r="D3005" s="101" t="s">
        <v>147</v>
      </c>
      <c r="E3005" s="101" t="s">
        <v>19</v>
      </c>
      <c r="F3005" s="101" t="s">
        <v>200</v>
      </c>
    </row>
    <row r="3006" spans="1:6" x14ac:dyDescent="0.3">
      <c r="A3006" t="str">
        <f t="shared" si="46"/>
        <v>0418501650</v>
      </c>
      <c r="B3006" s="101" t="s">
        <v>18</v>
      </c>
      <c r="C3006" s="101" t="s">
        <v>164</v>
      </c>
      <c r="D3006" s="101" t="s">
        <v>147</v>
      </c>
      <c r="E3006" s="101" t="s">
        <v>19</v>
      </c>
      <c r="F3006" s="101" t="s">
        <v>487</v>
      </c>
    </row>
    <row r="3007" spans="1:6" x14ac:dyDescent="0.3">
      <c r="A3007" t="str">
        <f t="shared" si="46"/>
        <v>0418501651</v>
      </c>
      <c r="B3007" s="101" t="s">
        <v>18</v>
      </c>
      <c r="C3007" s="101" t="s">
        <v>164</v>
      </c>
      <c r="D3007" s="101" t="s">
        <v>147</v>
      </c>
      <c r="E3007" s="101" t="s">
        <v>19</v>
      </c>
      <c r="F3007" s="101" t="s">
        <v>488</v>
      </c>
    </row>
    <row r="3008" spans="1:6" x14ac:dyDescent="0.3">
      <c r="A3008" t="str">
        <f t="shared" si="46"/>
        <v>0418501652</v>
      </c>
      <c r="B3008" s="101" t="s">
        <v>18</v>
      </c>
      <c r="C3008" s="101" t="s">
        <v>164</v>
      </c>
      <c r="D3008" s="101" t="s">
        <v>147</v>
      </c>
      <c r="E3008" s="101" t="s">
        <v>19</v>
      </c>
      <c r="F3008" s="101" t="s">
        <v>489</v>
      </c>
    </row>
    <row r="3009" spans="1:6" x14ac:dyDescent="0.3">
      <c r="A3009" t="str">
        <f t="shared" si="46"/>
        <v>0418501653</v>
      </c>
      <c r="B3009" s="101" t="s">
        <v>18</v>
      </c>
      <c r="C3009" s="101" t="s">
        <v>164</v>
      </c>
      <c r="D3009" s="101" t="s">
        <v>147</v>
      </c>
      <c r="E3009" s="101" t="s">
        <v>19</v>
      </c>
      <c r="F3009" s="101" t="s">
        <v>490</v>
      </c>
    </row>
    <row r="3010" spans="1:6" x14ac:dyDescent="0.3">
      <c r="A3010" t="str">
        <f t="shared" si="46"/>
        <v>0418501654</v>
      </c>
      <c r="B3010" s="101" t="s">
        <v>18</v>
      </c>
      <c r="C3010" s="101" t="s">
        <v>164</v>
      </c>
      <c r="D3010" s="101" t="s">
        <v>147</v>
      </c>
      <c r="E3010" s="101" t="s">
        <v>19</v>
      </c>
      <c r="F3010" s="101" t="s">
        <v>491</v>
      </c>
    </row>
    <row r="3011" spans="1:6" x14ac:dyDescent="0.3">
      <c r="A3011" t="str">
        <f t="shared" ref="A3011:A3074" si="47">CONCATENATE(B3011,C3011,D3011,F3011)</f>
        <v>0418501655</v>
      </c>
      <c r="B3011" s="101" t="s">
        <v>18</v>
      </c>
      <c r="C3011" s="101" t="s">
        <v>164</v>
      </c>
      <c r="D3011" s="101" t="s">
        <v>147</v>
      </c>
      <c r="E3011" s="101" t="s">
        <v>19</v>
      </c>
      <c r="F3011" s="101" t="s">
        <v>492</v>
      </c>
    </row>
    <row r="3012" spans="1:6" x14ac:dyDescent="0.3">
      <c r="A3012" t="str">
        <f t="shared" si="47"/>
        <v>0418501656</v>
      </c>
      <c r="B3012" s="101" t="s">
        <v>18</v>
      </c>
      <c r="C3012" s="101" t="s">
        <v>164</v>
      </c>
      <c r="D3012" s="101" t="s">
        <v>147</v>
      </c>
      <c r="E3012" s="101" t="s">
        <v>19</v>
      </c>
      <c r="F3012" s="101" t="s">
        <v>212</v>
      </c>
    </row>
    <row r="3013" spans="1:6" x14ac:dyDescent="0.3">
      <c r="A3013" t="str">
        <f t="shared" si="47"/>
        <v>0418501657</v>
      </c>
      <c r="B3013" s="101" t="s">
        <v>18</v>
      </c>
      <c r="C3013" s="101" t="s">
        <v>164</v>
      </c>
      <c r="D3013" s="101" t="s">
        <v>147</v>
      </c>
      <c r="E3013" s="101" t="s">
        <v>19</v>
      </c>
      <c r="F3013" s="101" t="s">
        <v>213</v>
      </c>
    </row>
    <row r="3014" spans="1:6" x14ac:dyDescent="0.3">
      <c r="A3014" t="str">
        <f t="shared" si="47"/>
        <v>0418501658</v>
      </c>
      <c r="B3014" s="101" t="s">
        <v>18</v>
      </c>
      <c r="C3014" s="101" t="s">
        <v>164</v>
      </c>
      <c r="D3014" s="101" t="s">
        <v>147</v>
      </c>
      <c r="E3014" s="101" t="s">
        <v>19</v>
      </c>
      <c r="F3014" s="101" t="s">
        <v>214</v>
      </c>
    </row>
    <row r="3015" spans="1:6" x14ac:dyDescent="0.3">
      <c r="A3015" t="str">
        <f t="shared" si="47"/>
        <v>0418501659</v>
      </c>
      <c r="B3015" s="101" t="s">
        <v>18</v>
      </c>
      <c r="C3015" s="101" t="s">
        <v>164</v>
      </c>
      <c r="D3015" s="101" t="s">
        <v>147</v>
      </c>
      <c r="E3015" s="101" t="s">
        <v>19</v>
      </c>
      <c r="F3015" s="101" t="s">
        <v>215</v>
      </c>
    </row>
    <row r="3016" spans="1:6" x14ac:dyDescent="0.3">
      <c r="A3016" t="str">
        <f t="shared" si="47"/>
        <v>0418501660</v>
      </c>
      <c r="B3016" s="101" t="s">
        <v>18</v>
      </c>
      <c r="C3016" s="101" t="s">
        <v>164</v>
      </c>
      <c r="D3016" s="101" t="s">
        <v>147</v>
      </c>
      <c r="E3016" s="101" t="s">
        <v>19</v>
      </c>
      <c r="F3016" s="101" t="s">
        <v>216</v>
      </c>
    </row>
    <row r="3017" spans="1:6" x14ac:dyDescent="0.3">
      <c r="A3017" t="str">
        <f t="shared" si="47"/>
        <v>0418501661</v>
      </c>
      <c r="B3017" s="101" t="s">
        <v>18</v>
      </c>
      <c r="C3017" s="101" t="s">
        <v>164</v>
      </c>
      <c r="D3017" s="101" t="s">
        <v>147</v>
      </c>
      <c r="E3017" s="101" t="s">
        <v>19</v>
      </c>
      <c r="F3017" s="101" t="s">
        <v>217</v>
      </c>
    </row>
    <row r="3018" spans="1:6" x14ac:dyDescent="0.3">
      <c r="A3018" t="str">
        <f t="shared" si="47"/>
        <v>0418501662</v>
      </c>
      <c r="B3018" s="101" t="s">
        <v>18</v>
      </c>
      <c r="C3018" s="101" t="s">
        <v>164</v>
      </c>
      <c r="D3018" s="101" t="s">
        <v>147</v>
      </c>
      <c r="E3018" s="101" t="s">
        <v>19</v>
      </c>
      <c r="F3018" s="101" t="s">
        <v>493</v>
      </c>
    </row>
    <row r="3019" spans="1:6" x14ac:dyDescent="0.3">
      <c r="A3019" t="str">
        <f t="shared" si="47"/>
        <v>0418501663</v>
      </c>
      <c r="B3019" s="101" t="s">
        <v>18</v>
      </c>
      <c r="C3019" s="101" t="s">
        <v>164</v>
      </c>
      <c r="D3019" s="101" t="s">
        <v>147</v>
      </c>
      <c r="E3019" s="101" t="s">
        <v>19</v>
      </c>
      <c r="F3019" s="101" t="s">
        <v>494</v>
      </c>
    </row>
    <row r="3020" spans="1:6" x14ac:dyDescent="0.3">
      <c r="A3020" t="str">
        <f t="shared" si="47"/>
        <v>0418501664</v>
      </c>
      <c r="B3020" s="101" t="s">
        <v>18</v>
      </c>
      <c r="C3020" s="101" t="s">
        <v>164</v>
      </c>
      <c r="D3020" s="101" t="s">
        <v>147</v>
      </c>
      <c r="E3020" s="101" t="s">
        <v>19</v>
      </c>
      <c r="F3020" s="101" t="s">
        <v>495</v>
      </c>
    </row>
    <row r="3021" spans="1:6" x14ac:dyDescent="0.3">
      <c r="A3021" t="str">
        <f t="shared" si="47"/>
        <v>0418501665</v>
      </c>
      <c r="B3021" s="101" t="s">
        <v>18</v>
      </c>
      <c r="C3021" s="101" t="s">
        <v>164</v>
      </c>
      <c r="D3021" s="101" t="s">
        <v>147</v>
      </c>
      <c r="E3021" s="101" t="s">
        <v>19</v>
      </c>
      <c r="F3021" s="101" t="s">
        <v>496</v>
      </c>
    </row>
    <row r="3022" spans="1:6" x14ac:dyDescent="0.3">
      <c r="A3022" t="str">
        <f t="shared" si="47"/>
        <v>0418501666</v>
      </c>
      <c r="B3022" s="101" t="s">
        <v>18</v>
      </c>
      <c r="C3022" s="101" t="s">
        <v>164</v>
      </c>
      <c r="D3022" s="101" t="s">
        <v>147</v>
      </c>
      <c r="E3022" s="101" t="s">
        <v>19</v>
      </c>
      <c r="F3022" s="101" t="s">
        <v>201</v>
      </c>
    </row>
    <row r="3023" spans="1:6" x14ac:dyDescent="0.3">
      <c r="A3023" t="str">
        <f t="shared" si="47"/>
        <v>0418501667</v>
      </c>
      <c r="B3023" s="101" t="s">
        <v>18</v>
      </c>
      <c r="C3023" s="101" t="s">
        <v>164</v>
      </c>
      <c r="D3023" s="101" t="s">
        <v>147</v>
      </c>
      <c r="E3023" s="101" t="s">
        <v>19</v>
      </c>
      <c r="F3023" s="101" t="s">
        <v>203</v>
      </c>
    </row>
    <row r="3024" spans="1:6" x14ac:dyDescent="0.3">
      <c r="A3024" t="str">
        <f t="shared" si="47"/>
        <v>0418501668</v>
      </c>
      <c r="B3024" s="101" t="s">
        <v>18</v>
      </c>
      <c r="C3024" s="101" t="s">
        <v>164</v>
      </c>
      <c r="D3024" s="101" t="s">
        <v>147</v>
      </c>
      <c r="E3024" s="101" t="s">
        <v>19</v>
      </c>
      <c r="F3024" s="101" t="s">
        <v>498</v>
      </c>
    </row>
    <row r="3025" spans="1:6" x14ac:dyDescent="0.3">
      <c r="A3025" t="str">
        <f t="shared" si="47"/>
        <v>0418501669</v>
      </c>
      <c r="B3025" s="101" t="s">
        <v>18</v>
      </c>
      <c r="C3025" s="101" t="s">
        <v>164</v>
      </c>
      <c r="D3025" s="101" t="s">
        <v>147</v>
      </c>
      <c r="E3025" s="101" t="s">
        <v>19</v>
      </c>
      <c r="F3025" s="101" t="s">
        <v>499</v>
      </c>
    </row>
    <row r="3026" spans="1:6" x14ac:dyDescent="0.3">
      <c r="A3026" t="str">
        <f t="shared" si="47"/>
        <v>0418501670</v>
      </c>
      <c r="B3026" s="101" t="s">
        <v>18</v>
      </c>
      <c r="C3026" s="101" t="s">
        <v>164</v>
      </c>
      <c r="D3026" s="101" t="s">
        <v>147</v>
      </c>
      <c r="E3026" s="101" t="s">
        <v>19</v>
      </c>
      <c r="F3026" s="101" t="s">
        <v>500</v>
      </c>
    </row>
    <row r="3027" spans="1:6" x14ac:dyDescent="0.3">
      <c r="A3027" t="str">
        <f t="shared" si="47"/>
        <v>0418501671</v>
      </c>
      <c r="B3027" s="101" t="s">
        <v>18</v>
      </c>
      <c r="C3027" s="101" t="s">
        <v>164</v>
      </c>
      <c r="D3027" s="101" t="s">
        <v>147</v>
      </c>
      <c r="E3027" s="101" t="s">
        <v>19</v>
      </c>
      <c r="F3027" s="101" t="s">
        <v>501</v>
      </c>
    </row>
    <row r="3028" spans="1:6" x14ac:dyDescent="0.3">
      <c r="A3028" t="str">
        <f t="shared" si="47"/>
        <v>0418501672</v>
      </c>
      <c r="B3028" s="101" t="s">
        <v>18</v>
      </c>
      <c r="C3028" s="101" t="s">
        <v>164</v>
      </c>
      <c r="D3028" s="101" t="s">
        <v>147</v>
      </c>
      <c r="E3028" s="101" t="s">
        <v>19</v>
      </c>
      <c r="F3028" s="101" t="s">
        <v>502</v>
      </c>
    </row>
    <row r="3029" spans="1:6" x14ac:dyDescent="0.3">
      <c r="A3029" t="str">
        <f t="shared" si="47"/>
        <v>0418501673</v>
      </c>
      <c r="B3029" s="101" t="s">
        <v>18</v>
      </c>
      <c r="C3029" s="101" t="s">
        <v>164</v>
      </c>
      <c r="D3029" s="101" t="s">
        <v>147</v>
      </c>
      <c r="E3029" s="101" t="s">
        <v>19</v>
      </c>
      <c r="F3029" s="101" t="s">
        <v>503</v>
      </c>
    </row>
    <row r="3030" spans="1:6" x14ac:dyDescent="0.3">
      <c r="A3030" t="str">
        <f t="shared" si="47"/>
        <v>0418501674</v>
      </c>
      <c r="B3030" s="101" t="s">
        <v>18</v>
      </c>
      <c r="C3030" s="101" t="s">
        <v>164</v>
      </c>
      <c r="D3030" s="101" t="s">
        <v>147</v>
      </c>
      <c r="E3030" s="101" t="s">
        <v>19</v>
      </c>
      <c r="F3030" s="101" t="s">
        <v>504</v>
      </c>
    </row>
    <row r="3031" spans="1:6" x14ac:dyDescent="0.3">
      <c r="A3031" t="str">
        <f t="shared" si="47"/>
        <v>0415811</v>
      </c>
      <c r="B3031" s="101" t="s">
        <v>18</v>
      </c>
      <c r="C3031" s="101" t="s">
        <v>158</v>
      </c>
      <c r="D3031" s="101" t="s">
        <v>189</v>
      </c>
      <c r="E3031" s="101" t="s">
        <v>17</v>
      </c>
    </row>
    <row r="3032" spans="1:6" x14ac:dyDescent="0.3">
      <c r="A3032" t="str">
        <f t="shared" si="47"/>
        <v>0413046</v>
      </c>
      <c r="B3032" s="101" t="s">
        <v>18</v>
      </c>
      <c r="C3032" s="101" t="s">
        <v>154</v>
      </c>
      <c r="D3032" s="101" t="s">
        <v>455</v>
      </c>
      <c r="E3032" s="101" t="s">
        <v>140</v>
      </c>
    </row>
    <row r="3033" spans="1:6" x14ac:dyDescent="0.3">
      <c r="A3033" t="str">
        <f t="shared" si="47"/>
        <v>0615807</v>
      </c>
      <c r="B3033" s="101" t="s">
        <v>317</v>
      </c>
      <c r="C3033" s="101" t="s">
        <v>158</v>
      </c>
      <c r="D3033" s="101" t="s">
        <v>185</v>
      </c>
      <c r="E3033" s="101" t="s">
        <v>17</v>
      </c>
    </row>
    <row r="3034" spans="1:6" x14ac:dyDescent="0.3">
      <c r="A3034" t="str">
        <f t="shared" si="47"/>
        <v>0517801</v>
      </c>
      <c r="B3034" s="101" t="s">
        <v>313</v>
      </c>
      <c r="C3034" s="101" t="s">
        <v>162</v>
      </c>
      <c r="D3034" s="101" t="s">
        <v>144</v>
      </c>
      <c r="E3034" s="101" t="s">
        <v>139</v>
      </c>
    </row>
    <row r="3035" spans="1:6" x14ac:dyDescent="0.3">
      <c r="A3035" t="str">
        <f t="shared" si="47"/>
        <v>0323873</v>
      </c>
      <c r="B3035" s="101" t="s">
        <v>16</v>
      </c>
      <c r="C3035" s="101" t="s">
        <v>174</v>
      </c>
      <c r="D3035" s="101" t="s">
        <v>566</v>
      </c>
      <c r="E3035" s="101" t="s">
        <v>139</v>
      </c>
    </row>
    <row r="3036" spans="1:6" x14ac:dyDescent="0.3">
      <c r="A3036" t="str">
        <f t="shared" si="47"/>
        <v>0314802</v>
      </c>
      <c r="B3036" s="101" t="s">
        <v>16</v>
      </c>
      <c r="C3036" s="101" t="s">
        <v>156</v>
      </c>
      <c r="D3036" s="101" t="s">
        <v>145</v>
      </c>
      <c r="E3036" s="101" t="s">
        <v>139</v>
      </c>
    </row>
    <row r="3037" spans="1:6" x14ac:dyDescent="0.3">
      <c r="A3037" t="str">
        <f t="shared" si="47"/>
        <v>0317001</v>
      </c>
      <c r="B3037" s="101" t="s">
        <v>16</v>
      </c>
      <c r="C3037" s="101" t="s">
        <v>162</v>
      </c>
      <c r="D3037" s="101" t="s">
        <v>549</v>
      </c>
      <c r="E3037" s="101" t="s">
        <v>139</v>
      </c>
    </row>
    <row r="3038" spans="1:6" x14ac:dyDescent="0.3">
      <c r="A3038" t="str">
        <f t="shared" si="47"/>
        <v>0218001</v>
      </c>
      <c r="B3038" s="101" t="s">
        <v>639</v>
      </c>
      <c r="C3038" s="101" t="s">
        <v>164</v>
      </c>
      <c r="D3038" s="101" t="s">
        <v>549</v>
      </c>
      <c r="E3038" s="101" t="s">
        <v>17</v>
      </c>
    </row>
    <row r="3039" spans="1:6" x14ac:dyDescent="0.3">
      <c r="A3039" t="str">
        <f t="shared" si="47"/>
        <v>0419004</v>
      </c>
      <c r="B3039" s="101" t="s">
        <v>18</v>
      </c>
      <c r="C3039" s="101" t="s">
        <v>166</v>
      </c>
      <c r="D3039" s="101" t="s">
        <v>598</v>
      </c>
      <c r="E3039" s="101" t="s">
        <v>17</v>
      </c>
    </row>
    <row r="3040" spans="1:6" x14ac:dyDescent="0.3">
      <c r="A3040" t="str">
        <f t="shared" si="47"/>
        <v>0312004</v>
      </c>
      <c r="B3040" s="101" t="s">
        <v>16</v>
      </c>
      <c r="C3040" s="101" t="s">
        <v>152</v>
      </c>
      <c r="D3040" s="101" t="s">
        <v>598</v>
      </c>
      <c r="E3040" s="101" t="s">
        <v>19</v>
      </c>
    </row>
    <row r="3041" spans="1:5" x14ac:dyDescent="0.3">
      <c r="A3041" t="str">
        <f t="shared" si="47"/>
        <v>0217005</v>
      </c>
      <c r="B3041" s="101" t="s">
        <v>639</v>
      </c>
      <c r="C3041" s="101" t="s">
        <v>162</v>
      </c>
      <c r="D3041" s="101" t="s">
        <v>399</v>
      </c>
      <c r="E3041" s="101" t="s">
        <v>139</v>
      </c>
    </row>
    <row r="3042" spans="1:5" x14ac:dyDescent="0.3">
      <c r="A3042" t="str">
        <f t="shared" si="47"/>
        <v>0218007</v>
      </c>
      <c r="B3042" s="101" t="s">
        <v>639</v>
      </c>
      <c r="C3042" s="101" t="s">
        <v>164</v>
      </c>
      <c r="D3042" s="101" t="s">
        <v>401</v>
      </c>
      <c r="E3042" s="101" t="s">
        <v>17</v>
      </c>
    </row>
    <row r="3043" spans="1:5" x14ac:dyDescent="0.3">
      <c r="A3043" t="str">
        <f t="shared" si="47"/>
        <v>0419008</v>
      </c>
      <c r="B3043" s="101" t="s">
        <v>18</v>
      </c>
      <c r="C3043" s="101" t="s">
        <v>166</v>
      </c>
      <c r="D3043" s="101" t="s">
        <v>405</v>
      </c>
      <c r="E3043" s="101" t="s">
        <v>17</v>
      </c>
    </row>
    <row r="3044" spans="1:5" x14ac:dyDescent="0.3">
      <c r="A3044" t="str">
        <f t="shared" si="47"/>
        <v>0218009</v>
      </c>
      <c r="B3044" s="101" t="s">
        <v>639</v>
      </c>
      <c r="C3044" s="101" t="s">
        <v>164</v>
      </c>
      <c r="D3044" s="101" t="s">
        <v>406</v>
      </c>
      <c r="E3044" s="101" t="s">
        <v>17</v>
      </c>
    </row>
    <row r="3045" spans="1:5" x14ac:dyDescent="0.3">
      <c r="A3045" t="str">
        <f t="shared" si="47"/>
        <v>0419009</v>
      </c>
      <c r="B3045" s="101" t="s">
        <v>18</v>
      </c>
      <c r="C3045" s="101" t="s">
        <v>166</v>
      </c>
      <c r="D3045" s="101" t="s">
        <v>406</v>
      </c>
      <c r="E3045" s="101" t="s">
        <v>17</v>
      </c>
    </row>
    <row r="3046" spans="1:5" x14ac:dyDescent="0.3">
      <c r="A3046" t="str">
        <f t="shared" si="47"/>
        <v>0413010</v>
      </c>
      <c r="B3046" s="101" t="s">
        <v>18</v>
      </c>
      <c r="C3046" s="101" t="s">
        <v>154</v>
      </c>
      <c r="D3046" s="101" t="s">
        <v>599</v>
      </c>
      <c r="E3046" s="101" t="s">
        <v>17</v>
      </c>
    </row>
    <row r="3047" spans="1:5" x14ac:dyDescent="0.3">
      <c r="A3047" t="str">
        <f t="shared" si="47"/>
        <v>0715015</v>
      </c>
      <c r="B3047" s="101" t="s">
        <v>319</v>
      </c>
      <c r="C3047" s="101" t="s">
        <v>158</v>
      </c>
      <c r="D3047" s="101" t="s">
        <v>321</v>
      </c>
      <c r="E3047" s="101" t="s">
        <v>17</v>
      </c>
    </row>
    <row r="3048" spans="1:5" x14ac:dyDescent="0.3">
      <c r="A3048" t="str">
        <f t="shared" si="47"/>
        <v>0815015</v>
      </c>
      <c r="B3048" s="101" t="s">
        <v>320</v>
      </c>
      <c r="C3048" s="101" t="s">
        <v>158</v>
      </c>
      <c r="D3048" s="101" t="s">
        <v>321</v>
      </c>
      <c r="E3048" s="101" t="s">
        <v>17</v>
      </c>
    </row>
    <row r="3049" spans="1:5" x14ac:dyDescent="0.3">
      <c r="A3049" t="str">
        <f t="shared" si="47"/>
        <v>0615015</v>
      </c>
      <c r="B3049" s="101" t="s">
        <v>317</v>
      </c>
      <c r="C3049" s="101" t="s">
        <v>158</v>
      </c>
      <c r="D3049" s="101" t="s">
        <v>321</v>
      </c>
      <c r="E3049" s="101" t="s">
        <v>17</v>
      </c>
    </row>
    <row r="3050" spans="1:5" x14ac:dyDescent="0.3">
      <c r="A3050" t="str">
        <f t="shared" si="47"/>
        <v>0515015</v>
      </c>
      <c r="B3050" s="101" t="s">
        <v>313</v>
      </c>
      <c r="C3050" s="101" t="s">
        <v>158</v>
      </c>
      <c r="D3050" s="101" t="s">
        <v>321</v>
      </c>
      <c r="E3050" s="101" t="s">
        <v>17</v>
      </c>
    </row>
    <row r="3051" spans="1:5" x14ac:dyDescent="0.3">
      <c r="A3051" t="str">
        <f t="shared" si="47"/>
        <v>0615016</v>
      </c>
      <c r="B3051" s="101" t="s">
        <v>317</v>
      </c>
      <c r="C3051" s="101" t="s">
        <v>158</v>
      </c>
      <c r="D3051" s="101" t="s">
        <v>396</v>
      </c>
      <c r="E3051" s="101" t="s">
        <v>17</v>
      </c>
    </row>
    <row r="3052" spans="1:5" x14ac:dyDescent="0.3">
      <c r="A3052" t="str">
        <f t="shared" si="47"/>
        <v>0815016</v>
      </c>
      <c r="B3052" s="101" t="s">
        <v>320</v>
      </c>
      <c r="C3052" s="101" t="s">
        <v>158</v>
      </c>
      <c r="D3052" s="101" t="s">
        <v>396</v>
      </c>
      <c r="E3052" s="101" t="s">
        <v>17</v>
      </c>
    </row>
    <row r="3053" spans="1:5" x14ac:dyDescent="0.3">
      <c r="A3053" t="str">
        <f t="shared" si="47"/>
        <v>0219016</v>
      </c>
      <c r="B3053" s="101" t="s">
        <v>639</v>
      </c>
      <c r="C3053" s="101" t="s">
        <v>166</v>
      </c>
      <c r="D3053" s="101" t="s">
        <v>396</v>
      </c>
      <c r="E3053" s="101" t="s">
        <v>17</v>
      </c>
    </row>
    <row r="3054" spans="1:5" x14ac:dyDescent="0.3">
      <c r="A3054" t="str">
        <f t="shared" si="47"/>
        <v>0217029</v>
      </c>
      <c r="B3054" s="101" t="s">
        <v>639</v>
      </c>
      <c r="C3054" s="101" t="s">
        <v>162</v>
      </c>
      <c r="D3054" s="101" t="s">
        <v>355</v>
      </c>
      <c r="E3054" s="101" t="s">
        <v>17</v>
      </c>
    </row>
    <row r="3055" spans="1:5" x14ac:dyDescent="0.3">
      <c r="A3055" t="str">
        <f t="shared" si="47"/>
        <v>0217032</v>
      </c>
      <c r="B3055" s="101" t="s">
        <v>639</v>
      </c>
      <c r="C3055" s="101" t="s">
        <v>162</v>
      </c>
      <c r="D3055" s="101" t="s">
        <v>370</v>
      </c>
      <c r="E3055" s="101" t="s">
        <v>17</v>
      </c>
    </row>
    <row r="3056" spans="1:5" x14ac:dyDescent="0.3">
      <c r="A3056" t="str">
        <f t="shared" si="47"/>
        <v>0222034</v>
      </c>
      <c r="B3056" s="101" t="s">
        <v>639</v>
      </c>
      <c r="C3056" s="101" t="s">
        <v>172</v>
      </c>
      <c r="D3056" s="101" t="s">
        <v>329</v>
      </c>
      <c r="E3056" s="101" t="s">
        <v>17</v>
      </c>
    </row>
    <row r="3057" spans="1:5" x14ac:dyDescent="0.3">
      <c r="A3057" t="str">
        <f t="shared" si="47"/>
        <v>0313034</v>
      </c>
      <c r="B3057" s="101" t="s">
        <v>16</v>
      </c>
      <c r="C3057" s="101" t="s">
        <v>154</v>
      </c>
      <c r="D3057" s="101" t="s">
        <v>329</v>
      </c>
      <c r="E3057" s="101" t="s">
        <v>139</v>
      </c>
    </row>
    <row r="3058" spans="1:5" x14ac:dyDescent="0.3">
      <c r="A3058" t="str">
        <f t="shared" si="47"/>
        <v>0217035</v>
      </c>
      <c r="B3058" s="101" t="s">
        <v>639</v>
      </c>
      <c r="C3058" s="101" t="s">
        <v>162</v>
      </c>
      <c r="D3058" s="101" t="s">
        <v>497</v>
      </c>
      <c r="E3058" s="101" t="s">
        <v>17</v>
      </c>
    </row>
    <row r="3059" spans="1:5" x14ac:dyDescent="0.3">
      <c r="A3059" t="str">
        <f t="shared" si="47"/>
        <v>0314036</v>
      </c>
      <c r="B3059" s="101" t="s">
        <v>16</v>
      </c>
      <c r="C3059" s="101" t="s">
        <v>156</v>
      </c>
      <c r="D3059" s="101" t="s">
        <v>580</v>
      </c>
      <c r="E3059" s="101" t="s">
        <v>139</v>
      </c>
    </row>
    <row r="3060" spans="1:5" x14ac:dyDescent="0.3">
      <c r="A3060" t="str">
        <f t="shared" si="47"/>
        <v>0814036</v>
      </c>
      <c r="B3060" s="101" t="s">
        <v>320</v>
      </c>
      <c r="C3060" s="101" t="s">
        <v>156</v>
      </c>
      <c r="D3060" s="101" t="s">
        <v>580</v>
      </c>
      <c r="E3060" s="101" t="s">
        <v>139</v>
      </c>
    </row>
    <row r="3061" spans="1:5" x14ac:dyDescent="0.3">
      <c r="A3061" t="str">
        <f t="shared" si="47"/>
        <v>0215037</v>
      </c>
      <c r="B3061" s="101" t="s">
        <v>639</v>
      </c>
      <c r="C3061" s="101" t="s">
        <v>158</v>
      </c>
      <c r="D3061" s="101" t="s">
        <v>625</v>
      </c>
      <c r="E3061" s="101" t="s">
        <v>17</v>
      </c>
    </row>
    <row r="3062" spans="1:5" x14ac:dyDescent="0.3">
      <c r="A3062" t="str">
        <f t="shared" si="47"/>
        <v>0217038</v>
      </c>
      <c r="B3062" s="101" t="s">
        <v>639</v>
      </c>
      <c r="C3062" s="101" t="s">
        <v>162</v>
      </c>
      <c r="D3062" s="101" t="s">
        <v>581</v>
      </c>
      <c r="E3062" s="101" t="s">
        <v>17</v>
      </c>
    </row>
    <row r="3063" spans="1:5" x14ac:dyDescent="0.3">
      <c r="A3063" t="str">
        <f t="shared" si="47"/>
        <v>0222042</v>
      </c>
      <c r="B3063" s="101" t="s">
        <v>639</v>
      </c>
      <c r="C3063" s="101" t="s">
        <v>172</v>
      </c>
      <c r="D3063" s="101" t="s">
        <v>584</v>
      </c>
      <c r="E3063" s="101" t="s">
        <v>17</v>
      </c>
    </row>
    <row r="3064" spans="1:5" x14ac:dyDescent="0.3">
      <c r="A3064" t="str">
        <f t="shared" si="47"/>
        <v>0422042</v>
      </c>
      <c r="B3064" s="101" t="s">
        <v>18</v>
      </c>
      <c r="C3064" s="101" t="s">
        <v>172</v>
      </c>
      <c r="D3064" s="101" t="s">
        <v>584</v>
      </c>
      <c r="E3064" s="101" t="s">
        <v>17</v>
      </c>
    </row>
    <row r="3065" spans="1:5" x14ac:dyDescent="0.3">
      <c r="A3065" t="str">
        <f t="shared" si="47"/>
        <v>0413045</v>
      </c>
      <c r="B3065" s="101" t="s">
        <v>18</v>
      </c>
      <c r="C3065" s="101" t="s">
        <v>154</v>
      </c>
      <c r="D3065" s="101" t="s">
        <v>453</v>
      </c>
      <c r="E3065" s="101" t="s">
        <v>140</v>
      </c>
    </row>
    <row r="3066" spans="1:5" x14ac:dyDescent="0.3">
      <c r="A3066" t="str">
        <f t="shared" si="47"/>
        <v>0418047</v>
      </c>
      <c r="B3066" s="101" t="s">
        <v>18</v>
      </c>
      <c r="C3066" s="101" t="s">
        <v>164</v>
      </c>
      <c r="D3066" s="101" t="s">
        <v>585</v>
      </c>
      <c r="E3066" s="101" t="s">
        <v>139</v>
      </c>
    </row>
    <row r="3067" spans="1:5" x14ac:dyDescent="0.3">
      <c r="A3067" t="str">
        <f t="shared" si="47"/>
        <v>0222053</v>
      </c>
      <c r="B3067" s="101" t="s">
        <v>639</v>
      </c>
      <c r="C3067" s="101" t="s">
        <v>172</v>
      </c>
      <c r="D3067" s="101" t="s">
        <v>607</v>
      </c>
      <c r="E3067" s="101" t="s">
        <v>140</v>
      </c>
    </row>
    <row r="3068" spans="1:5" x14ac:dyDescent="0.3">
      <c r="A3068" t="str">
        <f t="shared" si="47"/>
        <v>0114053</v>
      </c>
      <c r="B3068" s="101" t="s">
        <v>640</v>
      </c>
      <c r="C3068" s="101" t="s">
        <v>156</v>
      </c>
      <c r="D3068" s="101" t="s">
        <v>607</v>
      </c>
      <c r="E3068" s="101" t="s">
        <v>139</v>
      </c>
    </row>
    <row r="3069" spans="1:5" x14ac:dyDescent="0.3">
      <c r="A3069" t="str">
        <f t="shared" si="47"/>
        <v>0314053</v>
      </c>
      <c r="B3069" s="101" t="s">
        <v>16</v>
      </c>
      <c r="C3069" s="101" t="s">
        <v>156</v>
      </c>
      <c r="D3069" s="101" t="s">
        <v>607</v>
      </c>
      <c r="E3069" s="101" t="s">
        <v>139</v>
      </c>
    </row>
    <row r="3070" spans="1:5" x14ac:dyDescent="0.3">
      <c r="A3070" t="str">
        <f t="shared" si="47"/>
        <v>0212059</v>
      </c>
      <c r="B3070" s="101" t="s">
        <v>639</v>
      </c>
      <c r="C3070" s="101" t="s">
        <v>152</v>
      </c>
      <c r="D3070" s="101" t="s">
        <v>482</v>
      </c>
      <c r="E3070" s="101" t="s">
        <v>17</v>
      </c>
    </row>
    <row r="3071" spans="1:5" x14ac:dyDescent="0.3">
      <c r="A3071" t="str">
        <f t="shared" si="47"/>
        <v>0218081</v>
      </c>
      <c r="B3071" s="101" t="s">
        <v>639</v>
      </c>
      <c r="C3071" s="101" t="s">
        <v>164</v>
      </c>
      <c r="D3071" s="101" t="s">
        <v>621</v>
      </c>
      <c r="E3071" s="101" t="s">
        <v>17</v>
      </c>
    </row>
    <row r="3072" spans="1:5" x14ac:dyDescent="0.3">
      <c r="A3072" t="str">
        <f t="shared" si="47"/>
        <v>0217089</v>
      </c>
      <c r="B3072" s="101" t="s">
        <v>639</v>
      </c>
      <c r="C3072" s="101" t="s">
        <v>162</v>
      </c>
      <c r="D3072" s="101" t="s">
        <v>589</v>
      </c>
      <c r="E3072" s="101" t="s">
        <v>17</v>
      </c>
    </row>
    <row r="3073" spans="1:5" x14ac:dyDescent="0.3">
      <c r="A3073" t="str">
        <f t="shared" si="47"/>
        <v>0417091</v>
      </c>
      <c r="B3073" s="101" t="s">
        <v>18</v>
      </c>
      <c r="C3073" s="101" t="s">
        <v>162</v>
      </c>
      <c r="D3073" s="101" t="s">
        <v>641</v>
      </c>
      <c r="E3073" s="101" t="s">
        <v>17</v>
      </c>
    </row>
    <row r="3074" spans="1:5" x14ac:dyDescent="0.3">
      <c r="A3074" t="str">
        <f t="shared" si="47"/>
        <v>0217091</v>
      </c>
      <c r="B3074" s="101" t="s">
        <v>639</v>
      </c>
      <c r="C3074" s="101" t="s">
        <v>162</v>
      </c>
      <c r="D3074" s="101" t="s">
        <v>641</v>
      </c>
      <c r="E3074" s="101" t="s">
        <v>17</v>
      </c>
    </row>
    <row r="3075" spans="1:5" x14ac:dyDescent="0.3">
      <c r="A3075" t="str">
        <f t="shared" ref="A3075:A3138" si="48">CONCATENATE(B3075,C3075,D3075,F3075)</f>
        <v>0318093</v>
      </c>
      <c r="B3075" s="101" t="s">
        <v>16</v>
      </c>
      <c r="C3075" s="101" t="s">
        <v>164</v>
      </c>
      <c r="D3075" s="101" t="s">
        <v>642</v>
      </c>
      <c r="E3075" s="101" t="s">
        <v>139</v>
      </c>
    </row>
    <row r="3076" spans="1:5" x14ac:dyDescent="0.3">
      <c r="A3076" t="str">
        <f t="shared" si="48"/>
        <v>0317096</v>
      </c>
      <c r="B3076" s="101" t="s">
        <v>16</v>
      </c>
      <c r="C3076" s="101" t="s">
        <v>162</v>
      </c>
      <c r="D3076" s="101" t="s">
        <v>643</v>
      </c>
      <c r="E3076" s="101" t="s">
        <v>19</v>
      </c>
    </row>
    <row r="3077" spans="1:5" x14ac:dyDescent="0.3">
      <c r="A3077" t="str">
        <f t="shared" si="48"/>
        <v>0417099</v>
      </c>
      <c r="B3077" s="101" t="s">
        <v>18</v>
      </c>
      <c r="C3077" s="101" t="s">
        <v>162</v>
      </c>
      <c r="D3077" s="101" t="s">
        <v>595</v>
      </c>
      <c r="E3077" s="101" t="s">
        <v>17</v>
      </c>
    </row>
    <row r="3078" spans="1:5" x14ac:dyDescent="0.3">
      <c r="A3078" t="str">
        <f t="shared" si="48"/>
        <v>0221100</v>
      </c>
      <c r="B3078" s="101" t="s">
        <v>639</v>
      </c>
      <c r="C3078" s="101" t="s">
        <v>170</v>
      </c>
      <c r="D3078" s="101" t="s">
        <v>222</v>
      </c>
      <c r="E3078" s="101" t="s">
        <v>17</v>
      </c>
    </row>
    <row r="3079" spans="1:5" x14ac:dyDescent="0.3">
      <c r="A3079" t="str">
        <f t="shared" si="48"/>
        <v>0221101</v>
      </c>
      <c r="B3079" s="101" t="s">
        <v>639</v>
      </c>
      <c r="C3079" s="101" t="s">
        <v>170</v>
      </c>
      <c r="D3079" s="101" t="s">
        <v>223</v>
      </c>
      <c r="E3079" s="101" t="s">
        <v>17</v>
      </c>
    </row>
    <row r="3080" spans="1:5" x14ac:dyDescent="0.3">
      <c r="A3080" t="str">
        <f t="shared" si="48"/>
        <v>0421105</v>
      </c>
      <c r="B3080" s="101" t="s">
        <v>18</v>
      </c>
      <c r="C3080" s="101" t="s">
        <v>170</v>
      </c>
      <c r="D3080" s="101" t="s">
        <v>235</v>
      </c>
      <c r="E3080" s="101" t="s">
        <v>17</v>
      </c>
    </row>
    <row r="3081" spans="1:5" x14ac:dyDescent="0.3">
      <c r="A3081" t="str">
        <f t="shared" si="48"/>
        <v>0721106</v>
      </c>
      <c r="B3081" s="101" t="s">
        <v>319</v>
      </c>
      <c r="C3081" s="101" t="s">
        <v>170</v>
      </c>
      <c r="D3081" s="101" t="s">
        <v>236</v>
      </c>
      <c r="E3081" s="101" t="s">
        <v>17</v>
      </c>
    </row>
    <row r="3082" spans="1:5" x14ac:dyDescent="0.3">
      <c r="A3082" t="str">
        <f t="shared" si="48"/>
        <v>0421106</v>
      </c>
      <c r="B3082" s="101" t="s">
        <v>18</v>
      </c>
      <c r="C3082" s="101" t="s">
        <v>170</v>
      </c>
      <c r="D3082" s="101" t="s">
        <v>236</v>
      </c>
      <c r="E3082" s="101" t="s">
        <v>17</v>
      </c>
    </row>
    <row r="3083" spans="1:5" x14ac:dyDescent="0.3">
      <c r="A3083" t="str">
        <f t="shared" si="48"/>
        <v>0317110</v>
      </c>
      <c r="B3083" s="101" t="s">
        <v>16</v>
      </c>
      <c r="C3083" s="101" t="s">
        <v>162</v>
      </c>
      <c r="D3083" s="101" t="s">
        <v>240</v>
      </c>
      <c r="E3083" s="101" t="s">
        <v>139</v>
      </c>
    </row>
    <row r="3084" spans="1:5" x14ac:dyDescent="0.3">
      <c r="A3084" t="str">
        <f t="shared" si="48"/>
        <v>0117110</v>
      </c>
      <c r="B3084" s="101" t="s">
        <v>640</v>
      </c>
      <c r="C3084" s="101" t="s">
        <v>162</v>
      </c>
      <c r="D3084" s="101" t="s">
        <v>240</v>
      </c>
      <c r="E3084" s="101" t="s">
        <v>139</v>
      </c>
    </row>
    <row r="3085" spans="1:5" x14ac:dyDescent="0.3">
      <c r="A3085" t="str">
        <f t="shared" si="48"/>
        <v>0315123</v>
      </c>
      <c r="B3085" s="101" t="s">
        <v>16</v>
      </c>
      <c r="C3085" s="101" t="s">
        <v>158</v>
      </c>
      <c r="D3085" s="101" t="s">
        <v>252</v>
      </c>
      <c r="E3085" s="101" t="s">
        <v>139</v>
      </c>
    </row>
    <row r="3086" spans="1:5" x14ac:dyDescent="0.3">
      <c r="A3086" t="str">
        <f t="shared" si="48"/>
        <v>0113123</v>
      </c>
      <c r="B3086" s="101" t="s">
        <v>640</v>
      </c>
      <c r="C3086" s="101" t="s">
        <v>154</v>
      </c>
      <c r="D3086" s="101" t="s">
        <v>252</v>
      </c>
      <c r="E3086" s="101" t="s">
        <v>139</v>
      </c>
    </row>
    <row r="3087" spans="1:5" x14ac:dyDescent="0.3">
      <c r="A3087" t="str">
        <f t="shared" si="48"/>
        <v>0323123</v>
      </c>
      <c r="B3087" s="101" t="s">
        <v>16</v>
      </c>
      <c r="C3087" s="101" t="s">
        <v>174</v>
      </c>
      <c r="D3087" s="101" t="s">
        <v>252</v>
      </c>
      <c r="E3087" s="101" t="s">
        <v>139</v>
      </c>
    </row>
    <row r="3088" spans="1:5" x14ac:dyDescent="0.3">
      <c r="A3088" t="str">
        <f t="shared" si="48"/>
        <v>0722123</v>
      </c>
      <c r="B3088" s="101" t="s">
        <v>319</v>
      </c>
      <c r="C3088" s="101" t="s">
        <v>172</v>
      </c>
      <c r="D3088" s="101" t="s">
        <v>252</v>
      </c>
      <c r="E3088" s="101" t="s">
        <v>140</v>
      </c>
    </row>
    <row r="3089" spans="1:5" x14ac:dyDescent="0.3">
      <c r="A3089" t="str">
        <f t="shared" si="48"/>
        <v>0316123</v>
      </c>
      <c r="B3089" s="101" t="s">
        <v>16</v>
      </c>
      <c r="C3089" s="101" t="s">
        <v>160</v>
      </c>
      <c r="D3089" s="101" t="s">
        <v>252</v>
      </c>
      <c r="E3089" s="101" t="s">
        <v>139</v>
      </c>
    </row>
    <row r="3090" spans="1:5" x14ac:dyDescent="0.3">
      <c r="A3090" t="str">
        <f t="shared" si="48"/>
        <v>0320123</v>
      </c>
      <c r="B3090" s="101" t="s">
        <v>16</v>
      </c>
      <c r="C3090" s="101" t="s">
        <v>168</v>
      </c>
      <c r="D3090" s="101" t="s">
        <v>252</v>
      </c>
      <c r="E3090" s="101" t="s">
        <v>139</v>
      </c>
    </row>
    <row r="3091" spans="1:5" x14ac:dyDescent="0.3">
      <c r="A3091" t="str">
        <f t="shared" si="48"/>
        <v>0311123</v>
      </c>
      <c r="B3091" s="101" t="s">
        <v>16</v>
      </c>
      <c r="C3091" s="101" t="s">
        <v>150</v>
      </c>
      <c r="D3091" s="101" t="s">
        <v>252</v>
      </c>
      <c r="E3091" s="101" t="s">
        <v>139</v>
      </c>
    </row>
    <row r="3092" spans="1:5" x14ac:dyDescent="0.3">
      <c r="A3092" t="str">
        <f t="shared" si="48"/>
        <v>0615123</v>
      </c>
      <c r="B3092" s="101" t="s">
        <v>317</v>
      </c>
      <c r="C3092" s="101" t="s">
        <v>158</v>
      </c>
      <c r="D3092" s="101" t="s">
        <v>252</v>
      </c>
      <c r="E3092" s="101" t="s">
        <v>139</v>
      </c>
    </row>
    <row r="3093" spans="1:5" x14ac:dyDescent="0.3">
      <c r="A3093" t="str">
        <f t="shared" si="48"/>
        <v>0321123</v>
      </c>
      <c r="B3093" s="101" t="s">
        <v>16</v>
      </c>
      <c r="C3093" s="101" t="s">
        <v>170</v>
      </c>
      <c r="D3093" s="101" t="s">
        <v>252</v>
      </c>
      <c r="E3093" s="101" t="s">
        <v>139</v>
      </c>
    </row>
    <row r="3094" spans="1:5" x14ac:dyDescent="0.3">
      <c r="A3094" t="str">
        <f t="shared" si="48"/>
        <v>0416123</v>
      </c>
      <c r="B3094" s="101" t="s">
        <v>18</v>
      </c>
      <c r="C3094" s="101" t="s">
        <v>160</v>
      </c>
      <c r="D3094" s="101" t="s">
        <v>252</v>
      </c>
      <c r="E3094" s="101" t="s">
        <v>140</v>
      </c>
    </row>
    <row r="3095" spans="1:5" x14ac:dyDescent="0.3">
      <c r="A3095" t="str">
        <f t="shared" si="48"/>
        <v>0511123</v>
      </c>
      <c r="B3095" s="101" t="s">
        <v>313</v>
      </c>
      <c r="C3095" s="101" t="s">
        <v>150</v>
      </c>
      <c r="D3095" s="101" t="s">
        <v>252</v>
      </c>
      <c r="E3095" s="101" t="s">
        <v>17</v>
      </c>
    </row>
    <row r="3096" spans="1:5" x14ac:dyDescent="0.3">
      <c r="A3096" t="str">
        <f t="shared" si="48"/>
        <v>0411123</v>
      </c>
      <c r="B3096" s="101" t="s">
        <v>18</v>
      </c>
      <c r="C3096" s="101" t="s">
        <v>150</v>
      </c>
      <c r="D3096" s="101" t="s">
        <v>252</v>
      </c>
      <c r="E3096" s="101" t="s">
        <v>17</v>
      </c>
    </row>
    <row r="3097" spans="1:5" x14ac:dyDescent="0.3">
      <c r="A3097" t="str">
        <f t="shared" si="48"/>
        <v>0312123</v>
      </c>
      <c r="B3097" s="101" t="s">
        <v>16</v>
      </c>
      <c r="C3097" s="101" t="s">
        <v>152</v>
      </c>
      <c r="D3097" s="101" t="s">
        <v>252</v>
      </c>
      <c r="E3097" s="101" t="s">
        <v>139</v>
      </c>
    </row>
    <row r="3098" spans="1:5" x14ac:dyDescent="0.3">
      <c r="A3098" t="str">
        <f t="shared" si="48"/>
        <v>0419123</v>
      </c>
      <c r="B3098" s="101" t="s">
        <v>18</v>
      </c>
      <c r="C3098" s="101" t="s">
        <v>166</v>
      </c>
      <c r="D3098" s="101" t="s">
        <v>252</v>
      </c>
      <c r="E3098" s="101" t="s">
        <v>17</v>
      </c>
    </row>
    <row r="3099" spans="1:5" x14ac:dyDescent="0.3">
      <c r="A3099" t="str">
        <f t="shared" si="48"/>
        <v>0114123</v>
      </c>
      <c r="B3099" s="101" t="s">
        <v>640</v>
      </c>
      <c r="C3099" s="101" t="s">
        <v>156</v>
      </c>
      <c r="D3099" s="101" t="s">
        <v>252</v>
      </c>
      <c r="E3099" s="101" t="s">
        <v>139</v>
      </c>
    </row>
    <row r="3100" spans="1:5" x14ac:dyDescent="0.3">
      <c r="A3100" t="str">
        <f t="shared" si="48"/>
        <v>0410123</v>
      </c>
      <c r="B3100" s="101" t="s">
        <v>18</v>
      </c>
      <c r="C3100" s="101" t="s">
        <v>143</v>
      </c>
      <c r="D3100" s="101" t="s">
        <v>252</v>
      </c>
      <c r="E3100" s="101" t="s">
        <v>17</v>
      </c>
    </row>
    <row r="3101" spans="1:5" x14ac:dyDescent="0.3">
      <c r="A3101" t="str">
        <f t="shared" si="48"/>
        <v>0210124</v>
      </c>
      <c r="B3101" s="101" t="s">
        <v>639</v>
      </c>
      <c r="C3101" s="101" t="s">
        <v>143</v>
      </c>
      <c r="D3101" s="101" t="s">
        <v>148</v>
      </c>
      <c r="E3101" s="101" t="s">
        <v>17</v>
      </c>
    </row>
    <row r="3102" spans="1:5" x14ac:dyDescent="0.3">
      <c r="A3102" t="str">
        <f t="shared" si="48"/>
        <v>0320126</v>
      </c>
      <c r="B3102" s="101" t="s">
        <v>16</v>
      </c>
      <c r="C3102" s="101" t="s">
        <v>168</v>
      </c>
      <c r="D3102" s="101" t="s">
        <v>151</v>
      </c>
      <c r="E3102" s="101" t="s">
        <v>139</v>
      </c>
    </row>
    <row r="3103" spans="1:5" x14ac:dyDescent="0.3">
      <c r="A3103" t="str">
        <f t="shared" si="48"/>
        <v>0210126</v>
      </c>
      <c r="B3103" s="101" t="s">
        <v>639</v>
      </c>
      <c r="C3103" s="101" t="s">
        <v>143</v>
      </c>
      <c r="D3103" s="101" t="s">
        <v>151</v>
      </c>
      <c r="E3103" s="101" t="s">
        <v>17</v>
      </c>
    </row>
    <row r="3104" spans="1:5" x14ac:dyDescent="0.3">
      <c r="A3104" t="str">
        <f t="shared" si="48"/>
        <v>0217127</v>
      </c>
      <c r="B3104" s="101" t="s">
        <v>639</v>
      </c>
      <c r="C3104" s="101" t="s">
        <v>162</v>
      </c>
      <c r="D3104" s="101" t="s">
        <v>153</v>
      </c>
      <c r="E3104" s="101" t="s">
        <v>17</v>
      </c>
    </row>
    <row r="3105" spans="1:5" x14ac:dyDescent="0.3">
      <c r="A3105" t="str">
        <f t="shared" si="48"/>
        <v>0210130</v>
      </c>
      <c r="B3105" s="101" t="s">
        <v>639</v>
      </c>
      <c r="C3105" s="101" t="s">
        <v>143</v>
      </c>
      <c r="D3105" s="101" t="s">
        <v>226</v>
      </c>
      <c r="E3105" s="101" t="s">
        <v>17</v>
      </c>
    </row>
    <row r="3106" spans="1:5" x14ac:dyDescent="0.3">
      <c r="A3106" t="str">
        <f t="shared" si="48"/>
        <v>0420133</v>
      </c>
      <c r="B3106" s="101" t="s">
        <v>18</v>
      </c>
      <c r="C3106" s="101" t="s">
        <v>168</v>
      </c>
      <c r="D3106" s="101" t="s">
        <v>256</v>
      </c>
      <c r="E3106" s="101" t="s">
        <v>140</v>
      </c>
    </row>
    <row r="3107" spans="1:5" x14ac:dyDescent="0.3">
      <c r="A3107" t="str">
        <f t="shared" si="48"/>
        <v>0411143</v>
      </c>
      <c r="B3107" s="101" t="s">
        <v>18</v>
      </c>
      <c r="C3107" s="101" t="s">
        <v>150</v>
      </c>
      <c r="D3107" s="101" t="s">
        <v>157</v>
      </c>
      <c r="E3107" s="101" t="s">
        <v>17</v>
      </c>
    </row>
    <row r="3108" spans="1:5" x14ac:dyDescent="0.3">
      <c r="A3108" t="str">
        <f t="shared" si="48"/>
        <v>0419156</v>
      </c>
      <c r="B3108" s="101" t="s">
        <v>18</v>
      </c>
      <c r="C3108" s="101" t="s">
        <v>166</v>
      </c>
      <c r="D3108" s="101" t="s">
        <v>277</v>
      </c>
      <c r="E3108" s="101" t="s">
        <v>17</v>
      </c>
    </row>
    <row r="3109" spans="1:5" x14ac:dyDescent="0.3">
      <c r="A3109" t="str">
        <f t="shared" si="48"/>
        <v>0419157</v>
      </c>
      <c r="B3109" s="101" t="s">
        <v>18</v>
      </c>
      <c r="C3109" s="101" t="s">
        <v>166</v>
      </c>
      <c r="D3109" s="101" t="s">
        <v>278</v>
      </c>
      <c r="E3109" s="101" t="s">
        <v>17</v>
      </c>
    </row>
    <row r="3110" spans="1:5" x14ac:dyDescent="0.3">
      <c r="A3110" t="str">
        <f t="shared" si="48"/>
        <v>0210188</v>
      </c>
      <c r="B3110" s="101" t="s">
        <v>639</v>
      </c>
      <c r="C3110" s="101" t="s">
        <v>143</v>
      </c>
      <c r="D3110" s="101" t="s">
        <v>288</v>
      </c>
      <c r="E3110" s="101" t="s">
        <v>17</v>
      </c>
    </row>
    <row r="3111" spans="1:5" x14ac:dyDescent="0.3">
      <c r="A3111" t="str">
        <f t="shared" si="48"/>
        <v>0210190</v>
      </c>
      <c r="B3111" s="101" t="s">
        <v>639</v>
      </c>
      <c r="C3111" s="101" t="s">
        <v>143</v>
      </c>
      <c r="D3111" s="101" t="s">
        <v>228</v>
      </c>
      <c r="E3111" s="101" t="s">
        <v>17</v>
      </c>
    </row>
    <row r="3112" spans="1:5" x14ac:dyDescent="0.3">
      <c r="A3112" t="str">
        <f t="shared" si="48"/>
        <v>0318201</v>
      </c>
      <c r="B3112" s="101" t="s">
        <v>16</v>
      </c>
      <c r="C3112" s="101" t="s">
        <v>164</v>
      </c>
      <c r="D3112" s="101" t="s">
        <v>302</v>
      </c>
      <c r="E3112" s="101" t="s">
        <v>139</v>
      </c>
    </row>
    <row r="3113" spans="1:5" x14ac:dyDescent="0.3">
      <c r="A3113" t="str">
        <f t="shared" si="48"/>
        <v>0410205</v>
      </c>
      <c r="B3113" s="101" t="s">
        <v>18</v>
      </c>
      <c r="C3113" s="101" t="s">
        <v>143</v>
      </c>
      <c r="D3113" s="101" t="s">
        <v>304</v>
      </c>
      <c r="E3113" s="101" t="s">
        <v>17</v>
      </c>
    </row>
    <row r="3114" spans="1:5" x14ac:dyDescent="0.3">
      <c r="A3114" t="str">
        <f t="shared" si="48"/>
        <v>0210211</v>
      </c>
      <c r="B3114" s="101" t="s">
        <v>639</v>
      </c>
      <c r="C3114" s="101" t="s">
        <v>143</v>
      </c>
      <c r="D3114" s="101" t="s">
        <v>307</v>
      </c>
      <c r="E3114" s="101" t="s">
        <v>17</v>
      </c>
    </row>
    <row r="3115" spans="1:5" x14ac:dyDescent="0.3">
      <c r="A3115" t="str">
        <f t="shared" si="48"/>
        <v>0321222</v>
      </c>
      <c r="B3115" s="101" t="s">
        <v>16</v>
      </c>
      <c r="C3115" s="101" t="s">
        <v>170</v>
      </c>
      <c r="D3115" s="101" t="s">
        <v>311</v>
      </c>
      <c r="E3115" s="101" t="s">
        <v>19</v>
      </c>
    </row>
    <row r="3116" spans="1:5" x14ac:dyDescent="0.3">
      <c r="A3116" t="str">
        <f t="shared" si="48"/>
        <v>0410276</v>
      </c>
      <c r="B3116" s="101" t="s">
        <v>18</v>
      </c>
      <c r="C3116" s="101" t="s">
        <v>143</v>
      </c>
      <c r="D3116" s="101" t="s">
        <v>324</v>
      </c>
      <c r="E3116" s="101" t="s">
        <v>17</v>
      </c>
    </row>
    <row r="3117" spans="1:5" x14ac:dyDescent="0.3">
      <c r="A3117" t="str">
        <f t="shared" si="48"/>
        <v>0420279</v>
      </c>
      <c r="B3117" s="101" t="s">
        <v>18</v>
      </c>
      <c r="C3117" s="101" t="s">
        <v>168</v>
      </c>
      <c r="D3117" s="101" t="s">
        <v>326</v>
      </c>
      <c r="E3117" s="101" t="s">
        <v>17</v>
      </c>
    </row>
    <row r="3118" spans="1:5" x14ac:dyDescent="0.3">
      <c r="A3118" t="str">
        <f t="shared" si="48"/>
        <v>0220286</v>
      </c>
      <c r="B3118" s="101" t="s">
        <v>639</v>
      </c>
      <c r="C3118" s="101" t="s">
        <v>168</v>
      </c>
      <c r="D3118" s="101" t="s">
        <v>337</v>
      </c>
      <c r="E3118" s="101" t="s">
        <v>17</v>
      </c>
    </row>
    <row r="3119" spans="1:5" x14ac:dyDescent="0.3">
      <c r="A3119" t="str">
        <f t="shared" si="48"/>
        <v>0117500</v>
      </c>
      <c r="B3119" s="101" t="s">
        <v>640</v>
      </c>
      <c r="C3119" s="101" t="s">
        <v>162</v>
      </c>
      <c r="D3119" s="101" t="s">
        <v>146</v>
      </c>
      <c r="E3119" s="101" t="s">
        <v>139</v>
      </c>
    </row>
    <row r="3120" spans="1:5" x14ac:dyDescent="0.3">
      <c r="A3120" t="str">
        <f t="shared" si="48"/>
        <v>0116500</v>
      </c>
      <c r="B3120" s="101" t="s">
        <v>640</v>
      </c>
      <c r="C3120" s="101" t="s">
        <v>160</v>
      </c>
      <c r="D3120" s="101" t="s">
        <v>146</v>
      </c>
      <c r="E3120" s="101" t="s">
        <v>139</v>
      </c>
    </row>
    <row r="3121" spans="1:5" x14ac:dyDescent="0.3">
      <c r="A3121" t="str">
        <f t="shared" si="48"/>
        <v>0123500</v>
      </c>
      <c r="B3121" s="101" t="s">
        <v>640</v>
      </c>
      <c r="C3121" s="101" t="s">
        <v>174</v>
      </c>
      <c r="D3121" s="101" t="s">
        <v>146</v>
      </c>
      <c r="E3121" s="101" t="s">
        <v>139</v>
      </c>
    </row>
    <row r="3122" spans="1:5" x14ac:dyDescent="0.3">
      <c r="A3122" t="str">
        <f t="shared" si="48"/>
        <v>0118500</v>
      </c>
      <c r="B3122" s="101" t="s">
        <v>640</v>
      </c>
      <c r="C3122" s="101" t="s">
        <v>164</v>
      </c>
      <c r="D3122" s="101" t="s">
        <v>146</v>
      </c>
      <c r="E3122" s="101" t="s">
        <v>139</v>
      </c>
    </row>
    <row r="3123" spans="1:5" x14ac:dyDescent="0.3">
      <c r="A3123" t="str">
        <f t="shared" si="48"/>
        <v>0216515</v>
      </c>
      <c r="B3123" s="101" t="s">
        <v>639</v>
      </c>
      <c r="C3123" s="101" t="s">
        <v>160</v>
      </c>
      <c r="D3123" s="101" t="s">
        <v>407</v>
      </c>
      <c r="E3123" s="101" t="s">
        <v>17</v>
      </c>
    </row>
    <row r="3124" spans="1:5" x14ac:dyDescent="0.3">
      <c r="A3124" t="str">
        <f t="shared" si="48"/>
        <v>0213516</v>
      </c>
      <c r="B3124" s="101" t="s">
        <v>639</v>
      </c>
      <c r="C3124" s="101" t="s">
        <v>154</v>
      </c>
      <c r="D3124" s="101" t="s">
        <v>389</v>
      </c>
      <c r="E3124" s="101" t="s">
        <v>17</v>
      </c>
    </row>
    <row r="3125" spans="1:5" x14ac:dyDescent="0.3">
      <c r="A3125" t="str">
        <f t="shared" si="48"/>
        <v>0415517</v>
      </c>
      <c r="B3125" s="101" t="s">
        <v>18</v>
      </c>
      <c r="C3125" s="101" t="s">
        <v>158</v>
      </c>
      <c r="D3125" s="101" t="s">
        <v>390</v>
      </c>
      <c r="E3125" s="101" t="s">
        <v>17</v>
      </c>
    </row>
    <row r="3126" spans="1:5" x14ac:dyDescent="0.3">
      <c r="A3126" t="str">
        <f t="shared" si="48"/>
        <v>0211522</v>
      </c>
      <c r="B3126" s="101" t="s">
        <v>639</v>
      </c>
      <c r="C3126" s="101" t="s">
        <v>150</v>
      </c>
      <c r="D3126" s="101" t="s">
        <v>345</v>
      </c>
      <c r="E3126" s="101" t="s">
        <v>17</v>
      </c>
    </row>
    <row r="3127" spans="1:5" x14ac:dyDescent="0.3">
      <c r="A3127" t="str">
        <f t="shared" si="48"/>
        <v>0223534</v>
      </c>
      <c r="B3127" s="101" t="s">
        <v>639</v>
      </c>
      <c r="C3127" s="101" t="s">
        <v>174</v>
      </c>
      <c r="D3127" s="101" t="s">
        <v>350</v>
      </c>
      <c r="E3127" s="101" t="s">
        <v>17</v>
      </c>
    </row>
    <row r="3128" spans="1:5" x14ac:dyDescent="0.3">
      <c r="A3128" t="str">
        <f t="shared" si="48"/>
        <v>0214534</v>
      </c>
      <c r="B3128" s="101" t="s">
        <v>639</v>
      </c>
      <c r="C3128" s="101" t="s">
        <v>156</v>
      </c>
      <c r="D3128" s="101" t="s">
        <v>350</v>
      </c>
      <c r="E3128" s="101" t="s">
        <v>17</v>
      </c>
    </row>
    <row r="3129" spans="1:5" x14ac:dyDescent="0.3">
      <c r="A3129" t="str">
        <f t="shared" si="48"/>
        <v>0615535</v>
      </c>
      <c r="B3129" s="101" t="s">
        <v>317</v>
      </c>
      <c r="C3129" s="101" t="s">
        <v>158</v>
      </c>
      <c r="D3129" s="101" t="s">
        <v>410</v>
      </c>
      <c r="E3129" s="101" t="s">
        <v>17</v>
      </c>
    </row>
    <row r="3130" spans="1:5" x14ac:dyDescent="0.3">
      <c r="A3130" t="str">
        <f t="shared" si="48"/>
        <v>0114565</v>
      </c>
      <c r="B3130" s="101" t="s">
        <v>640</v>
      </c>
      <c r="C3130" s="101" t="s">
        <v>156</v>
      </c>
      <c r="D3130" s="101" t="s">
        <v>424</v>
      </c>
      <c r="E3130" s="101" t="s">
        <v>139</v>
      </c>
    </row>
    <row r="3131" spans="1:5" x14ac:dyDescent="0.3">
      <c r="A3131" t="str">
        <f t="shared" si="48"/>
        <v>0218576</v>
      </c>
      <c r="B3131" s="101" t="s">
        <v>639</v>
      </c>
      <c r="C3131" s="101" t="s">
        <v>164</v>
      </c>
      <c r="D3131" s="101" t="s">
        <v>435</v>
      </c>
      <c r="E3131" s="101" t="s">
        <v>19</v>
      </c>
    </row>
    <row r="3132" spans="1:5" x14ac:dyDescent="0.3">
      <c r="A3132" t="str">
        <f t="shared" si="48"/>
        <v>0120601</v>
      </c>
      <c r="B3132" s="101" t="s">
        <v>640</v>
      </c>
      <c r="C3132" s="101" t="s">
        <v>168</v>
      </c>
      <c r="D3132" s="101" t="s">
        <v>231</v>
      </c>
      <c r="E3132" s="101" t="s">
        <v>17</v>
      </c>
    </row>
    <row r="3133" spans="1:5" x14ac:dyDescent="0.3">
      <c r="A3133" t="str">
        <f t="shared" si="48"/>
        <v>0418640</v>
      </c>
      <c r="B3133" s="101" t="s">
        <v>18</v>
      </c>
      <c r="C3133" s="101" t="s">
        <v>164</v>
      </c>
      <c r="D3133" s="101" t="s">
        <v>282</v>
      </c>
      <c r="E3133" s="101" t="s">
        <v>139</v>
      </c>
    </row>
    <row r="3134" spans="1:5" x14ac:dyDescent="0.3">
      <c r="A3134" t="str">
        <f t="shared" si="48"/>
        <v>0317707</v>
      </c>
      <c r="B3134" s="101" t="s">
        <v>16</v>
      </c>
      <c r="C3134" s="101" t="s">
        <v>162</v>
      </c>
      <c r="D3134" s="101" t="s">
        <v>516</v>
      </c>
      <c r="E3134" s="101" t="s">
        <v>139</v>
      </c>
    </row>
    <row r="3135" spans="1:5" x14ac:dyDescent="0.3">
      <c r="A3135" t="str">
        <f t="shared" si="48"/>
        <v>0113801</v>
      </c>
      <c r="B3135" s="101" t="s">
        <v>640</v>
      </c>
      <c r="C3135" s="101" t="s">
        <v>154</v>
      </c>
      <c r="D3135" s="101" t="s">
        <v>144</v>
      </c>
      <c r="E3135" s="101" t="s">
        <v>139</v>
      </c>
    </row>
    <row r="3136" spans="1:5" x14ac:dyDescent="0.3">
      <c r="A3136" t="str">
        <f t="shared" si="48"/>
        <v>0118801</v>
      </c>
      <c r="B3136" s="101" t="s">
        <v>640</v>
      </c>
      <c r="C3136" s="101" t="s">
        <v>164</v>
      </c>
      <c r="D3136" s="101" t="s">
        <v>144</v>
      </c>
      <c r="E3136" s="101" t="s">
        <v>139</v>
      </c>
    </row>
    <row r="3137" spans="1:5" x14ac:dyDescent="0.3">
      <c r="A3137" t="str">
        <f t="shared" si="48"/>
        <v>0112801</v>
      </c>
      <c r="B3137" s="101" t="s">
        <v>640</v>
      </c>
      <c r="C3137" s="101" t="s">
        <v>152</v>
      </c>
      <c r="D3137" s="101" t="s">
        <v>144</v>
      </c>
      <c r="E3137" s="101" t="s">
        <v>139</v>
      </c>
    </row>
    <row r="3138" spans="1:5" x14ac:dyDescent="0.3">
      <c r="A3138" t="str">
        <f t="shared" si="48"/>
        <v>0123801</v>
      </c>
      <c r="B3138" s="101" t="s">
        <v>640</v>
      </c>
      <c r="C3138" s="101" t="s">
        <v>174</v>
      </c>
      <c r="D3138" s="101" t="s">
        <v>144</v>
      </c>
      <c r="E3138" s="101" t="s">
        <v>139</v>
      </c>
    </row>
    <row r="3139" spans="1:5" x14ac:dyDescent="0.3">
      <c r="A3139" t="str">
        <f t="shared" ref="A3139:A3202" si="49">CONCATENATE(B3139,C3139,D3139,F3139)</f>
        <v>0122801</v>
      </c>
      <c r="B3139" s="101" t="s">
        <v>640</v>
      </c>
      <c r="C3139" s="101" t="s">
        <v>172</v>
      </c>
      <c r="D3139" s="101" t="s">
        <v>144</v>
      </c>
      <c r="E3139" s="101" t="s">
        <v>139</v>
      </c>
    </row>
    <row r="3140" spans="1:5" x14ac:dyDescent="0.3">
      <c r="A3140" t="str">
        <f t="shared" si="49"/>
        <v>0116801</v>
      </c>
      <c r="B3140" s="101" t="s">
        <v>640</v>
      </c>
      <c r="C3140" s="101" t="s">
        <v>160</v>
      </c>
      <c r="D3140" s="101" t="s">
        <v>144</v>
      </c>
      <c r="E3140" s="101" t="s">
        <v>139</v>
      </c>
    </row>
    <row r="3141" spans="1:5" x14ac:dyDescent="0.3">
      <c r="A3141" t="str">
        <f t="shared" si="49"/>
        <v>0111801</v>
      </c>
      <c r="B3141" s="101" t="s">
        <v>640</v>
      </c>
      <c r="C3141" s="101" t="s">
        <v>150</v>
      </c>
      <c r="D3141" s="101" t="s">
        <v>144</v>
      </c>
      <c r="E3141" s="101" t="s">
        <v>139</v>
      </c>
    </row>
    <row r="3142" spans="1:5" x14ac:dyDescent="0.3">
      <c r="A3142" t="str">
        <f t="shared" si="49"/>
        <v>0120801</v>
      </c>
      <c r="B3142" s="101" t="s">
        <v>640</v>
      </c>
      <c r="C3142" s="101" t="s">
        <v>168</v>
      </c>
      <c r="D3142" s="101" t="s">
        <v>144</v>
      </c>
      <c r="E3142" s="101" t="s">
        <v>139</v>
      </c>
    </row>
    <row r="3143" spans="1:5" x14ac:dyDescent="0.3">
      <c r="A3143" t="str">
        <f t="shared" si="49"/>
        <v>0215801</v>
      </c>
      <c r="B3143" s="101" t="s">
        <v>639</v>
      </c>
      <c r="C3143" s="101" t="s">
        <v>158</v>
      </c>
      <c r="D3143" s="101" t="s">
        <v>144</v>
      </c>
      <c r="E3143" s="101" t="s">
        <v>139</v>
      </c>
    </row>
    <row r="3144" spans="1:5" x14ac:dyDescent="0.3">
      <c r="A3144" t="str">
        <f t="shared" si="49"/>
        <v>0117801</v>
      </c>
      <c r="B3144" s="101" t="s">
        <v>640</v>
      </c>
      <c r="C3144" s="101" t="s">
        <v>162</v>
      </c>
      <c r="D3144" s="101" t="s">
        <v>144</v>
      </c>
      <c r="E3144" s="101" t="s">
        <v>139</v>
      </c>
    </row>
    <row r="3145" spans="1:5" x14ac:dyDescent="0.3">
      <c r="A3145" t="str">
        <f t="shared" si="49"/>
        <v>0110801</v>
      </c>
      <c r="B3145" s="101" t="s">
        <v>640</v>
      </c>
      <c r="C3145" s="101" t="s">
        <v>143</v>
      </c>
      <c r="D3145" s="101" t="s">
        <v>144</v>
      </c>
      <c r="E3145" s="101" t="s">
        <v>139</v>
      </c>
    </row>
    <row r="3146" spans="1:5" x14ac:dyDescent="0.3">
      <c r="A3146" t="str">
        <f t="shared" si="49"/>
        <v>0119801</v>
      </c>
      <c r="B3146" s="101" t="s">
        <v>640</v>
      </c>
      <c r="C3146" s="101" t="s">
        <v>166</v>
      </c>
      <c r="D3146" s="101" t="s">
        <v>144</v>
      </c>
      <c r="E3146" s="101" t="s">
        <v>139</v>
      </c>
    </row>
    <row r="3147" spans="1:5" x14ac:dyDescent="0.3">
      <c r="A3147" t="str">
        <f t="shared" si="49"/>
        <v>0115801</v>
      </c>
      <c r="B3147" s="101" t="s">
        <v>640</v>
      </c>
      <c r="C3147" s="101" t="s">
        <v>158</v>
      </c>
      <c r="D3147" s="101" t="s">
        <v>144</v>
      </c>
      <c r="E3147" s="101" t="s">
        <v>139</v>
      </c>
    </row>
    <row r="3148" spans="1:5" x14ac:dyDescent="0.3">
      <c r="A3148" t="str">
        <f t="shared" si="49"/>
        <v>0121801</v>
      </c>
      <c r="B3148" s="101" t="s">
        <v>640</v>
      </c>
      <c r="C3148" s="101" t="s">
        <v>170</v>
      </c>
      <c r="D3148" s="101" t="s">
        <v>144</v>
      </c>
      <c r="E3148" s="101" t="s">
        <v>139</v>
      </c>
    </row>
    <row r="3149" spans="1:5" x14ac:dyDescent="0.3">
      <c r="A3149" t="str">
        <f t="shared" si="49"/>
        <v>0114801</v>
      </c>
      <c r="B3149" s="101" t="s">
        <v>640</v>
      </c>
      <c r="C3149" s="101" t="s">
        <v>156</v>
      </c>
      <c r="D3149" s="101" t="s">
        <v>144</v>
      </c>
      <c r="E3149" s="101" t="s">
        <v>139</v>
      </c>
    </row>
    <row r="3150" spans="1:5" x14ac:dyDescent="0.3">
      <c r="A3150" t="str">
        <f t="shared" si="49"/>
        <v>0123802</v>
      </c>
      <c r="B3150" s="101" t="s">
        <v>640</v>
      </c>
      <c r="C3150" s="101" t="s">
        <v>174</v>
      </c>
      <c r="D3150" s="101" t="s">
        <v>145</v>
      </c>
      <c r="E3150" s="101" t="s">
        <v>139</v>
      </c>
    </row>
    <row r="3151" spans="1:5" x14ac:dyDescent="0.3">
      <c r="A3151" t="str">
        <f t="shared" si="49"/>
        <v>0615802</v>
      </c>
      <c r="B3151" s="101" t="s">
        <v>317</v>
      </c>
      <c r="C3151" s="101" t="s">
        <v>158</v>
      </c>
      <c r="D3151" s="101" t="s">
        <v>145</v>
      </c>
      <c r="E3151" s="101" t="s">
        <v>139</v>
      </c>
    </row>
    <row r="3152" spans="1:5" x14ac:dyDescent="0.3">
      <c r="A3152" t="str">
        <f t="shared" si="49"/>
        <v>0111802</v>
      </c>
      <c r="B3152" s="101" t="s">
        <v>640</v>
      </c>
      <c r="C3152" s="101" t="s">
        <v>150</v>
      </c>
      <c r="D3152" s="101" t="s">
        <v>145</v>
      </c>
      <c r="E3152" s="101" t="s">
        <v>139</v>
      </c>
    </row>
    <row r="3153" spans="1:5" x14ac:dyDescent="0.3">
      <c r="A3153" t="str">
        <f t="shared" si="49"/>
        <v>0220803</v>
      </c>
      <c r="B3153" s="101" t="s">
        <v>639</v>
      </c>
      <c r="C3153" s="101" t="s">
        <v>168</v>
      </c>
      <c r="D3153" s="101" t="s">
        <v>540</v>
      </c>
      <c r="E3153" s="101" t="s">
        <v>17</v>
      </c>
    </row>
    <row r="3154" spans="1:5" x14ac:dyDescent="0.3">
      <c r="A3154" t="str">
        <f t="shared" si="49"/>
        <v>0219805</v>
      </c>
      <c r="B3154" s="101" t="s">
        <v>639</v>
      </c>
      <c r="C3154" s="101" t="s">
        <v>166</v>
      </c>
      <c r="D3154" s="101" t="s">
        <v>543</v>
      </c>
      <c r="E3154" s="101" t="s">
        <v>17</v>
      </c>
    </row>
    <row r="3155" spans="1:5" x14ac:dyDescent="0.3">
      <c r="A3155" t="str">
        <f t="shared" si="49"/>
        <v>0220805</v>
      </c>
      <c r="B3155" s="101" t="s">
        <v>639</v>
      </c>
      <c r="C3155" s="101" t="s">
        <v>168</v>
      </c>
      <c r="D3155" s="101" t="s">
        <v>543</v>
      </c>
      <c r="E3155" s="101" t="s">
        <v>17</v>
      </c>
    </row>
    <row r="3156" spans="1:5" x14ac:dyDescent="0.3">
      <c r="A3156" t="str">
        <f t="shared" si="49"/>
        <v>0416807</v>
      </c>
      <c r="B3156" s="101" t="s">
        <v>18</v>
      </c>
      <c r="C3156" s="101" t="s">
        <v>160</v>
      </c>
      <c r="D3156" s="101" t="s">
        <v>185</v>
      </c>
      <c r="E3156" s="101" t="s">
        <v>17</v>
      </c>
    </row>
    <row r="3157" spans="1:5" x14ac:dyDescent="0.3">
      <c r="A3157" t="str">
        <f t="shared" si="49"/>
        <v>0511807</v>
      </c>
      <c r="B3157" s="101" t="s">
        <v>313</v>
      </c>
      <c r="C3157" s="101" t="s">
        <v>150</v>
      </c>
      <c r="D3157" s="101" t="s">
        <v>185</v>
      </c>
      <c r="E3157" s="101" t="s">
        <v>17</v>
      </c>
    </row>
    <row r="3158" spans="1:5" x14ac:dyDescent="0.3">
      <c r="A3158" t="str">
        <f t="shared" si="49"/>
        <v>0221807</v>
      </c>
      <c r="B3158" s="101" t="s">
        <v>639</v>
      </c>
      <c r="C3158" s="101" t="s">
        <v>170</v>
      </c>
      <c r="D3158" s="101" t="s">
        <v>185</v>
      </c>
      <c r="E3158" s="101" t="s">
        <v>17</v>
      </c>
    </row>
    <row r="3159" spans="1:5" x14ac:dyDescent="0.3">
      <c r="A3159" t="str">
        <f t="shared" si="49"/>
        <v>0215807</v>
      </c>
      <c r="B3159" s="101" t="s">
        <v>639</v>
      </c>
      <c r="C3159" s="101" t="s">
        <v>158</v>
      </c>
      <c r="D3159" s="101" t="s">
        <v>185</v>
      </c>
      <c r="E3159" s="101" t="s">
        <v>17</v>
      </c>
    </row>
    <row r="3160" spans="1:5" x14ac:dyDescent="0.3">
      <c r="A3160" t="str">
        <f t="shared" si="49"/>
        <v>0515807</v>
      </c>
      <c r="B3160" s="101" t="s">
        <v>313</v>
      </c>
      <c r="C3160" s="101" t="s">
        <v>158</v>
      </c>
      <c r="D3160" s="101" t="s">
        <v>185</v>
      </c>
      <c r="E3160" s="101" t="s">
        <v>17</v>
      </c>
    </row>
    <row r="3161" spans="1:5" x14ac:dyDescent="0.3">
      <c r="A3161" t="str">
        <f t="shared" si="49"/>
        <v>0222807</v>
      </c>
      <c r="B3161" s="101" t="s">
        <v>639</v>
      </c>
      <c r="C3161" s="101" t="s">
        <v>172</v>
      </c>
      <c r="D3161" s="101" t="s">
        <v>185</v>
      </c>
      <c r="E3161" s="101" t="s">
        <v>17</v>
      </c>
    </row>
    <row r="3162" spans="1:5" x14ac:dyDescent="0.3">
      <c r="A3162" t="str">
        <f t="shared" si="49"/>
        <v>0621807</v>
      </c>
      <c r="B3162" s="101" t="s">
        <v>317</v>
      </c>
      <c r="C3162" s="101" t="s">
        <v>170</v>
      </c>
      <c r="D3162" s="101" t="s">
        <v>185</v>
      </c>
      <c r="E3162" s="101" t="s">
        <v>17</v>
      </c>
    </row>
    <row r="3163" spans="1:5" x14ac:dyDescent="0.3">
      <c r="A3163" t="str">
        <f t="shared" si="49"/>
        <v>0815807</v>
      </c>
      <c r="B3163" s="101" t="s">
        <v>320</v>
      </c>
      <c r="C3163" s="101" t="s">
        <v>158</v>
      </c>
      <c r="D3163" s="101" t="s">
        <v>185</v>
      </c>
      <c r="E3163" s="101" t="s">
        <v>17</v>
      </c>
    </row>
    <row r="3164" spans="1:5" x14ac:dyDescent="0.3">
      <c r="A3164" t="str">
        <f t="shared" si="49"/>
        <v>0210807</v>
      </c>
      <c r="B3164" s="101" t="s">
        <v>639</v>
      </c>
      <c r="C3164" s="101" t="s">
        <v>143</v>
      </c>
      <c r="D3164" s="101" t="s">
        <v>185</v>
      </c>
      <c r="E3164" s="101" t="s">
        <v>17</v>
      </c>
    </row>
    <row r="3165" spans="1:5" x14ac:dyDescent="0.3">
      <c r="A3165" t="str">
        <f t="shared" si="49"/>
        <v>0715807</v>
      </c>
      <c r="B3165" s="101" t="s">
        <v>319</v>
      </c>
      <c r="C3165" s="101" t="s">
        <v>158</v>
      </c>
      <c r="D3165" s="101" t="s">
        <v>185</v>
      </c>
      <c r="E3165" s="101" t="s">
        <v>17</v>
      </c>
    </row>
    <row r="3166" spans="1:5" x14ac:dyDescent="0.3">
      <c r="A3166" t="str">
        <f t="shared" si="49"/>
        <v>0210808</v>
      </c>
      <c r="B3166" s="101" t="s">
        <v>639</v>
      </c>
      <c r="C3166" s="101" t="s">
        <v>143</v>
      </c>
      <c r="D3166" s="101" t="s">
        <v>186</v>
      </c>
      <c r="E3166" s="101" t="s">
        <v>17</v>
      </c>
    </row>
    <row r="3167" spans="1:5" x14ac:dyDescent="0.3">
      <c r="A3167" t="str">
        <f t="shared" si="49"/>
        <v>0715808</v>
      </c>
      <c r="B3167" s="101" t="s">
        <v>319</v>
      </c>
      <c r="C3167" s="101" t="s">
        <v>158</v>
      </c>
      <c r="D3167" s="101" t="s">
        <v>186</v>
      </c>
      <c r="E3167" s="101" t="s">
        <v>17</v>
      </c>
    </row>
    <row r="3168" spans="1:5" x14ac:dyDescent="0.3">
      <c r="A3168" t="str">
        <f t="shared" si="49"/>
        <v>0416808</v>
      </c>
      <c r="B3168" s="101" t="s">
        <v>18</v>
      </c>
      <c r="C3168" s="101" t="s">
        <v>160</v>
      </c>
      <c r="D3168" s="101" t="s">
        <v>186</v>
      </c>
      <c r="E3168" s="101" t="s">
        <v>17</v>
      </c>
    </row>
    <row r="3169" spans="1:5" x14ac:dyDescent="0.3">
      <c r="A3169" t="str">
        <f t="shared" si="49"/>
        <v>0615808</v>
      </c>
      <c r="B3169" s="101" t="s">
        <v>317</v>
      </c>
      <c r="C3169" s="101" t="s">
        <v>158</v>
      </c>
      <c r="D3169" s="101" t="s">
        <v>186</v>
      </c>
      <c r="E3169" s="101" t="s">
        <v>17</v>
      </c>
    </row>
    <row r="3170" spans="1:5" x14ac:dyDescent="0.3">
      <c r="A3170" t="str">
        <f t="shared" si="49"/>
        <v>0222808</v>
      </c>
      <c r="B3170" s="101" t="s">
        <v>639</v>
      </c>
      <c r="C3170" s="101" t="s">
        <v>172</v>
      </c>
      <c r="D3170" s="101" t="s">
        <v>186</v>
      </c>
      <c r="E3170" s="101" t="s">
        <v>17</v>
      </c>
    </row>
    <row r="3171" spans="1:5" x14ac:dyDescent="0.3">
      <c r="A3171" t="str">
        <f t="shared" si="49"/>
        <v>0815808</v>
      </c>
      <c r="B3171" s="101" t="s">
        <v>320</v>
      </c>
      <c r="C3171" s="101" t="s">
        <v>158</v>
      </c>
      <c r="D3171" s="101" t="s">
        <v>186</v>
      </c>
      <c r="E3171" s="101" t="s">
        <v>139</v>
      </c>
    </row>
    <row r="3172" spans="1:5" x14ac:dyDescent="0.3">
      <c r="A3172" t="str">
        <f t="shared" si="49"/>
        <v>0515808</v>
      </c>
      <c r="B3172" s="101" t="s">
        <v>313</v>
      </c>
      <c r="C3172" s="101" t="s">
        <v>158</v>
      </c>
      <c r="D3172" s="101" t="s">
        <v>186</v>
      </c>
      <c r="E3172" s="101" t="s">
        <v>17</v>
      </c>
    </row>
    <row r="3173" spans="1:5" x14ac:dyDescent="0.3">
      <c r="A3173" t="str">
        <f t="shared" si="49"/>
        <v>0210809</v>
      </c>
      <c r="B3173" s="101" t="s">
        <v>639</v>
      </c>
      <c r="C3173" s="101" t="s">
        <v>143</v>
      </c>
      <c r="D3173" s="101" t="s">
        <v>187</v>
      </c>
      <c r="E3173" s="101" t="s">
        <v>17</v>
      </c>
    </row>
    <row r="3174" spans="1:5" x14ac:dyDescent="0.3">
      <c r="A3174" t="str">
        <f t="shared" si="49"/>
        <v>0422811</v>
      </c>
      <c r="B3174" s="101" t="s">
        <v>18</v>
      </c>
      <c r="C3174" s="101" t="s">
        <v>172</v>
      </c>
      <c r="D3174" s="101" t="s">
        <v>189</v>
      </c>
      <c r="E3174" s="101" t="s">
        <v>17</v>
      </c>
    </row>
    <row r="3175" spans="1:5" x14ac:dyDescent="0.3">
      <c r="A3175" t="str">
        <f t="shared" si="49"/>
        <v>0417811</v>
      </c>
      <c r="B3175" s="101" t="s">
        <v>18</v>
      </c>
      <c r="C3175" s="101" t="s">
        <v>162</v>
      </c>
      <c r="D3175" s="101" t="s">
        <v>189</v>
      </c>
      <c r="E3175" s="101" t="s">
        <v>17</v>
      </c>
    </row>
    <row r="3176" spans="1:5" x14ac:dyDescent="0.3">
      <c r="A3176" t="str">
        <f t="shared" si="49"/>
        <v>0223811</v>
      </c>
      <c r="B3176" s="101" t="s">
        <v>639</v>
      </c>
      <c r="C3176" s="101" t="s">
        <v>174</v>
      </c>
      <c r="D3176" s="101" t="s">
        <v>189</v>
      </c>
      <c r="E3176" s="101" t="s">
        <v>17</v>
      </c>
    </row>
    <row r="3177" spans="1:5" x14ac:dyDescent="0.3">
      <c r="A3177" t="str">
        <f t="shared" si="49"/>
        <v>0213811</v>
      </c>
      <c r="B3177" s="101" t="s">
        <v>639</v>
      </c>
      <c r="C3177" s="101" t="s">
        <v>154</v>
      </c>
      <c r="D3177" s="101" t="s">
        <v>189</v>
      </c>
      <c r="E3177" s="101" t="s">
        <v>17</v>
      </c>
    </row>
    <row r="3178" spans="1:5" x14ac:dyDescent="0.3">
      <c r="A3178" t="str">
        <f t="shared" si="49"/>
        <v>0610811</v>
      </c>
      <c r="B3178" s="101" t="s">
        <v>317</v>
      </c>
      <c r="C3178" s="101" t="s">
        <v>143</v>
      </c>
      <c r="D3178" s="101" t="s">
        <v>189</v>
      </c>
      <c r="E3178" s="101" t="s">
        <v>17</v>
      </c>
    </row>
    <row r="3179" spans="1:5" x14ac:dyDescent="0.3">
      <c r="A3179" t="str">
        <f t="shared" si="49"/>
        <v>0210811</v>
      </c>
      <c r="B3179" s="101" t="s">
        <v>639</v>
      </c>
      <c r="C3179" s="101" t="s">
        <v>143</v>
      </c>
      <c r="D3179" s="101" t="s">
        <v>189</v>
      </c>
      <c r="E3179" s="101" t="s">
        <v>17</v>
      </c>
    </row>
    <row r="3180" spans="1:5" x14ac:dyDescent="0.3">
      <c r="A3180" t="str">
        <f t="shared" si="49"/>
        <v>0420811</v>
      </c>
      <c r="B3180" s="101" t="s">
        <v>18</v>
      </c>
      <c r="C3180" s="101" t="s">
        <v>168</v>
      </c>
      <c r="D3180" s="101" t="s">
        <v>189</v>
      </c>
      <c r="E3180" s="101" t="s">
        <v>17</v>
      </c>
    </row>
    <row r="3181" spans="1:5" x14ac:dyDescent="0.3">
      <c r="A3181" t="str">
        <f t="shared" si="49"/>
        <v>0219811</v>
      </c>
      <c r="B3181" s="101" t="s">
        <v>639</v>
      </c>
      <c r="C3181" s="101" t="s">
        <v>166</v>
      </c>
      <c r="D3181" s="101" t="s">
        <v>189</v>
      </c>
      <c r="E3181" s="101" t="s">
        <v>17</v>
      </c>
    </row>
    <row r="3182" spans="1:5" x14ac:dyDescent="0.3">
      <c r="A3182" t="str">
        <f t="shared" si="49"/>
        <v>0216811</v>
      </c>
      <c r="B3182" s="101" t="s">
        <v>639</v>
      </c>
      <c r="C3182" s="101" t="s">
        <v>160</v>
      </c>
      <c r="D3182" s="101" t="s">
        <v>189</v>
      </c>
      <c r="E3182" s="101" t="s">
        <v>17</v>
      </c>
    </row>
    <row r="3183" spans="1:5" x14ac:dyDescent="0.3">
      <c r="A3183" t="str">
        <f t="shared" si="49"/>
        <v>0412811</v>
      </c>
      <c r="B3183" s="101" t="s">
        <v>18</v>
      </c>
      <c r="C3183" s="101" t="s">
        <v>152</v>
      </c>
      <c r="D3183" s="101" t="s">
        <v>189</v>
      </c>
      <c r="E3183" s="101" t="s">
        <v>17</v>
      </c>
    </row>
    <row r="3184" spans="1:5" x14ac:dyDescent="0.3">
      <c r="A3184" t="str">
        <f t="shared" si="49"/>
        <v>0510811</v>
      </c>
      <c r="B3184" s="101" t="s">
        <v>313</v>
      </c>
      <c r="C3184" s="101" t="s">
        <v>143</v>
      </c>
      <c r="D3184" s="101" t="s">
        <v>189</v>
      </c>
      <c r="E3184" s="101" t="s">
        <v>17</v>
      </c>
    </row>
    <row r="3185" spans="1:5" x14ac:dyDescent="0.3">
      <c r="A3185" t="str">
        <f t="shared" si="49"/>
        <v>0221811</v>
      </c>
      <c r="B3185" s="101" t="s">
        <v>639</v>
      </c>
      <c r="C3185" s="101" t="s">
        <v>170</v>
      </c>
      <c r="D3185" s="101" t="s">
        <v>189</v>
      </c>
      <c r="E3185" s="101" t="s">
        <v>17</v>
      </c>
    </row>
    <row r="3186" spans="1:5" x14ac:dyDescent="0.3">
      <c r="A3186" t="str">
        <f t="shared" si="49"/>
        <v>0214811</v>
      </c>
      <c r="B3186" s="101" t="s">
        <v>639</v>
      </c>
      <c r="C3186" s="101" t="s">
        <v>156</v>
      </c>
      <c r="D3186" s="101" t="s">
        <v>189</v>
      </c>
      <c r="E3186" s="101" t="s">
        <v>17</v>
      </c>
    </row>
    <row r="3187" spans="1:5" x14ac:dyDescent="0.3">
      <c r="A3187" t="str">
        <f t="shared" si="49"/>
        <v>0611811</v>
      </c>
      <c r="B3187" s="101" t="s">
        <v>317</v>
      </c>
      <c r="C3187" s="101" t="s">
        <v>150</v>
      </c>
      <c r="D3187" s="101" t="s">
        <v>189</v>
      </c>
      <c r="E3187" s="101" t="s">
        <v>17</v>
      </c>
    </row>
    <row r="3188" spans="1:5" x14ac:dyDescent="0.3">
      <c r="A3188" t="str">
        <f t="shared" si="49"/>
        <v>0211811</v>
      </c>
      <c r="B3188" s="101" t="s">
        <v>639</v>
      </c>
      <c r="C3188" s="101" t="s">
        <v>150</v>
      </c>
      <c r="D3188" s="101" t="s">
        <v>189</v>
      </c>
      <c r="E3188" s="101" t="s">
        <v>17</v>
      </c>
    </row>
    <row r="3189" spans="1:5" x14ac:dyDescent="0.3">
      <c r="A3189" t="str">
        <f t="shared" si="49"/>
        <v>0719812</v>
      </c>
      <c r="B3189" s="101" t="s">
        <v>319</v>
      </c>
      <c r="C3189" s="101" t="s">
        <v>166</v>
      </c>
      <c r="D3189" s="101" t="s">
        <v>190</v>
      </c>
      <c r="E3189" s="101" t="s">
        <v>17</v>
      </c>
    </row>
    <row r="3190" spans="1:5" x14ac:dyDescent="0.3">
      <c r="A3190" t="str">
        <f t="shared" si="49"/>
        <v>0220812</v>
      </c>
      <c r="B3190" s="101" t="s">
        <v>639</v>
      </c>
      <c r="C3190" s="101" t="s">
        <v>168</v>
      </c>
      <c r="D3190" s="101" t="s">
        <v>190</v>
      </c>
      <c r="E3190" s="101" t="s">
        <v>17</v>
      </c>
    </row>
    <row r="3191" spans="1:5" x14ac:dyDescent="0.3">
      <c r="A3191" t="str">
        <f t="shared" si="49"/>
        <v>0210812</v>
      </c>
      <c r="B3191" s="101" t="s">
        <v>639</v>
      </c>
      <c r="C3191" s="101" t="s">
        <v>143</v>
      </c>
      <c r="D3191" s="101" t="s">
        <v>190</v>
      </c>
      <c r="E3191" s="101" t="s">
        <v>17</v>
      </c>
    </row>
    <row r="3192" spans="1:5" x14ac:dyDescent="0.3">
      <c r="A3192" t="str">
        <f t="shared" si="49"/>
        <v>0420812</v>
      </c>
      <c r="B3192" s="101" t="s">
        <v>18</v>
      </c>
      <c r="C3192" s="101" t="s">
        <v>168</v>
      </c>
      <c r="D3192" s="101" t="s">
        <v>190</v>
      </c>
      <c r="E3192" s="101" t="s">
        <v>17</v>
      </c>
    </row>
    <row r="3193" spans="1:5" x14ac:dyDescent="0.3">
      <c r="A3193" t="str">
        <f t="shared" si="49"/>
        <v>0219812</v>
      </c>
      <c r="B3193" s="101" t="s">
        <v>639</v>
      </c>
      <c r="C3193" s="101" t="s">
        <v>166</v>
      </c>
      <c r="D3193" s="101" t="s">
        <v>190</v>
      </c>
      <c r="E3193" s="101" t="s">
        <v>17</v>
      </c>
    </row>
    <row r="3194" spans="1:5" x14ac:dyDescent="0.3">
      <c r="A3194" t="str">
        <f t="shared" si="49"/>
        <v>0519812</v>
      </c>
      <c r="B3194" s="101" t="s">
        <v>313</v>
      </c>
      <c r="C3194" s="101" t="s">
        <v>166</v>
      </c>
      <c r="D3194" s="101" t="s">
        <v>190</v>
      </c>
      <c r="E3194" s="101" t="s">
        <v>17</v>
      </c>
    </row>
    <row r="3195" spans="1:5" x14ac:dyDescent="0.3">
      <c r="A3195" t="str">
        <f t="shared" si="49"/>
        <v>0223814</v>
      </c>
      <c r="B3195" s="101" t="s">
        <v>639</v>
      </c>
      <c r="C3195" s="101" t="s">
        <v>174</v>
      </c>
      <c r="D3195" s="101" t="s">
        <v>333</v>
      </c>
      <c r="E3195" s="101" t="s">
        <v>17</v>
      </c>
    </row>
    <row r="3196" spans="1:5" x14ac:dyDescent="0.3">
      <c r="A3196" t="str">
        <f t="shared" si="49"/>
        <v>0213814</v>
      </c>
      <c r="B3196" s="101" t="s">
        <v>639</v>
      </c>
      <c r="C3196" s="101" t="s">
        <v>154</v>
      </c>
      <c r="D3196" s="101" t="s">
        <v>333</v>
      </c>
      <c r="E3196" s="101" t="s">
        <v>17</v>
      </c>
    </row>
    <row r="3197" spans="1:5" x14ac:dyDescent="0.3">
      <c r="A3197" t="str">
        <f t="shared" si="49"/>
        <v>0219815</v>
      </c>
      <c r="B3197" s="101" t="s">
        <v>639</v>
      </c>
      <c r="C3197" s="101" t="s">
        <v>166</v>
      </c>
      <c r="D3197" s="101" t="s">
        <v>335</v>
      </c>
      <c r="E3197" s="101" t="s">
        <v>17</v>
      </c>
    </row>
    <row r="3198" spans="1:5" x14ac:dyDescent="0.3">
      <c r="A3198" t="str">
        <f t="shared" si="49"/>
        <v>0421816</v>
      </c>
      <c r="B3198" s="101" t="s">
        <v>18</v>
      </c>
      <c r="C3198" s="101" t="s">
        <v>170</v>
      </c>
      <c r="D3198" s="101" t="s">
        <v>336</v>
      </c>
      <c r="E3198" s="101" t="s">
        <v>17</v>
      </c>
    </row>
    <row r="3199" spans="1:5" x14ac:dyDescent="0.3">
      <c r="A3199" t="str">
        <f t="shared" si="49"/>
        <v>0419829</v>
      </c>
      <c r="B3199" s="101" t="s">
        <v>18</v>
      </c>
      <c r="C3199" s="101" t="s">
        <v>166</v>
      </c>
      <c r="D3199" s="101" t="s">
        <v>372</v>
      </c>
      <c r="E3199" s="101" t="s">
        <v>140</v>
      </c>
    </row>
    <row r="3200" spans="1:5" x14ac:dyDescent="0.3">
      <c r="A3200" t="str">
        <f t="shared" si="49"/>
        <v>0211830</v>
      </c>
      <c r="B3200" s="101" t="s">
        <v>639</v>
      </c>
      <c r="C3200" s="101" t="s">
        <v>150</v>
      </c>
      <c r="D3200" s="101" t="s">
        <v>340</v>
      </c>
      <c r="E3200" s="101" t="s">
        <v>17</v>
      </c>
    </row>
    <row r="3201" spans="1:5" x14ac:dyDescent="0.3">
      <c r="A3201" t="str">
        <f t="shared" si="49"/>
        <v>0416832</v>
      </c>
      <c r="B3201" s="101" t="s">
        <v>18</v>
      </c>
      <c r="C3201" s="101" t="s">
        <v>160</v>
      </c>
      <c r="D3201" s="101" t="s">
        <v>553</v>
      </c>
      <c r="E3201" s="101" t="s">
        <v>17</v>
      </c>
    </row>
    <row r="3202" spans="1:5" x14ac:dyDescent="0.3">
      <c r="A3202" t="str">
        <f t="shared" si="49"/>
        <v>0322835</v>
      </c>
      <c r="B3202" s="101" t="s">
        <v>16</v>
      </c>
      <c r="C3202" s="101" t="s">
        <v>172</v>
      </c>
      <c r="D3202" s="101" t="s">
        <v>555</v>
      </c>
      <c r="E3202" s="101" t="s">
        <v>139</v>
      </c>
    </row>
    <row r="3203" spans="1:5" x14ac:dyDescent="0.3">
      <c r="A3203" t="str">
        <f t="shared" ref="A3203:A3266" si="50">CONCATENATE(B3203,C3203,D3203,F3203)</f>
        <v>0312835</v>
      </c>
      <c r="B3203" s="101" t="s">
        <v>16</v>
      </c>
      <c r="C3203" s="101" t="s">
        <v>152</v>
      </c>
      <c r="D3203" s="101" t="s">
        <v>555</v>
      </c>
      <c r="E3203" s="101" t="s">
        <v>139</v>
      </c>
    </row>
    <row r="3204" spans="1:5" x14ac:dyDescent="0.3">
      <c r="A3204" t="str">
        <f t="shared" si="50"/>
        <v>0115835</v>
      </c>
      <c r="B3204" s="101" t="s">
        <v>640</v>
      </c>
      <c r="C3204" s="101" t="s">
        <v>158</v>
      </c>
      <c r="D3204" s="101" t="s">
        <v>555</v>
      </c>
      <c r="E3204" s="101" t="s">
        <v>139</v>
      </c>
    </row>
    <row r="3205" spans="1:5" x14ac:dyDescent="0.3">
      <c r="A3205" t="str">
        <f t="shared" si="50"/>
        <v>0116836</v>
      </c>
      <c r="B3205" s="101" t="s">
        <v>640</v>
      </c>
      <c r="C3205" s="101" t="s">
        <v>160</v>
      </c>
      <c r="D3205" s="101" t="s">
        <v>556</v>
      </c>
      <c r="E3205" s="101" t="s">
        <v>139</v>
      </c>
    </row>
    <row r="3206" spans="1:5" x14ac:dyDescent="0.3">
      <c r="A3206" t="str">
        <f t="shared" si="50"/>
        <v>0317839</v>
      </c>
      <c r="B3206" s="101" t="s">
        <v>16</v>
      </c>
      <c r="C3206" s="101" t="s">
        <v>162</v>
      </c>
      <c r="D3206" s="101" t="s">
        <v>559</v>
      </c>
      <c r="E3206" s="101" t="s">
        <v>139</v>
      </c>
    </row>
    <row r="3207" spans="1:5" x14ac:dyDescent="0.3">
      <c r="A3207" t="str">
        <f t="shared" si="50"/>
        <v>0313840</v>
      </c>
      <c r="B3207" s="101" t="s">
        <v>16</v>
      </c>
      <c r="C3207" s="101" t="s">
        <v>154</v>
      </c>
      <c r="D3207" s="101" t="s">
        <v>560</v>
      </c>
      <c r="E3207" s="101" t="s">
        <v>139</v>
      </c>
    </row>
    <row r="3208" spans="1:5" x14ac:dyDescent="0.3">
      <c r="A3208" t="str">
        <f t="shared" si="50"/>
        <v>0310840</v>
      </c>
      <c r="B3208" s="101" t="s">
        <v>16</v>
      </c>
      <c r="C3208" s="101" t="s">
        <v>143</v>
      </c>
      <c r="D3208" s="101" t="s">
        <v>560</v>
      </c>
      <c r="E3208" s="101" t="s">
        <v>139</v>
      </c>
    </row>
    <row r="3209" spans="1:5" x14ac:dyDescent="0.3">
      <c r="A3209" t="str">
        <f t="shared" si="50"/>
        <v>0211864</v>
      </c>
      <c r="B3209" s="101" t="s">
        <v>639</v>
      </c>
      <c r="C3209" s="101" t="s">
        <v>150</v>
      </c>
      <c r="D3209" s="101" t="s">
        <v>564</v>
      </c>
      <c r="E3209" s="101" t="s">
        <v>17</v>
      </c>
    </row>
    <row r="3210" spans="1:5" x14ac:dyDescent="0.3">
      <c r="A3210" t="str">
        <f t="shared" si="50"/>
        <v>0422872</v>
      </c>
      <c r="B3210" s="101" t="s">
        <v>18</v>
      </c>
      <c r="C3210" s="101" t="s">
        <v>172</v>
      </c>
      <c r="D3210" s="101" t="s">
        <v>565</v>
      </c>
      <c r="E3210" s="101" t="s">
        <v>17</v>
      </c>
    </row>
    <row r="3211" spans="1:5" x14ac:dyDescent="0.3">
      <c r="A3211" t="str">
        <f t="shared" si="50"/>
        <v>0322873</v>
      </c>
      <c r="B3211" s="101" t="s">
        <v>16</v>
      </c>
      <c r="C3211" s="101" t="s">
        <v>172</v>
      </c>
      <c r="D3211" s="101" t="s">
        <v>566</v>
      </c>
      <c r="E3211" s="101" t="s">
        <v>139</v>
      </c>
    </row>
    <row r="3212" spans="1:5" x14ac:dyDescent="0.3">
      <c r="A3212" t="str">
        <f t="shared" si="50"/>
        <v>0520873</v>
      </c>
      <c r="B3212" s="101" t="s">
        <v>313</v>
      </c>
      <c r="C3212" s="101" t="s">
        <v>168</v>
      </c>
      <c r="D3212" s="101" t="s">
        <v>566</v>
      </c>
      <c r="E3212" s="101" t="s">
        <v>139</v>
      </c>
    </row>
    <row r="3213" spans="1:5" x14ac:dyDescent="0.3">
      <c r="A3213" t="str">
        <f t="shared" si="50"/>
        <v>0616873</v>
      </c>
      <c r="B3213" s="101" t="s">
        <v>317</v>
      </c>
      <c r="C3213" s="101" t="s">
        <v>160</v>
      </c>
      <c r="D3213" s="101" t="s">
        <v>566</v>
      </c>
      <c r="E3213" s="101" t="s">
        <v>139</v>
      </c>
    </row>
    <row r="3214" spans="1:5" x14ac:dyDescent="0.3">
      <c r="A3214" t="str">
        <f t="shared" si="50"/>
        <v>0310873</v>
      </c>
      <c r="B3214" s="101" t="s">
        <v>16</v>
      </c>
      <c r="C3214" s="101" t="s">
        <v>143</v>
      </c>
      <c r="D3214" s="101" t="s">
        <v>566</v>
      </c>
      <c r="E3214" s="101" t="s">
        <v>139</v>
      </c>
    </row>
    <row r="3215" spans="1:5" x14ac:dyDescent="0.3">
      <c r="A3215" t="str">
        <f t="shared" si="50"/>
        <v>0315873</v>
      </c>
      <c r="B3215" s="101" t="s">
        <v>16</v>
      </c>
      <c r="C3215" s="101" t="s">
        <v>158</v>
      </c>
      <c r="D3215" s="101" t="s">
        <v>566</v>
      </c>
      <c r="E3215" s="101" t="s">
        <v>139</v>
      </c>
    </row>
    <row r="3216" spans="1:5" x14ac:dyDescent="0.3">
      <c r="A3216" t="str">
        <f t="shared" si="50"/>
        <v>0314873</v>
      </c>
      <c r="B3216" s="101" t="s">
        <v>16</v>
      </c>
      <c r="C3216" s="101" t="s">
        <v>156</v>
      </c>
      <c r="D3216" s="101" t="s">
        <v>566</v>
      </c>
      <c r="E3216" s="101" t="s">
        <v>139</v>
      </c>
    </row>
    <row r="3217" spans="1:5" x14ac:dyDescent="0.3">
      <c r="A3217" t="str">
        <f t="shared" si="50"/>
        <v>0311873</v>
      </c>
      <c r="B3217" s="101" t="s">
        <v>16</v>
      </c>
      <c r="C3217" s="101" t="s">
        <v>150</v>
      </c>
      <c r="D3217" s="101" t="s">
        <v>566</v>
      </c>
      <c r="E3217" s="101" t="s">
        <v>139</v>
      </c>
    </row>
    <row r="3218" spans="1:5" x14ac:dyDescent="0.3">
      <c r="A3218" t="str">
        <f t="shared" si="50"/>
        <v>0312873</v>
      </c>
      <c r="B3218" s="101" t="s">
        <v>16</v>
      </c>
      <c r="C3218" s="101" t="s">
        <v>152</v>
      </c>
      <c r="D3218" s="101" t="s">
        <v>566</v>
      </c>
      <c r="E3218" s="101" t="s">
        <v>139</v>
      </c>
    </row>
    <row r="3219" spans="1:5" x14ac:dyDescent="0.3">
      <c r="A3219" t="str">
        <f t="shared" si="50"/>
        <v>0320873</v>
      </c>
      <c r="B3219" s="101" t="s">
        <v>16</v>
      </c>
      <c r="C3219" s="101" t="s">
        <v>168</v>
      </c>
      <c r="D3219" s="101" t="s">
        <v>566</v>
      </c>
      <c r="E3219" s="101" t="s">
        <v>139</v>
      </c>
    </row>
    <row r="3220" spans="1:5" x14ac:dyDescent="0.3">
      <c r="A3220" t="str">
        <f t="shared" si="50"/>
        <v>0318873</v>
      </c>
      <c r="B3220" s="101" t="s">
        <v>16</v>
      </c>
      <c r="C3220" s="101" t="s">
        <v>164</v>
      </c>
      <c r="D3220" s="101" t="s">
        <v>566</v>
      </c>
      <c r="E3220" s="101" t="s">
        <v>139</v>
      </c>
    </row>
    <row r="3221" spans="1:5" x14ac:dyDescent="0.3">
      <c r="A3221" t="str">
        <f t="shared" si="50"/>
        <v>0614873</v>
      </c>
      <c r="B3221" s="101" t="s">
        <v>317</v>
      </c>
      <c r="C3221" s="101" t="s">
        <v>156</v>
      </c>
      <c r="D3221" s="101" t="s">
        <v>566</v>
      </c>
      <c r="E3221" s="101" t="s">
        <v>139</v>
      </c>
    </row>
    <row r="3222" spans="1:5" x14ac:dyDescent="0.3">
      <c r="A3222" t="str">
        <f t="shared" si="50"/>
        <v>0321873</v>
      </c>
      <c r="B3222" s="101" t="s">
        <v>16</v>
      </c>
      <c r="C3222" s="101" t="s">
        <v>170</v>
      </c>
      <c r="D3222" s="101" t="s">
        <v>566</v>
      </c>
      <c r="E3222" s="101" t="s">
        <v>139</v>
      </c>
    </row>
    <row r="3223" spans="1:5" x14ac:dyDescent="0.3">
      <c r="A3223" t="str">
        <f t="shared" si="50"/>
        <v>0413874</v>
      </c>
      <c r="B3223" s="101" t="s">
        <v>18</v>
      </c>
      <c r="C3223" s="101" t="s">
        <v>154</v>
      </c>
      <c r="D3223" s="101" t="s">
        <v>567</v>
      </c>
      <c r="E3223" s="101" t="s">
        <v>17</v>
      </c>
    </row>
    <row r="3224" spans="1:5" x14ac:dyDescent="0.3">
      <c r="A3224" t="str">
        <f t="shared" si="50"/>
        <v>0614874</v>
      </c>
      <c r="B3224" s="101" t="s">
        <v>317</v>
      </c>
      <c r="C3224" s="101" t="s">
        <v>156</v>
      </c>
      <c r="D3224" s="101" t="s">
        <v>567</v>
      </c>
      <c r="E3224" s="101" t="s">
        <v>17</v>
      </c>
    </row>
    <row r="3225" spans="1:5" x14ac:dyDescent="0.3">
      <c r="A3225" t="str">
        <f t="shared" si="50"/>
        <v>0219874</v>
      </c>
      <c r="B3225" s="101" t="s">
        <v>639</v>
      </c>
      <c r="C3225" s="101" t="s">
        <v>166</v>
      </c>
      <c r="D3225" s="101" t="s">
        <v>567</v>
      </c>
      <c r="E3225" s="101" t="s">
        <v>17</v>
      </c>
    </row>
    <row r="3226" spans="1:5" x14ac:dyDescent="0.3">
      <c r="A3226" t="str">
        <f t="shared" si="50"/>
        <v>0421874</v>
      </c>
      <c r="B3226" s="101" t="s">
        <v>18</v>
      </c>
      <c r="C3226" s="101" t="s">
        <v>170</v>
      </c>
      <c r="D3226" s="101" t="s">
        <v>567</v>
      </c>
      <c r="E3226" s="101" t="s">
        <v>17</v>
      </c>
    </row>
    <row r="3227" spans="1:5" x14ac:dyDescent="0.3">
      <c r="A3227" t="str">
        <f t="shared" si="50"/>
        <v>0519874</v>
      </c>
      <c r="B3227" s="101" t="s">
        <v>313</v>
      </c>
      <c r="C3227" s="101" t="s">
        <v>166</v>
      </c>
      <c r="D3227" s="101" t="s">
        <v>567</v>
      </c>
      <c r="E3227" s="101" t="s">
        <v>17</v>
      </c>
    </row>
    <row r="3228" spans="1:5" x14ac:dyDescent="0.3">
      <c r="A3228" t="str">
        <f t="shared" si="50"/>
        <v>0420874</v>
      </c>
      <c r="B3228" s="101" t="s">
        <v>18</v>
      </c>
      <c r="C3228" s="101" t="s">
        <v>168</v>
      </c>
      <c r="D3228" s="101" t="s">
        <v>567</v>
      </c>
      <c r="E3228" s="101" t="s">
        <v>17</v>
      </c>
    </row>
    <row r="3229" spans="1:5" x14ac:dyDescent="0.3">
      <c r="A3229" t="str">
        <f t="shared" si="50"/>
        <v>0314874</v>
      </c>
      <c r="B3229" s="101" t="s">
        <v>16</v>
      </c>
      <c r="C3229" s="101" t="s">
        <v>156</v>
      </c>
      <c r="D3229" s="101" t="s">
        <v>567</v>
      </c>
      <c r="E3229" s="101" t="s">
        <v>17</v>
      </c>
    </row>
    <row r="3230" spans="1:5" x14ac:dyDescent="0.3">
      <c r="A3230" t="str">
        <f t="shared" si="50"/>
        <v>0412874</v>
      </c>
      <c r="B3230" s="101" t="s">
        <v>18</v>
      </c>
      <c r="C3230" s="101" t="s">
        <v>152</v>
      </c>
      <c r="D3230" s="101" t="s">
        <v>567</v>
      </c>
      <c r="E3230" s="101" t="s">
        <v>17</v>
      </c>
    </row>
    <row r="3231" spans="1:5" x14ac:dyDescent="0.3">
      <c r="A3231" t="str">
        <f t="shared" si="50"/>
        <v>0216874</v>
      </c>
      <c r="B3231" s="101" t="s">
        <v>639</v>
      </c>
      <c r="C3231" s="101" t="s">
        <v>160</v>
      </c>
      <c r="D3231" s="101" t="s">
        <v>567</v>
      </c>
      <c r="E3231" s="101" t="s">
        <v>17</v>
      </c>
    </row>
    <row r="3232" spans="1:5" x14ac:dyDescent="0.3">
      <c r="A3232" t="str">
        <f t="shared" si="50"/>
        <v>0214874</v>
      </c>
      <c r="B3232" s="101" t="s">
        <v>639</v>
      </c>
      <c r="C3232" s="101" t="s">
        <v>156</v>
      </c>
      <c r="D3232" s="101" t="s">
        <v>567</v>
      </c>
      <c r="E3232" s="101" t="s">
        <v>17</v>
      </c>
    </row>
    <row r="3233" spans="1:5" x14ac:dyDescent="0.3">
      <c r="A3233" t="str">
        <f t="shared" si="50"/>
        <v>0410874</v>
      </c>
      <c r="B3233" s="101" t="s">
        <v>18</v>
      </c>
      <c r="C3233" s="101" t="s">
        <v>143</v>
      </c>
      <c r="D3233" s="101" t="s">
        <v>567</v>
      </c>
      <c r="E3233" s="101" t="s">
        <v>17</v>
      </c>
    </row>
    <row r="3234" spans="1:5" x14ac:dyDescent="0.3">
      <c r="A3234" t="str">
        <f t="shared" si="50"/>
        <v>0622874</v>
      </c>
      <c r="B3234" s="101" t="s">
        <v>317</v>
      </c>
      <c r="C3234" s="101" t="s">
        <v>172</v>
      </c>
      <c r="D3234" s="101" t="s">
        <v>567</v>
      </c>
      <c r="E3234" s="101" t="s">
        <v>17</v>
      </c>
    </row>
    <row r="3235" spans="1:5" x14ac:dyDescent="0.3">
      <c r="A3235" t="str">
        <f t="shared" si="50"/>
        <v>0321874</v>
      </c>
      <c r="B3235" s="101" t="s">
        <v>16</v>
      </c>
      <c r="C3235" s="101" t="s">
        <v>170</v>
      </c>
      <c r="D3235" s="101" t="s">
        <v>567</v>
      </c>
      <c r="E3235" s="101" t="s">
        <v>17</v>
      </c>
    </row>
    <row r="3236" spans="1:5" x14ac:dyDescent="0.3">
      <c r="A3236" t="str">
        <f t="shared" si="50"/>
        <v>0616874</v>
      </c>
      <c r="B3236" s="101" t="s">
        <v>317</v>
      </c>
      <c r="C3236" s="101" t="s">
        <v>160</v>
      </c>
      <c r="D3236" s="101" t="s">
        <v>567</v>
      </c>
      <c r="E3236" s="101" t="s">
        <v>17</v>
      </c>
    </row>
    <row r="3237" spans="1:5" x14ac:dyDescent="0.3">
      <c r="A3237" t="str">
        <f t="shared" si="50"/>
        <v>0510874</v>
      </c>
      <c r="B3237" s="101" t="s">
        <v>313</v>
      </c>
      <c r="C3237" s="101" t="s">
        <v>143</v>
      </c>
      <c r="D3237" s="101" t="s">
        <v>567</v>
      </c>
      <c r="E3237" s="101" t="s">
        <v>17</v>
      </c>
    </row>
    <row r="3238" spans="1:5" x14ac:dyDescent="0.3">
      <c r="A3238" t="str">
        <f t="shared" si="50"/>
        <v>0611874</v>
      </c>
      <c r="B3238" s="101" t="s">
        <v>317</v>
      </c>
      <c r="C3238" s="101" t="s">
        <v>150</v>
      </c>
      <c r="D3238" s="101" t="s">
        <v>567</v>
      </c>
      <c r="E3238" s="101" t="s">
        <v>17</v>
      </c>
    </row>
    <row r="3239" spans="1:5" x14ac:dyDescent="0.3">
      <c r="A3239" t="str">
        <f t="shared" si="50"/>
        <v>0423874</v>
      </c>
      <c r="B3239" s="101" t="s">
        <v>18</v>
      </c>
      <c r="C3239" s="101" t="s">
        <v>174</v>
      </c>
      <c r="D3239" s="101" t="s">
        <v>567</v>
      </c>
      <c r="E3239" s="101" t="s">
        <v>17</v>
      </c>
    </row>
    <row r="3240" spans="1:5" x14ac:dyDescent="0.3">
      <c r="A3240" t="str">
        <f t="shared" si="50"/>
        <v>0417874</v>
      </c>
      <c r="B3240" s="101" t="s">
        <v>18</v>
      </c>
      <c r="C3240" s="101" t="s">
        <v>162</v>
      </c>
      <c r="D3240" s="101" t="s">
        <v>567</v>
      </c>
      <c r="E3240" s="101" t="s">
        <v>17</v>
      </c>
    </row>
    <row r="3241" spans="1:5" x14ac:dyDescent="0.3">
      <c r="A3241" t="str">
        <f t="shared" si="50"/>
        <v>0411874</v>
      </c>
      <c r="B3241" s="101" t="s">
        <v>18</v>
      </c>
      <c r="C3241" s="101" t="s">
        <v>150</v>
      </c>
      <c r="D3241" s="101" t="s">
        <v>567</v>
      </c>
      <c r="E3241" s="101" t="s">
        <v>17</v>
      </c>
    </row>
    <row r="3242" spans="1:5" x14ac:dyDescent="0.3">
      <c r="A3242" t="str">
        <f t="shared" si="50"/>
        <v>0416874</v>
      </c>
      <c r="B3242" s="101" t="s">
        <v>18</v>
      </c>
      <c r="C3242" s="101" t="s">
        <v>160</v>
      </c>
      <c r="D3242" s="101" t="s">
        <v>567</v>
      </c>
      <c r="E3242" s="101" t="s">
        <v>17</v>
      </c>
    </row>
    <row r="3243" spans="1:5" x14ac:dyDescent="0.3">
      <c r="A3243" t="str">
        <f t="shared" si="50"/>
        <v>0820874</v>
      </c>
      <c r="B3243" s="101" t="s">
        <v>320</v>
      </c>
      <c r="C3243" s="101" t="s">
        <v>168</v>
      </c>
      <c r="D3243" s="101" t="s">
        <v>567</v>
      </c>
      <c r="E3243" s="101" t="s">
        <v>17</v>
      </c>
    </row>
    <row r="3244" spans="1:5" x14ac:dyDescent="0.3">
      <c r="A3244" t="str">
        <f t="shared" si="50"/>
        <v>0422874</v>
      </c>
      <c r="B3244" s="101" t="s">
        <v>18</v>
      </c>
      <c r="C3244" s="101" t="s">
        <v>172</v>
      </c>
      <c r="D3244" s="101" t="s">
        <v>567</v>
      </c>
      <c r="E3244" s="101" t="s">
        <v>17</v>
      </c>
    </row>
    <row r="3245" spans="1:5" x14ac:dyDescent="0.3">
      <c r="A3245" t="str">
        <f t="shared" si="50"/>
        <v>0419874</v>
      </c>
      <c r="B3245" s="101" t="s">
        <v>18</v>
      </c>
      <c r="C3245" s="101" t="s">
        <v>166</v>
      </c>
      <c r="D3245" s="101" t="s">
        <v>567</v>
      </c>
      <c r="E3245" s="101" t="s">
        <v>17</v>
      </c>
    </row>
    <row r="3246" spans="1:5" x14ac:dyDescent="0.3">
      <c r="A3246" t="str">
        <f t="shared" si="50"/>
        <v>0323874</v>
      </c>
      <c r="B3246" s="101" t="s">
        <v>16</v>
      </c>
      <c r="C3246" s="101" t="s">
        <v>174</v>
      </c>
      <c r="D3246" s="101" t="s">
        <v>567</v>
      </c>
      <c r="E3246" s="101" t="s">
        <v>17</v>
      </c>
    </row>
    <row r="3247" spans="1:5" x14ac:dyDescent="0.3">
      <c r="A3247" t="str">
        <f t="shared" si="50"/>
        <v>0222874</v>
      </c>
      <c r="B3247" s="101" t="s">
        <v>639</v>
      </c>
      <c r="C3247" s="101" t="s">
        <v>172</v>
      </c>
      <c r="D3247" s="101" t="s">
        <v>567</v>
      </c>
      <c r="E3247" s="101" t="s">
        <v>17</v>
      </c>
    </row>
    <row r="3248" spans="1:5" x14ac:dyDescent="0.3">
      <c r="A3248" t="str">
        <f t="shared" si="50"/>
        <v>0414874</v>
      </c>
      <c r="B3248" s="101" t="s">
        <v>18</v>
      </c>
      <c r="C3248" s="101" t="s">
        <v>156</v>
      </c>
      <c r="D3248" s="101" t="s">
        <v>567</v>
      </c>
      <c r="E3248" s="101" t="s">
        <v>17</v>
      </c>
    </row>
    <row r="3249" spans="1:5" x14ac:dyDescent="0.3">
      <c r="A3249" t="str">
        <f t="shared" si="50"/>
        <v>0415874</v>
      </c>
      <c r="B3249" s="101" t="s">
        <v>18</v>
      </c>
      <c r="C3249" s="101" t="s">
        <v>158</v>
      </c>
      <c r="D3249" s="101" t="s">
        <v>567</v>
      </c>
      <c r="E3249" s="101" t="s">
        <v>17</v>
      </c>
    </row>
    <row r="3250" spans="1:5" x14ac:dyDescent="0.3">
      <c r="A3250" t="str">
        <f t="shared" si="50"/>
        <v>0319874</v>
      </c>
      <c r="B3250" s="101" t="s">
        <v>16</v>
      </c>
      <c r="C3250" s="101" t="s">
        <v>166</v>
      </c>
      <c r="D3250" s="101" t="s">
        <v>567</v>
      </c>
      <c r="E3250" s="101" t="s">
        <v>17</v>
      </c>
    </row>
    <row r="3251" spans="1:5" x14ac:dyDescent="0.3">
      <c r="A3251" t="str">
        <f t="shared" si="50"/>
        <v>0223874</v>
      </c>
      <c r="B3251" s="101" t="s">
        <v>639</v>
      </c>
      <c r="C3251" s="101" t="s">
        <v>174</v>
      </c>
      <c r="D3251" s="101" t="s">
        <v>567</v>
      </c>
      <c r="E3251" s="101" t="s">
        <v>17</v>
      </c>
    </row>
    <row r="3252" spans="1:5" x14ac:dyDescent="0.3">
      <c r="A3252" t="str">
        <f t="shared" si="50"/>
        <v>0419890</v>
      </c>
      <c r="B3252" s="101" t="s">
        <v>18</v>
      </c>
      <c r="C3252" s="101" t="s">
        <v>166</v>
      </c>
      <c r="D3252" s="101" t="s">
        <v>568</v>
      </c>
      <c r="E3252" s="101" t="s">
        <v>17</v>
      </c>
    </row>
    <row r="3253" spans="1:5" x14ac:dyDescent="0.3">
      <c r="A3253" t="str">
        <f t="shared" si="50"/>
        <v>0417890</v>
      </c>
      <c r="B3253" s="101" t="s">
        <v>18</v>
      </c>
      <c r="C3253" s="101" t="s">
        <v>162</v>
      </c>
      <c r="D3253" s="101" t="s">
        <v>568</v>
      </c>
      <c r="E3253" s="101" t="s">
        <v>17</v>
      </c>
    </row>
    <row r="3254" spans="1:5" x14ac:dyDescent="0.3">
      <c r="A3254" t="str">
        <f t="shared" si="50"/>
        <v>0510138</v>
      </c>
      <c r="B3254" s="101" t="s">
        <v>313</v>
      </c>
      <c r="C3254" s="101" t="s">
        <v>143</v>
      </c>
      <c r="D3254" s="101" t="s">
        <v>261</v>
      </c>
      <c r="E3254" s="101" t="s">
        <v>140</v>
      </c>
    </row>
    <row r="3255" spans="1:5" x14ac:dyDescent="0.3">
      <c r="A3255" t="str">
        <f t="shared" si="50"/>
        <v>0610138</v>
      </c>
      <c r="B3255" s="101" t="s">
        <v>317</v>
      </c>
      <c r="C3255" s="101" t="s">
        <v>143</v>
      </c>
      <c r="D3255" s="101" t="s">
        <v>261</v>
      </c>
      <c r="E3255" s="101" t="s">
        <v>140</v>
      </c>
    </row>
    <row r="3256" spans="1:5" x14ac:dyDescent="0.3">
      <c r="A3256" t="str">
        <f t="shared" si="50"/>
        <v>0710138</v>
      </c>
      <c r="B3256" s="101" t="s">
        <v>319</v>
      </c>
      <c r="C3256" s="101" t="s">
        <v>143</v>
      </c>
      <c r="D3256" s="101" t="s">
        <v>261</v>
      </c>
      <c r="E3256" s="101" t="s">
        <v>140</v>
      </c>
    </row>
    <row r="3257" spans="1:5" x14ac:dyDescent="0.3">
      <c r="A3257" t="str">
        <f t="shared" si="50"/>
        <v>0810138</v>
      </c>
      <c r="B3257" s="101" t="s">
        <v>320</v>
      </c>
      <c r="C3257" s="101" t="s">
        <v>143</v>
      </c>
      <c r="D3257" s="101" t="s">
        <v>261</v>
      </c>
      <c r="E3257" s="101" t="s">
        <v>140</v>
      </c>
    </row>
    <row r="3258" spans="1:5" x14ac:dyDescent="0.3">
      <c r="A3258" t="str">
        <f t="shared" si="50"/>
        <v>0510139</v>
      </c>
      <c r="B3258" s="101" t="s">
        <v>313</v>
      </c>
      <c r="C3258" s="101" t="s">
        <v>143</v>
      </c>
      <c r="D3258" s="101" t="s">
        <v>262</v>
      </c>
      <c r="E3258" s="101" t="s">
        <v>140</v>
      </c>
    </row>
    <row r="3259" spans="1:5" x14ac:dyDescent="0.3">
      <c r="A3259" t="str">
        <f t="shared" si="50"/>
        <v>0610139</v>
      </c>
      <c r="B3259" s="101" t="s">
        <v>317</v>
      </c>
      <c r="C3259" s="101" t="s">
        <v>143</v>
      </c>
      <c r="D3259" s="101" t="s">
        <v>262</v>
      </c>
      <c r="E3259" s="101" t="s">
        <v>140</v>
      </c>
    </row>
    <row r="3260" spans="1:5" x14ac:dyDescent="0.3">
      <c r="A3260" t="str">
        <f t="shared" si="50"/>
        <v>0710139</v>
      </c>
      <c r="B3260" s="101" t="s">
        <v>319</v>
      </c>
      <c r="C3260" s="101" t="s">
        <v>143</v>
      </c>
      <c r="D3260" s="101" t="s">
        <v>262</v>
      </c>
      <c r="E3260" s="101" t="s">
        <v>140</v>
      </c>
    </row>
    <row r="3261" spans="1:5" x14ac:dyDescent="0.3">
      <c r="A3261" t="str">
        <f t="shared" si="50"/>
        <v>0117835</v>
      </c>
      <c r="B3261" s="101" t="s">
        <v>640</v>
      </c>
      <c r="C3261" s="101" t="s">
        <v>162</v>
      </c>
      <c r="D3261" s="101" t="s">
        <v>555</v>
      </c>
      <c r="E3261" s="101" t="s">
        <v>139</v>
      </c>
    </row>
    <row r="3262" spans="1:5" x14ac:dyDescent="0.3">
      <c r="A3262" t="str">
        <f t="shared" si="50"/>
        <v>0422820</v>
      </c>
      <c r="B3262" s="101" t="s">
        <v>18</v>
      </c>
      <c r="C3262" s="101" t="s">
        <v>172</v>
      </c>
      <c r="D3262" s="101" t="s">
        <v>548</v>
      </c>
      <c r="E3262" s="101" t="s">
        <v>17</v>
      </c>
    </row>
    <row r="3263" spans="1:5" x14ac:dyDescent="0.3">
      <c r="A3263" t="str">
        <f t="shared" si="50"/>
        <v>0516874</v>
      </c>
      <c r="B3263" s="101" t="s">
        <v>313</v>
      </c>
      <c r="C3263" s="101" t="s">
        <v>160</v>
      </c>
      <c r="D3263" s="101" t="s">
        <v>567</v>
      </c>
      <c r="E3263" s="101" t="s">
        <v>17</v>
      </c>
    </row>
    <row r="3264" spans="1:5" x14ac:dyDescent="0.3">
      <c r="A3264" t="str">
        <f t="shared" si="50"/>
        <v>0515016</v>
      </c>
      <c r="B3264" s="101" t="s">
        <v>313</v>
      </c>
      <c r="C3264" s="101" t="s">
        <v>158</v>
      </c>
      <c r="D3264" s="101" t="s">
        <v>396</v>
      </c>
      <c r="E3264" s="101" t="s">
        <v>17</v>
      </c>
    </row>
    <row r="3265" spans="1:5" x14ac:dyDescent="0.3">
      <c r="A3265" t="str">
        <f t="shared" si="50"/>
        <v>0511874</v>
      </c>
      <c r="B3265" s="101" t="s">
        <v>313</v>
      </c>
      <c r="C3265" s="101" t="s">
        <v>150</v>
      </c>
      <c r="D3265" s="101" t="s">
        <v>567</v>
      </c>
      <c r="E3265" s="101" t="s">
        <v>17</v>
      </c>
    </row>
    <row r="3266" spans="1:5" x14ac:dyDescent="0.3">
      <c r="A3266" t="str">
        <f t="shared" si="50"/>
        <v>0313093</v>
      </c>
      <c r="B3266" s="101" t="s">
        <v>16</v>
      </c>
      <c r="C3266" s="101" t="s">
        <v>154</v>
      </c>
      <c r="D3266" s="101" t="s">
        <v>642</v>
      </c>
      <c r="E3266" s="101" t="s">
        <v>139</v>
      </c>
    </row>
    <row r="3267" spans="1:5" x14ac:dyDescent="0.3">
      <c r="A3267" t="str">
        <f t="shared" ref="A3267:A3330" si="51">CONCATENATE(B3267,C3267,D3267,F3267)</f>
        <v>0718874</v>
      </c>
      <c r="B3267" s="101" t="s">
        <v>319</v>
      </c>
      <c r="C3267" s="101" t="s">
        <v>164</v>
      </c>
      <c r="D3267" s="101" t="s">
        <v>567</v>
      </c>
      <c r="E3267" s="101" t="s">
        <v>17</v>
      </c>
    </row>
    <row r="3268" spans="1:5" x14ac:dyDescent="0.3">
      <c r="A3268" t="str">
        <f t="shared" si="51"/>
        <v>0321837</v>
      </c>
      <c r="B3268" s="101" t="s">
        <v>16</v>
      </c>
      <c r="C3268" s="101" t="s">
        <v>170</v>
      </c>
      <c r="D3268" s="101" t="s">
        <v>557</v>
      </c>
      <c r="E3268" s="101" t="s">
        <v>17</v>
      </c>
    </row>
    <row r="3269" spans="1:5" x14ac:dyDescent="0.3">
      <c r="A3269" t="str">
        <f t="shared" si="51"/>
        <v>0820816</v>
      </c>
      <c r="B3269" s="101" t="s">
        <v>320</v>
      </c>
      <c r="C3269" s="101" t="s">
        <v>168</v>
      </c>
      <c r="D3269" s="101" t="s">
        <v>336</v>
      </c>
      <c r="E3269" s="101" t="s">
        <v>17</v>
      </c>
    </row>
    <row r="3270" spans="1:5" x14ac:dyDescent="0.3">
      <c r="A3270" t="str">
        <f t="shared" si="51"/>
        <v>0514874</v>
      </c>
      <c r="B3270" s="101" t="s">
        <v>313</v>
      </c>
      <c r="C3270" s="101" t="s">
        <v>156</v>
      </c>
      <c r="D3270" s="101" t="s">
        <v>567</v>
      </c>
      <c r="E3270" s="101" t="s">
        <v>17</v>
      </c>
    </row>
    <row r="3271" spans="1:5" x14ac:dyDescent="0.3">
      <c r="A3271" t="str">
        <f t="shared" si="51"/>
        <v>0623811</v>
      </c>
      <c r="B3271" s="101" t="s">
        <v>317</v>
      </c>
      <c r="C3271" s="101" t="s">
        <v>174</v>
      </c>
      <c r="D3271" s="101" t="s">
        <v>189</v>
      </c>
      <c r="E3271" s="101" t="s">
        <v>17</v>
      </c>
    </row>
    <row r="3272" spans="1:5" x14ac:dyDescent="0.3">
      <c r="A3272" t="str">
        <f t="shared" si="51"/>
        <v>0422562</v>
      </c>
      <c r="B3272" s="101" t="s">
        <v>18</v>
      </c>
      <c r="C3272" s="101" t="s">
        <v>172</v>
      </c>
      <c r="D3272" s="101" t="s">
        <v>421</v>
      </c>
      <c r="E3272" s="101" t="s">
        <v>140</v>
      </c>
    </row>
    <row r="3273" spans="1:5" x14ac:dyDescent="0.3">
      <c r="A3273" t="str">
        <f t="shared" si="51"/>
        <v>0623874</v>
      </c>
      <c r="B3273" s="101" t="s">
        <v>317</v>
      </c>
      <c r="C3273" s="101" t="s">
        <v>174</v>
      </c>
      <c r="D3273" s="101" t="s">
        <v>567</v>
      </c>
      <c r="E3273" s="101" t="s">
        <v>17</v>
      </c>
    </row>
    <row r="3274" spans="1:5" x14ac:dyDescent="0.3">
      <c r="A3274" t="str">
        <f t="shared" si="51"/>
        <v>0820811</v>
      </c>
      <c r="B3274" s="101" t="s">
        <v>320</v>
      </c>
      <c r="C3274" s="101" t="s">
        <v>168</v>
      </c>
      <c r="D3274" s="101" t="s">
        <v>189</v>
      </c>
      <c r="E3274" s="101" t="s">
        <v>17</v>
      </c>
    </row>
    <row r="3275" spans="1:5" x14ac:dyDescent="0.3">
      <c r="A3275" t="str">
        <f t="shared" si="51"/>
        <v>0516873</v>
      </c>
      <c r="B3275" s="101" t="s">
        <v>313</v>
      </c>
      <c r="C3275" s="101" t="s">
        <v>160</v>
      </c>
      <c r="D3275" s="101" t="s">
        <v>566</v>
      </c>
      <c r="E3275" s="101" t="s">
        <v>139</v>
      </c>
    </row>
    <row r="3276" spans="1:5" x14ac:dyDescent="0.3">
      <c r="A3276" t="str">
        <f t="shared" si="51"/>
        <v>0810811</v>
      </c>
      <c r="B3276" s="101" t="s">
        <v>320</v>
      </c>
      <c r="C3276" s="101" t="s">
        <v>143</v>
      </c>
      <c r="D3276" s="101" t="s">
        <v>189</v>
      </c>
      <c r="E3276" s="101" t="s">
        <v>17</v>
      </c>
    </row>
    <row r="3277" spans="1:5" x14ac:dyDescent="0.3">
      <c r="A3277" t="str">
        <f t="shared" si="51"/>
        <v>0322046</v>
      </c>
      <c r="B3277" s="101" t="s">
        <v>16</v>
      </c>
      <c r="C3277" s="101" t="s">
        <v>172</v>
      </c>
      <c r="D3277" s="101" t="s">
        <v>455</v>
      </c>
      <c r="E3277" s="101" t="s">
        <v>19</v>
      </c>
    </row>
    <row r="3278" spans="1:5" x14ac:dyDescent="0.3">
      <c r="A3278" t="str">
        <f t="shared" si="51"/>
        <v>0414812</v>
      </c>
      <c r="B3278" s="101" t="s">
        <v>18</v>
      </c>
      <c r="C3278" s="101" t="s">
        <v>156</v>
      </c>
      <c r="D3278" s="101" t="s">
        <v>190</v>
      </c>
      <c r="E3278" s="101" t="s">
        <v>17</v>
      </c>
    </row>
    <row r="3279" spans="1:5" x14ac:dyDescent="0.3">
      <c r="A3279" t="str">
        <f t="shared" si="51"/>
        <v>0411807</v>
      </c>
      <c r="B3279" s="101" t="s">
        <v>18</v>
      </c>
      <c r="C3279" s="101" t="s">
        <v>150</v>
      </c>
      <c r="D3279" s="101" t="s">
        <v>185</v>
      </c>
      <c r="E3279" s="101" t="s">
        <v>17</v>
      </c>
    </row>
    <row r="3280" spans="1:5" x14ac:dyDescent="0.3">
      <c r="A3280" t="str">
        <f t="shared" si="51"/>
        <v>0621874</v>
      </c>
      <c r="B3280" s="101" t="s">
        <v>317</v>
      </c>
      <c r="C3280" s="101" t="s">
        <v>170</v>
      </c>
      <c r="D3280" s="101" t="s">
        <v>567</v>
      </c>
      <c r="E3280" s="101" t="s">
        <v>17</v>
      </c>
    </row>
    <row r="3281" spans="1:5" x14ac:dyDescent="0.3">
      <c r="A3281" t="str">
        <f t="shared" si="51"/>
        <v>0722874</v>
      </c>
      <c r="B3281" s="101" t="s">
        <v>319</v>
      </c>
      <c r="C3281" s="101" t="s">
        <v>172</v>
      </c>
      <c r="D3281" s="101" t="s">
        <v>567</v>
      </c>
      <c r="E3281" s="101" t="s">
        <v>17</v>
      </c>
    </row>
    <row r="3282" spans="1:5" x14ac:dyDescent="0.3">
      <c r="A3282" t="str">
        <f t="shared" si="51"/>
        <v>0110835</v>
      </c>
      <c r="B3282" s="101" t="s">
        <v>640</v>
      </c>
      <c r="C3282" s="101" t="s">
        <v>143</v>
      </c>
      <c r="D3282" s="101" t="s">
        <v>555</v>
      </c>
      <c r="E3282" s="101" t="s">
        <v>139</v>
      </c>
    </row>
    <row r="3283" spans="1:5" x14ac:dyDescent="0.3">
      <c r="A3283" t="str">
        <f t="shared" si="51"/>
        <v>0316835</v>
      </c>
      <c r="B3283" s="101" t="s">
        <v>16</v>
      </c>
      <c r="C3283" s="101" t="s">
        <v>160</v>
      </c>
      <c r="D3283" s="101" t="s">
        <v>555</v>
      </c>
      <c r="E3283" s="101" t="s">
        <v>139</v>
      </c>
    </row>
    <row r="3284" spans="1:5" x14ac:dyDescent="0.3">
      <c r="A3284" t="str">
        <f t="shared" si="51"/>
        <v>0419550</v>
      </c>
      <c r="B3284" s="101" t="s">
        <v>18</v>
      </c>
      <c r="C3284" s="101" t="s">
        <v>166</v>
      </c>
      <c r="D3284" s="101" t="s">
        <v>415</v>
      </c>
      <c r="E3284" s="101" t="s">
        <v>17</v>
      </c>
    </row>
    <row r="3285" spans="1:5" x14ac:dyDescent="0.3">
      <c r="A3285" t="str">
        <f t="shared" si="51"/>
        <v>0417120</v>
      </c>
      <c r="B3285" s="101" t="s">
        <v>18</v>
      </c>
      <c r="C3285" s="101" t="s">
        <v>162</v>
      </c>
      <c r="D3285" s="101" t="s">
        <v>249</v>
      </c>
      <c r="E3285" s="101" t="s">
        <v>139</v>
      </c>
    </row>
    <row r="3286" spans="1:5" x14ac:dyDescent="0.3">
      <c r="A3286" t="str">
        <f t="shared" si="51"/>
        <v>0810873</v>
      </c>
      <c r="B3286" s="101" t="s">
        <v>320</v>
      </c>
      <c r="C3286" s="101" t="s">
        <v>143</v>
      </c>
      <c r="D3286" s="101" t="s">
        <v>566</v>
      </c>
      <c r="E3286" s="101" t="s">
        <v>139</v>
      </c>
    </row>
    <row r="3287" spans="1:5" x14ac:dyDescent="0.3">
      <c r="A3287" t="str">
        <f t="shared" si="51"/>
        <v>0610873</v>
      </c>
      <c r="B3287" s="101" t="s">
        <v>317</v>
      </c>
      <c r="C3287" s="101" t="s">
        <v>143</v>
      </c>
      <c r="D3287" s="101" t="s">
        <v>566</v>
      </c>
      <c r="E3287" s="101" t="s">
        <v>139</v>
      </c>
    </row>
    <row r="3288" spans="1:5" x14ac:dyDescent="0.3">
      <c r="A3288" t="str">
        <f t="shared" si="51"/>
        <v>0411100</v>
      </c>
      <c r="B3288" s="101" t="s">
        <v>18</v>
      </c>
      <c r="C3288" s="101" t="s">
        <v>150</v>
      </c>
      <c r="D3288" s="101" t="s">
        <v>222</v>
      </c>
      <c r="E3288" s="101" t="s">
        <v>17</v>
      </c>
    </row>
    <row r="3289" spans="1:5" x14ac:dyDescent="0.3">
      <c r="A3289" t="str">
        <f t="shared" si="51"/>
        <v>0619874</v>
      </c>
      <c r="B3289" s="101" t="s">
        <v>317</v>
      </c>
      <c r="C3289" s="101" t="s">
        <v>166</v>
      </c>
      <c r="D3289" s="101" t="s">
        <v>567</v>
      </c>
      <c r="E3289" s="101" t="s">
        <v>17</v>
      </c>
    </row>
    <row r="3290" spans="1:5" x14ac:dyDescent="0.3">
      <c r="A3290" t="str">
        <f t="shared" si="51"/>
        <v>0815810</v>
      </c>
      <c r="B3290" s="101" t="s">
        <v>320</v>
      </c>
      <c r="C3290" s="101" t="s">
        <v>158</v>
      </c>
      <c r="D3290" s="101" t="s">
        <v>188</v>
      </c>
      <c r="E3290" s="101" t="s">
        <v>17</v>
      </c>
    </row>
    <row r="3291" spans="1:5" x14ac:dyDescent="0.3">
      <c r="A3291" t="str">
        <f t="shared" si="51"/>
        <v>031803</v>
      </c>
      <c r="B3291" s="101" t="s">
        <v>16</v>
      </c>
      <c r="C3291" s="101" t="s">
        <v>164</v>
      </c>
      <c r="D3291" s="101" t="s">
        <v>16</v>
      </c>
      <c r="E3291" s="101" t="s">
        <v>19</v>
      </c>
    </row>
    <row r="3292" spans="1:5" x14ac:dyDescent="0.3">
      <c r="A3292" t="str">
        <f t="shared" si="51"/>
        <v>0411890</v>
      </c>
      <c r="B3292" s="101" t="s">
        <v>18</v>
      </c>
      <c r="C3292" s="101" t="s">
        <v>150</v>
      </c>
      <c r="D3292" s="101" t="s">
        <v>568</v>
      </c>
      <c r="E3292" s="101" t="s">
        <v>17</v>
      </c>
    </row>
    <row r="3293" spans="1:5" x14ac:dyDescent="0.3">
      <c r="A3293" t="str">
        <f t="shared" si="51"/>
        <v>0715873</v>
      </c>
      <c r="B3293" s="101" t="s">
        <v>319</v>
      </c>
      <c r="C3293" s="101" t="s">
        <v>158</v>
      </c>
      <c r="D3293" s="101" t="s">
        <v>566</v>
      </c>
      <c r="E3293" s="101" t="s">
        <v>139</v>
      </c>
    </row>
    <row r="3294" spans="1:5" x14ac:dyDescent="0.3">
      <c r="A3294" t="str">
        <f t="shared" si="51"/>
        <v>0415033</v>
      </c>
      <c r="B3294" s="101" t="s">
        <v>18</v>
      </c>
      <c r="C3294" s="101" t="s">
        <v>158</v>
      </c>
      <c r="D3294" s="101" t="s">
        <v>327</v>
      </c>
      <c r="E3294" s="101" t="s">
        <v>17</v>
      </c>
    </row>
    <row r="3295" spans="1:5" x14ac:dyDescent="0.3">
      <c r="A3295" t="str">
        <f t="shared" si="51"/>
        <v>0613874</v>
      </c>
      <c r="B3295" s="101" t="s">
        <v>317</v>
      </c>
      <c r="C3295" s="101" t="s">
        <v>154</v>
      </c>
      <c r="D3295" s="101" t="s">
        <v>567</v>
      </c>
      <c r="E3295" s="101" t="s">
        <v>17</v>
      </c>
    </row>
    <row r="3296" spans="1:5" x14ac:dyDescent="0.3">
      <c r="A3296" t="str">
        <f t="shared" si="51"/>
        <v>0819874</v>
      </c>
      <c r="B3296" s="101" t="s">
        <v>320</v>
      </c>
      <c r="C3296" s="101" t="s">
        <v>166</v>
      </c>
      <c r="D3296" s="101" t="s">
        <v>567</v>
      </c>
      <c r="E3296" s="101" t="s">
        <v>17</v>
      </c>
    </row>
    <row r="3297" spans="1:5" x14ac:dyDescent="0.3">
      <c r="A3297" t="str">
        <f t="shared" si="51"/>
        <v>0715810</v>
      </c>
      <c r="B3297" s="101" t="s">
        <v>319</v>
      </c>
      <c r="C3297" s="101" t="s">
        <v>158</v>
      </c>
      <c r="D3297" s="101" t="s">
        <v>188</v>
      </c>
      <c r="E3297" s="101" t="s">
        <v>17</v>
      </c>
    </row>
    <row r="3298" spans="1:5" x14ac:dyDescent="0.3">
      <c r="A3298" t="str">
        <f t="shared" si="51"/>
        <v>0415533</v>
      </c>
      <c r="B3298" s="101" t="s">
        <v>18</v>
      </c>
      <c r="C3298" s="101" t="s">
        <v>158</v>
      </c>
      <c r="D3298" s="101" t="s">
        <v>397</v>
      </c>
      <c r="E3298" s="101" t="s">
        <v>140</v>
      </c>
    </row>
    <row r="3299" spans="1:5" x14ac:dyDescent="0.3">
      <c r="A3299" t="str">
        <f t="shared" si="51"/>
        <v>0418890</v>
      </c>
      <c r="B3299" s="101" t="s">
        <v>18</v>
      </c>
      <c r="C3299" s="101" t="s">
        <v>164</v>
      </c>
      <c r="D3299" s="101" t="s">
        <v>568</v>
      </c>
      <c r="E3299" s="101" t="s">
        <v>17</v>
      </c>
    </row>
    <row r="3300" spans="1:5" x14ac:dyDescent="0.3">
      <c r="A3300" t="str">
        <f t="shared" si="51"/>
        <v>0512874</v>
      </c>
      <c r="B3300" s="101" t="s">
        <v>313</v>
      </c>
      <c r="C3300" s="101" t="s">
        <v>152</v>
      </c>
      <c r="D3300" s="101" t="s">
        <v>567</v>
      </c>
      <c r="E3300" s="101" t="s">
        <v>17</v>
      </c>
    </row>
    <row r="3301" spans="1:5" x14ac:dyDescent="0.3">
      <c r="A3301" t="str">
        <f t="shared" si="51"/>
        <v>0419824</v>
      </c>
      <c r="B3301" s="101" t="s">
        <v>18</v>
      </c>
      <c r="C3301" s="101" t="s">
        <v>166</v>
      </c>
      <c r="D3301" s="101" t="s">
        <v>551</v>
      </c>
      <c r="E3301" s="101" t="s">
        <v>17</v>
      </c>
    </row>
    <row r="3302" spans="1:5" x14ac:dyDescent="0.3">
      <c r="A3302" t="str">
        <f t="shared" si="51"/>
        <v>0312800</v>
      </c>
      <c r="B3302" s="101" t="s">
        <v>16</v>
      </c>
      <c r="C3302" s="101" t="s">
        <v>152</v>
      </c>
      <c r="D3302" s="101" t="s">
        <v>539</v>
      </c>
      <c r="E3302" s="101" t="s">
        <v>17</v>
      </c>
    </row>
    <row r="3303" spans="1:5" x14ac:dyDescent="0.3">
      <c r="A3303" t="str">
        <f t="shared" si="51"/>
        <v>0220044</v>
      </c>
      <c r="B3303" s="101" t="s">
        <v>639</v>
      </c>
      <c r="C3303" s="101" t="s">
        <v>168</v>
      </c>
      <c r="D3303" s="101" t="s">
        <v>420</v>
      </c>
      <c r="E3303" s="101" t="s">
        <v>17</v>
      </c>
    </row>
    <row r="3304" spans="1:5" x14ac:dyDescent="0.3">
      <c r="A3304" t="str">
        <f t="shared" si="51"/>
        <v>0515873</v>
      </c>
      <c r="B3304" s="101" t="s">
        <v>313</v>
      </c>
      <c r="C3304" s="101" t="s">
        <v>158</v>
      </c>
      <c r="D3304" s="101" t="s">
        <v>566</v>
      </c>
      <c r="E3304" s="101" t="s">
        <v>17</v>
      </c>
    </row>
    <row r="3305" spans="1:5" x14ac:dyDescent="0.3">
      <c r="A3305" t="str">
        <f t="shared" si="51"/>
        <v>0421828</v>
      </c>
      <c r="B3305" s="101" t="s">
        <v>18</v>
      </c>
      <c r="C3305" s="101" t="s">
        <v>170</v>
      </c>
      <c r="D3305" s="101" t="s">
        <v>371</v>
      </c>
      <c r="E3305" s="101" t="s">
        <v>140</v>
      </c>
    </row>
    <row r="3306" spans="1:5" x14ac:dyDescent="0.3">
      <c r="A3306" t="str">
        <f t="shared" si="51"/>
        <v>0812874</v>
      </c>
      <c r="B3306" s="101" t="s">
        <v>320</v>
      </c>
      <c r="C3306" s="101" t="s">
        <v>152</v>
      </c>
      <c r="D3306" s="101" t="s">
        <v>567</v>
      </c>
      <c r="E3306" s="101" t="s">
        <v>17</v>
      </c>
    </row>
    <row r="3307" spans="1:5" x14ac:dyDescent="0.3">
      <c r="A3307" t="str">
        <f t="shared" si="51"/>
        <v>0410207</v>
      </c>
      <c r="B3307" s="101" t="s">
        <v>18</v>
      </c>
      <c r="C3307" s="101" t="s">
        <v>143</v>
      </c>
      <c r="D3307" s="101" t="s">
        <v>305</v>
      </c>
      <c r="E3307" s="101" t="s">
        <v>17</v>
      </c>
    </row>
    <row r="3308" spans="1:5" x14ac:dyDescent="0.3">
      <c r="A3308" t="str">
        <f t="shared" si="51"/>
        <v>0614003</v>
      </c>
      <c r="B3308" s="101" t="s">
        <v>317</v>
      </c>
      <c r="C3308" s="101" t="s">
        <v>156</v>
      </c>
      <c r="D3308" s="101" t="s">
        <v>597</v>
      </c>
      <c r="E3308" s="101" t="s">
        <v>17</v>
      </c>
    </row>
    <row r="3309" spans="1:5" x14ac:dyDescent="0.3">
      <c r="A3309" t="str">
        <f t="shared" si="51"/>
        <v>0412812</v>
      </c>
      <c r="B3309" s="101" t="s">
        <v>18</v>
      </c>
      <c r="C3309" s="101" t="s">
        <v>152</v>
      </c>
      <c r="D3309" s="101" t="s">
        <v>190</v>
      </c>
      <c r="E3309" s="101" t="s">
        <v>17</v>
      </c>
    </row>
    <row r="3310" spans="1:5" x14ac:dyDescent="0.3">
      <c r="A3310" t="str">
        <f t="shared" si="51"/>
        <v>0314057</v>
      </c>
      <c r="B3310" s="101" t="s">
        <v>16</v>
      </c>
      <c r="C3310" s="101" t="s">
        <v>156</v>
      </c>
      <c r="D3310" s="101" t="s">
        <v>638</v>
      </c>
      <c r="E3310" s="101" t="s">
        <v>139</v>
      </c>
    </row>
    <row r="3311" spans="1:5" x14ac:dyDescent="0.3">
      <c r="A3311" t="str">
        <f t="shared" si="51"/>
        <v>0423043</v>
      </c>
      <c r="B3311" s="101" t="s">
        <v>18</v>
      </c>
      <c r="C3311" s="101" t="s">
        <v>174</v>
      </c>
      <c r="D3311" s="101" t="s">
        <v>419</v>
      </c>
      <c r="E3311" s="101" t="s">
        <v>17</v>
      </c>
    </row>
    <row r="3312" spans="1:5" x14ac:dyDescent="0.3">
      <c r="A3312" t="str">
        <f t="shared" si="51"/>
        <v>0419158</v>
      </c>
      <c r="B3312" s="101" t="s">
        <v>18</v>
      </c>
      <c r="C3312" s="101" t="s">
        <v>166</v>
      </c>
      <c r="D3312" s="101" t="s">
        <v>279</v>
      </c>
      <c r="E3312" s="101" t="s">
        <v>17</v>
      </c>
    </row>
    <row r="3313" spans="1:5" x14ac:dyDescent="0.3">
      <c r="A3313" t="str">
        <f t="shared" si="51"/>
        <v>0611807</v>
      </c>
      <c r="B3313" s="101" t="s">
        <v>317</v>
      </c>
      <c r="C3313" s="101" t="s">
        <v>150</v>
      </c>
      <c r="D3313" s="101" t="s">
        <v>185</v>
      </c>
      <c r="E3313" s="101" t="s">
        <v>17</v>
      </c>
    </row>
    <row r="3314" spans="1:5" x14ac:dyDescent="0.3">
      <c r="A3314" t="str">
        <f t="shared" si="51"/>
        <v>0617874</v>
      </c>
      <c r="B3314" s="101" t="s">
        <v>317</v>
      </c>
      <c r="C3314" s="101" t="s">
        <v>162</v>
      </c>
      <c r="D3314" s="101" t="s">
        <v>567</v>
      </c>
      <c r="E3314" s="101" t="s">
        <v>17</v>
      </c>
    </row>
    <row r="3315" spans="1:5" x14ac:dyDescent="0.3">
      <c r="A3315" t="str">
        <f t="shared" si="51"/>
        <v>0520874</v>
      </c>
      <c r="B3315" s="101" t="s">
        <v>313</v>
      </c>
      <c r="C3315" s="101" t="s">
        <v>168</v>
      </c>
      <c r="D3315" s="101" t="s">
        <v>567</v>
      </c>
      <c r="E3315" s="101" t="s">
        <v>17</v>
      </c>
    </row>
    <row r="3316" spans="1:5" x14ac:dyDescent="0.3">
      <c r="A3316" t="str">
        <f t="shared" si="51"/>
        <v>0121286</v>
      </c>
      <c r="B3316" s="101" t="s">
        <v>640</v>
      </c>
      <c r="C3316" s="101" t="s">
        <v>170</v>
      </c>
      <c r="D3316" s="101" t="s">
        <v>337</v>
      </c>
      <c r="E3316" s="101" t="s">
        <v>19</v>
      </c>
    </row>
    <row r="3317" spans="1:5" x14ac:dyDescent="0.3">
      <c r="A3317" t="str">
        <f t="shared" si="51"/>
        <v>0316837</v>
      </c>
      <c r="B3317" s="101" t="s">
        <v>16</v>
      </c>
      <c r="C3317" s="101" t="s">
        <v>160</v>
      </c>
      <c r="D3317" s="101" t="s">
        <v>557</v>
      </c>
      <c r="E3317" s="101" t="s">
        <v>139</v>
      </c>
    </row>
    <row r="3318" spans="1:5" x14ac:dyDescent="0.3">
      <c r="A3318" t="str">
        <f t="shared" si="51"/>
        <v>0419556</v>
      </c>
      <c r="B3318" s="101" t="s">
        <v>18</v>
      </c>
      <c r="C3318" s="101" t="s">
        <v>166</v>
      </c>
      <c r="D3318" s="101" t="s">
        <v>342</v>
      </c>
      <c r="E3318" s="101" t="s">
        <v>141</v>
      </c>
    </row>
    <row r="3319" spans="1:5" x14ac:dyDescent="0.3">
      <c r="A3319" t="str">
        <f t="shared" si="51"/>
        <v>0410110</v>
      </c>
      <c r="B3319" s="101" t="s">
        <v>18</v>
      </c>
      <c r="C3319" s="101" t="s">
        <v>143</v>
      </c>
      <c r="D3319" s="101" t="s">
        <v>240</v>
      </c>
      <c r="E3319" s="101" t="s">
        <v>19</v>
      </c>
    </row>
    <row r="3320" spans="1:5" x14ac:dyDescent="0.3">
      <c r="A3320" t="str">
        <f t="shared" si="51"/>
        <v>0523874</v>
      </c>
      <c r="B3320" s="101" t="s">
        <v>313</v>
      </c>
      <c r="C3320" s="101" t="s">
        <v>174</v>
      </c>
      <c r="D3320" s="101" t="s">
        <v>567</v>
      </c>
      <c r="E3320" s="101" t="s">
        <v>17</v>
      </c>
    </row>
    <row r="3321" spans="1:5" x14ac:dyDescent="0.3">
      <c r="A3321" t="str">
        <f t="shared" si="51"/>
        <v>0720804</v>
      </c>
      <c r="B3321" s="101" t="s">
        <v>319</v>
      </c>
      <c r="C3321" s="101" t="s">
        <v>168</v>
      </c>
      <c r="D3321" s="101" t="s">
        <v>542</v>
      </c>
      <c r="E3321" s="101" t="s">
        <v>17</v>
      </c>
    </row>
    <row r="3322" spans="1:5" x14ac:dyDescent="0.3">
      <c r="A3322" t="str">
        <f t="shared" si="51"/>
        <v>0622873</v>
      </c>
      <c r="B3322" s="101" t="s">
        <v>317</v>
      </c>
      <c r="C3322" s="101" t="s">
        <v>172</v>
      </c>
      <c r="D3322" s="101" t="s">
        <v>566</v>
      </c>
      <c r="E3322" s="101" t="s">
        <v>139</v>
      </c>
    </row>
    <row r="3323" spans="1:5" x14ac:dyDescent="0.3">
      <c r="A3323" t="str">
        <f t="shared" si="51"/>
        <v>0818874</v>
      </c>
      <c r="B3323" s="101" t="s">
        <v>320</v>
      </c>
      <c r="C3323" s="101" t="s">
        <v>164</v>
      </c>
      <c r="D3323" s="101" t="s">
        <v>567</v>
      </c>
      <c r="E3323" s="101" t="s">
        <v>17</v>
      </c>
    </row>
    <row r="3324" spans="1:5" x14ac:dyDescent="0.3">
      <c r="A3324" t="str">
        <f t="shared" si="51"/>
        <v>0316600</v>
      </c>
      <c r="B3324" s="101" t="s">
        <v>16</v>
      </c>
      <c r="C3324" s="101" t="s">
        <v>160</v>
      </c>
      <c r="D3324" s="101" t="s">
        <v>230</v>
      </c>
      <c r="E3324" s="101" t="s">
        <v>139</v>
      </c>
    </row>
    <row r="3325" spans="1:5" x14ac:dyDescent="0.3">
      <c r="A3325" t="str">
        <f t="shared" si="51"/>
        <v>0619812</v>
      </c>
      <c r="B3325" s="101" t="s">
        <v>317</v>
      </c>
      <c r="C3325" s="101" t="s">
        <v>166</v>
      </c>
      <c r="D3325" s="101" t="s">
        <v>190</v>
      </c>
      <c r="E3325" s="101" t="s">
        <v>17</v>
      </c>
    </row>
    <row r="3326" spans="1:5" x14ac:dyDescent="0.3">
      <c r="A3326" t="str">
        <f t="shared" si="51"/>
        <v>0815873</v>
      </c>
      <c r="B3326" s="101" t="s">
        <v>320</v>
      </c>
      <c r="C3326" s="101" t="s">
        <v>158</v>
      </c>
      <c r="D3326" s="101" t="s">
        <v>566</v>
      </c>
      <c r="E3326" s="101" t="s">
        <v>139</v>
      </c>
    </row>
    <row r="3327" spans="1:5" x14ac:dyDescent="0.3">
      <c r="A3327" t="str">
        <f t="shared" si="51"/>
        <v>0318838</v>
      </c>
      <c r="B3327" s="101" t="s">
        <v>16</v>
      </c>
      <c r="C3327" s="101" t="s">
        <v>164</v>
      </c>
      <c r="D3327" s="101" t="s">
        <v>558</v>
      </c>
      <c r="E3327" s="101" t="s">
        <v>139</v>
      </c>
    </row>
    <row r="3328" spans="1:5" x14ac:dyDescent="0.3">
      <c r="A3328" t="str">
        <f t="shared" si="51"/>
        <v>0620811</v>
      </c>
      <c r="B3328" s="101" t="s">
        <v>317</v>
      </c>
      <c r="C3328" s="101" t="s">
        <v>168</v>
      </c>
      <c r="D3328" s="101" t="s">
        <v>189</v>
      </c>
      <c r="E3328" s="101" t="s">
        <v>17</v>
      </c>
    </row>
    <row r="3329" spans="1:5" x14ac:dyDescent="0.3">
      <c r="A3329" t="str">
        <f t="shared" si="51"/>
        <v>0313835</v>
      </c>
      <c r="B3329" s="101" t="s">
        <v>16</v>
      </c>
      <c r="C3329" s="101" t="s">
        <v>154</v>
      </c>
      <c r="D3329" s="101" t="s">
        <v>555</v>
      </c>
      <c r="E3329" s="101" t="s">
        <v>139</v>
      </c>
    </row>
    <row r="3330" spans="1:5" x14ac:dyDescent="0.3">
      <c r="A3330" t="str">
        <f t="shared" si="51"/>
        <v>0417807</v>
      </c>
      <c r="B3330" s="101" t="s">
        <v>18</v>
      </c>
      <c r="C3330" s="101" t="s">
        <v>162</v>
      </c>
      <c r="D3330" s="101" t="s">
        <v>185</v>
      </c>
      <c r="E3330" s="101" t="s">
        <v>17</v>
      </c>
    </row>
    <row r="3331" spans="1:5" x14ac:dyDescent="0.3">
      <c r="A3331" t="str">
        <f t="shared" ref="A3331:A3394" si="52">CONCATENATE(B3331,C3331,D3331,F3331)</f>
        <v>0414003</v>
      </c>
      <c r="B3331" s="101" t="s">
        <v>18</v>
      </c>
      <c r="C3331" s="101" t="s">
        <v>156</v>
      </c>
      <c r="D3331" s="101" t="s">
        <v>597</v>
      </c>
      <c r="E3331" s="101" t="s">
        <v>17</v>
      </c>
    </row>
    <row r="3332" spans="1:5" x14ac:dyDescent="0.3">
      <c r="A3332" t="str">
        <f t="shared" si="52"/>
        <v>0314800</v>
      </c>
      <c r="B3332" s="101" t="s">
        <v>16</v>
      </c>
      <c r="C3332" s="101" t="s">
        <v>156</v>
      </c>
      <c r="D3332" s="101" t="s">
        <v>539</v>
      </c>
      <c r="E3332" s="101" t="s">
        <v>139</v>
      </c>
    </row>
    <row r="3333" spans="1:5" x14ac:dyDescent="0.3">
      <c r="A3333" t="str">
        <f t="shared" si="52"/>
        <v>0411800</v>
      </c>
      <c r="B3333" s="101" t="s">
        <v>18</v>
      </c>
      <c r="C3333" s="101" t="s">
        <v>150</v>
      </c>
      <c r="D3333" s="101" t="s">
        <v>539</v>
      </c>
      <c r="E3333" s="101" t="s">
        <v>17</v>
      </c>
    </row>
    <row r="3334" spans="1:5" x14ac:dyDescent="0.3">
      <c r="A3334" t="str">
        <f t="shared" si="52"/>
        <v>0623800</v>
      </c>
      <c r="B3334" s="101" t="s">
        <v>317</v>
      </c>
      <c r="C3334" s="101" t="s">
        <v>174</v>
      </c>
      <c r="D3334" s="101" t="s">
        <v>539</v>
      </c>
      <c r="E3334" s="101" t="s">
        <v>17</v>
      </c>
    </row>
    <row r="3335" spans="1:5" x14ac:dyDescent="0.3">
      <c r="A3335" t="str">
        <f t="shared" si="52"/>
        <v>0615873</v>
      </c>
      <c r="B3335" s="101" t="s">
        <v>317</v>
      </c>
      <c r="C3335" s="101" t="s">
        <v>158</v>
      </c>
      <c r="D3335" s="101" t="s">
        <v>566</v>
      </c>
      <c r="E3335" s="101" t="s">
        <v>139</v>
      </c>
    </row>
    <row r="3336" spans="1:5" x14ac:dyDescent="0.3">
      <c r="A3336" t="str">
        <f t="shared" si="52"/>
        <v>0419033</v>
      </c>
      <c r="B3336" s="101" t="s">
        <v>18</v>
      </c>
      <c r="C3336" s="101" t="s">
        <v>166</v>
      </c>
      <c r="D3336" s="101" t="s">
        <v>327</v>
      </c>
      <c r="E3336" s="101" t="s">
        <v>139</v>
      </c>
    </row>
    <row r="3337" spans="1:5" x14ac:dyDescent="0.3">
      <c r="A3337" t="str">
        <f t="shared" si="52"/>
        <v>0523873</v>
      </c>
      <c r="B3337" s="101" t="s">
        <v>313</v>
      </c>
      <c r="C3337" s="101" t="s">
        <v>174</v>
      </c>
      <c r="D3337" s="101" t="s">
        <v>566</v>
      </c>
      <c r="E3337" s="101" t="s">
        <v>139</v>
      </c>
    </row>
    <row r="3338" spans="1:5" x14ac:dyDescent="0.3">
      <c r="A3338" t="str">
        <f t="shared" si="52"/>
        <v>0421603</v>
      </c>
      <c r="B3338" s="101" t="s">
        <v>18</v>
      </c>
      <c r="C3338" s="101" t="s">
        <v>170</v>
      </c>
      <c r="D3338" s="101" t="s">
        <v>462</v>
      </c>
      <c r="E3338" s="101" t="s">
        <v>17</v>
      </c>
    </row>
    <row r="3339" spans="1:5" x14ac:dyDescent="0.3">
      <c r="A3339" t="str">
        <f t="shared" si="52"/>
        <v>0715800</v>
      </c>
      <c r="B3339" s="101" t="s">
        <v>319</v>
      </c>
      <c r="C3339" s="101" t="s">
        <v>158</v>
      </c>
      <c r="D3339" s="101" t="s">
        <v>539</v>
      </c>
      <c r="E3339" s="101" t="s">
        <v>139</v>
      </c>
    </row>
    <row r="3340" spans="1:5" x14ac:dyDescent="0.3">
      <c r="A3340" t="str">
        <f t="shared" si="52"/>
        <v>0518874</v>
      </c>
      <c r="B3340" s="101" t="s">
        <v>313</v>
      </c>
      <c r="C3340" s="101" t="s">
        <v>164</v>
      </c>
      <c r="D3340" s="101" t="s">
        <v>567</v>
      </c>
      <c r="E3340" s="101" t="s">
        <v>19</v>
      </c>
    </row>
    <row r="3341" spans="1:5" x14ac:dyDescent="0.3">
      <c r="A3341" t="str">
        <f t="shared" si="52"/>
        <v>0414807</v>
      </c>
      <c r="B3341" s="101" t="s">
        <v>18</v>
      </c>
      <c r="C3341" s="101" t="s">
        <v>156</v>
      </c>
      <c r="D3341" s="101" t="s">
        <v>185</v>
      </c>
      <c r="E3341" s="101" t="s">
        <v>17</v>
      </c>
    </row>
    <row r="3342" spans="1:5" x14ac:dyDescent="0.3">
      <c r="A3342" t="str">
        <f t="shared" si="52"/>
        <v>0415812</v>
      </c>
      <c r="B3342" s="101" t="s">
        <v>18</v>
      </c>
      <c r="C3342" s="101" t="s">
        <v>158</v>
      </c>
      <c r="D3342" s="101" t="s">
        <v>190</v>
      </c>
      <c r="E3342" s="101" t="s">
        <v>17</v>
      </c>
    </row>
    <row r="3343" spans="1:5" x14ac:dyDescent="0.3">
      <c r="A3343" t="str">
        <f t="shared" si="52"/>
        <v>0220804</v>
      </c>
      <c r="B3343" s="101" t="s">
        <v>639</v>
      </c>
      <c r="C3343" s="101" t="s">
        <v>168</v>
      </c>
      <c r="D3343" s="101" t="s">
        <v>542</v>
      </c>
      <c r="E3343" s="101" t="s">
        <v>17</v>
      </c>
    </row>
    <row r="3344" spans="1:5" x14ac:dyDescent="0.3">
      <c r="A3344" t="str">
        <f t="shared" si="52"/>
        <v>0420804</v>
      </c>
      <c r="B3344" s="101" t="s">
        <v>18</v>
      </c>
      <c r="C3344" s="101" t="s">
        <v>168</v>
      </c>
      <c r="D3344" s="101" t="s">
        <v>542</v>
      </c>
      <c r="E3344" s="101" t="s">
        <v>17</v>
      </c>
    </row>
    <row r="3345" spans="1:5" x14ac:dyDescent="0.3">
      <c r="A3345" t="str">
        <f t="shared" si="52"/>
        <v>0421812</v>
      </c>
      <c r="B3345" s="101" t="s">
        <v>18</v>
      </c>
      <c r="C3345" s="101" t="s">
        <v>170</v>
      </c>
      <c r="D3345" s="101" t="s">
        <v>190</v>
      </c>
      <c r="E3345" s="101" t="s">
        <v>17</v>
      </c>
    </row>
    <row r="3346" spans="1:5" x14ac:dyDescent="0.3">
      <c r="A3346" t="str">
        <f t="shared" si="52"/>
        <v>0417100</v>
      </c>
      <c r="B3346" s="101" t="s">
        <v>18</v>
      </c>
      <c r="C3346" s="101" t="s">
        <v>162</v>
      </c>
      <c r="D3346" s="101" t="s">
        <v>222</v>
      </c>
      <c r="E3346" s="101" t="s">
        <v>17</v>
      </c>
    </row>
    <row r="3347" spans="1:5" x14ac:dyDescent="0.3">
      <c r="A3347" t="str">
        <f t="shared" si="52"/>
        <v>0513874</v>
      </c>
      <c r="B3347" s="101" t="s">
        <v>313</v>
      </c>
      <c r="C3347" s="101" t="s">
        <v>154</v>
      </c>
      <c r="D3347" s="101" t="s">
        <v>567</v>
      </c>
      <c r="E3347" s="101" t="s">
        <v>17</v>
      </c>
    </row>
    <row r="3348" spans="1:5" x14ac:dyDescent="0.3">
      <c r="A3348" t="str">
        <f t="shared" si="52"/>
        <v>0310279</v>
      </c>
      <c r="B3348" s="101" t="s">
        <v>16</v>
      </c>
      <c r="C3348" s="101" t="s">
        <v>143</v>
      </c>
      <c r="D3348" s="101" t="s">
        <v>326</v>
      </c>
      <c r="E3348" s="101" t="s">
        <v>139</v>
      </c>
    </row>
    <row r="3349" spans="1:5" x14ac:dyDescent="0.3">
      <c r="A3349" t="str">
        <f t="shared" si="52"/>
        <v>0313838</v>
      </c>
      <c r="B3349" s="101" t="s">
        <v>16</v>
      </c>
      <c r="C3349" s="101" t="s">
        <v>154</v>
      </c>
      <c r="D3349" s="101" t="s">
        <v>558</v>
      </c>
      <c r="E3349" s="101" t="s">
        <v>139</v>
      </c>
    </row>
    <row r="3350" spans="1:5" x14ac:dyDescent="0.3">
      <c r="A3350" t="str">
        <f t="shared" si="52"/>
        <v>0417007</v>
      </c>
      <c r="B3350" s="101" t="s">
        <v>18</v>
      </c>
      <c r="C3350" s="101" t="s">
        <v>162</v>
      </c>
      <c r="D3350" s="101" t="s">
        <v>401</v>
      </c>
      <c r="E3350" s="101" t="s">
        <v>17</v>
      </c>
    </row>
    <row r="3351" spans="1:5" x14ac:dyDescent="0.3">
      <c r="A3351" t="str">
        <f t="shared" si="52"/>
        <v>0218600</v>
      </c>
      <c r="B3351" s="101" t="s">
        <v>639</v>
      </c>
      <c r="C3351" s="101" t="s">
        <v>164</v>
      </c>
      <c r="D3351" s="101" t="s">
        <v>230</v>
      </c>
      <c r="E3351" s="101" t="s">
        <v>17</v>
      </c>
    </row>
    <row r="3352" spans="1:5" x14ac:dyDescent="0.3">
      <c r="A3352" t="str">
        <f t="shared" si="52"/>
        <v>0821874</v>
      </c>
      <c r="B3352" s="101" t="s">
        <v>320</v>
      </c>
      <c r="C3352" s="101" t="s">
        <v>170</v>
      </c>
      <c r="D3352" s="101" t="s">
        <v>567</v>
      </c>
      <c r="E3352" s="101" t="s">
        <v>17</v>
      </c>
    </row>
    <row r="3353" spans="1:5" x14ac:dyDescent="0.3">
      <c r="A3353" t="str">
        <f t="shared" si="52"/>
        <v>0710811</v>
      </c>
      <c r="B3353" s="101" t="s">
        <v>319</v>
      </c>
      <c r="C3353" s="101" t="s">
        <v>143</v>
      </c>
      <c r="D3353" s="101" t="s">
        <v>189</v>
      </c>
      <c r="E3353" s="101" t="s">
        <v>17</v>
      </c>
    </row>
    <row r="3354" spans="1:5" x14ac:dyDescent="0.3">
      <c r="A3354" t="str">
        <f t="shared" si="52"/>
        <v>0212060</v>
      </c>
      <c r="B3354" s="101" t="s">
        <v>639</v>
      </c>
      <c r="C3354" s="101" t="s">
        <v>152</v>
      </c>
      <c r="D3354" s="101" t="s">
        <v>627</v>
      </c>
      <c r="E3354" s="101" t="s">
        <v>17</v>
      </c>
    </row>
    <row r="3355" spans="1:5" x14ac:dyDescent="0.3">
      <c r="A3355" t="str">
        <f t="shared" si="52"/>
        <v>0120501</v>
      </c>
      <c r="B3355" s="101" t="s">
        <v>640</v>
      </c>
      <c r="C3355" s="101" t="s">
        <v>168</v>
      </c>
      <c r="D3355" s="101" t="s">
        <v>147</v>
      </c>
      <c r="E3355" s="101" t="s">
        <v>139</v>
      </c>
    </row>
    <row r="3356" spans="1:5" x14ac:dyDescent="0.3">
      <c r="A3356" t="str">
        <f t="shared" si="52"/>
        <v>0220631</v>
      </c>
      <c r="B3356" s="101" t="s">
        <v>639</v>
      </c>
      <c r="C3356" s="101" t="s">
        <v>168</v>
      </c>
      <c r="D3356" s="101" t="s">
        <v>219</v>
      </c>
      <c r="E3356" s="101" t="s">
        <v>19</v>
      </c>
    </row>
    <row r="3357" spans="1:5" x14ac:dyDescent="0.3">
      <c r="A3357" t="str">
        <f t="shared" si="52"/>
        <v>0720811</v>
      </c>
      <c r="B3357" s="101" t="s">
        <v>319</v>
      </c>
      <c r="C3357" s="101" t="s">
        <v>168</v>
      </c>
      <c r="D3357" s="101" t="s">
        <v>189</v>
      </c>
      <c r="E3357" s="101" t="s">
        <v>17</v>
      </c>
    </row>
    <row r="3358" spans="1:5" x14ac:dyDescent="0.3">
      <c r="A3358" t="str">
        <f t="shared" si="52"/>
        <v>0418052</v>
      </c>
      <c r="B3358" s="101" t="s">
        <v>18</v>
      </c>
      <c r="C3358" s="101" t="s">
        <v>164</v>
      </c>
      <c r="D3358" s="101" t="s">
        <v>630</v>
      </c>
      <c r="E3358" s="101" t="s">
        <v>19</v>
      </c>
    </row>
    <row r="3359" spans="1:5" x14ac:dyDescent="0.3">
      <c r="A3359" t="str">
        <f t="shared" si="52"/>
        <v>0810874</v>
      </c>
      <c r="B3359" s="101" t="s">
        <v>320</v>
      </c>
      <c r="C3359" s="101" t="s">
        <v>143</v>
      </c>
      <c r="D3359" s="101" t="s">
        <v>567</v>
      </c>
      <c r="E3359" s="101" t="s">
        <v>17</v>
      </c>
    </row>
    <row r="3360" spans="1:5" x14ac:dyDescent="0.3">
      <c r="A3360" t="str">
        <f t="shared" si="52"/>
        <v>0817874</v>
      </c>
      <c r="B3360" s="101" t="s">
        <v>320</v>
      </c>
      <c r="C3360" s="101" t="s">
        <v>162</v>
      </c>
      <c r="D3360" s="101" t="s">
        <v>567</v>
      </c>
      <c r="E3360" s="101" t="s">
        <v>17</v>
      </c>
    </row>
    <row r="3361" spans="1:6" x14ac:dyDescent="0.3">
      <c r="A3361" t="str">
        <f t="shared" si="52"/>
        <v>0617801</v>
      </c>
      <c r="B3361" s="101" t="s">
        <v>317</v>
      </c>
      <c r="C3361" s="101" t="s">
        <v>162</v>
      </c>
      <c r="D3361" s="101" t="s">
        <v>144</v>
      </c>
      <c r="E3361" s="101" t="s">
        <v>139</v>
      </c>
    </row>
    <row r="3362" spans="1:6" x14ac:dyDescent="0.3">
      <c r="A3362" t="str">
        <f t="shared" si="52"/>
        <v>0418660</v>
      </c>
      <c r="B3362" s="101" t="s">
        <v>18</v>
      </c>
      <c r="C3362" s="101" t="s">
        <v>164</v>
      </c>
      <c r="D3362" s="101" t="s">
        <v>216</v>
      </c>
      <c r="E3362" s="101" t="s">
        <v>17</v>
      </c>
    </row>
    <row r="3363" spans="1:6" x14ac:dyDescent="0.3">
      <c r="A3363" t="str">
        <f t="shared" si="52"/>
        <v>0110201</v>
      </c>
      <c r="B3363" s="101" t="s">
        <v>640</v>
      </c>
      <c r="C3363" s="101" t="s">
        <v>143</v>
      </c>
      <c r="D3363" s="101" t="s">
        <v>302</v>
      </c>
      <c r="E3363" s="101" t="s">
        <v>140</v>
      </c>
    </row>
    <row r="3364" spans="1:6" x14ac:dyDescent="0.3">
      <c r="A3364" t="str">
        <f t="shared" si="52"/>
        <v>0110807</v>
      </c>
      <c r="B3364" s="101" t="s">
        <v>640</v>
      </c>
      <c r="C3364" s="101" t="s">
        <v>143</v>
      </c>
      <c r="D3364" s="101" t="s">
        <v>185</v>
      </c>
      <c r="E3364" s="101" t="s">
        <v>17</v>
      </c>
    </row>
    <row r="3365" spans="1:6" x14ac:dyDescent="0.3">
      <c r="A3365" t="str">
        <f t="shared" si="52"/>
        <v>0110808</v>
      </c>
      <c r="B3365" s="101" t="s">
        <v>640</v>
      </c>
      <c r="C3365" s="101" t="s">
        <v>143</v>
      </c>
      <c r="D3365" s="101" t="s">
        <v>186</v>
      </c>
      <c r="E3365" s="101" t="s">
        <v>17</v>
      </c>
    </row>
    <row r="3366" spans="1:6" x14ac:dyDescent="0.3">
      <c r="A3366" t="str">
        <f t="shared" si="52"/>
        <v>0110811</v>
      </c>
      <c r="B3366" s="101" t="s">
        <v>640</v>
      </c>
      <c r="C3366" s="101" t="s">
        <v>143</v>
      </c>
      <c r="D3366" s="101" t="s">
        <v>189</v>
      </c>
      <c r="E3366" s="101" t="s">
        <v>17</v>
      </c>
    </row>
    <row r="3367" spans="1:6" x14ac:dyDescent="0.3">
      <c r="A3367" t="str">
        <f t="shared" si="52"/>
        <v>0210146</v>
      </c>
      <c r="B3367" s="101" t="s">
        <v>639</v>
      </c>
      <c r="C3367" s="101" t="s">
        <v>143</v>
      </c>
      <c r="D3367" s="101" t="s">
        <v>159</v>
      </c>
      <c r="E3367" s="101" t="s">
        <v>17</v>
      </c>
    </row>
    <row r="3368" spans="1:6" x14ac:dyDescent="0.3">
      <c r="A3368" t="str">
        <f t="shared" si="52"/>
        <v>0210148</v>
      </c>
      <c r="B3368" s="101" t="s">
        <v>639</v>
      </c>
      <c r="C3368" s="101" t="s">
        <v>143</v>
      </c>
      <c r="D3368" s="101" t="s">
        <v>163</v>
      </c>
      <c r="E3368" s="101" t="s">
        <v>17</v>
      </c>
    </row>
    <row r="3369" spans="1:6" x14ac:dyDescent="0.3">
      <c r="A3369" t="str">
        <f t="shared" si="52"/>
        <v>0210660</v>
      </c>
      <c r="B3369" s="101" t="s">
        <v>639</v>
      </c>
      <c r="C3369" s="101" t="s">
        <v>143</v>
      </c>
      <c r="D3369" s="101" t="s">
        <v>216</v>
      </c>
      <c r="E3369" s="101" t="s">
        <v>17</v>
      </c>
    </row>
    <row r="3370" spans="1:6" x14ac:dyDescent="0.3">
      <c r="A3370" t="str">
        <f t="shared" si="52"/>
        <v>0210801</v>
      </c>
      <c r="B3370" s="101" t="s">
        <v>639</v>
      </c>
      <c r="C3370" s="101" t="s">
        <v>143</v>
      </c>
      <c r="D3370" s="101" t="s">
        <v>144</v>
      </c>
      <c r="E3370" s="101" t="s">
        <v>139</v>
      </c>
    </row>
    <row r="3371" spans="1:6" x14ac:dyDescent="0.3">
      <c r="A3371" t="str">
        <f t="shared" si="52"/>
        <v>0210810</v>
      </c>
      <c r="B3371" s="101" t="s">
        <v>639</v>
      </c>
      <c r="C3371" s="101" t="s">
        <v>143</v>
      </c>
      <c r="D3371" s="101" t="s">
        <v>188</v>
      </c>
      <c r="E3371" s="101" t="s">
        <v>17</v>
      </c>
    </row>
    <row r="3372" spans="1:6" x14ac:dyDescent="0.3">
      <c r="A3372" t="str">
        <f t="shared" si="52"/>
        <v>0210864</v>
      </c>
      <c r="B3372" s="101" t="s">
        <v>639</v>
      </c>
      <c r="C3372" s="101" t="s">
        <v>143</v>
      </c>
      <c r="D3372" s="101" t="s">
        <v>564</v>
      </c>
      <c r="E3372" s="101" t="s">
        <v>17</v>
      </c>
    </row>
    <row r="3373" spans="1:6" x14ac:dyDescent="0.3">
      <c r="A3373" t="str">
        <f t="shared" si="52"/>
        <v>0124801</v>
      </c>
      <c r="B3373" s="101" t="s">
        <v>640</v>
      </c>
      <c r="C3373" s="101" t="s">
        <v>176</v>
      </c>
      <c r="D3373" s="101" t="s">
        <v>144</v>
      </c>
      <c r="E3373" s="101" t="s">
        <v>139</v>
      </c>
    </row>
    <row r="3374" spans="1:6" x14ac:dyDescent="0.3">
      <c r="A3374" t="str">
        <f t="shared" si="52"/>
        <v>0310835</v>
      </c>
      <c r="B3374" s="101" t="s">
        <v>16</v>
      </c>
      <c r="C3374" s="101" t="s">
        <v>143</v>
      </c>
      <c r="D3374" s="101" t="s">
        <v>555</v>
      </c>
      <c r="E3374" s="101" t="s">
        <v>139</v>
      </c>
    </row>
    <row r="3375" spans="1:6" x14ac:dyDescent="0.3">
      <c r="A3375" t="str">
        <f t="shared" si="52"/>
        <v>0121835100</v>
      </c>
      <c r="B3375" s="101" t="s">
        <v>640</v>
      </c>
      <c r="C3375" s="101" t="s">
        <v>170</v>
      </c>
      <c r="D3375" s="101" t="s">
        <v>555</v>
      </c>
      <c r="E3375" s="101" t="s">
        <v>139</v>
      </c>
      <c r="F3375" s="101" t="s">
        <v>222</v>
      </c>
    </row>
    <row r="3376" spans="1:6" x14ac:dyDescent="0.3">
      <c r="A3376" t="str">
        <f t="shared" si="52"/>
        <v>0410203</v>
      </c>
      <c r="B3376" s="101" t="s">
        <v>18</v>
      </c>
      <c r="C3376" s="101" t="s">
        <v>143</v>
      </c>
      <c r="D3376" s="101" t="s">
        <v>303</v>
      </c>
      <c r="E3376" s="101" t="s">
        <v>17</v>
      </c>
    </row>
    <row r="3377" spans="1:5" x14ac:dyDescent="0.3">
      <c r="A3377" t="str">
        <f t="shared" si="52"/>
        <v>0410213</v>
      </c>
      <c r="B3377" s="101" t="s">
        <v>18</v>
      </c>
      <c r="C3377" s="101" t="s">
        <v>143</v>
      </c>
      <c r="D3377" s="101" t="s">
        <v>308</v>
      </c>
      <c r="E3377" s="101" t="s">
        <v>17</v>
      </c>
    </row>
    <row r="3378" spans="1:5" x14ac:dyDescent="0.3">
      <c r="A3378" t="str">
        <f t="shared" si="52"/>
        <v>0410890</v>
      </c>
      <c r="B3378" s="101" t="s">
        <v>18</v>
      </c>
      <c r="C3378" s="101" t="s">
        <v>143</v>
      </c>
      <c r="D3378" s="101" t="s">
        <v>568</v>
      </c>
      <c r="E3378" s="101" t="s">
        <v>17</v>
      </c>
    </row>
    <row r="3379" spans="1:5" x14ac:dyDescent="0.3">
      <c r="A3379" t="str">
        <f t="shared" si="52"/>
        <v>0710809</v>
      </c>
      <c r="B3379" s="101" t="s">
        <v>319</v>
      </c>
      <c r="C3379" s="101" t="s">
        <v>143</v>
      </c>
      <c r="D3379" s="101" t="s">
        <v>187</v>
      </c>
      <c r="E3379" s="101" t="s">
        <v>17</v>
      </c>
    </row>
    <row r="3380" spans="1:5" x14ac:dyDescent="0.3">
      <c r="A3380" t="str">
        <f t="shared" si="52"/>
        <v>0111111</v>
      </c>
      <c r="B3380" s="101" t="s">
        <v>640</v>
      </c>
      <c r="C3380" s="101" t="s">
        <v>150</v>
      </c>
      <c r="D3380" s="101" t="s">
        <v>241</v>
      </c>
      <c r="E3380" s="101" t="s">
        <v>139</v>
      </c>
    </row>
    <row r="3381" spans="1:5" x14ac:dyDescent="0.3">
      <c r="A3381" t="str">
        <f t="shared" si="52"/>
        <v>0111500</v>
      </c>
      <c r="B3381" s="101" t="s">
        <v>640</v>
      </c>
      <c r="C3381" s="101" t="s">
        <v>150</v>
      </c>
      <c r="D3381" s="101" t="s">
        <v>146</v>
      </c>
      <c r="E3381" s="101" t="s">
        <v>139</v>
      </c>
    </row>
    <row r="3382" spans="1:5" x14ac:dyDescent="0.3">
      <c r="A3382" t="str">
        <f t="shared" si="52"/>
        <v>0111811</v>
      </c>
      <c r="B3382" s="101" t="s">
        <v>640</v>
      </c>
      <c r="C3382" s="101" t="s">
        <v>150</v>
      </c>
      <c r="D3382" s="101" t="s">
        <v>189</v>
      </c>
      <c r="E3382" s="101" t="s">
        <v>17</v>
      </c>
    </row>
    <row r="3383" spans="1:5" x14ac:dyDescent="0.3">
      <c r="A3383" t="str">
        <f t="shared" si="52"/>
        <v>0111830</v>
      </c>
      <c r="B3383" s="101" t="s">
        <v>640</v>
      </c>
      <c r="C3383" s="101" t="s">
        <v>150</v>
      </c>
      <c r="D3383" s="101" t="s">
        <v>340</v>
      </c>
      <c r="E3383" s="101" t="s">
        <v>17</v>
      </c>
    </row>
    <row r="3384" spans="1:5" x14ac:dyDescent="0.3">
      <c r="A3384" t="str">
        <f t="shared" si="52"/>
        <v>0111835</v>
      </c>
      <c r="B3384" s="101" t="s">
        <v>640</v>
      </c>
      <c r="C3384" s="101" t="s">
        <v>150</v>
      </c>
      <c r="D3384" s="101" t="s">
        <v>555</v>
      </c>
      <c r="E3384" s="101" t="s">
        <v>139</v>
      </c>
    </row>
    <row r="3385" spans="1:5" x14ac:dyDescent="0.3">
      <c r="A3385" t="str">
        <f t="shared" si="52"/>
        <v>0111840</v>
      </c>
      <c r="B3385" s="101" t="s">
        <v>640</v>
      </c>
      <c r="C3385" s="101" t="s">
        <v>150</v>
      </c>
      <c r="D3385" s="101" t="s">
        <v>560</v>
      </c>
      <c r="E3385" s="101" t="s">
        <v>139</v>
      </c>
    </row>
    <row r="3386" spans="1:5" x14ac:dyDescent="0.3">
      <c r="A3386" t="str">
        <f t="shared" si="52"/>
        <v>0211017</v>
      </c>
      <c r="B3386" s="101" t="s">
        <v>639</v>
      </c>
      <c r="C3386" s="101" t="s">
        <v>150</v>
      </c>
      <c r="D3386" s="101" t="s">
        <v>575</v>
      </c>
      <c r="E3386" s="101" t="s">
        <v>17</v>
      </c>
    </row>
    <row r="3387" spans="1:5" x14ac:dyDescent="0.3">
      <c r="A3387" t="str">
        <f t="shared" si="52"/>
        <v>0211033</v>
      </c>
      <c r="B3387" s="101" t="s">
        <v>639</v>
      </c>
      <c r="C3387" s="101" t="s">
        <v>150</v>
      </c>
      <c r="D3387" s="101" t="s">
        <v>327</v>
      </c>
      <c r="E3387" s="101" t="s">
        <v>17</v>
      </c>
    </row>
    <row r="3388" spans="1:5" x14ac:dyDescent="0.3">
      <c r="A3388" t="str">
        <f t="shared" si="52"/>
        <v>0211106</v>
      </c>
      <c r="B3388" s="101" t="s">
        <v>639</v>
      </c>
      <c r="C3388" s="101" t="s">
        <v>150</v>
      </c>
      <c r="D3388" s="101" t="s">
        <v>236</v>
      </c>
      <c r="E3388" s="101" t="s">
        <v>17</v>
      </c>
    </row>
    <row r="3389" spans="1:5" x14ac:dyDescent="0.3">
      <c r="A3389" t="str">
        <f t="shared" si="52"/>
        <v>0211516</v>
      </c>
      <c r="B3389" s="101" t="s">
        <v>639</v>
      </c>
      <c r="C3389" s="101" t="s">
        <v>150</v>
      </c>
      <c r="D3389" s="101" t="s">
        <v>389</v>
      </c>
      <c r="E3389" s="101" t="s">
        <v>139</v>
      </c>
    </row>
    <row r="3390" spans="1:5" x14ac:dyDescent="0.3">
      <c r="A3390" t="str">
        <f t="shared" si="52"/>
        <v>0211534</v>
      </c>
      <c r="B3390" s="101" t="s">
        <v>639</v>
      </c>
      <c r="C3390" s="101" t="s">
        <v>150</v>
      </c>
      <c r="D3390" s="101" t="s">
        <v>350</v>
      </c>
      <c r="E3390" s="101" t="s">
        <v>17</v>
      </c>
    </row>
    <row r="3391" spans="1:5" x14ac:dyDescent="0.3">
      <c r="A3391" t="str">
        <f t="shared" si="52"/>
        <v>0211542</v>
      </c>
      <c r="B3391" s="101" t="s">
        <v>639</v>
      </c>
      <c r="C3391" s="101" t="s">
        <v>150</v>
      </c>
      <c r="D3391" s="101" t="s">
        <v>353</v>
      </c>
      <c r="E3391" s="101" t="s">
        <v>17</v>
      </c>
    </row>
    <row r="3392" spans="1:5" x14ac:dyDescent="0.3">
      <c r="A3392" t="str">
        <f t="shared" si="52"/>
        <v>0211812</v>
      </c>
      <c r="B3392" s="101" t="s">
        <v>639</v>
      </c>
      <c r="C3392" s="101" t="s">
        <v>150</v>
      </c>
      <c r="D3392" s="101" t="s">
        <v>190</v>
      </c>
      <c r="E3392" s="101" t="s">
        <v>17</v>
      </c>
    </row>
    <row r="3393" spans="1:5" x14ac:dyDescent="0.3">
      <c r="A3393" t="str">
        <f t="shared" si="52"/>
        <v>0211890</v>
      </c>
      <c r="B3393" s="101" t="s">
        <v>639</v>
      </c>
      <c r="C3393" s="101" t="s">
        <v>150</v>
      </c>
      <c r="D3393" s="101" t="s">
        <v>568</v>
      </c>
      <c r="E3393" s="101" t="s">
        <v>17</v>
      </c>
    </row>
    <row r="3394" spans="1:5" x14ac:dyDescent="0.3">
      <c r="A3394" t="str">
        <f t="shared" si="52"/>
        <v>0311807</v>
      </c>
      <c r="B3394" s="101" t="s">
        <v>16</v>
      </c>
      <c r="C3394" s="101" t="s">
        <v>150</v>
      </c>
      <c r="D3394" s="101" t="s">
        <v>185</v>
      </c>
      <c r="E3394" s="101" t="s">
        <v>17</v>
      </c>
    </row>
    <row r="3395" spans="1:5" x14ac:dyDescent="0.3">
      <c r="A3395" t="str">
        <f t="shared" ref="A3395:A3458" si="53">CONCATENATE(B3395,C3395,D3395,F3395)</f>
        <v>0311833</v>
      </c>
      <c r="B3395" s="101" t="s">
        <v>16</v>
      </c>
      <c r="C3395" s="101" t="s">
        <v>150</v>
      </c>
      <c r="D3395" s="101" t="s">
        <v>554</v>
      </c>
      <c r="E3395" s="101" t="s">
        <v>139</v>
      </c>
    </row>
    <row r="3396" spans="1:5" x14ac:dyDescent="0.3">
      <c r="A3396" t="str">
        <f t="shared" si="53"/>
        <v>0311838</v>
      </c>
      <c r="B3396" s="101" t="s">
        <v>16</v>
      </c>
      <c r="C3396" s="101" t="s">
        <v>150</v>
      </c>
      <c r="D3396" s="101" t="s">
        <v>558</v>
      </c>
      <c r="E3396" s="101" t="s">
        <v>139</v>
      </c>
    </row>
    <row r="3397" spans="1:5" x14ac:dyDescent="0.3">
      <c r="A3397" t="str">
        <f t="shared" si="53"/>
        <v>0311874</v>
      </c>
      <c r="B3397" s="101" t="s">
        <v>16</v>
      </c>
      <c r="C3397" s="101" t="s">
        <v>150</v>
      </c>
      <c r="D3397" s="101" t="s">
        <v>567</v>
      </c>
      <c r="E3397" s="101" t="s">
        <v>17</v>
      </c>
    </row>
    <row r="3398" spans="1:5" x14ac:dyDescent="0.3">
      <c r="A3398" t="str">
        <f t="shared" si="53"/>
        <v>0411808</v>
      </c>
      <c r="B3398" s="101" t="s">
        <v>18</v>
      </c>
      <c r="C3398" s="101" t="s">
        <v>150</v>
      </c>
      <c r="D3398" s="101" t="s">
        <v>186</v>
      </c>
      <c r="E3398" s="101" t="s">
        <v>17</v>
      </c>
    </row>
    <row r="3399" spans="1:5" x14ac:dyDescent="0.3">
      <c r="A3399" t="str">
        <f t="shared" si="53"/>
        <v>0611123</v>
      </c>
      <c r="B3399" s="101" t="s">
        <v>317</v>
      </c>
      <c r="C3399" s="101" t="s">
        <v>150</v>
      </c>
      <c r="D3399" s="101" t="s">
        <v>252</v>
      </c>
      <c r="E3399" s="101" t="s">
        <v>139</v>
      </c>
    </row>
    <row r="3400" spans="1:5" x14ac:dyDescent="0.3">
      <c r="A3400" t="str">
        <f t="shared" si="53"/>
        <v>0611873</v>
      </c>
      <c r="B3400" s="101" t="s">
        <v>317</v>
      </c>
      <c r="C3400" s="101" t="s">
        <v>150</v>
      </c>
      <c r="D3400" s="101" t="s">
        <v>566</v>
      </c>
      <c r="E3400" s="101" t="s">
        <v>139</v>
      </c>
    </row>
    <row r="3401" spans="1:5" x14ac:dyDescent="0.3">
      <c r="A3401" t="str">
        <f t="shared" si="53"/>
        <v>0216832</v>
      </c>
      <c r="B3401" s="101" t="s">
        <v>639</v>
      </c>
      <c r="C3401" s="101" t="s">
        <v>160</v>
      </c>
      <c r="D3401" s="101" t="s">
        <v>553</v>
      </c>
      <c r="E3401" s="101" t="s">
        <v>17</v>
      </c>
    </row>
    <row r="3402" spans="1:5" x14ac:dyDescent="0.3">
      <c r="A3402" t="str">
        <f t="shared" si="53"/>
        <v>0112111</v>
      </c>
      <c r="B3402" s="101" t="s">
        <v>640</v>
      </c>
      <c r="C3402" s="101" t="s">
        <v>152</v>
      </c>
      <c r="D3402" s="101" t="s">
        <v>241</v>
      </c>
      <c r="E3402" s="101" t="s">
        <v>139</v>
      </c>
    </row>
    <row r="3403" spans="1:5" x14ac:dyDescent="0.3">
      <c r="A3403" t="str">
        <f t="shared" si="53"/>
        <v>0112500</v>
      </c>
      <c r="B3403" s="101" t="s">
        <v>640</v>
      </c>
      <c r="C3403" s="101" t="s">
        <v>152</v>
      </c>
      <c r="D3403" s="101" t="s">
        <v>146</v>
      </c>
      <c r="E3403" s="101" t="s">
        <v>139</v>
      </c>
    </row>
    <row r="3404" spans="1:5" x14ac:dyDescent="0.3">
      <c r="A3404" t="str">
        <f t="shared" si="53"/>
        <v>0112800</v>
      </c>
      <c r="B3404" s="101" t="s">
        <v>640</v>
      </c>
      <c r="C3404" s="101" t="s">
        <v>152</v>
      </c>
      <c r="D3404" s="101" t="s">
        <v>539</v>
      </c>
      <c r="E3404" s="101" t="s">
        <v>139</v>
      </c>
    </row>
    <row r="3405" spans="1:5" x14ac:dyDescent="0.3">
      <c r="A3405" t="str">
        <f t="shared" si="53"/>
        <v>0212805</v>
      </c>
      <c r="B3405" s="101" t="s">
        <v>639</v>
      </c>
      <c r="C3405" s="101" t="s">
        <v>152</v>
      </c>
      <c r="D3405" s="101" t="s">
        <v>543</v>
      </c>
      <c r="E3405" s="101" t="s">
        <v>17</v>
      </c>
    </row>
    <row r="3406" spans="1:5" x14ac:dyDescent="0.3">
      <c r="A3406" t="str">
        <f t="shared" si="53"/>
        <v>0212811</v>
      </c>
      <c r="B3406" s="101" t="s">
        <v>639</v>
      </c>
      <c r="C3406" s="101" t="s">
        <v>152</v>
      </c>
      <c r="D3406" s="101" t="s">
        <v>189</v>
      </c>
      <c r="E3406" s="101" t="s">
        <v>17</v>
      </c>
    </row>
    <row r="3407" spans="1:5" x14ac:dyDescent="0.3">
      <c r="A3407" t="str">
        <f t="shared" si="53"/>
        <v>0312805</v>
      </c>
      <c r="B3407" s="101" t="s">
        <v>16</v>
      </c>
      <c r="C3407" s="101" t="s">
        <v>152</v>
      </c>
      <c r="D3407" s="101" t="s">
        <v>543</v>
      </c>
      <c r="E3407" s="101" t="s">
        <v>17</v>
      </c>
    </row>
    <row r="3408" spans="1:5" x14ac:dyDescent="0.3">
      <c r="A3408" t="str">
        <f t="shared" si="53"/>
        <v>0312811</v>
      </c>
      <c r="B3408" s="101" t="s">
        <v>16</v>
      </c>
      <c r="C3408" s="101" t="s">
        <v>152</v>
      </c>
      <c r="D3408" s="101" t="s">
        <v>189</v>
      </c>
      <c r="E3408" s="101" t="s">
        <v>17</v>
      </c>
    </row>
    <row r="3409" spans="1:5" x14ac:dyDescent="0.3">
      <c r="A3409" t="str">
        <f t="shared" si="53"/>
        <v>0312874</v>
      </c>
      <c r="B3409" s="101" t="s">
        <v>16</v>
      </c>
      <c r="C3409" s="101" t="s">
        <v>152</v>
      </c>
      <c r="D3409" s="101" t="s">
        <v>567</v>
      </c>
      <c r="E3409" s="101" t="s">
        <v>17</v>
      </c>
    </row>
    <row r="3410" spans="1:5" x14ac:dyDescent="0.3">
      <c r="A3410" t="str">
        <f t="shared" si="53"/>
        <v>0412002</v>
      </c>
      <c r="B3410" s="101" t="s">
        <v>18</v>
      </c>
      <c r="C3410" s="101" t="s">
        <v>152</v>
      </c>
      <c r="D3410" s="101" t="s">
        <v>596</v>
      </c>
      <c r="E3410" s="101" t="s">
        <v>17</v>
      </c>
    </row>
    <row r="3411" spans="1:5" x14ac:dyDescent="0.3">
      <c r="A3411" t="str">
        <f t="shared" si="53"/>
        <v>0412060</v>
      </c>
      <c r="B3411" s="101" t="s">
        <v>18</v>
      </c>
      <c r="C3411" s="101" t="s">
        <v>152</v>
      </c>
      <c r="D3411" s="101" t="s">
        <v>627</v>
      </c>
      <c r="E3411" s="101" t="s">
        <v>17</v>
      </c>
    </row>
    <row r="3412" spans="1:5" x14ac:dyDescent="0.3">
      <c r="A3412" t="str">
        <f t="shared" si="53"/>
        <v>0412123</v>
      </c>
      <c r="B3412" s="101" t="s">
        <v>18</v>
      </c>
      <c r="C3412" s="101" t="s">
        <v>152</v>
      </c>
      <c r="D3412" s="101" t="s">
        <v>252</v>
      </c>
      <c r="E3412" s="101" t="s">
        <v>17</v>
      </c>
    </row>
    <row r="3413" spans="1:5" x14ac:dyDescent="0.3">
      <c r="A3413" t="str">
        <f t="shared" si="53"/>
        <v>0412805</v>
      </c>
      <c r="B3413" s="101" t="s">
        <v>18</v>
      </c>
      <c r="C3413" s="101" t="s">
        <v>152</v>
      </c>
      <c r="D3413" s="101" t="s">
        <v>543</v>
      </c>
      <c r="E3413" s="101" t="s">
        <v>17</v>
      </c>
    </row>
    <row r="3414" spans="1:5" x14ac:dyDescent="0.3">
      <c r="A3414" t="str">
        <f t="shared" si="53"/>
        <v>0412890</v>
      </c>
      <c r="B3414" s="101" t="s">
        <v>18</v>
      </c>
      <c r="C3414" s="101" t="s">
        <v>152</v>
      </c>
      <c r="D3414" s="101" t="s">
        <v>568</v>
      </c>
      <c r="E3414" s="101" t="s">
        <v>17</v>
      </c>
    </row>
    <row r="3415" spans="1:5" x14ac:dyDescent="0.3">
      <c r="A3415" t="str">
        <f t="shared" si="53"/>
        <v>0612873</v>
      </c>
      <c r="B3415" s="101" t="s">
        <v>317</v>
      </c>
      <c r="C3415" s="101" t="s">
        <v>152</v>
      </c>
      <c r="D3415" s="101" t="s">
        <v>566</v>
      </c>
      <c r="E3415" s="101" t="s">
        <v>139</v>
      </c>
    </row>
    <row r="3416" spans="1:5" x14ac:dyDescent="0.3">
      <c r="A3416" t="str">
        <f t="shared" si="53"/>
        <v>0218588</v>
      </c>
      <c r="B3416" s="101" t="s">
        <v>639</v>
      </c>
      <c r="C3416" s="101" t="s">
        <v>164</v>
      </c>
      <c r="D3416" s="101" t="s">
        <v>447</v>
      </c>
      <c r="E3416" s="101" t="s">
        <v>17</v>
      </c>
    </row>
    <row r="3417" spans="1:5" x14ac:dyDescent="0.3">
      <c r="A3417" t="str">
        <f t="shared" si="53"/>
        <v>0113093</v>
      </c>
      <c r="B3417" s="101" t="s">
        <v>640</v>
      </c>
      <c r="C3417" s="101" t="s">
        <v>154</v>
      </c>
      <c r="D3417" s="101" t="s">
        <v>642</v>
      </c>
      <c r="E3417" s="101" t="s">
        <v>140</v>
      </c>
    </row>
    <row r="3418" spans="1:5" x14ac:dyDescent="0.3">
      <c r="A3418" t="str">
        <f t="shared" si="53"/>
        <v>0113500</v>
      </c>
      <c r="B3418" s="101" t="s">
        <v>640</v>
      </c>
      <c r="C3418" s="101" t="s">
        <v>154</v>
      </c>
      <c r="D3418" s="101" t="s">
        <v>146</v>
      </c>
      <c r="E3418" s="101" t="s">
        <v>17</v>
      </c>
    </row>
    <row r="3419" spans="1:5" x14ac:dyDescent="0.3">
      <c r="A3419" t="str">
        <f t="shared" si="53"/>
        <v>0113802</v>
      </c>
      <c r="B3419" s="101" t="s">
        <v>640</v>
      </c>
      <c r="C3419" s="101" t="s">
        <v>154</v>
      </c>
      <c r="D3419" s="101" t="s">
        <v>145</v>
      </c>
      <c r="E3419" s="101" t="s">
        <v>139</v>
      </c>
    </row>
    <row r="3420" spans="1:5" x14ac:dyDescent="0.3">
      <c r="A3420" t="str">
        <f t="shared" si="53"/>
        <v>0113840</v>
      </c>
      <c r="B3420" s="101" t="s">
        <v>640</v>
      </c>
      <c r="C3420" s="101" t="s">
        <v>154</v>
      </c>
      <c r="D3420" s="101" t="s">
        <v>560</v>
      </c>
      <c r="E3420" s="101" t="s">
        <v>139</v>
      </c>
    </row>
    <row r="3421" spans="1:5" x14ac:dyDescent="0.3">
      <c r="A3421" t="str">
        <f t="shared" si="53"/>
        <v>0213011</v>
      </c>
      <c r="B3421" s="101" t="s">
        <v>639</v>
      </c>
      <c r="C3421" s="101" t="s">
        <v>154</v>
      </c>
      <c r="D3421" s="101" t="s">
        <v>402</v>
      </c>
      <c r="E3421" s="101" t="s">
        <v>17</v>
      </c>
    </row>
    <row r="3422" spans="1:5" x14ac:dyDescent="0.3">
      <c r="A3422" t="str">
        <f t="shared" si="53"/>
        <v>0213050</v>
      </c>
      <c r="B3422" s="101" t="s">
        <v>639</v>
      </c>
      <c r="C3422" s="101" t="s">
        <v>154</v>
      </c>
      <c r="D3422" s="101" t="s">
        <v>587</v>
      </c>
      <c r="E3422" s="101" t="s">
        <v>17</v>
      </c>
    </row>
    <row r="3423" spans="1:5" x14ac:dyDescent="0.3">
      <c r="A3423" t="str">
        <f t="shared" si="53"/>
        <v>0213512</v>
      </c>
      <c r="B3423" s="101" t="s">
        <v>639</v>
      </c>
      <c r="C3423" s="101" t="s">
        <v>154</v>
      </c>
      <c r="D3423" s="101" t="s">
        <v>398</v>
      </c>
      <c r="E3423" s="101" t="s">
        <v>17</v>
      </c>
    </row>
    <row r="3424" spans="1:5" x14ac:dyDescent="0.3">
      <c r="A3424" t="str">
        <f t="shared" si="53"/>
        <v>0213528</v>
      </c>
      <c r="B3424" s="101" t="s">
        <v>639</v>
      </c>
      <c r="C3424" s="101" t="s">
        <v>154</v>
      </c>
      <c r="D3424" s="101" t="s">
        <v>381</v>
      </c>
      <c r="E3424" s="101" t="s">
        <v>17</v>
      </c>
    </row>
    <row r="3425" spans="1:5" x14ac:dyDescent="0.3">
      <c r="A3425" t="str">
        <f t="shared" si="53"/>
        <v>0219157</v>
      </c>
      <c r="B3425" s="101" t="s">
        <v>639</v>
      </c>
      <c r="C3425" s="101" t="s">
        <v>166</v>
      </c>
      <c r="D3425" s="101" t="s">
        <v>278</v>
      </c>
      <c r="E3425" s="101" t="s">
        <v>17</v>
      </c>
    </row>
    <row r="3426" spans="1:5" x14ac:dyDescent="0.3">
      <c r="A3426" t="str">
        <f t="shared" si="53"/>
        <v>0313045</v>
      </c>
      <c r="B3426" s="101" t="s">
        <v>16</v>
      </c>
      <c r="C3426" s="101" t="s">
        <v>154</v>
      </c>
      <c r="D3426" s="101" t="s">
        <v>453</v>
      </c>
      <c r="E3426" s="101" t="s">
        <v>140</v>
      </c>
    </row>
    <row r="3427" spans="1:5" x14ac:dyDescent="0.3">
      <c r="A3427" t="str">
        <f t="shared" si="53"/>
        <v>0313201</v>
      </c>
      <c r="B3427" s="101" t="s">
        <v>16</v>
      </c>
      <c r="C3427" s="101" t="s">
        <v>154</v>
      </c>
      <c r="D3427" s="101" t="s">
        <v>302</v>
      </c>
      <c r="E3427" s="101" t="s">
        <v>139</v>
      </c>
    </row>
    <row r="3428" spans="1:5" x14ac:dyDescent="0.3">
      <c r="A3428" t="str">
        <f t="shared" si="53"/>
        <v>0220001</v>
      </c>
      <c r="B3428" s="101" t="s">
        <v>639</v>
      </c>
      <c r="C3428" s="101" t="s">
        <v>168</v>
      </c>
      <c r="D3428" s="101" t="s">
        <v>549</v>
      </c>
      <c r="E3428" s="101" t="s">
        <v>139</v>
      </c>
    </row>
    <row r="3429" spans="1:5" x14ac:dyDescent="0.3">
      <c r="A3429" t="str">
        <f t="shared" si="53"/>
        <v>0313900</v>
      </c>
      <c r="B3429" s="101" t="s">
        <v>16</v>
      </c>
      <c r="C3429" s="101" t="s">
        <v>154</v>
      </c>
      <c r="D3429" s="101" t="s">
        <v>573</v>
      </c>
      <c r="E3429" s="101" t="s">
        <v>139</v>
      </c>
    </row>
    <row r="3430" spans="1:5" x14ac:dyDescent="0.3">
      <c r="A3430" t="str">
        <f t="shared" si="53"/>
        <v>0413013</v>
      </c>
      <c r="B3430" s="101" t="s">
        <v>18</v>
      </c>
      <c r="C3430" s="101" t="s">
        <v>154</v>
      </c>
      <c r="D3430" s="101" t="s">
        <v>403</v>
      </c>
      <c r="E3430" s="101" t="s">
        <v>17</v>
      </c>
    </row>
    <row r="3431" spans="1:5" x14ac:dyDescent="0.3">
      <c r="A3431" t="str">
        <f t="shared" si="53"/>
        <v>0413017</v>
      </c>
      <c r="B3431" s="101" t="s">
        <v>18</v>
      </c>
      <c r="C3431" s="101" t="s">
        <v>154</v>
      </c>
      <c r="D3431" s="101" t="s">
        <v>575</v>
      </c>
      <c r="E3431" s="101" t="s">
        <v>17</v>
      </c>
    </row>
    <row r="3432" spans="1:5" x14ac:dyDescent="0.3">
      <c r="A3432" t="str">
        <f t="shared" si="53"/>
        <v>0413018</v>
      </c>
      <c r="B3432" s="101" t="s">
        <v>18</v>
      </c>
      <c r="C3432" s="101" t="s">
        <v>154</v>
      </c>
      <c r="D3432" s="101" t="s">
        <v>576</v>
      </c>
      <c r="E3432" s="101" t="s">
        <v>17</v>
      </c>
    </row>
    <row r="3433" spans="1:5" x14ac:dyDescent="0.3">
      <c r="A3433" t="str">
        <f t="shared" si="53"/>
        <v>0413890</v>
      </c>
      <c r="B3433" s="101" t="s">
        <v>18</v>
      </c>
      <c r="C3433" s="101" t="s">
        <v>154</v>
      </c>
      <c r="D3433" s="101" t="s">
        <v>568</v>
      </c>
      <c r="E3433" s="101" t="s">
        <v>17</v>
      </c>
    </row>
    <row r="3434" spans="1:5" x14ac:dyDescent="0.3">
      <c r="A3434" t="str">
        <f t="shared" si="53"/>
        <v>0513123</v>
      </c>
      <c r="B3434" s="101" t="s">
        <v>313</v>
      </c>
      <c r="C3434" s="101" t="s">
        <v>154</v>
      </c>
      <c r="D3434" s="101" t="s">
        <v>252</v>
      </c>
      <c r="E3434" s="101" t="s">
        <v>140</v>
      </c>
    </row>
    <row r="3435" spans="1:5" x14ac:dyDescent="0.3">
      <c r="A3435" t="str">
        <f t="shared" si="53"/>
        <v>0813874</v>
      </c>
      <c r="B3435" s="101" t="s">
        <v>320</v>
      </c>
      <c r="C3435" s="101" t="s">
        <v>154</v>
      </c>
      <c r="D3435" s="101" t="s">
        <v>567</v>
      </c>
      <c r="E3435" s="101" t="s">
        <v>17</v>
      </c>
    </row>
    <row r="3436" spans="1:5" x14ac:dyDescent="0.3">
      <c r="A3436" t="str">
        <f t="shared" si="53"/>
        <v>0114111</v>
      </c>
      <c r="B3436" s="101" t="s">
        <v>640</v>
      </c>
      <c r="C3436" s="101" t="s">
        <v>156</v>
      </c>
      <c r="D3436" s="101" t="s">
        <v>241</v>
      </c>
      <c r="E3436" s="101" t="s">
        <v>139</v>
      </c>
    </row>
    <row r="3437" spans="1:5" x14ac:dyDescent="0.3">
      <c r="A3437" t="str">
        <f t="shared" si="53"/>
        <v>0114809</v>
      </c>
      <c r="B3437" s="101" t="s">
        <v>640</v>
      </c>
      <c r="C3437" s="101" t="s">
        <v>156</v>
      </c>
      <c r="D3437" s="101" t="s">
        <v>187</v>
      </c>
      <c r="E3437" s="101" t="s">
        <v>17</v>
      </c>
    </row>
    <row r="3438" spans="1:5" x14ac:dyDescent="0.3">
      <c r="A3438" t="str">
        <f t="shared" si="53"/>
        <v>0114842</v>
      </c>
      <c r="B3438" s="101" t="s">
        <v>640</v>
      </c>
      <c r="C3438" s="101" t="s">
        <v>156</v>
      </c>
      <c r="D3438" s="101" t="s">
        <v>562</v>
      </c>
      <c r="E3438" s="101" t="s">
        <v>139</v>
      </c>
    </row>
    <row r="3439" spans="1:5" x14ac:dyDescent="0.3">
      <c r="A3439" t="str">
        <f t="shared" si="53"/>
        <v>0214524</v>
      </c>
      <c r="B3439" s="101" t="s">
        <v>639</v>
      </c>
      <c r="C3439" s="101" t="s">
        <v>156</v>
      </c>
      <c r="D3439" s="101" t="s">
        <v>351</v>
      </c>
      <c r="E3439" s="101" t="s">
        <v>17</v>
      </c>
    </row>
    <row r="3440" spans="1:5" x14ac:dyDescent="0.3">
      <c r="A3440" t="str">
        <f t="shared" si="53"/>
        <v>0214809</v>
      </c>
      <c r="B3440" s="101" t="s">
        <v>639</v>
      </c>
      <c r="C3440" s="101" t="s">
        <v>156</v>
      </c>
      <c r="D3440" s="101" t="s">
        <v>187</v>
      </c>
      <c r="E3440" s="101" t="s">
        <v>17</v>
      </c>
    </row>
    <row r="3441" spans="1:5" x14ac:dyDescent="0.3">
      <c r="A3441" t="str">
        <f t="shared" si="53"/>
        <v>0214812</v>
      </c>
      <c r="B3441" s="101" t="s">
        <v>639</v>
      </c>
      <c r="C3441" s="101" t="s">
        <v>156</v>
      </c>
      <c r="D3441" s="101" t="s">
        <v>190</v>
      </c>
      <c r="E3441" s="101" t="s">
        <v>17</v>
      </c>
    </row>
    <row r="3442" spans="1:5" x14ac:dyDescent="0.3">
      <c r="A3442" t="str">
        <f t="shared" si="53"/>
        <v>0214814</v>
      </c>
      <c r="B3442" s="101" t="s">
        <v>639</v>
      </c>
      <c r="C3442" s="101" t="s">
        <v>156</v>
      </c>
      <c r="D3442" s="101" t="s">
        <v>333</v>
      </c>
      <c r="E3442" s="101" t="s">
        <v>17</v>
      </c>
    </row>
    <row r="3443" spans="1:5" x14ac:dyDescent="0.3">
      <c r="A3443" t="str">
        <f t="shared" si="53"/>
        <v>0223808</v>
      </c>
      <c r="B3443" s="101" t="s">
        <v>639</v>
      </c>
      <c r="C3443" s="101" t="s">
        <v>174</v>
      </c>
      <c r="D3443" s="101" t="s">
        <v>186</v>
      </c>
      <c r="E3443" s="101" t="s">
        <v>17</v>
      </c>
    </row>
    <row r="3444" spans="1:5" x14ac:dyDescent="0.3">
      <c r="A3444" t="str">
        <f t="shared" si="53"/>
        <v>0314812</v>
      </c>
      <c r="B3444" s="101" t="s">
        <v>16</v>
      </c>
      <c r="C3444" s="101" t="s">
        <v>156</v>
      </c>
      <c r="D3444" s="101" t="s">
        <v>190</v>
      </c>
      <c r="E3444" s="101" t="s">
        <v>17</v>
      </c>
    </row>
    <row r="3445" spans="1:5" x14ac:dyDescent="0.3">
      <c r="A3445" t="str">
        <f t="shared" si="53"/>
        <v>0314838</v>
      </c>
      <c r="B3445" s="101" t="s">
        <v>16</v>
      </c>
      <c r="C3445" s="101" t="s">
        <v>156</v>
      </c>
      <c r="D3445" s="101" t="s">
        <v>558</v>
      </c>
      <c r="E3445" s="101" t="s">
        <v>139</v>
      </c>
    </row>
    <row r="3446" spans="1:5" x14ac:dyDescent="0.3">
      <c r="A3446" t="str">
        <f t="shared" si="53"/>
        <v>0314842</v>
      </c>
      <c r="B3446" s="101" t="s">
        <v>16</v>
      </c>
      <c r="C3446" s="101" t="s">
        <v>156</v>
      </c>
      <c r="D3446" s="101" t="s">
        <v>562</v>
      </c>
      <c r="E3446" s="101" t="s">
        <v>139</v>
      </c>
    </row>
    <row r="3447" spans="1:5" x14ac:dyDescent="0.3">
      <c r="A3447" t="str">
        <f t="shared" si="53"/>
        <v>0414058</v>
      </c>
      <c r="B3447" s="101" t="s">
        <v>18</v>
      </c>
      <c r="C3447" s="101" t="s">
        <v>156</v>
      </c>
      <c r="D3447" s="101" t="s">
        <v>629</v>
      </c>
      <c r="E3447" s="101" t="s">
        <v>17</v>
      </c>
    </row>
    <row r="3448" spans="1:5" x14ac:dyDescent="0.3">
      <c r="A3448" t="str">
        <f t="shared" si="53"/>
        <v>0414890</v>
      </c>
      <c r="B3448" s="101" t="s">
        <v>18</v>
      </c>
      <c r="C3448" s="101" t="s">
        <v>156</v>
      </c>
      <c r="D3448" s="101" t="s">
        <v>568</v>
      </c>
      <c r="E3448" s="101" t="s">
        <v>17</v>
      </c>
    </row>
    <row r="3449" spans="1:5" x14ac:dyDescent="0.3">
      <c r="A3449" t="str">
        <f t="shared" si="53"/>
        <v>0514123</v>
      </c>
      <c r="B3449" s="101" t="s">
        <v>313</v>
      </c>
      <c r="C3449" s="101" t="s">
        <v>156</v>
      </c>
      <c r="D3449" s="101" t="s">
        <v>252</v>
      </c>
      <c r="E3449" s="101" t="s">
        <v>17</v>
      </c>
    </row>
    <row r="3450" spans="1:5" x14ac:dyDescent="0.3">
      <c r="A3450" t="str">
        <f t="shared" si="53"/>
        <v>0514056</v>
      </c>
      <c r="B3450" s="101" t="s">
        <v>313</v>
      </c>
      <c r="C3450" s="101" t="s">
        <v>156</v>
      </c>
      <c r="D3450" s="101" t="s">
        <v>626</v>
      </c>
      <c r="E3450" s="101" t="s">
        <v>140</v>
      </c>
    </row>
    <row r="3451" spans="1:5" x14ac:dyDescent="0.3">
      <c r="A3451" t="str">
        <f t="shared" si="53"/>
        <v>0614123</v>
      </c>
      <c r="B3451" s="101" t="s">
        <v>317</v>
      </c>
      <c r="C3451" s="101" t="s">
        <v>156</v>
      </c>
      <c r="D3451" s="101" t="s">
        <v>252</v>
      </c>
      <c r="E3451" s="101" t="s">
        <v>139</v>
      </c>
    </row>
    <row r="3452" spans="1:5" x14ac:dyDescent="0.3">
      <c r="A3452" t="str">
        <f t="shared" si="53"/>
        <v>0115111</v>
      </c>
      <c r="B3452" s="101" t="s">
        <v>640</v>
      </c>
      <c r="C3452" s="101" t="s">
        <v>158</v>
      </c>
      <c r="D3452" s="101" t="s">
        <v>241</v>
      </c>
      <c r="E3452" s="101" t="s">
        <v>17</v>
      </c>
    </row>
    <row r="3453" spans="1:5" x14ac:dyDescent="0.3">
      <c r="A3453" t="str">
        <f t="shared" si="53"/>
        <v>0115123</v>
      </c>
      <c r="B3453" s="101" t="s">
        <v>640</v>
      </c>
      <c r="C3453" s="101" t="s">
        <v>158</v>
      </c>
      <c r="D3453" s="101" t="s">
        <v>252</v>
      </c>
      <c r="E3453" s="101" t="s">
        <v>139</v>
      </c>
    </row>
    <row r="3454" spans="1:5" x14ac:dyDescent="0.3">
      <c r="A3454" t="str">
        <f t="shared" si="53"/>
        <v>0215808</v>
      </c>
      <c r="B3454" s="101" t="s">
        <v>639</v>
      </c>
      <c r="C3454" s="101" t="s">
        <v>158</v>
      </c>
      <c r="D3454" s="101" t="s">
        <v>186</v>
      </c>
      <c r="E3454" s="101" t="s">
        <v>17</v>
      </c>
    </row>
    <row r="3455" spans="1:5" x14ac:dyDescent="0.3">
      <c r="A3455" t="str">
        <f t="shared" si="53"/>
        <v>0215810</v>
      </c>
      <c r="B3455" s="101" t="s">
        <v>639</v>
      </c>
      <c r="C3455" s="101" t="s">
        <v>158</v>
      </c>
      <c r="D3455" s="101" t="s">
        <v>188</v>
      </c>
      <c r="E3455" s="101" t="s">
        <v>17</v>
      </c>
    </row>
    <row r="3456" spans="1:5" x14ac:dyDescent="0.3">
      <c r="A3456" t="str">
        <f t="shared" si="53"/>
        <v>0315874</v>
      </c>
      <c r="B3456" s="101" t="s">
        <v>16</v>
      </c>
      <c r="C3456" s="101" t="s">
        <v>158</v>
      </c>
      <c r="D3456" s="101" t="s">
        <v>567</v>
      </c>
      <c r="E3456" s="101" t="s">
        <v>17</v>
      </c>
    </row>
    <row r="3457" spans="1:5" x14ac:dyDescent="0.3">
      <c r="A3457" t="str">
        <f t="shared" si="53"/>
        <v>0415123</v>
      </c>
      <c r="B3457" s="101" t="s">
        <v>18</v>
      </c>
      <c r="C3457" s="101" t="s">
        <v>158</v>
      </c>
      <c r="D3457" s="101" t="s">
        <v>252</v>
      </c>
      <c r="E3457" s="101" t="s">
        <v>139</v>
      </c>
    </row>
    <row r="3458" spans="1:5" x14ac:dyDescent="0.3">
      <c r="A3458" t="str">
        <f t="shared" si="53"/>
        <v>0415873</v>
      </c>
      <c r="B3458" s="101" t="s">
        <v>18</v>
      </c>
      <c r="C3458" s="101" t="s">
        <v>158</v>
      </c>
      <c r="D3458" s="101" t="s">
        <v>566</v>
      </c>
      <c r="E3458" s="101" t="s">
        <v>139</v>
      </c>
    </row>
    <row r="3459" spans="1:5" x14ac:dyDescent="0.3">
      <c r="A3459" t="str">
        <f t="shared" ref="A3459:A3522" si="54">CONCATENATE(B3459,C3459,D3459,F3459)</f>
        <v>0715874</v>
      </c>
      <c r="B3459" s="101" t="s">
        <v>319</v>
      </c>
      <c r="C3459" s="101" t="s">
        <v>158</v>
      </c>
      <c r="D3459" s="101" t="s">
        <v>567</v>
      </c>
      <c r="E3459" s="101" t="s">
        <v>17</v>
      </c>
    </row>
    <row r="3460" spans="1:5" x14ac:dyDescent="0.3">
      <c r="A3460" t="str">
        <f t="shared" si="54"/>
        <v>0815809</v>
      </c>
      <c r="B3460" s="101" t="s">
        <v>320</v>
      </c>
      <c r="C3460" s="101" t="s">
        <v>158</v>
      </c>
      <c r="D3460" s="101" t="s">
        <v>187</v>
      </c>
      <c r="E3460" s="101" t="s">
        <v>17</v>
      </c>
    </row>
    <row r="3461" spans="1:5" x14ac:dyDescent="0.3">
      <c r="A3461" t="str">
        <f t="shared" si="54"/>
        <v>0116835</v>
      </c>
      <c r="B3461" s="101" t="s">
        <v>640</v>
      </c>
      <c r="C3461" s="101" t="s">
        <v>160</v>
      </c>
      <c r="D3461" s="101" t="s">
        <v>555</v>
      </c>
      <c r="E3461" s="101" t="s">
        <v>139</v>
      </c>
    </row>
    <row r="3462" spans="1:5" x14ac:dyDescent="0.3">
      <c r="A3462" t="str">
        <f t="shared" si="54"/>
        <v>0313033</v>
      </c>
      <c r="B3462" s="101" t="s">
        <v>16</v>
      </c>
      <c r="C3462" s="101" t="s">
        <v>154</v>
      </c>
      <c r="D3462" s="101" t="s">
        <v>327</v>
      </c>
      <c r="E3462" s="101" t="s">
        <v>17</v>
      </c>
    </row>
    <row r="3463" spans="1:5" x14ac:dyDescent="0.3">
      <c r="A3463" t="str">
        <f t="shared" si="54"/>
        <v>0316873</v>
      </c>
      <c r="B3463" s="101" t="s">
        <v>16</v>
      </c>
      <c r="C3463" s="101" t="s">
        <v>160</v>
      </c>
      <c r="D3463" s="101" t="s">
        <v>566</v>
      </c>
      <c r="E3463" s="101" t="s">
        <v>139</v>
      </c>
    </row>
    <row r="3464" spans="1:5" x14ac:dyDescent="0.3">
      <c r="A3464" t="str">
        <f t="shared" si="54"/>
        <v>0313123</v>
      </c>
      <c r="B3464" s="101" t="s">
        <v>16</v>
      </c>
      <c r="C3464" s="101" t="s">
        <v>154</v>
      </c>
      <c r="D3464" s="101" t="s">
        <v>252</v>
      </c>
      <c r="E3464" s="101" t="s">
        <v>139</v>
      </c>
    </row>
    <row r="3465" spans="1:5" x14ac:dyDescent="0.3">
      <c r="A3465" t="str">
        <f t="shared" si="54"/>
        <v>0616123</v>
      </c>
      <c r="B3465" s="101" t="s">
        <v>317</v>
      </c>
      <c r="C3465" s="101" t="s">
        <v>160</v>
      </c>
      <c r="D3465" s="101" t="s">
        <v>252</v>
      </c>
    </row>
    <row r="3466" spans="1:5" x14ac:dyDescent="0.3">
      <c r="A3466" t="str">
        <f t="shared" si="54"/>
        <v>0616800</v>
      </c>
      <c r="B3466" s="101" t="s">
        <v>317</v>
      </c>
      <c r="C3466" s="101" t="s">
        <v>160</v>
      </c>
      <c r="D3466" s="101" t="s">
        <v>539</v>
      </c>
      <c r="E3466" s="101" t="s">
        <v>17</v>
      </c>
    </row>
    <row r="3467" spans="1:5" x14ac:dyDescent="0.3">
      <c r="A3467" t="str">
        <f t="shared" si="54"/>
        <v>0816873</v>
      </c>
      <c r="B3467" s="101" t="s">
        <v>320</v>
      </c>
      <c r="C3467" s="101" t="s">
        <v>160</v>
      </c>
      <c r="D3467" s="101" t="s">
        <v>566</v>
      </c>
      <c r="E3467" s="101" t="s">
        <v>17</v>
      </c>
    </row>
    <row r="3468" spans="1:5" x14ac:dyDescent="0.3">
      <c r="A3468" t="str">
        <f t="shared" si="54"/>
        <v>0816874</v>
      </c>
      <c r="B3468" s="101" t="s">
        <v>320</v>
      </c>
      <c r="C3468" s="101" t="s">
        <v>160</v>
      </c>
      <c r="D3468" s="101" t="s">
        <v>567</v>
      </c>
      <c r="E3468" s="101" t="s">
        <v>17</v>
      </c>
    </row>
    <row r="3469" spans="1:5" x14ac:dyDescent="0.3">
      <c r="A3469" t="str">
        <f t="shared" si="54"/>
        <v>0117001</v>
      </c>
      <c r="B3469" s="101" t="s">
        <v>640</v>
      </c>
      <c r="C3469" s="101" t="s">
        <v>162</v>
      </c>
      <c r="D3469" s="101" t="s">
        <v>549</v>
      </c>
      <c r="E3469" s="101" t="s">
        <v>139</v>
      </c>
    </row>
    <row r="3470" spans="1:5" x14ac:dyDescent="0.3">
      <c r="A3470" t="str">
        <f t="shared" si="54"/>
        <v>0117089</v>
      </c>
      <c r="B3470" s="101" t="s">
        <v>640</v>
      </c>
      <c r="C3470" s="101" t="s">
        <v>162</v>
      </c>
      <c r="D3470" s="101" t="s">
        <v>589</v>
      </c>
      <c r="E3470" s="101" t="s">
        <v>17</v>
      </c>
    </row>
    <row r="3471" spans="1:5" x14ac:dyDescent="0.3">
      <c r="A3471" t="str">
        <f t="shared" si="54"/>
        <v>0117111</v>
      </c>
      <c r="B3471" s="101" t="s">
        <v>640</v>
      </c>
      <c r="C3471" s="101" t="s">
        <v>162</v>
      </c>
      <c r="D3471" s="101" t="s">
        <v>241</v>
      </c>
      <c r="E3471" s="101" t="s">
        <v>17</v>
      </c>
    </row>
    <row r="3472" spans="1:5" x14ac:dyDescent="0.3">
      <c r="A3472" t="str">
        <f t="shared" si="54"/>
        <v>0117120</v>
      </c>
      <c r="B3472" s="101" t="s">
        <v>640</v>
      </c>
      <c r="C3472" s="101" t="s">
        <v>162</v>
      </c>
      <c r="D3472" s="101" t="s">
        <v>249</v>
      </c>
      <c r="E3472" s="101" t="s">
        <v>17</v>
      </c>
    </row>
    <row r="3473" spans="1:5" x14ac:dyDescent="0.3">
      <c r="A3473" t="str">
        <f t="shared" si="54"/>
        <v>0314123</v>
      </c>
      <c r="B3473" s="101" t="s">
        <v>16</v>
      </c>
      <c r="C3473" s="101" t="s">
        <v>156</v>
      </c>
      <c r="D3473" s="101" t="s">
        <v>252</v>
      </c>
      <c r="E3473" s="101" t="s">
        <v>139</v>
      </c>
    </row>
    <row r="3474" spans="1:5" x14ac:dyDescent="0.3">
      <c r="A3474" t="str">
        <f t="shared" si="54"/>
        <v>0217120</v>
      </c>
      <c r="B3474" s="101" t="s">
        <v>639</v>
      </c>
      <c r="C3474" s="101" t="s">
        <v>162</v>
      </c>
      <c r="D3474" s="101" t="s">
        <v>249</v>
      </c>
      <c r="E3474" s="101" t="s">
        <v>17</v>
      </c>
    </row>
    <row r="3475" spans="1:5" x14ac:dyDescent="0.3">
      <c r="A3475" t="str">
        <f t="shared" si="54"/>
        <v>0217513</v>
      </c>
      <c r="B3475" s="101" t="s">
        <v>639</v>
      </c>
      <c r="C3475" s="101" t="s">
        <v>162</v>
      </c>
      <c r="D3475" s="101" t="s">
        <v>387</v>
      </c>
      <c r="E3475" s="101" t="s">
        <v>139</v>
      </c>
    </row>
    <row r="3476" spans="1:5" x14ac:dyDescent="0.3">
      <c r="A3476" t="str">
        <f t="shared" si="54"/>
        <v>0217519</v>
      </c>
      <c r="B3476" s="101" t="s">
        <v>639</v>
      </c>
      <c r="C3476" s="101" t="s">
        <v>162</v>
      </c>
      <c r="D3476" s="101" t="s">
        <v>383</v>
      </c>
      <c r="E3476" s="101" t="s">
        <v>17</v>
      </c>
    </row>
    <row r="3477" spans="1:5" x14ac:dyDescent="0.3">
      <c r="A3477" t="str">
        <f t="shared" si="54"/>
        <v>0217531</v>
      </c>
      <c r="B3477" s="101" t="s">
        <v>639</v>
      </c>
      <c r="C3477" s="101" t="s">
        <v>162</v>
      </c>
      <c r="D3477" s="101" t="s">
        <v>409</v>
      </c>
      <c r="E3477" s="101" t="s">
        <v>17</v>
      </c>
    </row>
    <row r="3478" spans="1:5" x14ac:dyDescent="0.3">
      <c r="A3478" t="str">
        <f t="shared" si="54"/>
        <v>0217635</v>
      </c>
      <c r="B3478" s="101" t="s">
        <v>639</v>
      </c>
      <c r="C3478" s="101" t="s">
        <v>162</v>
      </c>
      <c r="D3478" s="101" t="s">
        <v>484</v>
      </c>
      <c r="E3478" s="101" t="s">
        <v>139</v>
      </c>
    </row>
    <row r="3479" spans="1:5" x14ac:dyDescent="0.3">
      <c r="A3479" t="str">
        <f t="shared" si="54"/>
        <v>0217658</v>
      </c>
      <c r="B3479" s="101" t="s">
        <v>639</v>
      </c>
      <c r="C3479" s="101" t="s">
        <v>162</v>
      </c>
      <c r="D3479" s="101" t="s">
        <v>214</v>
      </c>
      <c r="E3479" s="101" t="s">
        <v>17</v>
      </c>
    </row>
    <row r="3480" spans="1:5" x14ac:dyDescent="0.3">
      <c r="A3480" t="str">
        <f t="shared" si="54"/>
        <v>0217826</v>
      </c>
      <c r="B3480" s="101" t="s">
        <v>639</v>
      </c>
      <c r="C3480" s="101" t="s">
        <v>162</v>
      </c>
      <c r="D3480" s="101" t="s">
        <v>359</v>
      </c>
      <c r="E3480" s="101" t="s">
        <v>17</v>
      </c>
    </row>
    <row r="3481" spans="1:5" x14ac:dyDescent="0.3">
      <c r="A3481" t="str">
        <f t="shared" si="54"/>
        <v>0317510</v>
      </c>
      <c r="B3481" s="101" t="s">
        <v>16</v>
      </c>
      <c r="C3481" s="101" t="s">
        <v>162</v>
      </c>
      <c r="D3481" s="101" t="s">
        <v>385</v>
      </c>
      <c r="E3481" s="101" t="s">
        <v>139</v>
      </c>
    </row>
    <row r="3482" spans="1:5" x14ac:dyDescent="0.3">
      <c r="A3482" t="str">
        <f t="shared" si="54"/>
        <v>0317873</v>
      </c>
      <c r="B3482" s="101" t="s">
        <v>16</v>
      </c>
      <c r="C3482" s="101" t="s">
        <v>162</v>
      </c>
      <c r="D3482" s="101" t="s">
        <v>566</v>
      </c>
      <c r="E3482" s="101" t="s">
        <v>139</v>
      </c>
    </row>
    <row r="3483" spans="1:5" x14ac:dyDescent="0.3">
      <c r="A3483" t="str">
        <f t="shared" si="54"/>
        <v>0417001</v>
      </c>
      <c r="B3483" s="101" t="s">
        <v>18</v>
      </c>
      <c r="C3483" s="101" t="s">
        <v>162</v>
      </c>
      <c r="D3483" s="101" t="s">
        <v>549</v>
      </c>
      <c r="E3483" s="101" t="s">
        <v>17</v>
      </c>
    </row>
    <row r="3484" spans="1:5" x14ac:dyDescent="0.3">
      <c r="A3484" t="str">
        <f t="shared" si="54"/>
        <v>0417040</v>
      </c>
      <c r="B3484" s="101" t="s">
        <v>18</v>
      </c>
      <c r="C3484" s="101" t="s">
        <v>162</v>
      </c>
      <c r="D3484" s="101" t="s">
        <v>614</v>
      </c>
      <c r="E3484" s="101" t="s">
        <v>17</v>
      </c>
    </row>
    <row r="3485" spans="1:5" x14ac:dyDescent="0.3">
      <c r="A3485" t="str">
        <f t="shared" si="54"/>
        <v>0417808</v>
      </c>
      <c r="B3485" s="101" t="s">
        <v>18</v>
      </c>
      <c r="C3485" s="101" t="s">
        <v>162</v>
      </c>
      <c r="D3485" s="101" t="s">
        <v>186</v>
      </c>
      <c r="E3485" s="101" t="s">
        <v>17</v>
      </c>
    </row>
    <row r="3486" spans="1:5" x14ac:dyDescent="0.3">
      <c r="A3486" t="str">
        <f t="shared" si="54"/>
        <v>0617873</v>
      </c>
      <c r="B3486" s="101" t="s">
        <v>317</v>
      </c>
      <c r="C3486" s="101" t="s">
        <v>162</v>
      </c>
      <c r="D3486" s="101" t="s">
        <v>566</v>
      </c>
      <c r="E3486" s="101" t="s">
        <v>139</v>
      </c>
    </row>
    <row r="3487" spans="1:5" x14ac:dyDescent="0.3">
      <c r="A3487" t="str">
        <f t="shared" si="54"/>
        <v>0717874</v>
      </c>
      <c r="B3487" s="101" t="s">
        <v>319</v>
      </c>
      <c r="C3487" s="101" t="s">
        <v>162</v>
      </c>
      <c r="D3487" s="101" t="s">
        <v>567</v>
      </c>
      <c r="E3487" s="101" t="s">
        <v>17</v>
      </c>
    </row>
    <row r="3488" spans="1:5" x14ac:dyDescent="0.3">
      <c r="A3488" t="str">
        <f t="shared" si="54"/>
        <v>0817873</v>
      </c>
      <c r="B3488" s="101" t="s">
        <v>320</v>
      </c>
      <c r="C3488" s="101" t="s">
        <v>162</v>
      </c>
      <c r="D3488" s="101" t="s">
        <v>566</v>
      </c>
      <c r="E3488" s="101" t="s">
        <v>139</v>
      </c>
    </row>
    <row r="3489" spans="1:5" x14ac:dyDescent="0.3">
      <c r="A3489" t="str">
        <f t="shared" si="54"/>
        <v>0118802</v>
      </c>
      <c r="B3489" s="101" t="s">
        <v>640</v>
      </c>
      <c r="C3489" s="101" t="s">
        <v>164</v>
      </c>
      <c r="D3489" s="101" t="s">
        <v>145</v>
      </c>
      <c r="E3489" s="101" t="s">
        <v>139</v>
      </c>
    </row>
    <row r="3490" spans="1:5" x14ac:dyDescent="0.3">
      <c r="A3490" t="str">
        <f t="shared" si="54"/>
        <v>0118873</v>
      </c>
      <c r="B3490" s="101" t="s">
        <v>640</v>
      </c>
      <c r="C3490" s="101" t="s">
        <v>164</v>
      </c>
      <c r="D3490" s="101" t="s">
        <v>566</v>
      </c>
      <c r="E3490" s="101" t="s">
        <v>139</v>
      </c>
    </row>
    <row r="3491" spans="1:5" x14ac:dyDescent="0.3">
      <c r="A3491" t="str">
        <f t="shared" si="54"/>
        <v>0218028</v>
      </c>
      <c r="B3491" s="101" t="s">
        <v>639</v>
      </c>
      <c r="C3491" s="101" t="s">
        <v>164</v>
      </c>
      <c r="D3491" s="101" t="s">
        <v>368</v>
      </c>
      <c r="E3491" s="101" t="s">
        <v>17</v>
      </c>
    </row>
    <row r="3492" spans="1:5" x14ac:dyDescent="0.3">
      <c r="A3492" t="str">
        <f t="shared" si="54"/>
        <v>0218005</v>
      </c>
      <c r="B3492" s="101" t="s">
        <v>639</v>
      </c>
      <c r="C3492" s="101" t="s">
        <v>164</v>
      </c>
      <c r="D3492" s="101" t="s">
        <v>399</v>
      </c>
      <c r="E3492" s="101" t="s">
        <v>17</v>
      </c>
    </row>
    <row r="3493" spans="1:5" x14ac:dyDescent="0.3">
      <c r="A3493" t="str">
        <f t="shared" si="54"/>
        <v>0320129</v>
      </c>
      <c r="B3493" s="101" t="s">
        <v>16</v>
      </c>
      <c r="C3493" s="101" t="s">
        <v>168</v>
      </c>
      <c r="D3493" s="101" t="s">
        <v>254</v>
      </c>
      <c r="E3493" s="101" t="s">
        <v>19</v>
      </c>
    </row>
    <row r="3494" spans="1:5" x14ac:dyDescent="0.3">
      <c r="A3494" t="str">
        <f t="shared" si="54"/>
        <v>0218632</v>
      </c>
      <c r="B3494" s="101" t="s">
        <v>639</v>
      </c>
      <c r="C3494" s="101" t="s">
        <v>164</v>
      </c>
      <c r="D3494" s="101" t="s">
        <v>293</v>
      </c>
      <c r="E3494" s="101" t="s">
        <v>17</v>
      </c>
    </row>
    <row r="3495" spans="1:5" x14ac:dyDescent="0.3">
      <c r="A3495" t="str">
        <f t="shared" si="54"/>
        <v>0318123</v>
      </c>
      <c r="B3495" s="101" t="s">
        <v>16</v>
      </c>
      <c r="C3495" s="101" t="s">
        <v>164</v>
      </c>
      <c r="D3495" s="101" t="s">
        <v>252</v>
      </c>
      <c r="E3495" s="101" t="s">
        <v>139</v>
      </c>
    </row>
    <row r="3496" spans="1:5" x14ac:dyDescent="0.3">
      <c r="A3496" t="str">
        <f t="shared" si="54"/>
        <v>0318511</v>
      </c>
      <c r="B3496" s="101" t="s">
        <v>16</v>
      </c>
      <c r="C3496" s="101" t="s">
        <v>164</v>
      </c>
      <c r="D3496" s="101" t="s">
        <v>386</v>
      </c>
      <c r="E3496" s="101" t="s">
        <v>139</v>
      </c>
    </row>
    <row r="3497" spans="1:5" x14ac:dyDescent="0.3">
      <c r="A3497" t="str">
        <f t="shared" si="54"/>
        <v>0318835</v>
      </c>
      <c r="B3497" s="101" t="s">
        <v>16</v>
      </c>
      <c r="C3497" s="101" t="s">
        <v>164</v>
      </c>
      <c r="D3497" s="101" t="s">
        <v>555</v>
      </c>
      <c r="E3497" s="101" t="s">
        <v>139</v>
      </c>
    </row>
    <row r="3498" spans="1:5" x14ac:dyDescent="0.3">
      <c r="A3498" t="str">
        <f t="shared" si="54"/>
        <v>0318840</v>
      </c>
      <c r="B3498" s="101" t="s">
        <v>16</v>
      </c>
      <c r="C3498" s="101" t="s">
        <v>164</v>
      </c>
      <c r="D3498" s="101" t="s">
        <v>560</v>
      </c>
      <c r="E3498" s="101" t="s">
        <v>139</v>
      </c>
    </row>
    <row r="3499" spans="1:5" x14ac:dyDescent="0.3">
      <c r="A3499" t="str">
        <f t="shared" si="54"/>
        <v>0418644</v>
      </c>
      <c r="B3499" s="101" t="s">
        <v>18</v>
      </c>
      <c r="C3499" s="101" t="s">
        <v>164</v>
      </c>
      <c r="D3499" s="101" t="s">
        <v>485</v>
      </c>
      <c r="E3499" s="101" t="s">
        <v>17</v>
      </c>
    </row>
    <row r="3500" spans="1:5" x14ac:dyDescent="0.3">
      <c r="A3500" t="str">
        <f t="shared" si="54"/>
        <v>0418648</v>
      </c>
      <c r="B3500" s="101" t="s">
        <v>18</v>
      </c>
      <c r="C3500" s="101" t="s">
        <v>164</v>
      </c>
      <c r="D3500" s="101" t="s">
        <v>199</v>
      </c>
      <c r="E3500" s="101" t="s">
        <v>17</v>
      </c>
    </row>
    <row r="3501" spans="1:5" x14ac:dyDescent="0.3">
      <c r="A3501" t="str">
        <f t="shared" si="54"/>
        <v>0418672</v>
      </c>
      <c r="B3501" s="101" t="s">
        <v>18</v>
      </c>
      <c r="C3501" s="101" t="s">
        <v>164</v>
      </c>
      <c r="D3501" s="101" t="s">
        <v>502</v>
      </c>
      <c r="E3501" s="101" t="s">
        <v>17</v>
      </c>
    </row>
    <row r="3502" spans="1:5" x14ac:dyDescent="0.3">
      <c r="A3502" t="str">
        <f t="shared" si="54"/>
        <v>0718123</v>
      </c>
      <c r="B3502" s="101" t="s">
        <v>319</v>
      </c>
      <c r="C3502" s="101" t="s">
        <v>164</v>
      </c>
      <c r="D3502" s="101" t="s">
        <v>252</v>
      </c>
    </row>
    <row r="3503" spans="1:5" x14ac:dyDescent="0.3">
      <c r="A3503" t="str">
        <f t="shared" si="54"/>
        <v>0119016</v>
      </c>
      <c r="B3503" s="101" t="s">
        <v>640</v>
      </c>
      <c r="C3503" s="101" t="s">
        <v>166</v>
      </c>
      <c r="D3503" s="101" t="s">
        <v>396</v>
      </c>
      <c r="E3503" s="101" t="s">
        <v>17</v>
      </c>
    </row>
    <row r="3504" spans="1:5" x14ac:dyDescent="0.3">
      <c r="A3504" t="str">
        <f t="shared" si="54"/>
        <v>0119500</v>
      </c>
      <c r="B3504" s="101" t="s">
        <v>640</v>
      </c>
      <c r="C3504" s="101" t="s">
        <v>166</v>
      </c>
      <c r="D3504" s="101" t="s">
        <v>146</v>
      </c>
      <c r="E3504" s="101" t="s">
        <v>139</v>
      </c>
    </row>
    <row r="3505" spans="1:5" x14ac:dyDescent="0.3">
      <c r="A3505" t="str">
        <f t="shared" si="54"/>
        <v>0119811</v>
      </c>
      <c r="B3505" s="101" t="s">
        <v>640</v>
      </c>
      <c r="C3505" s="101" t="s">
        <v>166</v>
      </c>
      <c r="D3505" s="101" t="s">
        <v>189</v>
      </c>
      <c r="E3505" s="101" t="s">
        <v>17</v>
      </c>
    </row>
    <row r="3506" spans="1:5" x14ac:dyDescent="0.3">
      <c r="A3506" t="str">
        <f t="shared" si="54"/>
        <v>0119874</v>
      </c>
      <c r="B3506" s="101" t="s">
        <v>640</v>
      </c>
      <c r="C3506" s="101" t="s">
        <v>166</v>
      </c>
      <c r="D3506" s="101" t="s">
        <v>567</v>
      </c>
      <c r="E3506" s="101" t="s">
        <v>17</v>
      </c>
    </row>
    <row r="3507" spans="1:5" x14ac:dyDescent="0.3">
      <c r="A3507" t="str">
        <f t="shared" si="54"/>
        <v>0410201</v>
      </c>
      <c r="B3507" s="101" t="s">
        <v>18</v>
      </c>
      <c r="C3507" s="101" t="s">
        <v>143</v>
      </c>
      <c r="D3507" s="101" t="s">
        <v>302</v>
      </c>
      <c r="E3507" s="101" t="s">
        <v>17</v>
      </c>
    </row>
    <row r="3508" spans="1:5" x14ac:dyDescent="0.3">
      <c r="A3508" t="str">
        <f t="shared" si="54"/>
        <v>0319123</v>
      </c>
      <c r="B3508" s="101" t="s">
        <v>16</v>
      </c>
      <c r="C3508" s="101" t="s">
        <v>166</v>
      </c>
      <c r="D3508" s="101" t="s">
        <v>252</v>
      </c>
      <c r="E3508" s="101" t="s">
        <v>139</v>
      </c>
    </row>
    <row r="3509" spans="1:5" x14ac:dyDescent="0.3">
      <c r="A3509" t="str">
        <f t="shared" si="54"/>
        <v>0319157</v>
      </c>
      <c r="B3509" s="101" t="s">
        <v>16</v>
      </c>
      <c r="C3509" s="101" t="s">
        <v>166</v>
      </c>
      <c r="D3509" s="101" t="s">
        <v>278</v>
      </c>
      <c r="E3509" s="101" t="s">
        <v>17</v>
      </c>
    </row>
    <row r="3510" spans="1:5" x14ac:dyDescent="0.3">
      <c r="A3510" t="str">
        <f t="shared" si="54"/>
        <v>0319873</v>
      </c>
      <c r="B3510" s="101" t="s">
        <v>16</v>
      </c>
      <c r="C3510" s="101" t="s">
        <v>166</v>
      </c>
      <c r="D3510" s="101" t="s">
        <v>566</v>
      </c>
      <c r="E3510" s="101" t="s">
        <v>139</v>
      </c>
    </row>
    <row r="3511" spans="1:5" x14ac:dyDescent="0.3">
      <c r="A3511" t="str">
        <f t="shared" si="54"/>
        <v>0419807</v>
      </c>
      <c r="B3511" s="101" t="s">
        <v>18</v>
      </c>
      <c r="C3511" s="101" t="s">
        <v>166</v>
      </c>
      <c r="D3511" s="101" t="s">
        <v>185</v>
      </c>
      <c r="E3511" s="101" t="s">
        <v>17</v>
      </c>
    </row>
    <row r="3512" spans="1:5" x14ac:dyDescent="0.3">
      <c r="A3512" t="str">
        <f t="shared" si="54"/>
        <v>0519123</v>
      </c>
      <c r="B3512" s="101" t="s">
        <v>313</v>
      </c>
      <c r="C3512" s="101" t="s">
        <v>166</v>
      </c>
      <c r="D3512" s="101" t="s">
        <v>252</v>
      </c>
      <c r="E3512" s="101" t="s">
        <v>17</v>
      </c>
    </row>
    <row r="3513" spans="1:5" x14ac:dyDescent="0.3">
      <c r="A3513" t="str">
        <f t="shared" si="54"/>
        <v>0519811</v>
      </c>
      <c r="B3513" s="101" t="s">
        <v>313</v>
      </c>
      <c r="C3513" s="101" t="s">
        <v>166</v>
      </c>
      <c r="D3513" s="101" t="s">
        <v>189</v>
      </c>
      <c r="E3513" s="101" t="s">
        <v>17</v>
      </c>
    </row>
    <row r="3514" spans="1:5" x14ac:dyDescent="0.3">
      <c r="A3514" t="str">
        <f t="shared" si="54"/>
        <v>0719873</v>
      </c>
      <c r="B3514" s="101" t="s">
        <v>319</v>
      </c>
      <c r="C3514" s="101" t="s">
        <v>166</v>
      </c>
      <c r="D3514" s="101" t="s">
        <v>566</v>
      </c>
      <c r="E3514" s="101" t="s">
        <v>139</v>
      </c>
    </row>
    <row r="3515" spans="1:5" x14ac:dyDescent="0.3">
      <c r="A3515" t="str">
        <f t="shared" si="54"/>
        <v>0719874</v>
      </c>
      <c r="B3515" s="101" t="s">
        <v>319</v>
      </c>
      <c r="C3515" s="101" t="s">
        <v>166</v>
      </c>
      <c r="D3515" s="101" t="s">
        <v>567</v>
      </c>
      <c r="E3515" s="101" t="s">
        <v>17</v>
      </c>
    </row>
    <row r="3516" spans="1:5" x14ac:dyDescent="0.3">
      <c r="A3516" t="str">
        <f t="shared" si="54"/>
        <v>0120500</v>
      </c>
      <c r="B3516" s="101" t="s">
        <v>640</v>
      </c>
      <c r="C3516" s="101" t="s">
        <v>168</v>
      </c>
      <c r="D3516" s="101" t="s">
        <v>146</v>
      </c>
      <c r="E3516" s="101" t="s">
        <v>139</v>
      </c>
    </row>
    <row r="3517" spans="1:5" x14ac:dyDescent="0.3">
      <c r="A3517" t="str">
        <f t="shared" si="54"/>
        <v>0120835</v>
      </c>
      <c r="B3517" s="101" t="s">
        <v>640</v>
      </c>
      <c r="C3517" s="101" t="s">
        <v>168</v>
      </c>
      <c r="D3517" s="101" t="s">
        <v>555</v>
      </c>
      <c r="E3517" s="101" t="s">
        <v>139</v>
      </c>
    </row>
    <row r="3518" spans="1:5" x14ac:dyDescent="0.3">
      <c r="A3518" t="str">
        <f t="shared" si="54"/>
        <v>0416800</v>
      </c>
      <c r="B3518" s="101" t="s">
        <v>18</v>
      </c>
      <c r="C3518" s="101" t="s">
        <v>160</v>
      </c>
      <c r="D3518" s="101" t="s">
        <v>539</v>
      </c>
      <c r="E3518" s="101" t="s">
        <v>17</v>
      </c>
    </row>
    <row r="3519" spans="1:5" x14ac:dyDescent="0.3">
      <c r="A3519" t="str">
        <f t="shared" si="54"/>
        <v>0220002</v>
      </c>
      <c r="B3519" s="101" t="s">
        <v>639</v>
      </c>
      <c r="C3519" s="101" t="s">
        <v>168</v>
      </c>
      <c r="D3519" s="101" t="s">
        <v>596</v>
      </c>
      <c r="E3519" s="101" t="s">
        <v>139</v>
      </c>
    </row>
    <row r="3520" spans="1:5" x14ac:dyDescent="0.3">
      <c r="A3520" t="str">
        <f t="shared" si="54"/>
        <v>0220007</v>
      </c>
      <c r="B3520" s="101" t="s">
        <v>639</v>
      </c>
      <c r="C3520" s="101" t="s">
        <v>168</v>
      </c>
      <c r="D3520" s="101" t="s">
        <v>401</v>
      </c>
      <c r="E3520" s="101" t="s">
        <v>139</v>
      </c>
    </row>
    <row r="3521" spans="1:5" x14ac:dyDescent="0.3">
      <c r="A3521" t="str">
        <f t="shared" si="54"/>
        <v>0220077</v>
      </c>
      <c r="B3521" s="101" t="s">
        <v>639</v>
      </c>
      <c r="C3521" s="101" t="s">
        <v>168</v>
      </c>
      <c r="D3521" s="101" t="s">
        <v>617</v>
      </c>
      <c r="E3521" s="101" t="s">
        <v>17</v>
      </c>
    </row>
    <row r="3522" spans="1:5" x14ac:dyDescent="0.3">
      <c r="A3522" t="str">
        <f t="shared" si="54"/>
        <v>0220108</v>
      </c>
      <c r="B3522" s="101" t="s">
        <v>639</v>
      </c>
      <c r="C3522" s="101" t="s">
        <v>168</v>
      </c>
      <c r="D3522" s="101" t="s">
        <v>238</v>
      </c>
      <c r="E3522" s="101" t="s">
        <v>140</v>
      </c>
    </row>
    <row r="3523" spans="1:5" x14ac:dyDescent="0.3">
      <c r="A3523" t="str">
        <f t="shared" ref="A3523:A3586" si="55">CONCATENATE(B3523,C3523,D3523,F3523)</f>
        <v>0220526</v>
      </c>
      <c r="B3523" s="101" t="s">
        <v>639</v>
      </c>
      <c r="C3523" s="101" t="s">
        <v>168</v>
      </c>
      <c r="D3523" s="101" t="s">
        <v>379</v>
      </c>
      <c r="E3523" s="101" t="s">
        <v>139</v>
      </c>
    </row>
    <row r="3524" spans="1:5" x14ac:dyDescent="0.3">
      <c r="A3524" t="str">
        <f t="shared" si="55"/>
        <v>0220579</v>
      </c>
      <c r="B3524" s="101" t="s">
        <v>639</v>
      </c>
      <c r="C3524" s="101" t="s">
        <v>168</v>
      </c>
      <c r="D3524" s="101" t="s">
        <v>438</v>
      </c>
      <c r="E3524" s="101" t="s">
        <v>139</v>
      </c>
    </row>
    <row r="3525" spans="1:5" x14ac:dyDescent="0.3">
      <c r="A3525" t="str">
        <f t="shared" si="55"/>
        <v>0220580</v>
      </c>
      <c r="B3525" s="101" t="s">
        <v>639</v>
      </c>
      <c r="C3525" s="101" t="s">
        <v>168</v>
      </c>
      <c r="D3525" s="101" t="s">
        <v>439</v>
      </c>
      <c r="E3525" s="101" t="s">
        <v>139</v>
      </c>
    </row>
    <row r="3526" spans="1:5" x14ac:dyDescent="0.3">
      <c r="A3526" t="str">
        <f t="shared" si="55"/>
        <v>0220609</v>
      </c>
      <c r="B3526" s="101" t="s">
        <v>639</v>
      </c>
      <c r="C3526" s="101" t="s">
        <v>168</v>
      </c>
      <c r="D3526" s="101" t="s">
        <v>290</v>
      </c>
      <c r="E3526" s="101" t="s">
        <v>17</v>
      </c>
    </row>
    <row r="3527" spans="1:5" x14ac:dyDescent="0.3">
      <c r="A3527" t="str">
        <f t="shared" si="55"/>
        <v>0220633</v>
      </c>
      <c r="B3527" s="101" t="s">
        <v>639</v>
      </c>
      <c r="C3527" s="101" t="s">
        <v>168</v>
      </c>
      <c r="D3527" s="101" t="s">
        <v>294</v>
      </c>
      <c r="E3527" s="101" t="s">
        <v>17</v>
      </c>
    </row>
    <row r="3528" spans="1:5" x14ac:dyDescent="0.3">
      <c r="A3528" t="str">
        <f t="shared" si="55"/>
        <v>0220806</v>
      </c>
      <c r="B3528" s="101" t="s">
        <v>639</v>
      </c>
      <c r="C3528" s="101" t="s">
        <v>168</v>
      </c>
      <c r="D3528" s="101" t="s">
        <v>544</v>
      </c>
      <c r="E3528" s="101" t="s">
        <v>17</v>
      </c>
    </row>
    <row r="3529" spans="1:5" x14ac:dyDescent="0.3">
      <c r="A3529" t="str">
        <f t="shared" si="55"/>
        <v>0220807</v>
      </c>
      <c r="B3529" s="101" t="s">
        <v>639</v>
      </c>
      <c r="C3529" s="101" t="s">
        <v>168</v>
      </c>
      <c r="D3529" s="101" t="s">
        <v>185</v>
      </c>
      <c r="E3529" s="101" t="s">
        <v>17</v>
      </c>
    </row>
    <row r="3530" spans="1:5" x14ac:dyDescent="0.3">
      <c r="A3530" t="str">
        <f t="shared" si="55"/>
        <v>0220811</v>
      </c>
      <c r="B3530" s="101" t="s">
        <v>639</v>
      </c>
      <c r="C3530" s="101" t="s">
        <v>168</v>
      </c>
      <c r="D3530" s="101" t="s">
        <v>189</v>
      </c>
      <c r="E3530" s="101" t="s">
        <v>17</v>
      </c>
    </row>
    <row r="3531" spans="1:5" x14ac:dyDescent="0.3">
      <c r="A3531" t="str">
        <f t="shared" si="55"/>
        <v>0220890</v>
      </c>
      <c r="B3531" s="101" t="s">
        <v>639</v>
      </c>
      <c r="C3531" s="101" t="s">
        <v>168</v>
      </c>
      <c r="D3531" s="101" t="s">
        <v>568</v>
      </c>
      <c r="E3531" s="101" t="s">
        <v>17</v>
      </c>
    </row>
    <row r="3532" spans="1:5" x14ac:dyDescent="0.3">
      <c r="A3532" t="str">
        <f t="shared" si="55"/>
        <v>0320120</v>
      </c>
      <c r="B3532" s="101" t="s">
        <v>16</v>
      </c>
      <c r="C3532" s="101" t="s">
        <v>168</v>
      </c>
      <c r="D3532" s="101" t="s">
        <v>249</v>
      </c>
      <c r="E3532" s="101" t="s">
        <v>139</v>
      </c>
    </row>
    <row r="3533" spans="1:5" x14ac:dyDescent="0.3">
      <c r="A3533" t="str">
        <f t="shared" si="55"/>
        <v>0420805</v>
      </c>
      <c r="B3533" s="101" t="s">
        <v>18</v>
      </c>
      <c r="C3533" s="101" t="s">
        <v>168</v>
      </c>
      <c r="D3533" s="101" t="s">
        <v>543</v>
      </c>
      <c r="E3533" s="101" t="s">
        <v>17</v>
      </c>
    </row>
    <row r="3534" spans="1:5" x14ac:dyDescent="0.3">
      <c r="A3534" t="str">
        <f t="shared" si="55"/>
        <v>0320811</v>
      </c>
      <c r="B3534" s="101" t="s">
        <v>16</v>
      </c>
      <c r="C3534" s="101" t="s">
        <v>168</v>
      </c>
      <c r="D3534" s="101" t="s">
        <v>189</v>
      </c>
      <c r="E3534" s="101" t="s">
        <v>17</v>
      </c>
    </row>
    <row r="3535" spans="1:5" x14ac:dyDescent="0.3">
      <c r="A3535" t="str">
        <f t="shared" si="55"/>
        <v>0320874</v>
      </c>
      <c r="B3535" s="101" t="s">
        <v>16</v>
      </c>
      <c r="C3535" s="101" t="s">
        <v>168</v>
      </c>
      <c r="D3535" s="101" t="s">
        <v>567</v>
      </c>
      <c r="E3535" s="101" t="s">
        <v>17</v>
      </c>
    </row>
    <row r="3536" spans="1:5" x14ac:dyDescent="0.3">
      <c r="A3536" t="str">
        <f t="shared" si="55"/>
        <v>0420046</v>
      </c>
      <c r="B3536" s="101" t="s">
        <v>18</v>
      </c>
      <c r="C3536" s="101" t="s">
        <v>168</v>
      </c>
      <c r="D3536" s="101" t="s">
        <v>455</v>
      </c>
      <c r="E3536" s="101" t="s">
        <v>17</v>
      </c>
    </row>
    <row r="3537" spans="1:5" x14ac:dyDescent="0.3">
      <c r="A3537" t="str">
        <f t="shared" si="55"/>
        <v>0310123</v>
      </c>
      <c r="B3537" s="101" t="s">
        <v>16</v>
      </c>
      <c r="C3537" s="101" t="s">
        <v>143</v>
      </c>
      <c r="D3537" s="101" t="s">
        <v>252</v>
      </c>
      <c r="E3537" s="101" t="s">
        <v>139</v>
      </c>
    </row>
    <row r="3538" spans="1:5" x14ac:dyDescent="0.3">
      <c r="A3538" t="str">
        <f t="shared" si="55"/>
        <v>0420132</v>
      </c>
      <c r="B3538" s="101" t="s">
        <v>18</v>
      </c>
      <c r="C3538" s="101" t="s">
        <v>168</v>
      </c>
      <c r="D3538" s="101" t="s">
        <v>255</v>
      </c>
      <c r="E3538" s="101" t="s">
        <v>140</v>
      </c>
    </row>
    <row r="3539" spans="1:5" x14ac:dyDescent="0.3">
      <c r="A3539" t="str">
        <f t="shared" si="55"/>
        <v>0612874</v>
      </c>
      <c r="B3539" s="101" t="s">
        <v>317</v>
      </c>
      <c r="C3539" s="101" t="s">
        <v>152</v>
      </c>
      <c r="D3539" s="101" t="s">
        <v>567</v>
      </c>
      <c r="E3539" s="101" t="s">
        <v>17</v>
      </c>
    </row>
    <row r="3540" spans="1:5" x14ac:dyDescent="0.3">
      <c r="A3540" t="str">
        <f t="shared" si="55"/>
        <v>0420807</v>
      </c>
      <c r="B3540" s="101" t="s">
        <v>18</v>
      </c>
      <c r="C3540" s="101" t="s">
        <v>168</v>
      </c>
      <c r="D3540" s="101" t="s">
        <v>185</v>
      </c>
      <c r="E3540" s="101" t="s">
        <v>17</v>
      </c>
    </row>
    <row r="3541" spans="1:5" x14ac:dyDescent="0.3">
      <c r="A3541" t="str">
        <f t="shared" si="55"/>
        <v>0520817</v>
      </c>
      <c r="B3541" s="101" t="s">
        <v>313</v>
      </c>
      <c r="C3541" s="101" t="s">
        <v>168</v>
      </c>
      <c r="D3541" s="101" t="s">
        <v>338</v>
      </c>
      <c r="E3541" s="101" t="s">
        <v>17</v>
      </c>
    </row>
    <row r="3542" spans="1:5" x14ac:dyDescent="0.3">
      <c r="A3542" t="str">
        <f t="shared" si="55"/>
        <v>0620816</v>
      </c>
      <c r="B3542" s="101" t="s">
        <v>317</v>
      </c>
      <c r="C3542" s="101" t="s">
        <v>168</v>
      </c>
      <c r="D3542" s="101" t="s">
        <v>336</v>
      </c>
      <c r="E3542" s="101" t="s">
        <v>17</v>
      </c>
    </row>
    <row r="3543" spans="1:5" x14ac:dyDescent="0.3">
      <c r="A3543" t="str">
        <f t="shared" si="55"/>
        <v>0620873</v>
      </c>
      <c r="B3543" s="101" t="s">
        <v>317</v>
      </c>
      <c r="C3543" s="101" t="s">
        <v>168</v>
      </c>
      <c r="D3543" s="101" t="s">
        <v>566</v>
      </c>
      <c r="E3543" s="101" t="s">
        <v>139</v>
      </c>
    </row>
    <row r="3544" spans="1:5" x14ac:dyDescent="0.3">
      <c r="A3544" t="str">
        <f t="shared" si="55"/>
        <v>0720873</v>
      </c>
      <c r="B3544" s="101" t="s">
        <v>319</v>
      </c>
      <c r="C3544" s="101" t="s">
        <v>168</v>
      </c>
      <c r="D3544" s="101" t="s">
        <v>566</v>
      </c>
      <c r="E3544" s="101" t="s">
        <v>139</v>
      </c>
    </row>
    <row r="3545" spans="1:5" x14ac:dyDescent="0.3">
      <c r="A3545" t="str">
        <f t="shared" si="55"/>
        <v>0820817</v>
      </c>
      <c r="B3545" s="101" t="s">
        <v>320</v>
      </c>
      <c r="C3545" s="101" t="s">
        <v>168</v>
      </c>
      <c r="D3545" s="101" t="s">
        <v>338</v>
      </c>
      <c r="E3545" s="101" t="s">
        <v>17</v>
      </c>
    </row>
    <row r="3546" spans="1:5" x14ac:dyDescent="0.3">
      <c r="A3546" t="str">
        <f t="shared" si="55"/>
        <v>0820873</v>
      </c>
      <c r="B3546" s="101" t="s">
        <v>320</v>
      </c>
      <c r="C3546" s="101" t="s">
        <v>168</v>
      </c>
      <c r="D3546" s="101" t="s">
        <v>566</v>
      </c>
      <c r="E3546" s="101" t="s">
        <v>139</v>
      </c>
    </row>
    <row r="3547" spans="1:5" x14ac:dyDescent="0.3">
      <c r="A3547" t="str">
        <f t="shared" si="55"/>
        <v>0221102</v>
      </c>
      <c r="B3547" s="101" t="s">
        <v>639</v>
      </c>
      <c r="C3547" s="101" t="s">
        <v>170</v>
      </c>
      <c r="D3547" s="101" t="s">
        <v>232</v>
      </c>
      <c r="E3547" s="101" t="s">
        <v>17</v>
      </c>
    </row>
    <row r="3548" spans="1:5" x14ac:dyDescent="0.3">
      <c r="A3548" t="str">
        <f t="shared" si="55"/>
        <v>0221194</v>
      </c>
      <c r="B3548" s="101" t="s">
        <v>639</v>
      </c>
      <c r="C3548" s="101" t="s">
        <v>170</v>
      </c>
      <c r="D3548" s="101" t="s">
        <v>183</v>
      </c>
      <c r="E3548" s="101" t="s">
        <v>17</v>
      </c>
    </row>
    <row r="3549" spans="1:5" x14ac:dyDescent="0.3">
      <c r="A3549" t="str">
        <f t="shared" si="55"/>
        <v>0221809</v>
      </c>
      <c r="B3549" s="101" t="s">
        <v>639</v>
      </c>
      <c r="C3549" s="101" t="s">
        <v>170</v>
      </c>
      <c r="D3549" s="101" t="s">
        <v>187</v>
      </c>
      <c r="E3549" s="101" t="s">
        <v>17</v>
      </c>
    </row>
    <row r="3550" spans="1:5" x14ac:dyDescent="0.3">
      <c r="A3550" t="str">
        <f t="shared" si="55"/>
        <v>0321223</v>
      </c>
      <c r="B3550" s="101" t="s">
        <v>16</v>
      </c>
      <c r="C3550" s="101" t="s">
        <v>170</v>
      </c>
      <c r="D3550" s="101" t="s">
        <v>312</v>
      </c>
      <c r="E3550" s="101" t="s">
        <v>19</v>
      </c>
    </row>
    <row r="3551" spans="1:5" x14ac:dyDescent="0.3">
      <c r="A3551" t="str">
        <f t="shared" si="55"/>
        <v>0321603</v>
      </c>
      <c r="B3551" s="101" t="s">
        <v>16</v>
      </c>
      <c r="C3551" s="101" t="s">
        <v>170</v>
      </c>
      <c r="D3551" s="101" t="s">
        <v>462</v>
      </c>
      <c r="E3551" s="101" t="s">
        <v>17</v>
      </c>
    </row>
    <row r="3552" spans="1:5" x14ac:dyDescent="0.3">
      <c r="A3552" t="str">
        <f t="shared" si="55"/>
        <v>0321742</v>
      </c>
      <c r="B3552" s="101" t="s">
        <v>16</v>
      </c>
      <c r="C3552" s="101" t="s">
        <v>170</v>
      </c>
      <c r="D3552" s="101" t="s">
        <v>536</v>
      </c>
      <c r="E3552" s="101" t="s">
        <v>19</v>
      </c>
    </row>
    <row r="3553" spans="1:5" x14ac:dyDescent="0.3">
      <c r="A3553" t="str">
        <f t="shared" si="55"/>
        <v>0421107</v>
      </c>
      <c r="B3553" s="101" t="s">
        <v>18</v>
      </c>
      <c r="C3553" s="101" t="s">
        <v>170</v>
      </c>
      <c r="D3553" s="101" t="s">
        <v>237</v>
      </c>
      <c r="E3553" s="101" t="s">
        <v>19</v>
      </c>
    </row>
    <row r="3554" spans="1:5" x14ac:dyDescent="0.3">
      <c r="A3554" t="str">
        <f t="shared" si="55"/>
        <v>0421123</v>
      </c>
      <c r="B3554" s="101" t="s">
        <v>18</v>
      </c>
      <c r="C3554" s="101" t="s">
        <v>170</v>
      </c>
      <c r="D3554" s="101" t="s">
        <v>252</v>
      </c>
      <c r="E3554" s="101" t="s">
        <v>17</v>
      </c>
    </row>
    <row r="3555" spans="1:5" x14ac:dyDescent="0.3">
      <c r="A3555" t="str">
        <f t="shared" si="55"/>
        <v>0421817</v>
      </c>
      <c r="B3555" s="101" t="s">
        <v>18</v>
      </c>
      <c r="C3555" s="101" t="s">
        <v>170</v>
      </c>
      <c r="D3555" s="101" t="s">
        <v>338</v>
      </c>
      <c r="E3555" s="101" t="s">
        <v>17</v>
      </c>
    </row>
    <row r="3556" spans="1:5" x14ac:dyDescent="0.3">
      <c r="A3556" t="str">
        <f t="shared" si="55"/>
        <v>0421829</v>
      </c>
      <c r="B3556" s="101" t="s">
        <v>18</v>
      </c>
      <c r="C3556" s="101" t="s">
        <v>170</v>
      </c>
      <c r="D3556" s="101" t="s">
        <v>372</v>
      </c>
      <c r="E3556" s="101" t="s">
        <v>140</v>
      </c>
    </row>
    <row r="3557" spans="1:5" x14ac:dyDescent="0.3">
      <c r="A3557" t="str">
        <f t="shared" si="55"/>
        <v>0521808</v>
      </c>
      <c r="B3557" s="101" t="s">
        <v>313</v>
      </c>
      <c r="C3557" s="101" t="s">
        <v>170</v>
      </c>
      <c r="D3557" s="101" t="s">
        <v>186</v>
      </c>
      <c r="E3557" s="101" t="s">
        <v>17</v>
      </c>
    </row>
    <row r="3558" spans="1:5" x14ac:dyDescent="0.3">
      <c r="A3558" t="str">
        <f t="shared" si="55"/>
        <v>0721874</v>
      </c>
      <c r="B3558" s="101" t="s">
        <v>319</v>
      </c>
      <c r="C3558" s="101" t="s">
        <v>170</v>
      </c>
      <c r="D3558" s="101" t="s">
        <v>567</v>
      </c>
      <c r="E3558" s="101" t="s">
        <v>17</v>
      </c>
    </row>
    <row r="3559" spans="1:5" x14ac:dyDescent="0.3">
      <c r="A3559" t="str">
        <f t="shared" si="55"/>
        <v>0122500</v>
      </c>
      <c r="B3559" s="101" t="s">
        <v>640</v>
      </c>
      <c r="C3559" s="101" t="s">
        <v>172</v>
      </c>
      <c r="D3559" s="101" t="s">
        <v>146</v>
      </c>
      <c r="E3559" s="101" t="s">
        <v>139</v>
      </c>
    </row>
    <row r="3560" spans="1:5" x14ac:dyDescent="0.3">
      <c r="A3560" t="str">
        <f t="shared" si="55"/>
        <v>0122802</v>
      </c>
      <c r="B3560" s="101" t="s">
        <v>640</v>
      </c>
      <c r="C3560" s="101" t="s">
        <v>172</v>
      </c>
      <c r="D3560" s="101" t="s">
        <v>145</v>
      </c>
      <c r="E3560" s="101" t="s">
        <v>139</v>
      </c>
    </row>
    <row r="3561" spans="1:5" x14ac:dyDescent="0.3">
      <c r="A3561" t="str">
        <f t="shared" si="55"/>
        <v>0222021</v>
      </c>
      <c r="B3561" s="101" t="s">
        <v>639</v>
      </c>
      <c r="C3561" s="101" t="s">
        <v>172</v>
      </c>
      <c r="D3561" s="101" t="s">
        <v>477</v>
      </c>
      <c r="E3561" s="101" t="s">
        <v>17</v>
      </c>
    </row>
    <row r="3562" spans="1:5" x14ac:dyDescent="0.3">
      <c r="A3562" t="str">
        <f t="shared" si="55"/>
        <v>0222038</v>
      </c>
      <c r="B3562" s="101" t="s">
        <v>639</v>
      </c>
      <c r="C3562" s="101" t="s">
        <v>172</v>
      </c>
      <c r="D3562" s="101" t="s">
        <v>581</v>
      </c>
      <c r="E3562" s="101" t="s">
        <v>17</v>
      </c>
    </row>
    <row r="3563" spans="1:5" x14ac:dyDescent="0.3">
      <c r="A3563" t="str">
        <f t="shared" si="55"/>
        <v>0222039</v>
      </c>
      <c r="B3563" s="101" t="s">
        <v>639</v>
      </c>
      <c r="C3563" s="101" t="s">
        <v>172</v>
      </c>
      <c r="D3563" s="101" t="s">
        <v>582</v>
      </c>
      <c r="E3563" s="101" t="s">
        <v>17</v>
      </c>
    </row>
    <row r="3564" spans="1:5" x14ac:dyDescent="0.3">
      <c r="A3564" t="str">
        <f t="shared" si="55"/>
        <v>0222041</v>
      </c>
      <c r="B3564" s="101" t="s">
        <v>639</v>
      </c>
      <c r="C3564" s="101" t="s">
        <v>172</v>
      </c>
      <c r="D3564" s="101" t="s">
        <v>583</v>
      </c>
      <c r="E3564" s="101" t="s">
        <v>17</v>
      </c>
    </row>
    <row r="3565" spans="1:5" x14ac:dyDescent="0.3">
      <c r="A3565" t="str">
        <f t="shared" si="55"/>
        <v>0222811</v>
      </c>
      <c r="B3565" s="101" t="s">
        <v>639</v>
      </c>
      <c r="C3565" s="101" t="s">
        <v>172</v>
      </c>
      <c r="D3565" s="101" t="s">
        <v>189</v>
      </c>
      <c r="E3565" s="101" t="s">
        <v>17</v>
      </c>
    </row>
    <row r="3566" spans="1:5" x14ac:dyDescent="0.3">
      <c r="A3566" t="str">
        <f t="shared" si="55"/>
        <v>0222818</v>
      </c>
      <c r="B3566" s="101" t="s">
        <v>639</v>
      </c>
      <c r="C3566" s="101" t="s">
        <v>172</v>
      </c>
      <c r="D3566" s="101" t="s">
        <v>546</v>
      </c>
      <c r="E3566" s="101" t="s">
        <v>17</v>
      </c>
    </row>
    <row r="3567" spans="1:5" x14ac:dyDescent="0.3">
      <c r="A3567" t="str">
        <f t="shared" si="55"/>
        <v>0322800</v>
      </c>
      <c r="B3567" s="101" t="s">
        <v>16</v>
      </c>
      <c r="C3567" s="101" t="s">
        <v>172</v>
      </c>
      <c r="D3567" s="101" t="s">
        <v>539</v>
      </c>
      <c r="E3567" s="101" t="s">
        <v>139</v>
      </c>
    </row>
    <row r="3568" spans="1:5" x14ac:dyDescent="0.3">
      <c r="A3568" t="str">
        <f t="shared" si="55"/>
        <v>0322874</v>
      </c>
      <c r="B3568" s="101" t="s">
        <v>16</v>
      </c>
      <c r="C3568" s="101" t="s">
        <v>172</v>
      </c>
      <c r="D3568" s="101" t="s">
        <v>567</v>
      </c>
      <c r="E3568" s="101" t="s">
        <v>17</v>
      </c>
    </row>
    <row r="3569" spans="1:5" x14ac:dyDescent="0.3">
      <c r="A3569" t="str">
        <f t="shared" si="55"/>
        <v>0422123</v>
      </c>
      <c r="B3569" s="101" t="s">
        <v>18</v>
      </c>
      <c r="C3569" s="101" t="s">
        <v>172</v>
      </c>
      <c r="D3569" s="101" t="s">
        <v>252</v>
      </c>
      <c r="E3569" s="101" t="s">
        <v>140</v>
      </c>
    </row>
    <row r="3570" spans="1:5" x14ac:dyDescent="0.3">
      <c r="A3570" t="str">
        <f t="shared" si="55"/>
        <v>0422537</v>
      </c>
      <c r="B3570" s="101" t="s">
        <v>18</v>
      </c>
      <c r="C3570" s="101" t="s">
        <v>172</v>
      </c>
      <c r="D3570" s="101" t="s">
        <v>395</v>
      </c>
      <c r="E3570" s="101" t="s">
        <v>139</v>
      </c>
    </row>
    <row r="3571" spans="1:5" x14ac:dyDescent="0.3">
      <c r="A3571" t="str">
        <f t="shared" si="55"/>
        <v>0422552</v>
      </c>
      <c r="B3571" s="101" t="s">
        <v>18</v>
      </c>
      <c r="C3571" s="101" t="s">
        <v>172</v>
      </c>
      <c r="D3571" s="101" t="s">
        <v>374</v>
      </c>
      <c r="E3571" s="101" t="s">
        <v>17</v>
      </c>
    </row>
    <row r="3572" spans="1:5" x14ac:dyDescent="0.3">
      <c r="A3572" t="str">
        <f t="shared" si="55"/>
        <v>0422563</v>
      </c>
      <c r="B3572" s="101" t="s">
        <v>18</v>
      </c>
      <c r="C3572" s="101" t="s">
        <v>172</v>
      </c>
      <c r="D3572" s="101" t="s">
        <v>422</v>
      </c>
      <c r="E3572" s="101" t="s">
        <v>17</v>
      </c>
    </row>
    <row r="3573" spans="1:5" x14ac:dyDescent="0.3">
      <c r="A3573" t="str">
        <f t="shared" si="55"/>
        <v>0422890</v>
      </c>
      <c r="B3573" s="101" t="s">
        <v>18</v>
      </c>
      <c r="C3573" s="101" t="s">
        <v>172</v>
      </c>
      <c r="D3573" s="101" t="s">
        <v>568</v>
      </c>
      <c r="E3573" s="101" t="s">
        <v>17</v>
      </c>
    </row>
    <row r="3574" spans="1:5" x14ac:dyDescent="0.3">
      <c r="A3574" t="str">
        <f t="shared" si="55"/>
        <v>0822873</v>
      </c>
      <c r="B3574" s="101" t="s">
        <v>320</v>
      </c>
      <c r="C3574" s="101" t="s">
        <v>172</v>
      </c>
      <c r="D3574" s="101" t="s">
        <v>566</v>
      </c>
      <c r="E3574" s="101" t="s">
        <v>139</v>
      </c>
    </row>
    <row r="3575" spans="1:5" x14ac:dyDescent="0.3">
      <c r="A3575" t="str">
        <f t="shared" si="55"/>
        <v>0123111</v>
      </c>
      <c r="B3575" s="101" t="s">
        <v>640</v>
      </c>
      <c r="C3575" s="101" t="s">
        <v>174</v>
      </c>
      <c r="D3575" s="101" t="s">
        <v>241</v>
      </c>
      <c r="E3575" s="101" t="s">
        <v>139</v>
      </c>
    </row>
    <row r="3576" spans="1:5" x14ac:dyDescent="0.3">
      <c r="A3576" t="str">
        <f t="shared" si="55"/>
        <v>0223520</v>
      </c>
      <c r="B3576" s="101" t="s">
        <v>639</v>
      </c>
      <c r="C3576" s="101" t="s">
        <v>174</v>
      </c>
      <c r="D3576" s="101" t="s">
        <v>404</v>
      </c>
      <c r="E3576" s="101" t="s">
        <v>140</v>
      </c>
    </row>
    <row r="3577" spans="1:5" x14ac:dyDescent="0.3">
      <c r="A3577" t="str">
        <f t="shared" si="55"/>
        <v>0711874</v>
      </c>
      <c r="B3577" s="101" t="s">
        <v>319</v>
      </c>
      <c r="C3577" s="101" t="s">
        <v>150</v>
      </c>
      <c r="D3577" s="101" t="s">
        <v>567</v>
      </c>
      <c r="E3577" s="101" t="s">
        <v>17</v>
      </c>
    </row>
    <row r="3578" spans="1:5" x14ac:dyDescent="0.3">
      <c r="A3578" t="str">
        <f t="shared" si="55"/>
        <v>0223815</v>
      </c>
      <c r="B3578" s="101" t="s">
        <v>639</v>
      </c>
      <c r="C3578" s="101" t="s">
        <v>174</v>
      </c>
      <c r="D3578" s="101" t="s">
        <v>335</v>
      </c>
      <c r="E3578" s="101" t="s">
        <v>17</v>
      </c>
    </row>
    <row r="3579" spans="1:5" x14ac:dyDescent="0.3">
      <c r="A3579" t="str">
        <f t="shared" si="55"/>
        <v>0223829</v>
      </c>
      <c r="B3579" s="101" t="s">
        <v>639</v>
      </c>
      <c r="C3579" s="101" t="s">
        <v>174</v>
      </c>
      <c r="D3579" s="101" t="s">
        <v>372</v>
      </c>
      <c r="E3579" s="101" t="s">
        <v>140</v>
      </c>
    </row>
    <row r="3580" spans="1:5" x14ac:dyDescent="0.3">
      <c r="A3580" t="str">
        <f t="shared" si="55"/>
        <v>0323800</v>
      </c>
      <c r="B3580" s="101" t="s">
        <v>16</v>
      </c>
      <c r="C3580" s="101" t="s">
        <v>174</v>
      </c>
      <c r="D3580" s="101" t="s">
        <v>539</v>
      </c>
      <c r="E3580" s="101" t="s">
        <v>139</v>
      </c>
    </row>
    <row r="3581" spans="1:5" x14ac:dyDescent="0.3">
      <c r="A3581" t="str">
        <f t="shared" si="55"/>
        <v>0323837</v>
      </c>
      <c r="B3581" s="101" t="s">
        <v>16</v>
      </c>
      <c r="C3581" s="101" t="s">
        <v>174</v>
      </c>
      <c r="D3581" s="101" t="s">
        <v>557</v>
      </c>
      <c r="E3581" s="101" t="s">
        <v>139</v>
      </c>
    </row>
    <row r="3582" spans="1:5" x14ac:dyDescent="0.3">
      <c r="A3582" t="str">
        <f t="shared" si="55"/>
        <v>0423045</v>
      </c>
      <c r="B3582" s="101" t="s">
        <v>18</v>
      </c>
      <c r="C3582" s="101" t="s">
        <v>174</v>
      </c>
      <c r="D3582" s="101" t="s">
        <v>453</v>
      </c>
      <c r="E3582" s="101" t="s">
        <v>17</v>
      </c>
    </row>
    <row r="3583" spans="1:5" x14ac:dyDescent="0.3">
      <c r="A3583" t="str">
        <f t="shared" si="55"/>
        <v>0423808</v>
      </c>
      <c r="B3583" s="101" t="s">
        <v>18</v>
      </c>
      <c r="C3583" s="101" t="s">
        <v>174</v>
      </c>
      <c r="D3583" s="101" t="s">
        <v>186</v>
      </c>
      <c r="E3583" s="101" t="s">
        <v>17</v>
      </c>
    </row>
    <row r="3584" spans="1:5" x14ac:dyDescent="0.3">
      <c r="A3584" t="str">
        <f t="shared" si="55"/>
        <v>0523811</v>
      </c>
      <c r="B3584" s="101" t="s">
        <v>313</v>
      </c>
      <c r="C3584" s="101" t="s">
        <v>174</v>
      </c>
      <c r="D3584" s="101" t="s">
        <v>189</v>
      </c>
      <c r="E3584" s="101" t="s">
        <v>17</v>
      </c>
    </row>
    <row r="3585" spans="1:6" x14ac:dyDescent="0.3">
      <c r="A3585" t="str">
        <f t="shared" si="55"/>
        <v>0623873</v>
      </c>
      <c r="B3585" s="101" t="s">
        <v>317</v>
      </c>
      <c r="C3585" s="101" t="s">
        <v>174</v>
      </c>
      <c r="D3585" s="101" t="s">
        <v>566</v>
      </c>
      <c r="E3585" s="101" t="s">
        <v>139</v>
      </c>
    </row>
    <row r="3586" spans="1:6" x14ac:dyDescent="0.3">
      <c r="A3586" t="str">
        <f t="shared" si="55"/>
        <v>0723811</v>
      </c>
      <c r="B3586" s="101" t="s">
        <v>319</v>
      </c>
      <c r="C3586" s="101" t="s">
        <v>174</v>
      </c>
      <c r="D3586" s="101" t="s">
        <v>189</v>
      </c>
      <c r="E3586" s="101" t="s">
        <v>17</v>
      </c>
    </row>
    <row r="3587" spans="1:6" x14ac:dyDescent="0.3">
      <c r="A3587" t="str">
        <f t="shared" ref="A3587:A3650" si="56">CONCATENATE(B3587,C3587,D3587,F3587)</f>
        <v>0823812</v>
      </c>
      <c r="B3587" s="101" t="s">
        <v>320</v>
      </c>
      <c r="C3587" s="101" t="s">
        <v>174</v>
      </c>
      <c r="D3587" s="101" t="s">
        <v>190</v>
      </c>
      <c r="E3587" s="101" t="s">
        <v>17</v>
      </c>
    </row>
    <row r="3588" spans="1:6" x14ac:dyDescent="0.3">
      <c r="A3588" t="str">
        <f t="shared" si="56"/>
        <v>0420123</v>
      </c>
      <c r="B3588" s="101" t="s">
        <v>18</v>
      </c>
      <c r="C3588" s="101" t="s">
        <v>168</v>
      </c>
      <c r="D3588" s="101" t="s">
        <v>252</v>
      </c>
      <c r="E3588" s="101" t="s">
        <v>17</v>
      </c>
    </row>
    <row r="3589" spans="1:6" x14ac:dyDescent="0.3">
      <c r="A3589" t="str">
        <f t="shared" si="56"/>
        <v>0324801</v>
      </c>
      <c r="B3589" s="101" t="s">
        <v>16</v>
      </c>
      <c r="C3589" s="101" t="s">
        <v>176</v>
      </c>
      <c r="D3589" s="101" t="s">
        <v>144</v>
      </c>
      <c r="E3589" s="101" t="s">
        <v>139</v>
      </c>
    </row>
    <row r="3590" spans="1:6" x14ac:dyDescent="0.3">
      <c r="A3590" t="str">
        <f t="shared" si="56"/>
        <v>0325801</v>
      </c>
      <c r="B3590" s="101" t="s">
        <v>16</v>
      </c>
      <c r="C3590" s="101" t="s">
        <v>178</v>
      </c>
      <c r="D3590" s="101" t="s">
        <v>144</v>
      </c>
      <c r="E3590" s="101" t="s">
        <v>139</v>
      </c>
    </row>
    <row r="3591" spans="1:6" x14ac:dyDescent="0.3">
      <c r="A3591" t="str">
        <f t="shared" si="56"/>
        <v>0425801</v>
      </c>
      <c r="B3591" s="101" t="s">
        <v>18</v>
      </c>
      <c r="C3591" s="101" t="s">
        <v>178</v>
      </c>
      <c r="D3591" s="101" t="s">
        <v>144</v>
      </c>
      <c r="E3591" s="101" t="s">
        <v>139</v>
      </c>
    </row>
    <row r="3592" spans="1:6" x14ac:dyDescent="0.3">
      <c r="A3592" t="str">
        <f t="shared" si="56"/>
        <v>0525801</v>
      </c>
      <c r="B3592" s="101" t="s">
        <v>313</v>
      </c>
      <c r="C3592" s="101" t="s">
        <v>178</v>
      </c>
      <c r="D3592" s="101" t="s">
        <v>144</v>
      </c>
      <c r="E3592" s="101" t="s">
        <v>139</v>
      </c>
    </row>
    <row r="3593" spans="1:6" x14ac:dyDescent="0.3">
      <c r="A3593" t="str">
        <f t="shared" si="56"/>
        <v>0126801</v>
      </c>
      <c r="B3593" s="101" t="s">
        <v>640</v>
      </c>
      <c r="C3593" s="101" t="s">
        <v>180</v>
      </c>
      <c r="D3593" s="101" t="s">
        <v>144</v>
      </c>
      <c r="E3593" s="101" t="s">
        <v>139</v>
      </c>
    </row>
    <row r="3594" spans="1:6" x14ac:dyDescent="0.3">
      <c r="A3594" t="str">
        <f t="shared" si="56"/>
        <v>0326801</v>
      </c>
      <c r="B3594" s="101" t="s">
        <v>16</v>
      </c>
      <c r="C3594" s="101" t="s">
        <v>180</v>
      </c>
      <c r="D3594" s="101" t="s">
        <v>144</v>
      </c>
      <c r="E3594" s="101" t="s">
        <v>139</v>
      </c>
    </row>
    <row r="3595" spans="1:6" x14ac:dyDescent="0.3">
      <c r="A3595" t="str">
        <f t="shared" si="56"/>
        <v>0327801</v>
      </c>
      <c r="B3595" s="101" t="s">
        <v>16</v>
      </c>
      <c r="C3595" s="101" t="s">
        <v>182</v>
      </c>
      <c r="D3595" s="101" t="s">
        <v>144</v>
      </c>
      <c r="E3595" s="101" t="s">
        <v>139</v>
      </c>
    </row>
    <row r="3596" spans="1:6" x14ac:dyDescent="0.3">
      <c r="A3596" t="str">
        <f t="shared" si="56"/>
        <v>0427811</v>
      </c>
      <c r="B3596" s="101" t="s">
        <v>18</v>
      </c>
      <c r="C3596" s="101" t="s">
        <v>182</v>
      </c>
      <c r="D3596" s="101" t="s">
        <v>189</v>
      </c>
      <c r="E3596" s="101" t="s">
        <v>17</v>
      </c>
    </row>
    <row r="3597" spans="1:6" x14ac:dyDescent="0.3">
      <c r="A3597" t="str">
        <f t="shared" si="56"/>
        <v>0427820</v>
      </c>
      <c r="B3597" s="101" t="s">
        <v>18</v>
      </c>
      <c r="C3597" s="101" t="s">
        <v>182</v>
      </c>
      <c r="D3597" s="101" t="s">
        <v>548</v>
      </c>
      <c r="E3597" s="101" t="s">
        <v>17</v>
      </c>
    </row>
    <row r="3598" spans="1:6" x14ac:dyDescent="0.3">
      <c r="A3598" t="str">
        <f t="shared" si="56"/>
        <v>0210207007</v>
      </c>
      <c r="B3598" s="101" t="s">
        <v>639</v>
      </c>
      <c r="C3598" s="101" t="s">
        <v>143</v>
      </c>
      <c r="D3598" s="101" t="s">
        <v>305</v>
      </c>
      <c r="E3598" s="101" t="s">
        <v>17</v>
      </c>
      <c r="F3598" s="101" t="s">
        <v>401</v>
      </c>
    </row>
    <row r="3599" spans="1:6" x14ac:dyDescent="0.3">
      <c r="A3599" t="str">
        <f t="shared" si="56"/>
        <v>0210203007</v>
      </c>
      <c r="B3599" s="101" t="s">
        <v>639</v>
      </c>
      <c r="C3599" s="101" t="s">
        <v>143</v>
      </c>
      <c r="D3599" s="101" t="s">
        <v>303</v>
      </c>
      <c r="E3599" s="101" t="s">
        <v>17</v>
      </c>
      <c r="F3599" s="101" t="s">
        <v>401</v>
      </c>
    </row>
    <row r="3600" spans="1:6" x14ac:dyDescent="0.3">
      <c r="A3600" t="str">
        <f t="shared" si="56"/>
        <v>0211831003</v>
      </c>
      <c r="B3600" s="101" t="s">
        <v>639</v>
      </c>
      <c r="C3600" s="101" t="s">
        <v>150</v>
      </c>
      <c r="D3600" s="101" t="s">
        <v>341</v>
      </c>
      <c r="E3600" s="101" t="s">
        <v>17</v>
      </c>
      <c r="F3600" s="101" t="s">
        <v>597</v>
      </c>
    </row>
    <row r="3601" spans="1:6" x14ac:dyDescent="0.3">
      <c r="A3601" t="str">
        <f t="shared" si="56"/>
        <v>0211808003</v>
      </c>
      <c r="B3601" s="101" t="s">
        <v>639</v>
      </c>
      <c r="C3601" s="101" t="s">
        <v>150</v>
      </c>
      <c r="D3601" s="101" t="s">
        <v>186</v>
      </c>
      <c r="E3601" s="101" t="s">
        <v>17</v>
      </c>
      <c r="F3601" s="101" t="s">
        <v>597</v>
      </c>
    </row>
    <row r="3602" spans="1:6" x14ac:dyDescent="0.3">
      <c r="A3602" t="str">
        <f t="shared" si="56"/>
        <v>0111015001</v>
      </c>
      <c r="B3602" s="101" t="s">
        <v>640</v>
      </c>
      <c r="C3602" s="101" t="s">
        <v>150</v>
      </c>
      <c r="D3602" s="101" t="s">
        <v>321</v>
      </c>
      <c r="E3602" s="101" t="s">
        <v>139</v>
      </c>
      <c r="F3602" s="101" t="s">
        <v>549</v>
      </c>
    </row>
    <row r="3603" spans="1:6" x14ac:dyDescent="0.3">
      <c r="A3603" t="str">
        <f t="shared" si="56"/>
        <v>0112835902</v>
      </c>
      <c r="B3603" s="101" t="s">
        <v>640</v>
      </c>
      <c r="C3603" s="101" t="s">
        <v>152</v>
      </c>
      <c r="D3603" s="101" t="s">
        <v>555</v>
      </c>
      <c r="E3603" s="101" t="s">
        <v>139</v>
      </c>
      <c r="F3603" s="101" t="s">
        <v>574</v>
      </c>
    </row>
    <row r="3604" spans="1:6" x14ac:dyDescent="0.3">
      <c r="A3604" t="str">
        <f t="shared" si="56"/>
        <v>0113835102</v>
      </c>
      <c r="B3604" s="101" t="s">
        <v>640</v>
      </c>
      <c r="C3604" s="101" t="s">
        <v>154</v>
      </c>
      <c r="D3604" s="101" t="s">
        <v>555</v>
      </c>
      <c r="E3604" s="101" t="s">
        <v>139</v>
      </c>
      <c r="F3604" s="101" t="s">
        <v>232</v>
      </c>
    </row>
    <row r="3605" spans="1:6" x14ac:dyDescent="0.3">
      <c r="A3605" t="str">
        <f t="shared" si="56"/>
        <v>0213002112</v>
      </c>
      <c r="B3605" s="101" t="s">
        <v>639</v>
      </c>
      <c r="C3605" s="101" t="s">
        <v>154</v>
      </c>
      <c r="D3605" s="101" t="s">
        <v>596</v>
      </c>
      <c r="E3605" s="101" t="s">
        <v>17</v>
      </c>
      <c r="F3605" s="101" t="s">
        <v>242</v>
      </c>
    </row>
    <row r="3606" spans="1:6" x14ac:dyDescent="0.3">
      <c r="A3606" t="str">
        <f t="shared" si="56"/>
        <v>0213890112</v>
      </c>
      <c r="B3606" s="101" t="s">
        <v>639</v>
      </c>
      <c r="C3606" s="101" t="s">
        <v>154</v>
      </c>
      <c r="D3606" s="101" t="s">
        <v>568</v>
      </c>
      <c r="E3606" s="101" t="s">
        <v>17</v>
      </c>
      <c r="F3606" s="101" t="s">
        <v>242</v>
      </c>
    </row>
    <row r="3607" spans="1:6" x14ac:dyDescent="0.3">
      <c r="A3607" t="str">
        <f t="shared" si="56"/>
        <v>0114811001</v>
      </c>
      <c r="B3607" s="101" t="s">
        <v>640</v>
      </c>
      <c r="C3607" s="101" t="s">
        <v>156</v>
      </c>
      <c r="D3607" s="101" t="s">
        <v>189</v>
      </c>
      <c r="E3607" s="101" t="s">
        <v>17</v>
      </c>
      <c r="F3607" s="101" t="s">
        <v>549</v>
      </c>
    </row>
    <row r="3608" spans="1:6" x14ac:dyDescent="0.3">
      <c r="A3608" t="str">
        <f t="shared" si="56"/>
        <v>0114835001</v>
      </c>
      <c r="B3608" s="101" t="s">
        <v>640</v>
      </c>
      <c r="C3608" s="101" t="s">
        <v>156</v>
      </c>
      <c r="D3608" s="101" t="s">
        <v>555</v>
      </c>
      <c r="E3608" s="101" t="s">
        <v>139</v>
      </c>
      <c r="F3608" s="101" t="s">
        <v>549</v>
      </c>
    </row>
    <row r="3609" spans="1:6" x14ac:dyDescent="0.3">
      <c r="A3609" t="str">
        <f t="shared" si="56"/>
        <v>0114812001</v>
      </c>
      <c r="B3609" s="101" t="s">
        <v>640</v>
      </c>
      <c r="C3609" s="101" t="s">
        <v>156</v>
      </c>
      <c r="D3609" s="101" t="s">
        <v>190</v>
      </c>
      <c r="E3609" s="101" t="s">
        <v>17</v>
      </c>
      <c r="F3609" s="101" t="s">
        <v>549</v>
      </c>
    </row>
    <row r="3610" spans="1:6" x14ac:dyDescent="0.3">
      <c r="A3610" t="str">
        <f t="shared" si="56"/>
        <v>0316800631</v>
      </c>
      <c r="B3610" s="101" t="s">
        <v>16</v>
      </c>
      <c r="C3610" s="101" t="s">
        <v>160</v>
      </c>
      <c r="D3610" s="101" t="s">
        <v>539</v>
      </c>
      <c r="E3610" s="101" t="s">
        <v>139</v>
      </c>
      <c r="F3610" s="101" t="s">
        <v>219</v>
      </c>
    </row>
    <row r="3611" spans="1:6" x14ac:dyDescent="0.3">
      <c r="A3611" t="str">
        <f t="shared" si="56"/>
        <v>0116800511</v>
      </c>
      <c r="B3611" s="101" t="s">
        <v>640</v>
      </c>
      <c r="C3611" s="101" t="s">
        <v>160</v>
      </c>
      <c r="D3611" s="101" t="s">
        <v>539</v>
      </c>
      <c r="E3611" s="101" t="s">
        <v>139</v>
      </c>
      <c r="F3611" s="101" t="s">
        <v>386</v>
      </c>
    </row>
    <row r="3612" spans="1:6" x14ac:dyDescent="0.3">
      <c r="A3612" t="str">
        <f t="shared" si="56"/>
        <v>0219008100</v>
      </c>
      <c r="B3612" s="101" t="s">
        <v>639</v>
      </c>
      <c r="C3612" s="101" t="s">
        <v>166</v>
      </c>
      <c r="D3612" s="101" t="s">
        <v>405</v>
      </c>
      <c r="E3612" s="101" t="s">
        <v>17</v>
      </c>
      <c r="F3612" s="101" t="s">
        <v>222</v>
      </c>
    </row>
    <row r="3613" spans="1:6" x14ac:dyDescent="0.3">
      <c r="A3613" t="str">
        <f t="shared" si="56"/>
        <v>0319004320</v>
      </c>
      <c r="B3613" s="101" t="s">
        <v>16</v>
      </c>
      <c r="C3613" s="101" t="s">
        <v>166</v>
      </c>
      <c r="D3613" s="101" t="s">
        <v>598</v>
      </c>
      <c r="E3613" s="101" t="s">
        <v>17</v>
      </c>
      <c r="F3613" s="101" t="s">
        <v>366</v>
      </c>
    </row>
    <row r="3614" spans="1:6" x14ac:dyDescent="0.3">
      <c r="A3614" t="str">
        <f t="shared" si="56"/>
        <v>0219009100</v>
      </c>
      <c r="B3614" s="101" t="s">
        <v>639</v>
      </c>
      <c r="C3614" s="101" t="s">
        <v>166</v>
      </c>
      <c r="D3614" s="101" t="s">
        <v>406</v>
      </c>
      <c r="E3614" s="101" t="s">
        <v>17</v>
      </c>
      <c r="F3614" s="101" t="s">
        <v>222</v>
      </c>
    </row>
    <row r="3615" spans="1:6" x14ac:dyDescent="0.3">
      <c r="A3615" t="str">
        <f t="shared" si="56"/>
        <v>0119802300</v>
      </c>
      <c r="B3615" s="101" t="s">
        <v>640</v>
      </c>
      <c r="C3615" s="101" t="s">
        <v>166</v>
      </c>
      <c r="D3615" s="101" t="s">
        <v>145</v>
      </c>
      <c r="E3615" s="101" t="s">
        <v>139</v>
      </c>
      <c r="F3615" s="101" t="s">
        <v>356</v>
      </c>
    </row>
    <row r="3616" spans="1:6" x14ac:dyDescent="0.3">
      <c r="A3616" t="str">
        <f t="shared" si="56"/>
        <v>0320800126</v>
      </c>
      <c r="B3616" s="101" t="s">
        <v>16</v>
      </c>
      <c r="C3616" s="101" t="s">
        <v>168</v>
      </c>
      <c r="D3616" s="101" t="s">
        <v>539</v>
      </c>
      <c r="E3616" s="101" t="s">
        <v>139</v>
      </c>
      <c r="F3616" s="101" t="s">
        <v>151</v>
      </c>
    </row>
    <row r="3617" spans="1:6" x14ac:dyDescent="0.3">
      <c r="A3617" t="str">
        <f t="shared" si="56"/>
        <v>0220049106</v>
      </c>
      <c r="B3617" s="101" t="s">
        <v>639</v>
      </c>
      <c r="C3617" s="101" t="s">
        <v>168</v>
      </c>
      <c r="D3617" s="101" t="s">
        <v>606</v>
      </c>
      <c r="E3617" s="101" t="s">
        <v>17</v>
      </c>
      <c r="F3617" s="101" t="s">
        <v>236</v>
      </c>
    </row>
    <row r="3618" spans="1:6" x14ac:dyDescent="0.3">
      <c r="A3618" t="str">
        <f t="shared" si="56"/>
        <v>0221890101</v>
      </c>
      <c r="B3618" s="101" t="s">
        <v>639</v>
      </c>
      <c r="C3618" s="101" t="s">
        <v>170</v>
      </c>
      <c r="D3618" s="101" t="s">
        <v>568</v>
      </c>
      <c r="E3618" s="101" t="s">
        <v>17</v>
      </c>
      <c r="F3618" s="101" t="s">
        <v>223</v>
      </c>
    </row>
    <row r="3619" spans="1:6" x14ac:dyDescent="0.3">
      <c r="A3619" t="str">
        <f t="shared" si="56"/>
        <v>0123835100</v>
      </c>
      <c r="B3619" s="101" t="s">
        <v>640</v>
      </c>
      <c r="C3619" s="101" t="s">
        <v>174</v>
      </c>
      <c r="D3619" s="101" t="s">
        <v>555</v>
      </c>
      <c r="E3619" s="101" t="s">
        <v>139</v>
      </c>
      <c r="F3619" s="101" t="s">
        <v>222</v>
      </c>
    </row>
    <row r="3620" spans="1:6" x14ac:dyDescent="0.3">
      <c r="A3620" t="str">
        <f t="shared" si="56"/>
        <v>0210205007</v>
      </c>
      <c r="B3620" s="101" t="s">
        <v>639</v>
      </c>
      <c r="C3620" s="101" t="s">
        <v>143</v>
      </c>
      <c r="D3620" s="101" t="s">
        <v>304</v>
      </c>
      <c r="E3620" s="101" t="s">
        <v>17</v>
      </c>
      <c r="F3620" s="101" t="s">
        <v>401</v>
      </c>
    </row>
    <row r="3621" spans="1:6" x14ac:dyDescent="0.3">
      <c r="A3621" t="str">
        <f t="shared" si="56"/>
        <v>0210201007</v>
      </c>
      <c r="B3621" s="101" t="s">
        <v>639</v>
      </c>
      <c r="C3621" s="101" t="s">
        <v>143</v>
      </c>
      <c r="D3621" s="101" t="s">
        <v>302</v>
      </c>
      <c r="E3621" s="101" t="s">
        <v>17</v>
      </c>
      <c r="F3621" s="101" t="s">
        <v>401</v>
      </c>
    </row>
    <row r="3622" spans="1:6" x14ac:dyDescent="0.3">
      <c r="A3622" t="str">
        <f t="shared" si="56"/>
        <v>0210826011</v>
      </c>
      <c r="B3622" s="101" t="s">
        <v>639</v>
      </c>
      <c r="C3622" s="101" t="s">
        <v>143</v>
      </c>
      <c r="D3622" s="101" t="s">
        <v>359</v>
      </c>
      <c r="E3622" s="101" t="s">
        <v>19</v>
      </c>
      <c r="F3622" s="101" t="s">
        <v>402</v>
      </c>
    </row>
    <row r="3623" spans="1:6" x14ac:dyDescent="0.3">
      <c r="A3623" t="str">
        <f t="shared" si="56"/>
        <v>0110802003</v>
      </c>
      <c r="B3623" s="101" t="s">
        <v>640</v>
      </c>
      <c r="C3623" s="101" t="s">
        <v>143</v>
      </c>
      <c r="D3623" s="101" t="s">
        <v>145</v>
      </c>
      <c r="E3623" s="101" t="s">
        <v>139</v>
      </c>
      <c r="F3623" s="101" t="s">
        <v>597</v>
      </c>
    </row>
    <row r="3624" spans="1:6" x14ac:dyDescent="0.3">
      <c r="A3624" t="str">
        <f t="shared" si="56"/>
        <v>0111890001</v>
      </c>
      <c r="B3624" s="101" t="s">
        <v>640</v>
      </c>
      <c r="C3624" s="101" t="s">
        <v>150</v>
      </c>
      <c r="D3624" s="101" t="s">
        <v>568</v>
      </c>
      <c r="E3624" s="101" t="s">
        <v>142</v>
      </c>
      <c r="F3624" s="101" t="s">
        <v>549</v>
      </c>
    </row>
    <row r="3625" spans="1:6" x14ac:dyDescent="0.3">
      <c r="A3625" t="str">
        <f t="shared" si="56"/>
        <v>0211807003</v>
      </c>
      <c r="B3625" s="101" t="s">
        <v>639</v>
      </c>
      <c r="C3625" s="101" t="s">
        <v>150</v>
      </c>
      <c r="D3625" s="101" t="s">
        <v>185</v>
      </c>
      <c r="E3625" s="101" t="s">
        <v>142</v>
      </c>
      <c r="F3625" s="101" t="s">
        <v>597</v>
      </c>
    </row>
    <row r="3626" spans="1:6" x14ac:dyDescent="0.3">
      <c r="A3626" t="str">
        <f t="shared" si="56"/>
        <v>0212806906</v>
      </c>
      <c r="B3626" s="101" t="s">
        <v>639</v>
      </c>
      <c r="C3626" s="101" t="s">
        <v>152</v>
      </c>
      <c r="D3626" s="101" t="s">
        <v>544</v>
      </c>
      <c r="E3626" s="101" t="s">
        <v>142</v>
      </c>
      <c r="F3626" s="101" t="s">
        <v>578</v>
      </c>
    </row>
    <row r="3627" spans="1:6" x14ac:dyDescent="0.3">
      <c r="A3627" t="str">
        <f t="shared" si="56"/>
        <v>0212001906</v>
      </c>
      <c r="B3627" s="101" t="s">
        <v>639</v>
      </c>
      <c r="C3627" s="101" t="s">
        <v>152</v>
      </c>
      <c r="D3627" s="101" t="s">
        <v>549</v>
      </c>
      <c r="E3627" s="101" t="s">
        <v>142</v>
      </c>
      <c r="F3627" s="101" t="s">
        <v>578</v>
      </c>
    </row>
    <row r="3628" spans="1:6" x14ac:dyDescent="0.3">
      <c r="A3628" t="str">
        <f t="shared" si="56"/>
        <v>0212826906</v>
      </c>
      <c r="B3628" s="101" t="s">
        <v>639</v>
      </c>
      <c r="C3628" s="101" t="s">
        <v>152</v>
      </c>
      <c r="D3628" s="101" t="s">
        <v>359</v>
      </c>
      <c r="E3628" s="101" t="s">
        <v>19</v>
      </c>
      <c r="F3628" s="101" t="s">
        <v>578</v>
      </c>
    </row>
    <row r="3629" spans="1:6" x14ac:dyDescent="0.3">
      <c r="A3629" t="str">
        <f t="shared" si="56"/>
        <v>0112802902</v>
      </c>
      <c r="B3629" s="101" t="s">
        <v>640</v>
      </c>
      <c r="C3629" s="101" t="s">
        <v>152</v>
      </c>
      <c r="D3629" s="101" t="s">
        <v>145</v>
      </c>
      <c r="E3629" s="101" t="s">
        <v>139</v>
      </c>
      <c r="F3629" s="101" t="s">
        <v>574</v>
      </c>
    </row>
    <row r="3630" spans="1:6" x14ac:dyDescent="0.3">
      <c r="A3630" t="str">
        <f t="shared" si="56"/>
        <v>0114838001</v>
      </c>
      <c r="B3630" s="101" t="s">
        <v>640</v>
      </c>
      <c r="C3630" s="101" t="s">
        <v>156</v>
      </c>
      <c r="D3630" s="101" t="s">
        <v>558</v>
      </c>
      <c r="E3630" s="101" t="s">
        <v>139</v>
      </c>
      <c r="F3630" s="101" t="s">
        <v>549</v>
      </c>
    </row>
    <row r="3631" spans="1:6" x14ac:dyDescent="0.3">
      <c r="A3631" t="str">
        <f t="shared" si="56"/>
        <v>0214890004</v>
      </c>
      <c r="B3631" s="101" t="s">
        <v>639</v>
      </c>
      <c r="C3631" s="101" t="s">
        <v>156</v>
      </c>
      <c r="D3631" s="101" t="s">
        <v>568</v>
      </c>
      <c r="E3631" s="101" t="s">
        <v>17</v>
      </c>
      <c r="F3631" s="101" t="s">
        <v>598</v>
      </c>
    </row>
    <row r="3632" spans="1:6" x14ac:dyDescent="0.3">
      <c r="A3632" t="str">
        <f t="shared" si="56"/>
        <v>0114802001</v>
      </c>
      <c r="B3632" s="101" t="s">
        <v>640</v>
      </c>
      <c r="C3632" s="101" t="s">
        <v>156</v>
      </c>
      <c r="D3632" s="101" t="s">
        <v>145</v>
      </c>
      <c r="E3632" s="101" t="s">
        <v>139</v>
      </c>
      <c r="F3632" s="101" t="s">
        <v>549</v>
      </c>
    </row>
    <row r="3633" spans="1:6" x14ac:dyDescent="0.3">
      <c r="A3633" t="str">
        <f t="shared" si="56"/>
        <v>0214008004</v>
      </c>
      <c r="B3633" s="101" t="s">
        <v>639</v>
      </c>
      <c r="C3633" s="101" t="s">
        <v>156</v>
      </c>
      <c r="D3633" s="101" t="s">
        <v>405</v>
      </c>
      <c r="E3633" s="101" t="s">
        <v>142</v>
      </c>
      <c r="F3633" s="101" t="s">
        <v>598</v>
      </c>
    </row>
    <row r="3634" spans="1:6" x14ac:dyDescent="0.3">
      <c r="A3634" t="str">
        <f t="shared" si="56"/>
        <v>0216018531</v>
      </c>
      <c r="B3634" s="101" t="s">
        <v>639</v>
      </c>
      <c r="C3634" s="101" t="s">
        <v>160</v>
      </c>
      <c r="D3634" s="101" t="s">
        <v>576</v>
      </c>
      <c r="E3634" s="101" t="s">
        <v>17</v>
      </c>
      <c r="F3634" s="101" t="s">
        <v>409</v>
      </c>
    </row>
    <row r="3635" spans="1:6" x14ac:dyDescent="0.3">
      <c r="A3635" t="str">
        <f t="shared" si="56"/>
        <v>0216890531</v>
      </c>
      <c r="B3635" s="101" t="s">
        <v>639</v>
      </c>
      <c r="C3635" s="101" t="s">
        <v>160</v>
      </c>
      <c r="D3635" s="101" t="s">
        <v>568</v>
      </c>
      <c r="E3635" s="101" t="s">
        <v>17</v>
      </c>
      <c r="F3635" s="101" t="s">
        <v>409</v>
      </c>
    </row>
    <row r="3636" spans="1:6" x14ac:dyDescent="0.3">
      <c r="A3636" t="str">
        <f t="shared" si="56"/>
        <v>0117510120</v>
      </c>
      <c r="B3636" s="101" t="s">
        <v>640</v>
      </c>
      <c r="C3636" s="101" t="s">
        <v>162</v>
      </c>
      <c r="D3636" s="101" t="s">
        <v>385</v>
      </c>
      <c r="E3636" s="101" t="s">
        <v>139</v>
      </c>
      <c r="F3636" s="101" t="s">
        <v>249</v>
      </c>
    </row>
    <row r="3637" spans="1:6" x14ac:dyDescent="0.3">
      <c r="A3637" t="str">
        <f t="shared" si="56"/>
        <v>0118835101</v>
      </c>
      <c r="B3637" s="101" t="s">
        <v>640</v>
      </c>
      <c r="C3637" s="101" t="s">
        <v>164</v>
      </c>
      <c r="D3637" s="101" t="s">
        <v>555</v>
      </c>
      <c r="E3637" s="101" t="s">
        <v>139</v>
      </c>
      <c r="F3637" s="101" t="s">
        <v>223</v>
      </c>
    </row>
    <row r="3638" spans="1:6" x14ac:dyDescent="0.3">
      <c r="A3638" t="str">
        <f t="shared" si="56"/>
        <v>0118838101</v>
      </c>
      <c r="B3638" s="101" t="s">
        <v>640</v>
      </c>
      <c r="C3638" s="101" t="s">
        <v>164</v>
      </c>
      <c r="D3638" s="101" t="s">
        <v>558</v>
      </c>
      <c r="E3638" s="101" t="s">
        <v>139</v>
      </c>
      <c r="F3638" s="101" t="s">
        <v>223</v>
      </c>
    </row>
    <row r="3639" spans="1:6" x14ac:dyDescent="0.3">
      <c r="A3639" t="str">
        <f t="shared" si="56"/>
        <v>0118093100</v>
      </c>
      <c r="B3639" s="101" t="s">
        <v>640</v>
      </c>
      <c r="C3639" s="101" t="s">
        <v>164</v>
      </c>
      <c r="D3639" s="101" t="s">
        <v>642</v>
      </c>
      <c r="E3639" s="101" t="s">
        <v>139</v>
      </c>
      <c r="F3639" s="101" t="s">
        <v>222</v>
      </c>
    </row>
    <row r="3640" spans="1:6" x14ac:dyDescent="0.3">
      <c r="A3640" t="str">
        <f t="shared" si="56"/>
        <v>0119835300</v>
      </c>
      <c r="B3640" s="101" t="s">
        <v>640</v>
      </c>
      <c r="C3640" s="101" t="s">
        <v>166</v>
      </c>
      <c r="D3640" s="101" t="s">
        <v>555</v>
      </c>
      <c r="E3640" s="101" t="s">
        <v>139</v>
      </c>
      <c r="F3640" s="101" t="s">
        <v>356</v>
      </c>
    </row>
    <row r="3641" spans="1:6" x14ac:dyDescent="0.3">
      <c r="A3641" t="str">
        <f t="shared" si="56"/>
        <v>0120802102</v>
      </c>
      <c r="B3641" s="101" t="s">
        <v>640</v>
      </c>
      <c r="C3641" s="101" t="s">
        <v>168</v>
      </c>
      <c r="D3641" s="101" t="s">
        <v>145</v>
      </c>
      <c r="E3641" s="101" t="s">
        <v>139</v>
      </c>
      <c r="F3641" s="101" t="s">
        <v>232</v>
      </c>
    </row>
    <row r="3642" spans="1:6" x14ac:dyDescent="0.3">
      <c r="A3642" t="str">
        <f t="shared" si="56"/>
        <v>0220046106</v>
      </c>
      <c r="B3642" s="101" t="s">
        <v>639</v>
      </c>
      <c r="C3642" s="101" t="s">
        <v>168</v>
      </c>
      <c r="D3642" s="101" t="s">
        <v>455</v>
      </c>
      <c r="E3642" s="101" t="s">
        <v>17</v>
      </c>
      <c r="F3642" s="101" t="s">
        <v>236</v>
      </c>
    </row>
    <row r="3643" spans="1:6" x14ac:dyDescent="0.3">
      <c r="A3643" t="str">
        <f t="shared" si="56"/>
        <v>0220547104</v>
      </c>
      <c r="B3643" s="101" t="s">
        <v>639</v>
      </c>
      <c r="C3643" s="101" t="s">
        <v>168</v>
      </c>
      <c r="D3643" s="101" t="s">
        <v>414</v>
      </c>
      <c r="E3643" s="101" t="s">
        <v>17</v>
      </c>
      <c r="F3643" s="101" t="s">
        <v>234</v>
      </c>
    </row>
    <row r="3644" spans="1:6" x14ac:dyDescent="0.3">
      <c r="A3644" t="str">
        <f t="shared" si="56"/>
        <v>0121500100</v>
      </c>
      <c r="B3644" s="101" t="s">
        <v>640</v>
      </c>
      <c r="C3644" s="101" t="s">
        <v>170</v>
      </c>
      <c r="D3644" s="101" t="s">
        <v>146</v>
      </c>
      <c r="E3644" s="101" t="s">
        <v>139</v>
      </c>
      <c r="F3644" s="101" t="s">
        <v>222</v>
      </c>
    </row>
    <row r="3645" spans="1:6" x14ac:dyDescent="0.3">
      <c r="A3645" t="str">
        <f t="shared" si="56"/>
        <v>0221814101</v>
      </c>
      <c r="B3645" s="101" t="s">
        <v>639</v>
      </c>
      <c r="C3645" s="101" t="s">
        <v>170</v>
      </c>
      <c r="D3645" s="101" t="s">
        <v>333</v>
      </c>
      <c r="E3645" s="101" t="s">
        <v>17</v>
      </c>
      <c r="F3645" s="101" t="s">
        <v>223</v>
      </c>
    </row>
    <row r="3646" spans="1:6" x14ac:dyDescent="0.3">
      <c r="A3646" t="str">
        <f t="shared" si="56"/>
        <v>0810139</v>
      </c>
      <c r="B3646" s="101" t="s">
        <v>320</v>
      </c>
      <c r="C3646" s="101" t="s">
        <v>143</v>
      </c>
      <c r="D3646" s="101" t="s">
        <v>262</v>
      </c>
      <c r="E3646" s="101" t="s">
        <v>140</v>
      </c>
    </row>
    <row r="3647" spans="1:6" x14ac:dyDescent="0.3">
      <c r="A3647" t="str">
        <f t="shared" si="56"/>
        <v>0222820030</v>
      </c>
      <c r="B3647" s="101" t="s">
        <v>639</v>
      </c>
      <c r="C3647" s="101" t="s">
        <v>172</v>
      </c>
      <c r="D3647" s="101" t="s">
        <v>548</v>
      </c>
      <c r="E3647" s="101" t="s">
        <v>17</v>
      </c>
      <c r="F3647" s="101" t="s">
        <v>357</v>
      </c>
    </row>
    <row r="3648" spans="1:6" x14ac:dyDescent="0.3">
      <c r="A3648" t="str">
        <f t="shared" si="56"/>
        <v>0122835010</v>
      </c>
      <c r="B3648" s="101" t="s">
        <v>640</v>
      </c>
      <c r="C3648" s="101" t="s">
        <v>172</v>
      </c>
      <c r="D3648" s="101" t="s">
        <v>555</v>
      </c>
      <c r="E3648" s="101" t="s">
        <v>139</v>
      </c>
      <c r="F3648" s="101" t="s">
        <v>599</v>
      </c>
    </row>
    <row r="3649" spans="1:6" x14ac:dyDescent="0.3">
      <c r="A3649" t="str">
        <f t="shared" si="56"/>
        <v>0223893120</v>
      </c>
      <c r="B3649" s="101" t="s">
        <v>639</v>
      </c>
      <c r="C3649" s="101" t="s">
        <v>174</v>
      </c>
      <c r="D3649" s="101" t="s">
        <v>569</v>
      </c>
      <c r="E3649" s="101" t="s">
        <v>17</v>
      </c>
      <c r="F3649" s="101" t="s">
        <v>249</v>
      </c>
    </row>
    <row r="3650" spans="1:6" x14ac:dyDescent="0.3">
      <c r="A3650" t="str">
        <f t="shared" si="56"/>
        <v>0123841100</v>
      </c>
      <c r="B3650" s="101" t="s">
        <v>640</v>
      </c>
      <c r="C3650" s="101" t="s">
        <v>174</v>
      </c>
      <c r="D3650" s="101" t="s">
        <v>561</v>
      </c>
      <c r="E3650" s="101" t="s">
        <v>139</v>
      </c>
      <c r="F3650" s="101" t="s">
        <v>222</v>
      </c>
    </row>
    <row r="3651" spans="1:6" x14ac:dyDescent="0.3">
      <c r="A3651" t="str">
        <f t="shared" ref="A3651:A3714" si="57">CONCATENATE(B3651,C3651,D3651,F3651)</f>
        <v>0125801069</v>
      </c>
      <c r="B3651" s="101" t="s">
        <v>640</v>
      </c>
      <c r="C3651" s="101" t="s">
        <v>178</v>
      </c>
      <c r="D3651" s="101" t="s">
        <v>144</v>
      </c>
      <c r="E3651" s="101" t="s">
        <v>139</v>
      </c>
      <c r="F3651" s="101" t="s">
        <v>604</v>
      </c>
    </row>
    <row r="3652" spans="1:6" x14ac:dyDescent="0.3">
      <c r="A3652" t="str">
        <f t="shared" si="57"/>
        <v>0127801230</v>
      </c>
      <c r="B3652" s="101" t="s">
        <v>640</v>
      </c>
      <c r="C3652" s="101" t="s">
        <v>182</v>
      </c>
      <c r="D3652" s="101" t="s">
        <v>144</v>
      </c>
      <c r="E3652" s="101" t="s">
        <v>139</v>
      </c>
      <c r="F3652" s="101" t="s">
        <v>314</v>
      </c>
    </row>
    <row r="3653" spans="1:6" x14ac:dyDescent="0.3">
      <c r="A3653" t="str">
        <f t="shared" si="57"/>
        <v>0210125</v>
      </c>
      <c r="B3653" s="101" t="s">
        <v>639</v>
      </c>
      <c r="C3653" s="101" t="s">
        <v>143</v>
      </c>
      <c r="D3653" s="101" t="s">
        <v>149</v>
      </c>
      <c r="E3653" s="101" t="s">
        <v>17</v>
      </c>
    </row>
    <row r="3654" spans="1:6" x14ac:dyDescent="0.3">
      <c r="A3654" t="str">
        <f t="shared" si="57"/>
        <v>0210127</v>
      </c>
      <c r="B3654" s="101" t="s">
        <v>639</v>
      </c>
      <c r="C3654" s="101" t="s">
        <v>143</v>
      </c>
      <c r="D3654" s="101" t="s">
        <v>153</v>
      </c>
      <c r="E3654" s="101" t="s">
        <v>17</v>
      </c>
    </row>
    <row r="3655" spans="1:6" x14ac:dyDescent="0.3">
      <c r="A3655" t="str">
        <f t="shared" si="57"/>
        <v>0210131</v>
      </c>
      <c r="B3655" s="101" t="s">
        <v>639</v>
      </c>
      <c r="C3655" s="101" t="s">
        <v>143</v>
      </c>
      <c r="D3655" s="101" t="s">
        <v>227</v>
      </c>
      <c r="E3655" s="101" t="s">
        <v>17</v>
      </c>
    </row>
    <row r="3656" spans="1:6" x14ac:dyDescent="0.3">
      <c r="A3656" t="str">
        <f t="shared" si="57"/>
        <v>0210142</v>
      </c>
      <c r="B3656" s="101" t="s">
        <v>639</v>
      </c>
      <c r="C3656" s="101" t="s">
        <v>143</v>
      </c>
      <c r="D3656" s="101" t="s">
        <v>155</v>
      </c>
      <c r="E3656" s="101" t="s">
        <v>17</v>
      </c>
    </row>
    <row r="3657" spans="1:6" x14ac:dyDescent="0.3">
      <c r="A3657" t="str">
        <f t="shared" si="57"/>
        <v>0210143</v>
      </c>
      <c r="B3657" s="101" t="s">
        <v>639</v>
      </c>
      <c r="C3657" s="101" t="s">
        <v>143</v>
      </c>
      <c r="D3657" s="101" t="s">
        <v>157</v>
      </c>
      <c r="E3657" s="101" t="s">
        <v>17</v>
      </c>
    </row>
    <row r="3658" spans="1:6" x14ac:dyDescent="0.3">
      <c r="A3658" t="str">
        <f t="shared" si="57"/>
        <v>0210147</v>
      </c>
      <c r="B3658" s="101" t="s">
        <v>639</v>
      </c>
      <c r="C3658" s="101" t="s">
        <v>143</v>
      </c>
      <c r="D3658" s="101" t="s">
        <v>161</v>
      </c>
      <c r="E3658" s="101" t="s">
        <v>17</v>
      </c>
    </row>
    <row r="3659" spans="1:6" x14ac:dyDescent="0.3">
      <c r="A3659" t="str">
        <f t="shared" si="57"/>
        <v>0210149</v>
      </c>
      <c r="B3659" s="101" t="s">
        <v>639</v>
      </c>
      <c r="C3659" s="101" t="s">
        <v>143</v>
      </c>
      <c r="D3659" s="101" t="s">
        <v>165</v>
      </c>
      <c r="E3659" s="101" t="s">
        <v>17</v>
      </c>
    </row>
    <row r="3660" spans="1:6" x14ac:dyDescent="0.3">
      <c r="A3660" t="str">
        <f t="shared" si="57"/>
        <v>0210166</v>
      </c>
      <c r="B3660" s="101" t="s">
        <v>639</v>
      </c>
      <c r="C3660" s="101" t="s">
        <v>143</v>
      </c>
      <c r="D3660" s="101" t="s">
        <v>167</v>
      </c>
      <c r="E3660" s="101" t="s">
        <v>17</v>
      </c>
    </row>
    <row r="3661" spans="1:6" x14ac:dyDescent="0.3">
      <c r="A3661" t="str">
        <f t="shared" si="57"/>
        <v>0210167</v>
      </c>
      <c r="B3661" s="101" t="s">
        <v>639</v>
      </c>
      <c r="C3661" s="101" t="s">
        <v>143</v>
      </c>
      <c r="D3661" s="101" t="s">
        <v>169</v>
      </c>
      <c r="E3661" s="101" t="s">
        <v>17</v>
      </c>
    </row>
    <row r="3662" spans="1:6" x14ac:dyDescent="0.3">
      <c r="A3662" t="str">
        <f t="shared" si="57"/>
        <v>0210176</v>
      </c>
      <c r="B3662" s="101" t="s">
        <v>639</v>
      </c>
      <c r="C3662" s="101" t="s">
        <v>143</v>
      </c>
      <c r="D3662" s="101" t="s">
        <v>171</v>
      </c>
      <c r="E3662" s="101" t="s">
        <v>17</v>
      </c>
    </row>
    <row r="3663" spans="1:6" x14ac:dyDescent="0.3">
      <c r="A3663" t="str">
        <f t="shared" si="57"/>
        <v>0210177</v>
      </c>
      <c r="B3663" s="101" t="s">
        <v>639</v>
      </c>
      <c r="C3663" s="101" t="s">
        <v>143</v>
      </c>
      <c r="D3663" s="101" t="s">
        <v>173</v>
      </c>
      <c r="E3663" s="101" t="s">
        <v>17</v>
      </c>
    </row>
    <row r="3664" spans="1:6" x14ac:dyDescent="0.3">
      <c r="A3664" t="str">
        <f t="shared" si="57"/>
        <v>0210178</v>
      </c>
      <c r="B3664" s="101" t="s">
        <v>639</v>
      </c>
      <c r="C3664" s="101" t="s">
        <v>143</v>
      </c>
      <c r="D3664" s="101" t="s">
        <v>175</v>
      </c>
      <c r="E3664" s="101" t="s">
        <v>17</v>
      </c>
    </row>
    <row r="3665" spans="1:5" x14ac:dyDescent="0.3">
      <c r="A3665" t="str">
        <f t="shared" si="57"/>
        <v>0210179</v>
      </c>
      <c r="B3665" s="101" t="s">
        <v>639</v>
      </c>
      <c r="C3665" s="101" t="s">
        <v>143</v>
      </c>
      <c r="D3665" s="101" t="s">
        <v>177</v>
      </c>
      <c r="E3665" s="101" t="s">
        <v>17</v>
      </c>
    </row>
    <row r="3666" spans="1:5" x14ac:dyDescent="0.3">
      <c r="A3666" t="str">
        <f t="shared" si="57"/>
        <v>0210182</v>
      </c>
      <c r="B3666" s="101" t="s">
        <v>639</v>
      </c>
      <c r="C3666" s="101" t="s">
        <v>143</v>
      </c>
      <c r="D3666" s="101" t="s">
        <v>179</v>
      </c>
      <c r="E3666" s="101" t="s">
        <v>17</v>
      </c>
    </row>
    <row r="3667" spans="1:5" x14ac:dyDescent="0.3">
      <c r="A3667" t="str">
        <f t="shared" si="57"/>
        <v>0210183</v>
      </c>
      <c r="B3667" s="101" t="s">
        <v>639</v>
      </c>
      <c r="C3667" s="101" t="s">
        <v>143</v>
      </c>
      <c r="D3667" s="101" t="s">
        <v>181</v>
      </c>
      <c r="E3667" s="101" t="s">
        <v>17</v>
      </c>
    </row>
    <row r="3668" spans="1:5" x14ac:dyDescent="0.3">
      <c r="A3668" t="str">
        <f t="shared" si="57"/>
        <v>0210191</v>
      </c>
      <c r="B3668" s="101" t="s">
        <v>639</v>
      </c>
      <c r="C3668" s="101" t="s">
        <v>143</v>
      </c>
      <c r="D3668" s="101" t="s">
        <v>229</v>
      </c>
      <c r="E3668" s="101" t="s">
        <v>17</v>
      </c>
    </row>
    <row r="3669" spans="1:5" x14ac:dyDescent="0.3">
      <c r="A3669" t="str">
        <f t="shared" si="57"/>
        <v>0210194</v>
      </c>
      <c r="B3669" s="101" t="s">
        <v>639</v>
      </c>
      <c r="C3669" s="101" t="s">
        <v>143</v>
      </c>
      <c r="D3669" s="101" t="s">
        <v>183</v>
      </c>
      <c r="E3669" s="101" t="s">
        <v>17</v>
      </c>
    </row>
    <row r="3670" spans="1:5" x14ac:dyDescent="0.3">
      <c r="A3670" t="str">
        <f t="shared" si="57"/>
        <v>0210195</v>
      </c>
      <c r="B3670" s="101" t="s">
        <v>639</v>
      </c>
      <c r="C3670" s="101" t="s">
        <v>143</v>
      </c>
      <c r="D3670" s="101" t="s">
        <v>184</v>
      </c>
      <c r="E3670" s="101" t="s">
        <v>17</v>
      </c>
    </row>
    <row r="3671" spans="1:5" x14ac:dyDescent="0.3">
      <c r="A3671" t="str">
        <f t="shared" si="57"/>
        <v>0110205</v>
      </c>
      <c r="B3671" s="101" t="s">
        <v>640</v>
      </c>
      <c r="C3671" s="101" t="s">
        <v>143</v>
      </c>
      <c r="D3671" s="101" t="s">
        <v>304</v>
      </c>
      <c r="E3671" s="101" t="s">
        <v>17</v>
      </c>
    </row>
    <row r="3672" spans="1:5" x14ac:dyDescent="0.3">
      <c r="A3672" t="str">
        <f t="shared" si="57"/>
        <v>0310205</v>
      </c>
      <c r="B3672" s="101" t="s">
        <v>16</v>
      </c>
      <c r="C3672" s="101" t="s">
        <v>143</v>
      </c>
      <c r="D3672" s="101" t="s">
        <v>304</v>
      </c>
      <c r="E3672" s="101" t="s">
        <v>17</v>
      </c>
    </row>
    <row r="3673" spans="1:5" x14ac:dyDescent="0.3">
      <c r="A3673" t="str">
        <f t="shared" si="57"/>
        <v>0110207</v>
      </c>
      <c r="B3673" s="101" t="s">
        <v>640</v>
      </c>
      <c r="C3673" s="101" t="s">
        <v>143</v>
      </c>
      <c r="D3673" s="101" t="s">
        <v>305</v>
      </c>
      <c r="E3673" s="101" t="s">
        <v>17</v>
      </c>
    </row>
    <row r="3674" spans="1:5" x14ac:dyDescent="0.3">
      <c r="A3674" t="str">
        <f t="shared" si="57"/>
        <v>0310207</v>
      </c>
      <c r="B3674" s="101" t="s">
        <v>16</v>
      </c>
      <c r="C3674" s="101" t="s">
        <v>143</v>
      </c>
      <c r="D3674" s="101" t="s">
        <v>305</v>
      </c>
      <c r="E3674" s="101" t="s">
        <v>17</v>
      </c>
    </row>
    <row r="3675" spans="1:5" x14ac:dyDescent="0.3">
      <c r="A3675" t="str">
        <f t="shared" si="57"/>
        <v>0310276</v>
      </c>
      <c r="B3675" s="101" t="s">
        <v>16</v>
      </c>
      <c r="C3675" s="101" t="s">
        <v>143</v>
      </c>
      <c r="D3675" s="101" t="s">
        <v>324</v>
      </c>
      <c r="E3675" s="101" t="s">
        <v>17</v>
      </c>
    </row>
    <row r="3676" spans="1:5" x14ac:dyDescent="0.3">
      <c r="A3676" t="str">
        <f t="shared" si="57"/>
        <v>0710276</v>
      </c>
      <c r="B3676" s="101" t="s">
        <v>319</v>
      </c>
      <c r="C3676" s="101" t="s">
        <v>143</v>
      </c>
      <c r="D3676" s="101" t="s">
        <v>324</v>
      </c>
      <c r="E3676" s="101" t="s">
        <v>17</v>
      </c>
    </row>
    <row r="3677" spans="1:5" x14ac:dyDescent="0.3">
      <c r="A3677" t="str">
        <f t="shared" si="57"/>
        <v>0110282</v>
      </c>
      <c r="B3677" s="101" t="s">
        <v>640</v>
      </c>
      <c r="C3677" s="101" t="s">
        <v>143</v>
      </c>
      <c r="D3677" s="101" t="s">
        <v>331</v>
      </c>
      <c r="E3677" s="101" t="s">
        <v>140</v>
      </c>
    </row>
    <row r="3678" spans="1:5" x14ac:dyDescent="0.3">
      <c r="A3678" t="str">
        <f t="shared" si="57"/>
        <v>0110283</v>
      </c>
      <c r="B3678" s="101" t="s">
        <v>640</v>
      </c>
      <c r="C3678" s="101" t="s">
        <v>143</v>
      </c>
      <c r="D3678" s="101" t="s">
        <v>332</v>
      </c>
      <c r="E3678" s="101" t="s">
        <v>19</v>
      </c>
    </row>
    <row r="3679" spans="1:5" x14ac:dyDescent="0.3">
      <c r="A3679" t="str">
        <f t="shared" si="57"/>
        <v>0110500</v>
      </c>
      <c r="B3679" s="101" t="s">
        <v>640</v>
      </c>
      <c r="C3679" s="101" t="s">
        <v>143</v>
      </c>
      <c r="D3679" s="101" t="s">
        <v>146</v>
      </c>
      <c r="E3679" s="101" t="s">
        <v>139</v>
      </c>
    </row>
    <row r="3680" spans="1:5" x14ac:dyDescent="0.3">
      <c r="A3680" t="str">
        <f t="shared" si="57"/>
        <v>0110501</v>
      </c>
      <c r="B3680" s="101" t="s">
        <v>640</v>
      </c>
      <c r="C3680" s="101" t="s">
        <v>143</v>
      </c>
      <c r="D3680" s="101" t="s">
        <v>147</v>
      </c>
      <c r="E3680" s="101" t="s">
        <v>139</v>
      </c>
    </row>
    <row r="3681" spans="1:5" x14ac:dyDescent="0.3">
      <c r="A3681" t="str">
        <f t="shared" si="57"/>
        <v>0210603</v>
      </c>
      <c r="B3681" s="101" t="s">
        <v>639</v>
      </c>
      <c r="C3681" s="101" t="s">
        <v>143</v>
      </c>
      <c r="D3681" s="101" t="s">
        <v>462</v>
      </c>
      <c r="E3681" s="101" t="s">
        <v>17</v>
      </c>
    </row>
    <row r="3682" spans="1:5" x14ac:dyDescent="0.3">
      <c r="A3682" t="str">
        <f t="shared" si="57"/>
        <v>0210604</v>
      </c>
      <c r="B3682" s="101" t="s">
        <v>639</v>
      </c>
      <c r="C3682" s="101" t="s">
        <v>143</v>
      </c>
      <c r="D3682" s="101" t="s">
        <v>463</v>
      </c>
      <c r="E3682" s="101" t="s">
        <v>17</v>
      </c>
    </row>
    <row r="3683" spans="1:5" x14ac:dyDescent="0.3">
      <c r="A3683" t="str">
        <f t="shared" si="57"/>
        <v>0210624</v>
      </c>
      <c r="B3683" s="101" t="s">
        <v>639</v>
      </c>
      <c r="C3683" s="101" t="s">
        <v>143</v>
      </c>
      <c r="D3683" s="101" t="s">
        <v>191</v>
      </c>
      <c r="E3683" s="101" t="s">
        <v>17</v>
      </c>
    </row>
    <row r="3684" spans="1:5" x14ac:dyDescent="0.3">
      <c r="A3684" t="str">
        <f t="shared" si="57"/>
        <v>0210625</v>
      </c>
      <c r="B3684" s="101" t="s">
        <v>639</v>
      </c>
      <c r="C3684" s="101" t="s">
        <v>143</v>
      </c>
      <c r="D3684" s="101" t="s">
        <v>192</v>
      </c>
      <c r="E3684" s="101" t="s">
        <v>17</v>
      </c>
    </row>
    <row r="3685" spans="1:5" x14ac:dyDescent="0.3">
      <c r="A3685" t="str">
        <f t="shared" si="57"/>
        <v>0210626</v>
      </c>
      <c r="B3685" s="101" t="s">
        <v>639</v>
      </c>
      <c r="C3685" s="101" t="s">
        <v>143</v>
      </c>
      <c r="D3685" s="101" t="s">
        <v>193</v>
      </c>
      <c r="E3685" s="101" t="s">
        <v>17</v>
      </c>
    </row>
    <row r="3686" spans="1:5" x14ac:dyDescent="0.3">
      <c r="A3686" t="str">
        <f t="shared" si="57"/>
        <v>0210627</v>
      </c>
      <c r="B3686" s="101" t="s">
        <v>639</v>
      </c>
      <c r="C3686" s="101" t="s">
        <v>143</v>
      </c>
      <c r="D3686" s="101" t="s">
        <v>194</v>
      </c>
      <c r="E3686" s="101" t="s">
        <v>17</v>
      </c>
    </row>
    <row r="3687" spans="1:5" x14ac:dyDescent="0.3">
      <c r="A3687" t="str">
        <f t="shared" si="57"/>
        <v>0210630</v>
      </c>
      <c r="B3687" s="101" t="s">
        <v>639</v>
      </c>
      <c r="C3687" s="101" t="s">
        <v>143</v>
      </c>
      <c r="D3687" s="101" t="s">
        <v>218</v>
      </c>
      <c r="E3687" s="101" t="s">
        <v>17</v>
      </c>
    </row>
    <row r="3688" spans="1:5" x14ac:dyDescent="0.3">
      <c r="A3688" t="str">
        <f t="shared" si="57"/>
        <v>0210631</v>
      </c>
      <c r="B3688" s="101" t="s">
        <v>639</v>
      </c>
      <c r="C3688" s="101" t="s">
        <v>143</v>
      </c>
      <c r="D3688" s="101" t="s">
        <v>219</v>
      </c>
      <c r="E3688" s="101" t="s">
        <v>17</v>
      </c>
    </row>
    <row r="3689" spans="1:5" x14ac:dyDescent="0.3">
      <c r="A3689" t="str">
        <f t="shared" si="57"/>
        <v>0510638</v>
      </c>
      <c r="B3689" s="101" t="s">
        <v>313</v>
      </c>
      <c r="C3689" s="101" t="s">
        <v>143</v>
      </c>
      <c r="D3689" s="101" t="s">
        <v>280</v>
      </c>
      <c r="E3689" s="101" t="s">
        <v>140</v>
      </c>
    </row>
    <row r="3690" spans="1:5" x14ac:dyDescent="0.3">
      <c r="A3690" t="str">
        <f t="shared" si="57"/>
        <v>0610638</v>
      </c>
      <c r="B3690" s="101" t="s">
        <v>317</v>
      </c>
      <c r="C3690" s="101" t="s">
        <v>143</v>
      </c>
      <c r="D3690" s="101" t="s">
        <v>280</v>
      </c>
      <c r="E3690" s="101" t="s">
        <v>140</v>
      </c>
    </row>
    <row r="3691" spans="1:5" x14ac:dyDescent="0.3">
      <c r="A3691" t="str">
        <f t="shared" si="57"/>
        <v>0710638</v>
      </c>
      <c r="B3691" s="101" t="s">
        <v>319</v>
      </c>
      <c r="C3691" s="101" t="s">
        <v>143</v>
      </c>
      <c r="D3691" s="101" t="s">
        <v>280</v>
      </c>
      <c r="E3691" s="101" t="s">
        <v>140</v>
      </c>
    </row>
    <row r="3692" spans="1:5" x14ac:dyDescent="0.3">
      <c r="A3692" t="str">
        <f t="shared" si="57"/>
        <v>0810638</v>
      </c>
      <c r="B3692" s="101" t="s">
        <v>320</v>
      </c>
      <c r="C3692" s="101" t="s">
        <v>143</v>
      </c>
      <c r="D3692" s="101" t="s">
        <v>280</v>
      </c>
      <c r="E3692" s="101" t="s">
        <v>140</v>
      </c>
    </row>
    <row r="3693" spans="1:5" x14ac:dyDescent="0.3">
      <c r="A3693" t="str">
        <f t="shared" si="57"/>
        <v>0510639</v>
      </c>
      <c r="B3693" s="101" t="s">
        <v>313</v>
      </c>
      <c r="C3693" s="101" t="s">
        <v>143</v>
      </c>
      <c r="D3693" s="101" t="s">
        <v>281</v>
      </c>
      <c r="E3693" s="101" t="s">
        <v>140</v>
      </c>
    </row>
    <row r="3694" spans="1:5" x14ac:dyDescent="0.3">
      <c r="A3694" t="str">
        <f t="shared" si="57"/>
        <v>0610639</v>
      </c>
      <c r="B3694" s="101" t="s">
        <v>317</v>
      </c>
      <c r="C3694" s="101" t="s">
        <v>143</v>
      </c>
      <c r="D3694" s="101" t="s">
        <v>281</v>
      </c>
      <c r="E3694" s="101" t="s">
        <v>140</v>
      </c>
    </row>
    <row r="3695" spans="1:5" x14ac:dyDescent="0.3">
      <c r="A3695" t="str">
        <f t="shared" si="57"/>
        <v>0710639</v>
      </c>
      <c r="B3695" s="101" t="s">
        <v>319</v>
      </c>
      <c r="C3695" s="101" t="s">
        <v>143</v>
      </c>
      <c r="D3695" s="101" t="s">
        <v>281</v>
      </c>
      <c r="E3695" s="101" t="s">
        <v>140</v>
      </c>
    </row>
    <row r="3696" spans="1:5" x14ac:dyDescent="0.3">
      <c r="A3696" t="str">
        <f t="shared" si="57"/>
        <v>0810639</v>
      </c>
      <c r="B3696" s="101" t="s">
        <v>320</v>
      </c>
      <c r="C3696" s="101" t="s">
        <v>143</v>
      </c>
      <c r="D3696" s="101" t="s">
        <v>281</v>
      </c>
      <c r="E3696" s="101" t="s">
        <v>140</v>
      </c>
    </row>
    <row r="3697" spans="1:5" x14ac:dyDescent="0.3">
      <c r="A3697" t="str">
        <f t="shared" si="57"/>
        <v>0210642</v>
      </c>
      <c r="B3697" s="101" t="s">
        <v>639</v>
      </c>
      <c r="C3697" s="101" t="s">
        <v>143</v>
      </c>
      <c r="D3697" s="101" t="s">
        <v>195</v>
      </c>
      <c r="E3697" s="101" t="s">
        <v>17</v>
      </c>
    </row>
    <row r="3698" spans="1:5" x14ac:dyDescent="0.3">
      <c r="A3698" t="str">
        <f t="shared" si="57"/>
        <v>0210643</v>
      </c>
      <c r="B3698" s="101" t="s">
        <v>639</v>
      </c>
      <c r="C3698" s="101" t="s">
        <v>143</v>
      </c>
      <c r="D3698" s="101" t="s">
        <v>196</v>
      </c>
      <c r="E3698" s="101" t="s">
        <v>17</v>
      </c>
    </row>
    <row r="3699" spans="1:5" x14ac:dyDescent="0.3">
      <c r="A3699" t="str">
        <f t="shared" si="57"/>
        <v>0210644</v>
      </c>
      <c r="B3699" s="101" t="s">
        <v>639</v>
      </c>
      <c r="C3699" s="101" t="s">
        <v>143</v>
      </c>
      <c r="D3699" s="101" t="s">
        <v>485</v>
      </c>
      <c r="E3699" s="101" t="s">
        <v>17</v>
      </c>
    </row>
    <row r="3700" spans="1:5" x14ac:dyDescent="0.3">
      <c r="A3700" t="str">
        <f t="shared" si="57"/>
        <v>0210646</v>
      </c>
      <c r="B3700" s="101" t="s">
        <v>639</v>
      </c>
      <c r="C3700" s="101" t="s">
        <v>143</v>
      </c>
      <c r="D3700" s="101" t="s">
        <v>197</v>
      </c>
      <c r="E3700" s="101" t="s">
        <v>17</v>
      </c>
    </row>
    <row r="3701" spans="1:5" x14ac:dyDescent="0.3">
      <c r="A3701" t="str">
        <f t="shared" si="57"/>
        <v>0210647</v>
      </c>
      <c r="B3701" s="101" t="s">
        <v>639</v>
      </c>
      <c r="C3701" s="101" t="s">
        <v>143</v>
      </c>
      <c r="D3701" s="101" t="s">
        <v>198</v>
      </c>
      <c r="E3701" s="101" t="s">
        <v>17</v>
      </c>
    </row>
    <row r="3702" spans="1:5" x14ac:dyDescent="0.3">
      <c r="A3702" t="str">
        <f t="shared" si="57"/>
        <v>0210648</v>
      </c>
      <c r="B3702" s="101" t="s">
        <v>639</v>
      </c>
      <c r="C3702" s="101" t="s">
        <v>143</v>
      </c>
      <c r="D3702" s="101" t="s">
        <v>199</v>
      </c>
      <c r="E3702" s="101" t="s">
        <v>17</v>
      </c>
    </row>
    <row r="3703" spans="1:5" x14ac:dyDescent="0.3">
      <c r="A3703" t="str">
        <f t="shared" si="57"/>
        <v>0210649</v>
      </c>
      <c r="B3703" s="101" t="s">
        <v>639</v>
      </c>
      <c r="C3703" s="101" t="s">
        <v>143</v>
      </c>
      <c r="D3703" s="101" t="s">
        <v>200</v>
      </c>
      <c r="E3703" s="101" t="s">
        <v>17</v>
      </c>
    </row>
    <row r="3704" spans="1:5" x14ac:dyDescent="0.3">
      <c r="A3704" t="str">
        <f t="shared" si="57"/>
        <v>0210652</v>
      </c>
      <c r="B3704" s="101" t="s">
        <v>639</v>
      </c>
      <c r="C3704" s="101" t="s">
        <v>143</v>
      </c>
      <c r="D3704" s="101" t="s">
        <v>489</v>
      </c>
      <c r="E3704" s="101" t="s">
        <v>17</v>
      </c>
    </row>
    <row r="3705" spans="1:5" x14ac:dyDescent="0.3">
      <c r="A3705" t="str">
        <f t="shared" si="57"/>
        <v>0210653</v>
      </c>
      <c r="B3705" s="101" t="s">
        <v>639</v>
      </c>
      <c r="C3705" s="101" t="s">
        <v>143</v>
      </c>
      <c r="D3705" s="101" t="s">
        <v>490</v>
      </c>
      <c r="E3705" s="101" t="s">
        <v>17</v>
      </c>
    </row>
    <row r="3706" spans="1:5" x14ac:dyDescent="0.3">
      <c r="A3706" t="str">
        <f t="shared" si="57"/>
        <v>0110656</v>
      </c>
      <c r="B3706" s="101" t="s">
        <v>640</v>
      </c>
      <c r="C3706" s="101" t="s">
        <v>143</v>
      </c>
      <c r="D3706" s="101" t="s">
        <v>212</v>
      </c>
      <c r="E3706" s="101" t="s">
        <v>17</v>
      </c>
    </row>
    <row r="3707" spans="1:5" x14ac:dyDescent="0.3">
      <c r="A3707" t="str">
        <f t="shared" si="57"/>
        <v>0210656</v>
      </c>
      <c r="B3707" s="101" t="s">
        <v>639</v>
      </c>
      <c r="C3707" s="101" t="s">
        <v>143</v>
      </c>
      <c r="D3707" s="101" t="s">
        <v>212</v>
      </c>
      <c r="E3707" s="101" t="s">
        <v>17</v>
      </c>
    </row>
    <row r="3708" spans="1:5" x14ac:dyDescent="0.3">
      <c r="A3708" t="str">
        <f t="shared" si="57"/>
        <v>0510656</v>
      </c>
      <c r="B3708" s="101" t="s">
        <v>313</v>
      </c>
      <c r="C3708" s="101" t="s">
        <v>143</v>
      </c>
      <c r="D3708" s="101" t="s">
        <v>212</v>
      </c>
      <c r="E3708" s="101" t="s">
        <v>17</v>
      </c>
    </row>
    <row r="3709" spans="1:5" x14ac:dyDescent="0.3">
      <c r="A3709" t="str">
        <f t="shared" si="57"/>
        <v>0610656</v>
      </c>
      <c r="B3709" s="101" t="s">
        <v>317</v>
      </c>
      <c r="C3709" s="101" t="s">
        <v>143</v>
      </c>
      <c r="D3709" s="101" t="s">
        <v>212</v>
      </c>
      <c r="E3709" s="101" t="s">
        <v>17</v>
      </c>
    </row>
    <row r="3710" spans="1:5" x14ac:dyDescent="0.3">
      <c r="A3710" t="str">
        <f t="shared" si="57"/>
        <v>0710656</v>
      </c>
      <c r="B3710" s="101" t="s">
        <v>319</v>
      </c>
      <c r="C3710" s="101" t="s">
        <v>143</v>
      </c>
      <c r="D3710" s="101" t="s">
        <v>212</v>
      </c>
      <c r="E3710" s="101" t="s">
        <v>17</v>
      </c>
    </row>
    <row r="3711" spans="1:5" x14ac:dyDescent="0.3">
      <c r="A3711" t="str">
        <f t="shared" si="57"/>
        <v>0810656</v>
      </c>
      <c r="B3711" s="101" t="s">
        <v>320</v>
      </c>
      <c r="C3711" s="101" t="s">
        <v>143</v>
      </c>
      <c r="D3711" s="101" t="s">
        <v>212</v>
      </c>
      <c r="E3711" s="101" t="s">
        <v>17</v>
      </c>
    </row>
    <row r="3712" spans="1:5" x14ac:dyDescent="0.3">
      <c r="A3712" t="str">
        <f t="shared" si="57"/>
        <v>0110657</v>
      </c>
      <c r="B3712" s="101" t="s">
        <v>640</v>
      </c>
      <c r="C3712" s="101" t="s">
        <v>143</v>
      </c>
      <c r="D3712" s="101" t="s">
        <v>213</v>
      </c>
      <c r="E3712" s="101" t="s">
        <v>17</v>
      </c>
    </row>
    <row r="3713" spans="1:5" x14ac:dyDescent="0.3">
      <c r="A3713" t="str">
        <f t="shared" si="57"/>
        <v>0210657</v>
      </c>
      <c r="B3713" s="101" t="s">
        <v>639</v>
      </c>
      <c r="C3713" s="101" t="s">
        <v>143</v>
      </c>
      <c r="D3713" s="101" t="s">
        <v>213</v>
      </c>
      <c r="E3713" s="101" t="s">
        <v>17</v>
      </c>
    </row>
    <row r="3714" spans="1:5" x14ac:dyDescent="0.3">
      <c r="A3714" t="str">
        <f t="shared" si="57"/>
        <v>0510657</v>
      </c>
      <c r="B3714" s="101" t="s">
        <v>313</v>
      </c>
      <c r="C3714" s="101" t="s">
        <v>143</v>
      </c>
      <c r="D3714" s="101" t="s">
        <v>213</v>
      </c>
      <c r="E3714" s="101" t="s">
        <v>17</v>
      </c>
    </row>
    <row r="3715" spans="1:5" x14ac:dyDescent="0.3">
      <c r="A3715" t="str">
        <f t="shared" ref="A3715:A3778" si="58">CONCATENATE(B3715,C3715,D3715,F3715)</f>
        <v>0610657</v>
      </c>
      <c r="B3715" s="101" t="s">
        <v>317</v>
      </c>
      <c r="C3715" s="101" t="s">
        <v>143</v>
      </c>
      <c r="D3715" s="101" t="s">
        <v>213</v>
      </c>
      <c r="E3715" s="101" t="s">
        <v>17</v>
      </c>
    </row>
    <row r="3716" spans="1:5" x14ac:dyDescent="0.3">
      <c r="A3716" t="str">
        <f t="shared" si="58"/>
        <v>0710657</v>
      </c>
      <c r="B3716" s="101" t="s">
        <v>319</v>
      </c>
      <c r="C3716" s="101" t="s">
        <v>143</v>
      </c>
      <c r="D3716" s="101" t="s">
        <v>213</v>
      </c>
      <c r="E3716" s="101" t="s">
        <v>17</v>
      </c>
    </row>
    <row r="3717" spans="1:5" x14ac:dyDescent="0.3">
      <c r="A3717" t="str">
        <f t="shared" si="58"/>
        <v>0810657</v>
      </c>
      <c r="B3717" s="101" t="s">
        <v>320</v>
      </c>
      <c r="C3717" s="101" t="s">
        <v>143</v>
      </c>
      <c r="D3717" s="101" t="s">
        <v>213</v>
      </c>
      <c r="E3717" s="101" t="s">
        <v>17</v>
      </c>
    </row>
    <row r="3718" spans="1:5" x14ac:dyDescent="0.3">
      <c r="A3718" t="str">
        <f t="shared" si="58"/>
        <v>0110658</v>
      </c>
      <c r="B3718" s="101" t="s">
        <v>640</v>
      </c>
      <c r="C3718" s="101" t="s">
        <v>143</v>
      </c>
      <c r="D3718" s="101" t="s">
        <v>214</v>
      </c>
      <c r="E3718" s="101" t="s">
        <v>17</v>
      </c>
    </row>
    <row r="3719" spans="1:5" x14ac:dyDescent="0.3">
      <c r="A3719" t="str">
        <f t="shared" si="58"/>
        <v>0210658</v>
      </c>
      <c r="B3719" s="101" t="s">
        <v>639</v>
      </c>
      <c r="C3719" s="101" t="s">
        <v>143</v>
      </c>
      <c r="D3719" s="101" t="s">
        <v>214</v>
      </c>
      <c r="E3719" s="101" t="s">
        <v>17</v>
      </c>
    </row>
    <row r="3720" spans="1:5" x14ac:dyDescent="0.3">
      <c r="A3720" t="str">
        <f t="shared" si="58"/>
        <v>0110659</v>
      </c>
      <c r="B3720" s="101" t="s">
        <v>640</v>
      </c>
      <c r="C3720" s="101" t="s">
        <v>143</v>
      </c>
      <c r="D3720" s="101" t="s">
        <v>215</v>
      </c>
      <c r="E3720" s="101" t="s">
        <v>17</v>
      </c>
    </row>
    <row r="3721" spans="1:5" x14ac:dyDescent="0.3">
      <c r="A3721" t="str">
        <f t="shared" si="58"/>
        <v>0210659</v>
      </c>
      <c r="B3721" s="101" t="s">
        <v>639</v>
      </c>
      <c r="C3721" s="101" t="s">
        <v>143</v>
      </c>
      <c r="D3721" s="101" t="s">
        <v>215</v>
      </c>
      <c r="E3721" s="101" t="s">
        <v>17</v>
      </c>
    </row>
    <row r="3722" spans="1:5" x14ac:dyDescent="0.3">
      <c r="A3722" t="str">
        <f t="shared" si="58"/>
        <v>0110660</v>
      </c>
      <c r="B3722" s="101" t="s">
        <v>640</v>
      </c>
      <c r="C3722" s="101" t="s">
        <v>143</v>
      </c>
      <c r="D3722" s="101" t="s">
        <v>216</v>
      </c>
      <c r="E3722" s="101" t="s">
        <v>17</v>
      </c>
    </row>
    <row r="3723" spans="1:5" x14ac:dyDescent="0.3">
      <c r="A3723" t="str">
        <f t="shared" si="58"/>
        <v>0110661</v>
      </c>
      <c r="B3723" s="101" t="s">
        <v>640</v>
      </c>
      <c r="C3723" s="101" t="s">
        <v>143</v>
      </c>
      <c r="D3723" s="101" t="s">
        <v>217</v>
      </c>
      <c r="E3723" s="101" t="s">
        <v>17</v>
      </c>
    </row>
    <row r="3724" spans="1:5" x14ac:dyDescent="0.3">
      <c r="A3724" t="str">
        <f t="shared" si="58"/>
        <v>0210661</v>
      </c>
      <c r="B3724" s="101" t="s">
        <v>639</v>
      </c>
      <c r="C3724" s="101" t="s">
        <v>143</v>
      </c>
      <c r="D3724" s="101" t="s">
        <v>217</v>
      </c>
      <c r="E3724" s="101" t="s">
        <v>17</v>
      </c>
    </row>
    <row r="3725" spans="1:5" x14ac:dyDescent="0.3">
      <c r="A3725" t="str">
        <f t="shared" si="58"/>
        <v>0210666</v>
      </c>
      <c r="B3725" s="101" t="s">
        <v>639</v>
      </c>
      <c r="C3725" s="101" t="s">
        <v>143</v>
      </c>
      <c r="D3725" s="101" t="s">
        <v>201</v>
      </c>
      <c r="E3725" s="101" t="s">
        <v>17</v>
      </c>
    </row>
    <row r="3726" spans="1:5" x14ac:dyDescent="0.3">
      <c r="A3726" t="str">
        <f t="shared" si="58"/>
        <v>0210667</v>
      </c>
      <c r="B3726" s="101" t="s">
        <v>639</v>
      </c>
      <c r="C3726" s="101" t="s">
        <v>143</v>
      </c>
      <c r="D3726" s="101" t="s">
        <v>203</v>
      </c>
      <c r="E3726" s="101" t="s">
        <v>17</v>
      </c>
    </row>
    <row r="3727" spans="1:5" x14ac:dyDescent="0.3">
      <c r="A3727" t="str">
        <f t="shared" si="58"/>
        <v>0210671</v>
      </c>
      <c r="B3727" s="101" t="s">
        <v>639</v>
      </c>
      <c r="C3727" s="101" t="s">
        <v>143</v>
      </c>
      <c r="D3727" s="101" t="s">
        <v>501</v>
      </c>
      <c r="E3727" s="101" t="s">
        <v>17</v>
      </c>
    </row>
    <row r="3728" spans="1:5" x14ac:dyDescent="0.3">
      <c r="A3728" t="str">
        <f t="shared" si="58"/>
        <v>0210676</v>
      </c>
      <c r="B3728" s="101" t="s">
        <v>639</v>
      </c>
      <c r="C3728" s="101" t="s">
        <v>143</v>
      </c>
      <c r="D3728" s="101" t="s">
        <v>204</v>
      </c>
      <c r="E3728" s="101" t="s">
        <v>17</v>
      </c>
    </row>
    <row r="3729" spans="1:5" x14ac:dyDescent="0.3">
      <c r="A3729" t="str">
        <f t="shared" si="58"/>
        <v>0210677</v>
      </c>
      <c r="B3729" s="101" t="s">
        <v>639</v>
      </c>
      <c r="C3729" s="101" t="s">
        <v>143</v>
      </c>
      <c r="D3729" s="101" t="s">
        <v>205</v>
      </c>
      <c r="E3729" s="101" t="s">
        <v>17</v>
      </c>
    </row>
    <row r="3730" spans="1:5" x14ac:dyDescent="0.3">
      <c r="A3730" t="str">
        <f t="shared" si="58"/>
        <v>0210678</v>
      </c>
      <c r="B3730" s="101" t="s">
        <v>639</v>
      </c>
      <c r="C3730" s="101" t="s">
        <v>143</v>
      </c>
      <c r="D3730" s="101" t="s">
        <v>206</v>
      </c>
      <c r="E3730" s="101" t="s">
        <v>17</v>
      </c>
    </row>
    <row r="3731" spans="1:5" x14ac:dyDescent="0.3">
      <c r="A3731" t="str">
        <f t="shared" si="58"/>
        <v>0210679</v>
      </c>
      <c r="B3731" s="101" t="s">
        <v>639</v>
      </c>
      <c r="C3731" s="101" t="s">
        <v>143</v>
      </c>
      <c r="D3731" s="101" t="s">
        <v>207</v>
      </c>
      <c r="E3731" s="101" t="s">
        <v>17</v>
      </c>
    </row>
    <row r="3732" spans="1:5" x14ac:dyDescent="0.3">
      <c r="A3732" t="str">
        <f t="shared" si="58"/>
        <v>0210682</v>
      </c>
      <c r="B3732" s="101" t="s">
        <v>639</v>
      </c>
      <c r="C3732" s="101" t="s">
        <v>143</v>
      </c>
      <c r="D3732" s="101" t="s">
        <v>208</v>
      </c>
      <c r="E3732" s="101" t="s">
        <v>17</v>
      </c>
    </row>
    <row r="3733" spans="1:5" x14ac:dyDescent="0.3">
      <c r="A3733" t="str">
        <f t="shared" si="58"/>
        <v>0210683</v>
      </c>
      <c r="B3733" s="101" t="s">
        <v>639</v>
      </c>
      <c r="C3733" s="101" t="s">
        <v>143</v>
      </c>
      <c r="D3733" s="101" t="s">
        <v>209</v>
      </c>
      <c r="E3733" s="101" t="s">
        <v>17</v>
      </c>
    </row>
    <row r="3734" spans="1:5" x14ac:dyDescent="0.3">
      <c r="A3734" t="str">
        <f t="shared" si="58"/>
        <v>0210690</v>
      </c>
      <c r="B3734" s="101" t="s">
        <v>639</v>
      </c>
      <c r="C3734" s="101" t="s">
        <v>143</v>
      </c>
      <c r="D3734" s="101" t="s">
        <v>220</v>
      </c>
      <c r="E3734" s="101" t="s">
        <v>17</v>
      </c>
    </row>
    <row r="3735" spans="1:5" x14ac:dyDescent="0.3">
      <c r="A3735" t="str">
        <f t="shared" si="58"/>
        <v>0210691</v>
      </c>
      <c r="B3735" s="101" t="s">
        <v>639</v>
      </c>
      <c r="C3735" s="101" t="s">
        <v>143</v>
      </c>
      <c r="D3735" s="101" t="s">
        <v>221</v>
      </c>
      <c r="E3735" s="101" t="s">
        <v>17</v>
      </c>
    </row>
    <row r="3736" spans="1:5" x14ac:dyDescent="0.3">
      <c r="A3736" t="str">
        <f t="shared" si="58"/>
        <v>0210694</v>
      </c>
      <c r="B3736" s="101" t="s">
        <v>639</v>
      </c>
      <c r="C3736" s="101" t="s">
        <v>143</v>
      </c>
      <c r="D3736" s="101" t="s">
        <v>210</v>
      </c>
      <c r="E3736" s="101" t="s">
        <v>17</v>
      </c>
    </row>
    <row r="3737" spans="1:5" x14ac:dyDescent="0.3">
      <c r="A3737" t="str">
        <f t="shared" si="58"/>
        <v>0210695</v>
      </c>
      <c r="B3737" s="101" t="s">
        <v>639</v>
      </c>
      <c r="C3737" s="101" t="s">
        <v>143</v>
      </c>
      <c r="D3737" s="101" t="s">
        <v>211</v>
      </c>
      <c r="E3737" s="101" t="s">
        <v>17</v>
      </c>
    </row>
    <row r="3738" spans="1:5" x14ac:dyDescent="0.3">
      <c r="A3738" t="str">
        <f t="shared" si="58"/>
        <v>0110717</v>
      </c>
      <c r="B3738" s="101" t="s">
        <v>640</v>
      </c>
      <c r="C3738" s="101" t="s">
        <v>143</v>
      </c>
      <c r="D3738" s="101" t="s">
        <v>525</v>
      </c>
      <c r="E3738" s="101" t="s">
        <v>139</v>
      </c>
    </row>
    <row r="3739" spans="1:5" x14ac:dyDescent="0.3">
      <c r="A3739" t="str">
        <f t="shared" si="58"/>
        <v>0310717</v>
      </c>
      <c r="B3739" s="101" t="s">
        <v>16</v>
      </c>
      <c r="C3739" s="101" t="s">
        <v>143</v>
      </c>
      <c r="D3739" s="101" t="s">
        <v>525</v>
      </c>
      <c r="E3739" s="101" t="s">
        <v>139</v>
      </c>
    </row>
    <row r="3740" spans="1:5" x14ac:dyDescent="0.3">
      <c r="A3740" t="str">
        <f t="shared" si="58"/>
        <v>0310719</v>
      </c>
      <c r="B3740" s="101" t="s">
        <v>16</v>
      </c>
      <c r="C3740" s="101" t="s">
        <v>143</v>
      </c>
      <c r="D3740" s="101" t="s">
        <v>527</v>
      </c>
      <c r="E3740" s="101" t="s">
        <v>139</v>
      </c>
    </row>
    <row r="3741" spans="1:5" x14ac:dyDescent="0.3">
      <c r="A3741" t="str">
        <f t="shared" si="58"/>
        <v>0410776</v>
      </c>
      <c r="B3741" s="101" t="s">
        <v>18</v>
      </c>
      <c r="C3741" s="101" t="s">
        <v>143</v>
      </c>
      <c r="D3741" s="101" t="s">
        <v>537</v>
      </c>
      <c r="E3741" s="101" t="s">
        <v>17</v>
      </c>
    </row>
    <row r="3742" spans="1:5" x14ac:dyDescent="0.3">
      <c r="A3742" t="str">
        <f t="shared" si="58"/>
        <v>0310778</v>
      </c>
      <c r="B3742" s="101" t="s">
        <v>16</v>
      </c>
      <c r="C3742" s="101" t="s">
        <v>143</v>
      </c>
      <c r="D3742" s="101" t="s">
        <v>538</v>
      </c>
      <c r="E3742" s="101" t="s">
        <v>139</v>
      </c>
    </row>
    <row r="3743" spans="1:5" x14ac:dyDescent="0.3">
      <c r="A3743" t="str">
        <f t="shared" si="58"/>
        <v>0110809</v>
      </c>
      <c r="B3743" s="101" t="s">
        <v>640</v>
      </c>
      <c r="C3743" s="101" t="s">
        <v>143</v>
      </c>
      <c r="D3743" s="101" t="s">
        <v>187</v>
      </c>
      <c r="E3743" s="101" t="s">
        <v>17</v>
      </c>
    </row>
    <row r="3744" spans="1:5" x14ac:dyDescent="0.3">
      <c r="A3744" t="str">
        <f t="shared" si="58"/>
        <v>0110810</v>
      </c>
      <c r="B3744" s="101" t="s">
        <v>640</v>
      </c>
      <c r="C3744" s="101" t="s">
        <v>143</v>
      </c>
      <c r="D3744" s="101" t="s">
        <v>188</v>
      </c>
      <c r="E3744" s="101" t="s">
        <v>17</v>
      </c>
    </row>
    <row r="3745" spans="1:5" x14ac:dyDescent="0.3">
      <c r="A3745" t="str">
        <f t="shared" si="58"/>
        <v>0110812</v>
      </c>
      <c r="B3745" s="101" t="s">
        <v>640</v>
      </c>
      <c r="C3745" s="101" t="s">
        <v>143</v>
      </c>
      <c r="D3745" s="101" t="s">
        <v>190</v>
      </c>
      <c r="E3745" s="101" t="s">
        <v>17</v>
      </c>
    </row>
    <row r="3746" spans="1:5" x14ac:dyDescent="0.3">
      <c r="A3746" t="str">
        <f t="shared" si="58"/>
        <v>0510812</v>
      </c>
      <c r="B3746" s="101" t="s">
        <v>313</v>
      </c>
      <c r="C3746" s="101" t="s">
        <v>143</v>
      </c>
      <c r="D3746" s="101" t="s">
        <v>190</v>
      </c>
      <c r="E3746" s="101" t="s">
        <v>17</v>
      </c>
    </row>
    <row r="3747" spans="1:5" x14ac:dyDescent="0.3">
      <c r="A3747" t="str">
        <f t="shared" si="58"/>
        <v>0610812</v>
      </c>
      <c r="B3747" s="101" t="s">
        <v>317</v>
      </c>
      <c r="C3747" s="101" t="s">
        <v>143</v>
      </c>
      <c r="D3747" s="101" t="s">
        <v>190</v>
      </c>
      <c r="E3747" s="101" t="s">
        <v>17</v>
      </c>
    </row>
    <row r="3748" spans="1:5" x14ac:dyDescent="0.3">
      <c r="A3748" t="str">
        <f t="shared" si="58"/>
        <v>0710812</v>
      </c>
      <c r="B3748" s="101" t="s">
        <v>319</v>
      </c>
      <c r="C3748" s="101" t="s">
        <v>143</v>
      </c>
      <c r="D3748" s="101" t="s">
        <v>190</v>
      </c>
      <c r="E3748" s="101" t="s">
        <v>17</v>
      </c>
    </row>
    <row r="3749" spans="1:5" x14ac:dyDescent="0.3">
      <c r="A3749" t="str">
        <f t="shared" si="58"/>
        <v>0810812</v>
      </c>
      <c r="B3749" s="101" t="s">
        <v>320</v>
      </c>
      <c r="C3749" s="101" t="s">
        <v>143</v>
      </c>
      <c r="D3749" s="101" t="s">
        <v>190</v>
      </c>
      <c r="E3749" s="101" t="s">
        <v>17</v>
      </c>
    </row>
    <row r="3750" spans="1:5" x14ac:dyDescent="0.3">
      <c r="A3750" t="str">
        <f t="shared" si="58"/>
        <v>0210827</v>
      </c>
      <c r="B3750" s="101" t="s">
        <v>639</v>
      </c>
      <c r="C3750" s="101" t="s">
        <v>143</v>
      </c>
      <c r="D3750" s="101" t="s">
        <v>361</v>
      </c>
      <c r="E3750" s="101" t="s">
        <v>19</v>
      </c>
    </row>
    <row r="3751" spans="1:5" x14ac:dyDescent="0.3">
      <c r="A3751" t="str">
        <f t="shared" si="58"/>
        <v>0110833</v>
      </c>
      <c r="B3751" s="101" t="s">
        <v>640</v>
      </c>
      <c r="C3751" s="101" t="s">
        <v>143</v>
      </c>
      <c r="D3751" s="101" t="s">
        <v>554</v>
      </c>
      <c r="E3751" s="101" t="s">
        <v>139</v>
      </c>
    </row>
    <row r="3752" spans="1:5" x14ac:dyDescent="0.3">
      <c r="A3752" t="str">
        <f t="shared" si="58"/>
        <v>0310833</v>
      </c>
      <c r="B3752" s="101" t="s">
        <v>16</v>
      </c>
      <c r="C3752" s="101" t="s">
        <v>143</v>
      </c>
      <c r="D3752" s="101" t="s">
        <v>554</v>
      </c>
      <c r="E3752" s="101" t="s">
        <v>139</v>
      </c>
    </row>
    <row r="3753" spans="1:5" x14ac:dyDescent="0.3">
      <c r="A3753" t="str">
        <f t="shared" si="58"/>
        <v>0110840</v>
      </c>
      <c r="B3753" s="101" t="s">
        <v>640</v>
      </c>
      <c r="C3753" s="101" t="s">
        <v>143</v>
      </c>
      <c r="D3753" s="101" t="s">
        <v>560</v>
      </c>
      <c r="E3753" s="101" t="s">
        <v>139</v>
      </c>
    </row>
    <row r="3754" spans="1:5" x14ac:dyDescent="0.3">
      <c r="A3754" t="str">
        <f t="shared" si="58"/>
        <v>0110873</v>
      </c>
      <c r="B3754" s="101" t="s">
        <v>640</v>
      </c>
      <c r="C3754" s="101" t="s">
        <v>143</v>
      </c>
      <c r="D3754" s="101" t="s">
        <v>566</v>
      </c>
      <c r="E3754" s="101" t="s">
        <v>139</v>
      </c>
    </row>
    <row r="3755" spans="1:5" x14ac:dyDescent="0.3">
      <c r="A3755" t="str">
        <f t="shared" si="58"/>
        <v>0510873</v>
      </c>
      <c r="B3755" s="101" t="s">
        <v>313</v>
      </c>
      <c r="C3755" s="101" t="s">
        <v>143</v>
      </c>
      <c r="D3755" s="101" t="s">
        <v>566</v>
      </c>
      <c r="E3755" s="101" t="s">
        <v>139</v>
      </c>
    </row>
    <row r="3756" spans="1:5" x14ac:dyDescent="0.3">
      <c r="A3756" t="str">
        <f t="shared" si="58"/>
        <v>0710873</v>
      </c>
      <c r="B3756" s="101" t="s">
        <v>319</v>
      </c>
      <c r="C3756" s="101" t="s">
        <v>143</v>
      </c>
      <c r="D3756" s="101" t="s">
        <v>566</v>
      </c>
      <c r="E3756" s="101" t="s">
        <v>139</v>
      </c>
    </row>
    <row r="3757" spans="1:5" x14ac:dyDescent="0.3">
      <c r="A3757" t="str">
        <f t="shared" si="58"/>
        <v>0110874</v>
      </c>
      <c r="B3757" s="101" t="s">
        <v>640</v>
      </c>
      <c r="C3757" s="101" t="s">
        <v>143</v>
      </c>
      <c r="D3757" s="101" t="s">
        <v>567</v>
      </c>
      <c r="E3757" s="101" t="s">
        <v>17</v>
      </c>
    </row>
    <row r="3758" spans="1:5" x14ac:dyDescent="0.3">
      <c r="A3758" t="str">
        <f t="shared" si="58"/>
        <v>0210874</v>
      </c>
      <c r="B3758" s="101" t="s">
        <v>639</v>
      </c>
      <c r="C3758" s="101" t="s">
        <v>143</v>
      </c>
      <c r="D3758" s="101" t="s">
        <v>567</v>
      </c>
      <c r="E3758" s="101" t="s">
        <v>17</v>
      </c>
    </row>
    <row r="3759" spans="1:5" x14ac:dyDescent="0.3">
      <c r="A3759" t="str">
        <f t="shared" si="58"/>
        <v>0610874</v>
      </c>
      <c r="B3759" s="101" t="s">
        <v>317</v>
      </c>
      <c r="C3759" s="101" t="s">
        <v>143</v>
      </c>
      <c r="D3759" s="101" t="s">
        <v>567</v>
      </c>
      <c r="E3759" s="101" t="s">
        <v>17</v>
      </c>
    </row>
    <row r="3760" spans="1:5" x14ac:dyDescent="0.3">
      <c r="A3760" t="str">
        <f t="shared" si="58"/>
        <v>0710874</v>
      </c>
      <c r="B3760" s="101" t="s">
        <v>319</v>
      </c>
      <c r="C3760" s="101" t="s">
        <v>143</v>
      </c>
      <c r="D3760" s="101" t="s">
        <v>567</v>
      </c>
      <c r="E3760" s="101" t="s">
        <v>17</v>
      </c>
    </row>
    <row r="3761" spans="1:5" x14ac:dyDescent="0.3">
      <c r="A3761" t="str">
        <f t="shared" si="58"/>
        <v>0110890</v>
      </c>
      <c r="B3761" s="101" t="s">
        <v>640</v>
      </c>
      <c r="C3761" s="101" t="s">
        <v>143</v>
      </c>
      <c r="D3761" s="101" t="s">
        <v>568</v>
      </c>
      <c r="E3761" s="101" t="s">
        <v>17</v>
      </c>
    </row>
    <row r="3762" spans="1:5" x14ac:dyDescent="0.3">
      <c r="A3762" t="str">
        <f t="shared" si="58"/>
        <v>0210890</v>
      </c>
      <c r="B3762" s="101" t="s">
        <v>639</v>
      </c>
      <c r="C3762" s="101" t="s">
        <v>143</v>
      </c>
      <c r="D3762" s="101" t="s">
        <v>568</v>
      </c>
      <c r="E3762" s="101" t="s">
        <v>17</v>
      </c>
    </row>
    <row r="3763" spans="1:5" x14ac:dyDescent="0.3">
      <c r="A3763" t="str">
        <f t="shared" si="58"/>
        <v>0211010</v>
      </c>
      <c r="B3763" s="101" t="s">
        <v>639</v>
      </c>
      <c r="C3763" s="101" t="s">
        <v>150</v>
      </c>
      <c r="D3763" s="101" t="s">
        <v>599</v>
      </c>
      <c r="E3763" s="101" t="s">
        <v>17</v>
      </c>
    </row>
    <row r="3764" spans="1:5" x14ac:dyDescent="0.3">
      <c r="A3764" t="str">
        <f t="shared" si="58"/>
        <v>0111022</v>
      </c>
      <c r="B3764" s="101" t="s">
        <v>640</v>
      </c>
      <c r="C3764" s="101" t="s">
        <v>150</v>
      </c>
      <c r="D3764" s="101" t="s">
        <v>322</v>
      </c>
      <c r="E3764" s="101" t="s">
        <v>139</v>
      </c>
    </row>
    <row r="3765" spans="1:5" x14ac:dyDescent="0.3">
      <c r="A3765" t="str">
        <f t="shared" si="58"/>
        <v>0211023</v>
      </c>
      <c r="B3765" s="101" t="s">
        <v>639</v>
      </c>
      <c r="C3765" s="101" t="s">
        <v>150</v>
      </c>
      <c r="D3765" s="101" t="s">
        <v>480</v>
      </c>
      <c r="E3765" s="101" t="s">
        <v>17</v>
      </c>
    </row>
    <row r="3766" spans="1:5" x14ac:dyDescent="0.3">
      <c r="A3766" t="str">
        <f t="shared" si="58"/>
        <v>0211024</v>
      </c>
      <c r="B3766" s="101" t="s">
        <v>639</v>
      </c>
      <c r="C3766" s="101" t="s">
        <v>150</v>
      </c>
      <c r="D3766" s="101" t="s">
        <v>481</v>
      </c>
      <c r="E3766" s="101" t="s">
        <v>17</v>
      </c>
    </row>
    <row r="3767" spans="1:5" x14ac:dyDescent="0.3">
      <c r="A3767" t="str">
        <f t="shared" si="58"/>
        <v>0211026</v>
      </c>
      <c r="B3767" s="101" t="s">
        <v>639</v>
      </c>
      <c r="C3767" s="101" t="s">
        <v>150</v>
      </c>
      <c r="D3767" s="101" t="s">
        <v>579</v>
      </c>
      <c r="E3767" s="101" t="s">
        <v>17</v>
      </c>
    </row>
    <row r="3768" spans="1:5" x14ac:dyDescent="0.3">
      <c r="A3768" t="str">
        <f t="shared" si="58"/>
        <v>0211027</v>
      </c>
      <c r="B3768" s="101" t="s">
        <v>639</v>
      </c>
      <c r="C3768" s="101" t="s">
        <v>150</v>
      </c>
      <c r="D3768" s="101" t="s">
        <v>545</v>
      </c>
      <c r="E3768" s="101" t="s">
        <v>17</v>
      </c>
    </row>
    <row r="3769" spans="1:5" x14ac:dyDescent="0.3">
      <c r="A3769" t="str">
        <f t="shared" si="58"/>
        <v>0111033</v>
      </c>
      <c r="B3769" s="101" t="s">
        <v>640</v>
      </c>
      <c r="C3769" s="101" t="s">
        <v>150</v>
      </c>
      <c r="D3769" s="101" t="s">
        <v>327</v>
      </c>
      <c r="E3769" s="101" t="s">
        <v>17</v>
      </c>
    </row>
    <row r="3770" spans="1:5" x14ac:dyDescent="0.3">
      <c r="A3770" t="str">
        <f t="shared" si="58"/>
        <v>0111034</v>
      </c>
      <c r="B3770" s="101" t="s">
        <v>640</v>
      </c>
      <c r="C3770" s="101" t="s">
        <v>150</v>
      </c>
      <c r="D3770" s="101" t="s">
        <v>329</v>
      </c>
      <c r="E3770" s="101" t="s">
        <v>17</v>
      </c>
    </row>
    <row r="3771" spans="1:5" x14ac:dyDescent="0.3">
      <c r="A3771" t="str">
        <f t="shared" si="58"/>
        <v>0211034</v>
      </c>
      <c r="B3771" s="101" t="s">
        <v>639</v>
      </c>
      <c r="C3771" s="101" t="s">
        <v>150</v>
      </c>
      <c r="D3771" s="101" t="s">
        <v>329</v>
      </c>
      <c r="E3771" s="101" t="s">
        <v>17</v>
      </c>
    </row>
    <row r="3772" spans="1:5" x14ac:dyDescent="0.3">
      <c r="A3772" t="str">
        <f t="shared" si="58"/>
        <v>0211100</v>
      </c>
      <c r="B3772" s="101" t="s">
        <v>639</v>
      </c>
      <c r="C3772" s="101" t="s">
        <v>150</v>
      </c>
      <c r="D3772" s="101" t="s">
        <v>222</v>
      </c>
      <c r="E3772" s="101" t="s">
        <v>17</v>
      </c>
    </row>
    <row r="3773" spans="1:5" x14ac:dyDescent="0.3">
      <c r="A3773" t="str">
        <f t="shared" si="58"/>
        <v>0211140</v>
      </c>
      <c r="B3773" s="101" t="s">
        <v>639</v>
      </c>
      <c r="C3773" s="101" t="s">
        <v>150</v>
      </c>
      <c r="D3773" s="101" t="s">
        <v>263</v>
      </c>
      <c r="E3773" s="101" t="s">
        <v>17</v>
      </c>
    </row>
    <row r="3774" spans="1:5" x14ac:dyDescent="0.3">
      <c r="A3774" t="str">
        <f t="shared" si="58"/>
        <v>0211143</v>
      </c>
      <c r="B3774" s="101" t="s">
        <v>639</v>
      </c>
      <c r="C3774" s="101" t="s">
        <v>150</v>
      </c>
      <c r="D3774" s="101" t="s">
        <v>157</v>
      </c>
      <c r="E3774" s="101" t="s">
        <v>17</v>
      </c>
    </row>
    <row r="3775" spans="1:5" x14ac:dyDescent="0.3">
      <c r="A3775" t="str">
        <f t="shared" si="58"/>
        <v>0111154</v>
      </c>
      <c r="B3775" s="101" t="s">
        <v>640</v>
      </c>
      <c r="C3775" s="101" t="s">
        <v>150</v>
      </c>
      <c r="D3775" s="101" t="s">
        <v>275</v>
      </c>
      <c r="E3775" s="101" t="s">
        <v>139</v>
      </c>
    </row>
    <row r="3776" spans="1:5" x14ac:dyDescent="0.3">
      <c r="A3776" t="str">
        <f t="shared" si="58"/>
        <v>0111155</v>
      </c>
      <c r="B3776" s="101" t="s">
        <v>640</v>
      </c>
      <c r="C3776" s="101" t="s">
        <v>150</v>
      </c>
      <c r="D3776" s="101" t="s">
        <v>276</v>
      </c>
      <c r="E3776" s="101" t="s">
        <v>139</v>
      </c>
    </row>
    <row r="3777" spans="1:5" x14ac:dyDescent="0.3">
      <c r="A3777" t="str">
        <f t="shared" si="58"/>
        <v>0111156</v>
      </c>
      <c r="B3777" s="101" t="s">
        <v>640</v>
      </c>
      <c r="C3777" s="101" t="s">
        <v>150</v>
      </c>
      <c r="D3777" s="101" t="s">
        <v>277</v>
      </c>
      <c r="E3777" s="101" t="s">
        <v>139</v>
      </c>
    </row>
    <row r="3778" spans="1:5" x14ac:dyDescent="0.3">
      <c r="A3778" t="str">
        <f t="shared" si="58"/>
        <v>0111221</v>
      </c>
      <c r="B3778" s="101" t="s">
        <v>640</v>
      </c>
      <c r="C3778" s="101" t="s">
        <v>150</v>
      </c>
      <c r="D3778" s="101" t="s">
        <v>310</v>
      </c>
      <c r="E3778" s="101" t="s">
        <v>140</v>
      </c>
    </row>
    <row r="3779" spans="1:5" x14ac:dyDescent="0.3">
      <c r="A3779" t="str">
        <f t="shared" ref="A3779:A3842" si="59">CONCATENATE(B3779,C3779,D3779,F3779)</f>
        <v>0111222</v>
      </c>
      <c r="B3779" s="101" t="s">
        <v>640</v>
      </c>
      <c r="C3779" s="101" t="s">
        <v>150</v>
      </c>
      <c r="D3779" s="101" t="s">
        <v>311</v>
      </c>
      <c r="E3779" s="101" t="s">
        <v>19</v>
      </c>
    </row>
    <row r="3780" spans="1:5" x14ac:dyDescent="0.3">
      <c r="A3780" t="str">
        <f t="shared" si="59"/>
        <v>0111501</v>
      </c>
      <c r="B3780" s="101" t="s">
        <v>640</v>
      </c>
      <c r="C3780" s="101" t="s">
        <v>150</v>
      </c>
      <c r="D3780" s="101" t="s">
        <v>147</v>
      </c>
      <c r="E3780" s="101" t="s">
        <v>139</v>
      </c>
    </row>
    <row r="3781" spans="1:5" x14ac:dyDescent="0.3">
      <c r="A3781" t="str">
        <f t="shared" si="59"/>
        <v>0111522</v>
      </c>
      <c r="B3781" s="101" t="s">
        <v>640</v>
      </c>
      <c r="C3781" s="101" t="s">
        <v>150</v>
      </c>
      <c r="D3781" s="101" t="s">
        <v>345</v>
      </c>
      <c r="E3781" s="101" t="s">
        <v>17</v>
      </c>
    </row>
    <row r="3782" spans="1:5" x14ac:dyDescent="0.3">
      <c r="A3782" t="str">
        <f t="shared" si="59"/>
        <v>0211523</v>
      </c>
      <c r="B3782" s="101" t="s">
        <v>639</v>
      </c>
      <c r="C3782" s="101" t="s">
        <v>150</v>
      </c>
      <c r="D3782" s="101" t="s">
        <v>408</v>
      </c>
      <c r="E3782" s="101" t="s">
        <v>17</v>
      </c>
    </row>
    <row r="3783" spans="1:5" x14ac:dyDescent="0.3">
      <c r="A3783" t="str">
        <f t="shared" si="59"/>
        <v>0111532</v>
      </c>
      <c r="B3783" s="101" t="s">
        <v>640</v>
      </c>
      <c r="C3783" s="101" t="s">
        <v>150</v>
      </c>
      <c r="D3783" s="101" t="s">
        <v>323</v>
      </c>
      <c r="E3783" s="101" t="s">
        <v>139</v>
      </c>
    </row>
    <row r="3784" spans="1:5" x14ac:dyDescent="0.3">
      <c r="A3784" t="str">
        <f t="shared" si="59"/>
        <v>0111534</v>
      </c>
      <c r="B3784" s="101" t="s">
        <v>640</v>
      </c>
      <c r="C3784" s="101" t="s">
        <v>150</v>
      </c>
      <c r="D3784" s="101" t="s">
        <v>350</v>
      </c>
      <c r="E3784" s="101" t="s">
        <v>17</v>
      </c>
    </row>
    <row r="3785" spans="1:5" x14ac:dyDescent="0.3">
      <c r="A3785" t="str">
        <f t="shared" si="59"/>
        <v>0211535</v>
      </c>
      <c r="B3785" s="101" t="s">
        <v>639</v>
      </c>
      <c r="C3785" s="101" t="s">
        <v>150</v>
      </c>
      <c r="D3785" s="101" t="s">
        <v>410</v>
      </c>
      <c r="E3785" s="101" t="s">
        <v>17</v>
      </c>
    </row>
    <row r="3786" spans="1:5" x14ac:dyDescent="0.3">
      <c r="A3786" t="str">
        <f t="shared" si="59"/>
        <v>0111541</v>
      </c>
      <c r="B3786" s="101" t="s">
        <v>640</v>
      </c>
      <c r="C3786" s="101" t="s">
        <v>150</v>
      </c>
      <c r="D3786" s="101" t="s">
        <v>325</v>
      </c>
      <c r="E3786" s="101" t="s">
        <v>139</v>
      </c>
    </row>
    <row r="3787" spans="1:5" x14ac:dyDescent="0.3">
      <c r="A3787" t="str">
        <f t="shared" si="59"/>
        <v>0111542</v>
      </c>
      <c r="B3787" s="101" t="s">
        <v>640</v>
      </c>
      <c r="C3787" s="101" t="s">
        <v>150</v>
      </c>
      <c r="D3787" s="101" t="s">
        <v>353</v>
      </c>
      <c r="E3787" s="101" t="s">
        <v>17</v>
      </c>
    </row>
    <row r="3788" spans="1:5" x14ac:dyDescent="0.3">
      <c r="A3788" t="str">
        <f t="shared" si="59"/>
        <v>0111543</v>
      </c>
      <c r="B3788" s="101" t="s">
        <v>640</v>
      </c>
      <c r="C3788" s="101" t="s">
        <v>150</v>
      </c>
      <c r="D3788" s="101" t="s">
        <v>347</v>
      </c>
      <c r="E3788" s="101" t="s">
        <v>17</v>
      </c>
    </row>
    <row r="3789" spans="1:5" x14ac:dyDescent="0.3">
      <c r="A3789" t="str">
        <f t="shared" si="59"/>
        <v>0211543</v>
      </c>
      <c r="B3789" s="101" t="s">
        <v>639</v>
      </c>
      <c r="C3789" s="101" t="s">
        <v>150</v>
      </c>
      <c r="D3789" s="101" t="s">
        <v>347</v>
      </c>
      <c r="E3789" s="101" t="s">
        <v>17</v>
      </c>
    </row>
    <row r="3790" spans="1:5" x14ac:dyDescent="0.3">
      <c r="A3790" t="str">
        <f t="shared" si="59"/>
        <v>0211544</v>
      </c>
      <c r="B3790" s="101" t="s">
        <v>639</v>
      </c>
      <c r="C3790" s="101" t="s">
        <v>150</v>
      </c>
      <c r="D3790" s="101" t="s">
        <v>412</v>
      </c>
      <c r="E3790" s="101" t="s">
        <v>17</v>
      </c>
    </row>
    <row r="3791" spans="1:5" x14ac:dyDescent="0.3">
      <c r="A3791" t="str">
        <f t="shared" si="59"/>
        <v>0211545</v>
      </c>
      <c r="B3791" s="101" t="s">
        <v>639</v>
      </c>
      <c r="C3791" s="101" t="s">
        <v>150</v>
      </c>
      <c r="D3791" s="101" t="s">
        <v>413</v>
      </c>
      <c r="E3791" s="101" t="s">
        <v>17</v>
      </c>
    </row>
    <row r="3792" spans="1:5" x14ac:dyDescent="0.3">
      <c r="A3792" t="str">
        <f t="shared" si="59"/>
        <v>0111548</v>
      </c>
      <c r="B3792" s="101" t="s">
        <v>640</v>
      </c>
      <c r="C3792" s="101" t="s">
        <v>150</v>
      </c>
      <c r="D3792" s="101" t="s">
        <v>354</v>
      </c>
      <c r="E3792" s="101" t="s">
        <v>17</v>
      </c>
    </row>
    <row r="3793" spans="1:5" x14ac:dyDescent="0.3">
      <c r="A3793" t="str">
        <f t="shared" si="59"/>
        <v>0211548</v>
      </c>
      <c r="B3793" s="101" t="s">
        <v>639</v>
      </c>
      <c r="C3793" s="101" t="s">
        <v>150</v>
      </c>
      <c r="D3793" s="101" t="s">
        <v>354</v>
      </c>
      <c r="E3793" s="101" t="s">
        <v>17</v>
      </c>
    </row>
    <row r="3794" spans="1:5" x14ac:dyDescent="0.3">
      <c r="A3794" t="str">
        <f t="shared" si="59"/>
        <v>0111549</v>
      </c>
      <c r="B3794" s="101" t="s">
        <v>640</v>
      </c>
      <c r="C3794" s="101" t="s">
        <v>150</v>
      </c>
      <c r="D3794" s="101" t="s">
        <v>348</v>
      </c>
      <c r="E3794" s="101" t="s">
        <v>17</v>
      </c>
    </row>
    <row r="3795" spans="1:5" x14ac:dyDescent="0.3">
      <c r="A3795" t="str">
        <f t="shared" si="59"/>
        <v>0211549</v>
      </c>
      <c r="B3795" s="101" t="s">
        <v>639</v>
      </c>
      <c r="C3795" s="101" t="s">
        <v>150</v>
      </c>
      <c r="D3795" s="101" t="s">
        <v>348</v>
      </c>
      <c r="E3795" s="101" t="s">
        <v>17</v>
      </c>
    </row>
    <row r="3796" spans="1:5" x14ac:dyDescent="0.3">
      <c r="A3796" t="str">
        <f t="shared" si="59"/>
        <v>0211550</v>
      </c>
      <c r="B3796" s="101" t="s">
        <v>639</v>
      </c>
      <c r="C3796" s="101" t="s">
        <v>150</v>
      </c>
      <c r="D3796" s="101" t="s">
        <v>415</v>
      </c>
      <c r="E3796" s="101" t="s">
        <v>17</v>
      </c>
    </row>
    <row r="3797" spans="1:5" x14ac:dyDescent="0.3">
      <c r="A3797" t="str">
        <f t="shared" si="59"/>
        <v>0211551</v>
      </c>
      <c r="B3797" s="101" t="s">
        <v>639</v>
      </c>
      <c r="C3797" s="101" t="s">
        <v>150</v>
      </c>
      <c r="D3797" s="101" t="s">
        <v>416</v>
      </c>
      <c r="E3797" s="101" t="s">
        <v>17</v>
      </c>
    </row>
    <row r="3798" spans="1:5" x14ac:dyDescent="0.3">
      <c r="A3798" t="str">
        <f t="shared" si="59"/>
        <v>0111556</v>
      </c>
      <c r="B3798" s="101" t="s">
        <v>640</v>
      </c>
      <c r="C3798" s="101" t="s">
        <v>150</v>
      </c>
      <c r="D3798" s="101" t="s">
        <v>342</v>
      </c>
      <c r="E3798" s="101" t="s">
        <v>17</v>
      </c>
    </row>
    <row r="3799" spans="1:5" x14ac:dyDescent="0.3">
      <c r="A3799" t="str">
        <f t="shared" si="59"/>
        <v>0211556</v>
      </c>
      <c r="B3799" s="101" t="s">
        <v>639</v>
      </c>
      <c r="C3799" s="101" t="s">
        <v>150</v>
      </c>
      <c r="D3799" s="101" t="s">
        <v>342</v>
      </c>
      <c r="E3799" s="101" t="s">
        <v>17</v>
      </c>
    </row>
    <row r="3800" spans="1:5" x14ac:dyDescent="0.3">
      <c r="A3800" t="str">
        <f t="shared" si="59"/>
        <v>0111557</v>
      </c>
      <c r="B3800" s="101" t="s">
        <v>640</v>
      </c>
      <c r="C3800" s="101" t="s">
        <v>150</v>
      </c>
      <c r="D3800" s="101" t="s">
        <v>343</v>
      </c>
      <c r="E3800" s="101" t="s">
        <v>17</v>
      </c>
    </row>
    <row r="3801" spans="1:5" x14ac:dyDescent="0.3">
      <c r="A3801" t="str">
        <f t="shared" si="59"/>
        <v>0211557</v>
      </c>
      <c r="B3801" s="101" t="s">
        <v>639</v>
      </c>
      <c r="C3801" s="101" t="s">
        <v>150</v>
      </c>
      <c r="D3801" s="101" t="s">
        <v>343</v>
      </c>
      <c r="E3801" s="101" t="s">
        <v>17</v>
      </c>
    </row>
    <row r="3802" spans="1:5" x14ac:dyDescent="0.3">
      <c r="A3802" t="str">
        <f t="shared" si="59"/>
        <v>0211644</v>
      </c>
      <c r="B3802" s="101" t="s">
        <v>639</v>
      </c>
      <c r="C3802" s="101" t="s">
        <v>150</v>
      </c>
      <c r="D3802" s="101" t="s">
        <v>485</v>
      </c>
      <c r="E3802" s="101" t="s">
        <v>17</v>
      </c>
    </row>
    <row r="3803" spans="1:5" x14ac:dyDescent="0.3">
      <c r="A3803" t="str">
        <f t="shared" si="59"/>
        <v>0311659</v>
      </c>
      <c r="B3803" s="101" t="s">
        <v>16</v>
      </c>
      <c r="C3803" s="101" t="s">
        <v>150</v>
      </c>
      <c r="D3803" s="101" t="s">
        <v>215</v>
      </c>
      <c r="E3803" s="101" t="s">
        <v>139</v>
      </c>
    </row>
    <row r="3804" spans="1:5" x14ac:dyDescent="0.3">
      <c r="A3804" t="str">
        <f t="shared" si="59"/>
        <v>0111661</v>
      </c>
      <c r="B3804" s="101" t="s">
        <v>640</v>
      </c>
      <c r="C3804" s="101" t="s">
        <v>150</v>
      </c>
      <c r="D3804" s="101" t="s">
        <v>217</v>
      </c>
      <c r="E3804" s="101" t="s">
        <v>139</v>
      </c>
    </row>
    <row r="3805" spans="1:5" x14ac:dyDescent="0.3">
      <c r="A3805" t="str">
        <f t="shared" si="59"/>
        <v>0311661</v>
      </c>
      <c r="B3805" s="101" t="s">
        <v>16</v>
      </c>
      <c r="C3805" s="101" t="s">
        <v>150</v>
      </c>
      <c r="D3805" s="101" t="s">
        <v>217</v>
      </c>
      <c r="E3805" s="101" t="s">
        <v>139</v>
      </c>
    </row>
    <row r="3806" spans="1:5" x14ac:dyDescent="0.3">
      <c r="A3806" t="str">
        <f t="shared" si="59"/>
        <v>0511661</v>
      </c>
      <c r="B3806" s="101" t="s">
        <v>313</v>
      </c>
      <c r="C3806" s="101" t="s">
        <v>150</v>
      </c>
      <c r="D3806" s="101" t="s">
        <v>217</v>
      </c>
      <c r="E3806" s="101" t="s">
        <v>139</v>
      </c>
    </row>
    <row r="3807" spans="1:5" x14ac:dyDescent="0.3">
      <c r="A3807" t="str">
        <f t="shared" si="59"/>
        <v>0611661</v>
      </c>
      <c r="B3807" s="101" t="s">
        <v>317</v>
      </c>
      <c r="C3807" s="101" t="s">
        <v>150</v>
      </c>
      <c r="D3807" s="101" t="s">
        <v>217</v>
      </c>
      <c r="E3807" s="101" t="s">
        <v>139</v>
      </c>
    </row>
    <row r="3808" spans="1:5" x14ac:dyDescent="0.3">
      <c r="A3808" t="str">
        <f t="shared" si="59"/>
        <v>0711661</v>
      </c>
      <c r="B3808" s="101" t="s">
        <v>319</v>
      </c>
      <c r="C3808" s="101" t="s">
        <v>150</v>
      </c>
      <c r="D3808" s="101" t="s">
        <v>217</v>
      </c>
      <c r="E3808" s="101" t="s">
        <v>139</v>
      </c>
    </row>
    <row r="3809" spans="1:5" x14ac:dyDescent="0.3">
      <c r="A3809" t="str">
        <f t="shared" si="59"/>
        <v>0811661</v>
      </c>
      <c r="B3809" s="101" t="s">
        <v>320</v>
      </c>
      <c r="C3809" s="101" t="s">
        <v>150</v>
      </c>
      <c r="D3809" s="101" t="s">
        <v>217</v>
      </c>
      <c r="E3809" s="101" t="s">
        <v>139</v>
      </c>
    </row>
    <row r="3810" spans="1:5" x14ac:dyDescent="0.3">
      <c r="A3810" t="str">
        <f t="shared" si="59"/>
        <v>0111812</v>
      </c>
      <c r="B3810" s="101" t="s">
        <v>640</v>
      </c>
      <c r="C3810" s="101" t="s">
        <v>150</v>
      </c>
      <c r="D3810" s="101" t="s">
        <v>190</v>
      </c>
      <c r="E3810" s="101" t="s">
        <v>17</v>
      </c>
    </row>
    <row r="3811" spans="1:5" x14ac:dyDescent="0.3">
      <c r="A3811" t="str">
        <f t="shared" si="59"/>
        <v>0111814</v>
      </c>
      <c r="B3811" s="101" t="s">
        <v>640</v>
      </c>
      <c r="C3811" s="101" t="s">
        <v>150</v>
      </c>
      <c r="D3811" s="101" t="s">
        <v>333</v>
      </c>
      <c r="E3811" s="101" t="s">
        <v>17</v>
      </c>
    </row>
    <row r="3812" spans="1:5" x14ac:dyDescent="0.3">
      <c r="A3812" t="str">
        <f t="shared" si="59"/>
        <v>0211814</v>
      </c>
      <c r="B3812" s="101" t="s">
        <v>639</v>
      </c>
      <c r="C3812" s="101" t="s">
        <v>150</v>
      </c>
      <c r="D3812" s="101" t="s">
        <v>333</v>
      </c>
      <c r="E3812" s="101" t="s">
        <v>17</v>
      </c>
    </row>
    <row r="3813" spans="1:5" x14ac:dyDescent="0.3">
      <c r="A3813" t="str">
        <f t="shared" si="59"/>
        <v>0111815</v>
      </c>
      <c r="B3813" s="101" t="s">
        <v>640</v>
      </c>
      <c r="C3813" s="101" t="s">
        <v>150</v>
      </c>
      <c r="D3813" s="101" t="s">
        <v>335</v>
      </c>
      <c r="E3813" s="101" t="s">
        <v>17</v>
      </c>
    </row>
    <row r="3814" spans="1:5" x14ac:dyDescent="0.3">
      <c r="A3814" t="str">
        <f t="shared" si="59"/>
        <v>0211815</v>
      </c>
      <c r="B3814" s="101" t="s">
        <v>639</v>
      </c>
      <c r="C3814" s="101" t="s">
        <v>150</v>
      </c>
      <c r="D3814" s="101" t="s">
        <v>335</v>
      </c>
      <c r="E3814" s="101" t="s">
        <v>17</v>
      </c>
    </row>
    <row r="3815" spans="1:5" x14ac:dyDescent="0.3">
      <c r="A3815" t="str">
        <f t="shared" si="59"/>
        <v>0211826</v>
      </c>
      <c r="B3815" s="101" t="s">
        <v>639</v>
      </c>
      <c r="C3815" s="101" t="s">
        <v>150</v>
      </c>
      <c r="D3815" s="101" t="s">
        <v>359</v>
      </c>
      <c r="E3815" s="101" t="s">
        <v>19</v>
      </c>
    </row>
    <row r="3816" spans="1:5" x14ac:dyDescent="0.3">
      <c r="A3816" t="str">
        <f t="shared" si="59"/>
        <v>0211827</v>
      </c>
      <c r="B3816" s="101" t="s">
        <v>639</v>
      </c>
      <c r="C3816" s="101" t="s">
        <v>150</v>
      </c>
      <c r="D3816" s="101" t="s">
        <v>361</v>
      </c>
      <c r="E3816" s="101" t="s">
        <v>19</v>
      </c>
    </row>
    <row r="3817" spans="1:5" x14ac:dyDescent="0.3">
      <c r="A3817" t="str">
        <f t="shared" si="59"/>
        <v>0111831</v>
      </c>
      <c r="B3817" s="101" t="s">
        <v>640</v>
      </c>
      <c r="C3817" s="101" t="s">
        <v>150</v>
      </c>
      <c r="D3817" s="101" t="s">
        <v>341</v>
      </c>
      <c r="E3817" s="101" t="s">
        <v>17</v>
      </c>
    </row>
    <row r="3818" spans="1:5" x14ac:dyDescent="0.3">
      <c r="A3818" t="str">
        <f t="shared" si="59"/>
        <v>0111833</v>
      </c>
      <c r="B3818" s="101" t="s">
        <v>640</v>
      </c>
      <c r="C3818" s="101" t="s">
        <v>150</v>
      </c>
      <c r="D3818" s="101" t="s">
        <v>554</v>
      </c>
      <c r="E3818" s="101" t="s">
        <v>139</v>
      </c>
    </row>
    <row r="3819" spans="1:5" x14ac:dyDescent="0.3">
      <c r="A3819" t="str">
        <f t="shared" si="59"/>
        <v>0511833</v>
      </c>
      <c r="B3819" s="101" t="s">
        <v>313</v>
      </c>
      <c r="C3819" s="101" t="s">
        <v>150</v>
      </c>
      <c r="D3819" s="101" t="s">
        <v>554</v>
      </c>
      <c r="E3819" s="101" t="s">
        <v>139</v>
      </c>
    </row>
    <row r="3820" spans="1:5" x14ac:dyDescent="0.3">
      <c r="A3820" t="str">
        <f t="shared" si="59"/>
        <v>0311835</v>
      </c>
      <c r="B3820" s="101" t="s">
        <v>16</v>
      </c>
      <c r="C3820" s="101" t="s">
        <v>150</v>
      </c>
      <c r="D3820" s="101" t="s">
        <v>555</v>
      </c>
      <c r="E3820" s="101" t="s">
        <v>139</v>
      </c>
    </row>
    <row r="3821" spans="1:5" x14ac:dyDescent="0.3">
      <c r="A3821" t="str">
        <f t="shared" si="59"/>
        <v>0111837</v>
      </c>
      <c r="B3821" s="101" t="s">
        <v>640</v>
      </c>
      <c r="C3821" s="101" t="s">
        <v>150</v>
      </c>
      <c r="D3821" s="101" t="s">
        <v>557</v>
      </c>
      <c r="E3821" s="101" t="s">
        <v>139</v>
      </c>
    </row>
    <row r="3822" spans="1:5" x14ac:dyDescent="0.3">
      <c r="A3822" t="str">
        <f t="shared" si="59"/>
        <v>0311837</v>
      </c>
      <c r="B3822" s="101" t="s">
        <v>16</v>
      </c>
      <c r="C3822" s="101" t="s">
        <v>150</v>
      </c>
      <c r="D3822" s="101" t="s">
        <v>557</v>
      </c>
      <c r="E3822" s="101" t="s">
        <v>139</v>
      </c>
    </row>
    <row r="3823" spans="1:5" x14ac:dyDescent="0.3">
      <c r="A3823" t="str">
        <f t="shared" si="59"/>
        <v>0111838</v>
      </c>
      <c r="B3823" s="101" t="s">
        <v>640</v>
      </c>
      <c r="C3823" s="101" t="s">
        <v>150</v>
      </c>
      <c r="D3823" s="101" t="s">
        <v>558</v>
      </c>
      <c r="E3823" s="101" t="s">
        <v>139</v>
      </c>
    </row>
    <row r="3824" spans="1:5" x14ac:dyDescent="0.3">
      <c r="A3824" t="str">
        <f t="shared" si="59"/>
        <v>0111873</v>
      </c>
      <c r="B3824" s="101" t="s">
        <v>640</v>
      </c>
      <c r="C3824" s="101" t="s">
        <v>150</v>
      </c>
      <c r="D3824" s="101" t="s">
        <v>566</v>
      </c>
      <c r="E3824" s="101" t="s">
        <v>139</v>
      </c>
    </row>
    <row r="3825" spans="1:5" x14ac:dyDescent="0.3">
      <c r="A3825" t="str">
        <f t="shared" si="59"/>
        <v>0811874</v>
      </c>
      <c r="B3825" s="101" t="s">
        <v>320</v>
      </c>
      <c r="C3825" s="101" t="s">
        <v>150</v>
      </c>
      <c r="D3825" s="101" t="s">
        <v>567</v>
      </c>
      <c r="E3825" s="101" t="s">
        <v>17</v>
      </c>
    </row>
    <row r="3826" spans="1:5" x14ac:dyDescent="0.3">
      <c r="A3826" t="str">
        <f t="shared" si="59"/>
        <v>0311890</v>
      </c>
      <c r="B3826" s="101" t="s">
        <v>16</v>
      </c>
      <c r="C3826" s="101" t="s">
        <v>150</v>
      </c>
      <c r="D3826" s="101" t="s">
        <v>568</v>
      </c>
      <c r="E3826" s="101" t="s">
        <v>17</v>
      </c>
    </row>
    <row r="3827" spans="1:5" x14ac:dyDescent="0.3">
      <c r="A3827" t="str">
        <f t="shared" si="59"/>
        <v>0111896</v>
      </c>
      <c r="B3827" s="101" t="s">
        <v>640</v>
      </c>
      <c r="C3827" s="101" t="s">
        <v>150</v>
      </c>
      <c r="D3827" s="101" t="s">
        <v>572</v>
      </c>
      <c r="E3827" s="101" t="s">
        <v>139</v>
      </c>
    </row>
    <row r="3828" spans="1:5" x14ac:dyDescent="0.3">
      <c r="A3828" t="str">
        <f t="shared" si="59"/>
        <v>0212003</v>
      </c>
      <c r="B3828" s="101" t="s">
        <v>639</v>
      </c>
      <c r="C3828" s="101" t="s">
        <v>152</v>
      </c>
      <c r="D3828" s="101" t="s">
        <v>597</v>
      </c>
      <c r="E3828" s="101" t="s">
        <v>17</v>
      </c>
    </row>
    <row r="3829" spans="1:5" x14ac:dyDescent="0.3">
      <c r="A3829" t="str">
        <f t="shared" si="59"/>
        <v>0112282</v>
      </c>
      <c r="B3829" s="101" t="s">
        <v>640</v>
      </c>
      <c r="C3829" s="101" t="s">
        <v>152</v>
      </c>
      <c r="D3829" s="101" t="s">
        <v>331</v>
      </c>
      <c r="E3829" s="101" t="s">
        <v>140</v>
      </c>
    </row>
    <row r="3830" spans="1:5" x14ac:dyDescent="0.3">
      <c r="A3830" t="str">
        <f t="shared" si="59"/>
        <v>0112283</v>
      </c>
      <c r="B3830" s="101" t="s">
        <v>640</v>
      </c>
      <c r="C3830" s="101" t="s">
        <v>152</v>
      </c>
      <c r="D3830" s="101" t="s">
        <v>332</v>
      </c>
      <c r="E3830" s="101" t="s">
        <v>19</v>
      </c>
    </row>
    <row r="3831" spans="1:5" x14ac:dyDescent="0.3">
      <c r="A3831" t="str">
        <f t="shared" si="59"/>
        <v>0212302</v>
      </c>
      <c r="B3831" s="101" t="s">
        <v>639</v>
      </c>
      <c r="C3831" s="101" t="s">
        <v>152</v>
      </c>
      <c r="D3831" s="101" t="s">
        <v>360</v>
      </c>
      <c r="E3831" s="101" t="s">
        <v>17</v>
      </c>
    </row>
    <row r="3832" spans="1:5" x14ac:dyDescent="0.3">
      <c r="A3832" t="str">
        <f t="shared" si="59"/>
        <v>0412302</v>
      </c>
      <c r="B3832" s="101" t="s">
        <v>18</v>
      </c>
      <c r="C3832" s="101" t="s">
        <v>152</v>
      </c>
      <c r="D3832" s="101" t="s">
        <v>360</v>
      </c>
      <c r="E3832" s="101" t="s">
        <v>17</v>
      </c>
    </row>
    <row r="3833" spans="1:5" x14ac:dyDescent="0.3">
      <c r="A3833" t="str">
        <f t="shared" si="59"/>
        <v>0112501</v>
      </c>
      <c r="B3833" s="101" t="s">
        <v>640</v>
      </c>
      <c r="C3833" s="101" t="s">
        <v>152</v>
      </c>
      <c r="D3833" s="101" t="s">
        <v>147</v>
      </c>
      <c r="E3833" s="101" t="s">
        <v>139</v>
      </c>
    </row>
    <row r="3834" spans="1:5" x14ac:dyDescent="0.3">
      <c r="A3834" t="str">
        <f t="shared" si="59"/>
        <v>0312510</v>
      </c>
      <c r="B3834" s="101" t="s">
        <v>16</v>
      </c>
      <c r="C3834" s="101" t="s">
        <v>152</v>
      </c>
      <c r="D3834" s="101" t="s">
        <v>385</v>
      </c>
      <c r="E3834" s="101" t="s">
        <v>139</v>
      </c>
    </row>
    <row r="3835" spans="1:5" x14ac:dyDescent="0.3">
      <c r="A3835" t="str">
        <f t="shared" si="59"/>
        <v>0212511</v>
      </c>
      <c r="B3835" s="101" t="s">
        <v>639</v>
      </c>
      <c r="C3835" s="101" t="s">
        <v>152</v>
      </c>
      <c r="D3835" s="101" t="s">
        <v>386</v>
      </c>
      <c r="E3835" s="101" t="s">
        <v>17</v>
      </c>
    </row>
    <row r="3836" spans="1:5" x14ac:dyDescent="0.3">
      <c r="A3836" t="str">
        <f t="shared" si="59"/>
        <v>0212512</v>
      </c>
      <c r="B3836" s="101" t="s">
        <v>639</v>
      </c>
      <c r="C3836" s="101" t="s">
        <v>152</v>
      </c>
      <c r="D3836" s="101" t="s">
        <v>398</v>
      </c>
      <c r="E3836" s="101" t="s">
        <v>17</v>
      </c>
    </row>
    <row r="3837" spans="1:5" x14ac:dyDescent="0.3">
      <c r="A3837" t="str">
        <f t="shared" si="59"/>
        <v>0112516</v>
      </c>
      <c r="B3837" s="101" t="s">
        <v>640</v>
      </c>
      <c r="C3837" s="101" t="s">
        <v>152</v>
      </c>
      <c r="D3837" s="101" t="s">
        <v>389</v>
      </c>
      <c r="E3837" s="101" t="s">
        <v>139</v>
      </c>
    </row>
    <row r="3838" spans="1:5" x14ac:dyDescent="0.3">
      <c r="A3838" t="str">
        <f t="shared" si="59"/>
        <v>0212577</v>
      </c>
      <c r="B3838" s="101" t="s">
        <v>639</v>
      </c>
      <c r="C3838" s="101" t="s">
        <v>152</v>
      </c>
      <c r="D3838" s="101" t="s">
        <v>436</v>
      </c>
      <c r="E3838" s="101" t="s">
        <v>140</v>
      </c>
    </row>
    <row r="3839" spans="1:5" x14ac:dyDescent="0.3">
      <c r="A3839" t="str">
        <f t="shared" si="59"/>
        <v>0212578</v>
      </c>
      <c r="B3839" s="101" t="s">
        <v>639</v>
      </c>
      <c r="C3839" s="101" t="s">
        <v>152</v>
      </c>
      <c r="D3839" s="101" t="s">
        <v>437</v>
      </c>
      <c r="E3839" s="101" t="s">
        <v>140</v>
      </c>
    </row>
    <row r="3840" spans="1:5" x14ac:dyDescent="0.3">
      <c r="A3840" t="str">
        <f t="shared" si="59"/>
        <v>0212807</v>
      </c>
      <c r="B3840" s="101" t="s">
        <v>639</v>
      </c>
      <c r="C3840" s="101" t="s">
        <v>152</v>
      </c>
      <c r="D3840" s="101" t="s">
        <v>185</v>
      </c>
      <c r="E3840" s="101" t="s">
        <v>17</v>
      </c>
    </row>
    <row r="3841" spans="1:5" x14ac:dyDescent="0.3">
      <c r="A3841" t="str">
        <f t="shared" si="59"/>
        <v>0212808</v>
      </c>
      <c r="B3841" s="101" t="s">
        <v>639</v>
      </c>
      <c r="C3841" s="101" t="s">
        <v>152</v>
      </c>
      <c r="D3841" s="101" t="s">
        <v>186</v>
      </c>
      <c r="E3841" s="101" t="s">
        <v>17</v>
      </c>
    </row>
    <row r="3842" spans="1:5" x14ac:dyDescent="0.3">
      <c r="A3842" t="str">
        <f t="shared" si="59"/>
        <v>0212812</v>
      </c>
      <c r="B3842" s="101" t="s">
        <v>639</v>
      </c>
      <c r="C3842" s="101" t="s">
        <v>152</v>
      </c>
      <c r="D3842" s="101" t="s">
        <v>190</v>
      </c>
      <c r="E3842" s="101" t="s">
        <v>17</v>
      </c>
    </row>
    <row r="3843" spans="1:5" x14ac:dyDescent="0.3">
      <c r="A3843" t="str">
        <f t="shared" ref="A3843:A3906" si="60">CONCATENATE(B3843,C3843,D3843,F3843)</f>
        <v>0212814</v>
      </c>
      <c r="B3843" s="101" t="s">
        <v>639</v>
      </c>
      <c r="C3843" s="101" t="s">
        <v>152</v>
      </c>
      <c r="D3843" s="101" t="s">
        <v>333</v>
      </c>
      <c r="E3843" s="101" t="s">
        <v>17</v>
      </c>
    </row>
    <row r="3844" spans="1:5" x14ac:dyDescent="0.3">
      <c r="A3844" t="str">
        <f t="shared" si="60"/>
        <v>0212815</v>
      </c>
      <c r="B3844" s="101" t="s">
        <v>639</v>
      </c>
      <c r="C3844" s="101" t="s">
        <v>152</v>
      </c>
      <c r="D3844" s="101" t="s">
        <v>335</v>
      </c>
      <c r="E3844" s="101" t="s">
        <v>17</v>
      </c>
    </row>
    <row r="3845" spans="1:5" x14ac:dyDescent="0.3">
      <c r="A3845" t="str">
        <f t="shared" si="60"/>
        <v>0212820</v>
      </c>
      <c r="B3845" s="101" t="s">
        <v>639</v>
      </c>
      <c r="C3845" s="101" t="s">
        <v>152</v>
      </c>
      <c r="D3845" s="101" t="s">
        <v>548</v>
      </c>
      <c r="E3845" s="101" t="s">
        <v>17</v>
      </c>
    </row>
    <row r="3846" spans="1:5" x14ac:dyDescent="0.3">
      <c r="A3846" t="str">
        <f t="shared" si="60"/>
        <v>0212827</v>
      </c>
      <c r="B3846" s="101" t="s">
        <v>639</v>
      </c>
      <c r="C3846" s="101" t="s">
        <v>152</v>
      </c>
      <c r="D3846" s="101" t="s">
        <v>361</v>
      </c>
      <c r="E3846" s="101" t="s">
        <v>19</v>
      </c>
    </row>
    <row r="3847" spans="1:5" x14ac:dyDescent="0.3">
      <c r="A3847" t="str">
        <f t="shared" si="60"/>
        <v>0112873</v>
      </c>
      <c r="B3847" s="101" t="s">
        <v>640</v>
      </c>
      <c r="C3847" s="101" t="s">
        <v>152</v>
      </c>
      <c r="D3847" s="101" t="s">
        <v>566</v>
      </c>
      <c r="E3847" s="101" t="s">
        <v>139</v>
      </c>
    </row>
    <row r="3848" spans="1:5" x14ac:dyDescent="0.3">
      <c r="A3848" t="str">
        <f t="shared" si="60"/>
        <v>0512873</v>
      </c>
      <c r="B3848" s="101" t="s">
        <v>313</v>
      </c>
      <c r="C3848" s="101" t="s">
        <v>152</v>
      </c>
      <c r="D3848" s="101" t="s">
        <v>566</v>
      </c>
      <c r="E3848" s="101" t="s">
        <v>139</v>
      </c>
    </row>
    <row r="3849" spans="1:5" x14ac:dyDescent="0.3">
      <c r="A3849" t="str">
        <f t="shared" si="60"/>
        <v>0712873</v>
      </c>
      <c r="B3849" s="101" t="s">
        <v>319</v>
      </c>
      <c r="C3849" s="101" t="s">
        <v>152</v>
      </c>
      <c r="D3849" s="101" t="s">
        <v>566</v>
      </c>
      <c r="E3849" s="101" t="s">
        <v>139</v>
      </c>
    </row>
    <row r="3850" spans="1:5" x14ac:dyDescent="0.3">
      <c r="A3850" t="str">
        <f t="shared" si="60"/>
        <v>0812873</v>
      </c>
      <c r="B3850" s="101" t="s">
        <v>320</v>
      </c>
      <c r="C3850" s="101" t="s">
        <v>152</v>
      </c>
      <c r="D3850" s="101" t="s">
        <v>566</v>
      </c>
      <c r="E3850" s="101" t="s">
        <v>139</v>
      </c>
    </row>
    <row r="3851" spans="1:5" x14ac:dyDescent="0.3">
      <c r="A3851" t="str">
        <f t="shared" si="60"/>
        <v>0212874</v>
      </c>
      <c r="B3851" s="101" t="s">
        <v>639</v>
      </c>
      <c r="C3851" s="101" t="s">
        <v>152</v>
      </c>
      <c r="D3851" s="101" t="s">
        <v>567</v>
      </c>
      <c r="E3851" s="101" t="s">
        <v>17</v>
      </c>
    </row>
    <row r="3852" spans="1:5" x14ac:dyDescent="0.3">
      <c r="A3852" t="str">
        <f t="shared" si="60"/>
        <v>0712874</v>
      </c>
      <c r="B3852" s="101" t="s">
        <v>319</v>
      </c>
      <c r="C3852" s="101" t="s">
        <v>152</v>
      </c>
      <c r="D3852" s="101" t="s">
        <v>567</v>
      </c>
      <c r="E3852" s="101" t="s">
        <v>17</v>
      </c>
    </row>
    <row r="3853" spans="1:5" x14ac:dyDescent="0.3">
      <c r="A3853" t="str">
        <f t="shared" si="60"/>
        <v>0213004</v>
      </c>
      <c r="B3853" s="101" t="s">
        <v>639</v>
      </c>
      <c r="C3853" s="101" t="s">
        <v>154</v>
      </c>
      <c r="D3853" s="101" t="s">
        <v>598</v>
      </c>
      <c r="E3853" s="101" t="s">
        <v>17</v>
      </c>
    </row>
    <row r="3854" spans="1:5" x14ac:dyDescent="0.3">
      <c r="A3854" t="str">
        <f t="shared" si="60"/>
        <v>0213013</v>
      </c>
      <c r="B3854" s="101" t="s">
        <v>639</v>
      </c>
      <c r="C3854" s="101" t="s">
        <v>154</v>
      </c>
      <c r="D3854" s="101" t="s">
        <v>403</v>
      </c>
      <c r="E3854" s="101" t="s">
        <v>17</v>
      </c>
    </row>
    <row r="3855" spans="1:5" x14ac:dyDescent="0.3">
      <c r="A3855" t="str">
        <f t="shared" si="60"/>
        <v>0213015</v>
      </c>
      <c r="B3855" s="101" t="s">
        <v>639</v>
      </c>
      <c r="C3855" s="101" t="s">
        <v>154</v>
      </c>
      <c r="D3855" s="101" t="s">
        <v>321</v>
      </c>
      <c r="E3855" s="101" t="s">
        <v>17</v>
      </c>
    </row>
    <row r="3856" spans="1:5" x14ac:dyDescent="0.3">
      <c r="A3856" t="str">
        <f t="shared" si="60"/>
        <v>0213025</v>
      </c>
      <c r="B3856" s="101" t="s">
        <v>639</v>
      </c>
      <c r="C3856" s="101" t="s">
        <v>154</v>
      </c>
      <c r="D3856" s="101" t="s">
        <v>367</v>
      </c>
      <c r="E3856" s="101" t="s">
        <v>17</v>
      </c>
    </row>
    <row r="3857" spans="1:5" x14ac:dyDescent="0.3">
      <c r="A3857" t="str">
        <f t="shared" si="60"/>
        <v>0213027</v>
      </c>
      <c r="B3857" s="101" t="s">
        <v>639</v>
      </c>
      <c r="C3857" s="101" t="s">
        <v>154</v>
      </c>
      <c r="D3857" s="101" t="s">
        <v>545</v>
      </c>
      <c r="E3857" s="101" t="s">
        <v>17</v>
      </c>
    </row>
    <row r="3858" spans="1:5" x14ac:dyDescent="0.3">
      <c r="A3858" t="str">
        <f t="shared" si="60"/>
        <v>0213029</v>
      </c>
      <c r="B3858" s="101" t="s">
        <v>639</v>
      </c>
      <c r="C3858" s="101" t="s">
        <v>154</v>
      </c>
      <c r="D3858" s="101" t="s">
        <v>355</v>
      </c>
      <c r="E3858" s="101" t="s">
        <v>17</v>
      </c>
    </row>
    <row r="3859" spans="1:5" x14ac:dyDescent="0.3">
      <c r="A3859" t="str">
        <f t="shared" si="60"/>
        <v>0213031</v>
      </c>
      <c r="B3859" s="101" t="s">
        <v>639</v>
      </c>
      <c r="C3859" s="101" t="s">
        <v>154</v>
      </c>
      <c r="D3859" s="101" t="s">
        <v>369</v>
      </c>
      <c r="E3859" s="101" t="s">
        <v>17</v>
      </c>
    </row>
    <row r="3860" spans="1:5" x14ac:dyDescent="0.3">
      <c r="A3860" t="str">
        <f t="shared" si="60"/>
        <v>0113071</v>
      </c>
      <c r="B3860" s="101" t="s">
        <v>640</v>
      </c>
      <c r="C3860" s="101" t="s">
        <v>154</v>
      </c>
      <c r="D3860" s="101" t="s">
        <v>600</v>
      </c>
      <c r="E3860" s="101" t="s">
        <v>140</v>
      </c>
    </row>
    <row r="3861" spans="1:5" x14ac:dyDescent="0.3">
      <c r="A3861" t="str">
        <f t="shared" si="60"/>
        <v>0113072</v>
      </c>
      <c r="B3861" s="101" t="s">
        <v>640</v>
      </c>
      <c r="C3861" s="101" t="s">
        <v>154</v>
      </c>
      <c r="D3861" s="101" t="s">
        <v>601</v>
      </c>
      <c r="E3861" s="101" t="s">
        <v>19</v>
      </c>
    </row>
    <row r="3862" spans="1:5" x14ac:dyDescent="0.3">
      <c r="A3862" t="str">
        <f t="shared" si="60"/>
        <v>0113501</v>
      </c>
      <c r="B3862" s="101" t="s">
        <v>640</v>
      </c>
      <c r="C3862" s="101" t="s">
        <v>154</v>
      </c>
      <c r="D3862" s="101" t="s">
        <v>147</v>
      </c>
      <c r="E3862" s="101" t="s">
        <v>139</v>
      </c>
    </row>
    <row r="3863" spans="1:5" x14ac:dyDescent="0.3">
      <c r="A3863" t="str">
        <f t="shared" si="60"/>
        <v>0113510</v>
      </c>
      <c r="B3863" s="101" t="s">
        <v>640</v>
      </c>
      <c r="C3863" s="101" t="s">
        <v>154</v>
      </c>
      <c r="D3863" s="101" t="s">
        <v>385</v>
      </c>
      <c r="E3863" s="101" t="s">
        <v>139</v>
      </c>
    </row>
    <row r="3864" spans="1:5" x14ac:dyDescent="0.3">
      <c r="A3864" t="str">
        <f t="shared" si="60"/>
        <v>0313510</v>
      </c>
      <c r="B3864" s="101" t="s">
        <v>16</v>
      </c>
      <c r="C3864" s="101" t="s">
        <v>154</v>
      </c>
      <c r="D3864" s="101" t="s">
        <v>385</v>
      </c>
      <c r="E3864" s="101" t="s">
        <v>139</v>
      </c>
    </row>
    <row r="3865" spans="1:5" x14ac:dyDescent="0.3">
      <c r="A3865" t="str">
        <f t="shared" si="60"/>
        <v>0113511</v>
      </c>
      <c r="B3865" s="101" t="s">
        <v>640</v>
      </c>
      <c r="C3865" s="101" t="s">
        <v>154</v>
      </c>
      <c r="D3865" s="101" t="s">
        <v>386</v>
      </c>
      <c r="E3865" s="101" t="s">
        <v>139</v>
      </c>
    </row>
    <row r="3866" spans="1:5" x14ac:dyDescent="0.3">
      <c r="A3866" t="str">
        <f t="shared" si="60"/>
        <v>0313511</v>
      </c>
      <c r="B3866" s="101" t="s">
        <v>16</v>
      </c>
      <c r="C3866" s="101" t="s">
        <v>154</v>
      </c>
      <c r="D3866" s="101" t="s">
        <v>386</v>
      </c>
      <c r="E3866" s="101" t="s">
        <v>139</v>
      </c>
    </row>
    <row r="3867" spans="1:5" x14ac:dyDescent="0.3">
      <c r="A3867" t="str">
        <f t="shared" si="60"/>
        <v>0213546</v>
      </c>
      <c r="B3867" s="101" t="s">
        <v>639</v>
      </c>
      <c r="C3867" s="101" t="s">
        <v>154</v>
      </c>
      <c r="D3867" s="101" t="s">
        <v>373</v>
      </c>
      <c r="E3867" s="101" t="s">
        <v>17</v>
      </c>
    </row>
    <row r="3868" spans="1:5" x14ac:dyDescent="0.3">
      <c r="A3868" t="str">
        <f t="shared" si="60"/>
        <v>0413546</v>
      </c>
      <c r="B3868" s="101" t="s">
        <v>18</v>
      </c>
      <c r="C3868" s="101" t="s">
        <v>154</v>
      </c>
      <c r="D3868" s="101" t="s">
        <v>373</v>
      </c>
      <c r="E3868" s="101" t="s">
        <v>17</v>
      </c>
    </row>
    <row r="3869" spans="1:5" x14ac:dyDescent="0.3">
      <c r="A3869" t="str">
        <f t="shared" si="60"/>
        <v>0213812</v>
      </c>
      <c r="B3869" s="101" t="s">
        <v>639</v>
      </c>
      <c r="C3869" s="101" t="s">
        <v>154</v>
      </c>
      <c r="D3869" s="101" t="s">
        <v>190</v>
      </c>
      <c r="E3869" s="101" t="s">
        <v>17</v>
      </c>
    </row>
    <row r="3870" spans="1:5" x14ac:dyDescent="0.3">
      <c r="A3870" t="str">
        <f t="shared" si="60"/>
        <v>0213815</v>
      </c>
      <c r="B3870" s="101" t="s">
        <v>639</v>
      </c>
      <c r="C3870" s="101" t="s">
        <v>154</v>
      </c>
      <c r="D3870" s="101" t="s">
        <v>335</v>
      </c>
      <c r="E3870" s="101" t="s">
        <v>17</v>
      </c>
    </row>
    <row r="3871" spans="1:5" x14ac:dyDescent="0.3">
      <c r="A3871" t="str">
        <f t="shared" si="60"/>
        <v>0213826</v>
      </c>
      <c r="B3871" s="101" t="s">
        <v>639</v>
      </c>
      <c r="C3871" s="101" t="s">
        <v>154</v>
      </c>
      <c r="D3871" s="101" t="s">
        <v>359</v>
      </c>
      <c r="E3871" s="101" t="s">
        <v>19</v>
      </c>
    </row>
    <row r="3872" spans="1:5" x14ac:dyDescent="0.3">
      <c r="A3872" t="str">
        <f t="shared" si="60"/>
        <v>0213827</v>
      </c>
      <c r="B3872" s="101" t="s">
        <v>639</v>
      </c>
      <c r="C3872" s="101" t="s">
        <v>154</v>
      </c>
      <c r="D3872" s="101" t="s">
        <v>361</v>
      </c>
      <c r="E3872" s="101" t="s">
        <v>19</v>
      </c>
    </row>
    <row r="3873" spans="1:5" x14ac:dyDescent="0.3">
      <c r="A3873" t="str">
        <f t="shared" si="60"/>
        <v>0113837</v>
      </c>
      <c r="B3873" s="101" t="s">
        <v>640</v>
      </c>
      <c r="C3873" s="101" t="s">
        <v>154</v>
      </c>
      <c r="D3873" s="101" t="s">
        <v>557</v>
      </c>
      <c r="E3873" s="101" t="s">
        <v>139</v>
      </c>
    </row>
    <row r="3874" spans="1:5" x14ac:dyDescent="0.3">
      <c r="A3874" t="str">
        <f t="shared" si="60"/>
        <v>0313837</v>
      </c>
      <c r="B3874" s="101" t="s">
        <v>16</v>
      </c>
      <c r="C3874" s="101" t="s">
        <v>154</v>
      </c>
      <c r="D3874" s="101" t="s">
        <v>557</v>
      </c>
      <c r="E3874" s="101" t="s">
        <v>139</v>
      </c>
    </row>
    <row r="3875" spans="1:5" x14ac:dyDescent="0.3">
      <c r="A3875" t="str">
        <f t="shared" si="60"/>
        <v>0113838</v>
      </c>
      <c r="B3875" s="101" t="s">
        <v>640</v>
      </c>
      <c r="C3875" s="101" t="s">
        <v>154</v>
      </c>
      <c r="D3875" s="101" t="s">
        <v>558</v>
      </c>
      <c r="E3875" s="101" t="s">
        <v>139</v>
      </c>
    </row>
    <row r="3876" spans="1:5" x14ac:dyDescent="0.3">
      <c r="A3876" t="str">
        <f t="shared" si="60"/>
        <v>0113839</v>
      </c>
      <c r="B3876" s="101" t="s">
        <v>640</v>
      </c>
      <c r="C3876" s="101" t="s">
        <v>154</v>
      </c>
      <c r="D3876" s="101" t="s">
        <v>559</v>
      </c>
      <c r="E3876" s="101" t="s">
        <v>139</v>
      </c>
    </row>
    <row r="3877" spans="1:5" x14ac:dyDescent="0.3">
      <c r="A3877" t="str">
        <f t="shared" si="60"/>
        <v>0713874</v>
      </c>
      <c r="B3877" s="101" t="s">
        <v>319</v>
      </c>
      <c r="C3877" s="101" t="s">
        <v>154</v>
      </c>
      <c r="D3877" s="101" t="s">
        <v>567</v>
      </c>
      <c r="E3877" s="101" t="s">
        <v>17</v>
      </c>
    </row>
    <row r="3878" spans="1:5" x14ac:dyDescent="0.3">
      <c r="A3878" t="str">
        <f t="shared" si="60"/>
        <v>0214003</v>
      </c>
      <c r="B3878" s="101" t="s">
        <v>639</v>
      </c>
      <c r="C3878" s="101" t="s">
        <v>156</v>
      </c>
      <c r="D3878" s="101" t="s">
        <v>597</v>
      </c>
      <c r="E3878" s="101" t="s">
        <v>17</v>
      </c>
    </row>
    <row r="3879" spans="1:5" x14ac:dyDescent="0.3">
      <c r="A3879" t="str">
        <f t="shared" si="60"/>
        <v>0314003</v>
      </c>
      <c r="B3879" s="101" t="s">
        <v>16</v>
      </c>
      <c r="C3879" s="101" t="s">
        <v>156</v>
      </c>
      <c r="D3879" s="101" t="s">
        <v>597</v>
      </c>
      <c r="E3879" s="101" t="s">
        <v>17</v>
      </c>
    </row>
    <row r="3880" spans="1:5" x14ac:dyDescent="0.3">
      <c r="A3880" t="str">
        <f t="shared" si="60"/>
        <v>0114008</v>
      </c>
      <c r="B3880" s="101" t="s">
        <v>640</v>
      </c>
      <c r="C3880" s="101" t="s">
        <v>156</v>
      </c>
      <c r="D3880" s="101" t="s">
        <v>405</v>
      </c>
      <c r="E3880" s="101" t="s">
        <v>17</v>
      </c>
    </row>
    <row r="3881" spans="1:5" x14ac:dyDescent="0.3">
      <c r="A3881" t="str">
        <f t="shared" si="60"/>
        <v>0214011</v>
      </c>
      <c r="B3881" s="101" t="s">
        <v>639</v>
      </c>
      <c r="C3881" s="101" t="s">
        <v>156</v>
      </c>
      <c r="D3881" s="101" t="s">
        <v>402</v>
      </c>
      <c r="E3881" s="101" t="s">
        <v>17</v>
      </c>
    </row>
    <row r="3882" spans="1:5" x14ac:dyDescent="0.3">
      <c r="A3882" t="str">
        <f t="shared" si="60"/>
        <v>0114036</v>
      </c>
      <c r="B3882" s="101" t="s">
        <v>640</v>
      </c>
      <c r="C3882" s="101" t="s">
        <v>156</v>
      </c>
      <c r="D3882" s="101" t="s">
        <v>580</v>
      </c>
      <c r="E3882" s="101" t="s">
        <v>139</v>
      </c>
    </row>
    <row r="3883" spans="1:5" x14ac:dyDescent="0.3">
      <c r="A3883" t="str">
        <f t="shared" si="60"/>
        <v>0214038</v>
      </c>
      <c r="B3883" s="101" t="s">
        <v>639</v>
      </c>
      <c r="C3883" s="101" t="s">
        <v>156</v>
      </c>
      <c r="D3883" s="101" t="s">
        <v>581</v>
      </c>
      <c r="E3883" s="101" t="s">
        <v>17</v>
      </c>
    </row>
    <row r="3884" spans="1:5" x14ac:dyDescent="0.3">
      <c r="A3884" t="str">
        <f t="shared" si="60"/>
        <v>0314038</v>
      </c>
      <c r="B3884" s="101" t="s">
        <v>16</v>
      </c>
      <c r="C3884" s="101" t="s">
        <v>156</v>
      </c>
      <c r="D3884" s="101" t="s">
        <v>581</v>
      </c>
      <c r="E3884" s="101" t="s">
        <v>17</v>
      </c>
    </row>
    <row r="3885" spans="1:5" x14ac:dyDescent="0.3">
      <c r="A3885" t="str">
        <f t="shared" si="60"/>
        <v>0214039</v>
      </c>
      <c r="B3885" s="101" t="s">
        <v>639</v>
      </c>
      <c r="C3885" s="101" t="s">
        <v>156</v>
      </c>
      <c r="D3885" s="101" t="s">
        <v>582</v>
      </c>
      <c r="E3885" s="101" t="s">
        <v>17</v>
      </c>
    </row>
    <row r="3886" spans="1:5" x14ac:dyDescent="0.3">
      <c r="A3886" t="str">
        <f t="shared" si="60"/>
        <v>0614056</v>
      </c>
      <c r="B3886" s="101" t="s">
        <v>317</v>
      </c>
      <c r="C3886" s="101" t="s">
        <v>156</v>
      </c>
      <c r="D3886" s="101" t="s">
        <v>626</v>
      </c>
      <c r="E3886" s="101" t="s">
        <v>140</v>
      </c>
    </row>
    <row r="3887" spans="1:5" x14ac:dyDescent="0.3">
      <c r="A3887" t="str">
        <f t="shared" si="60"/>
        <v>0714056</v>
      </c>
      <c r="B3887" s="101" t="s">
        <v>319</v>
      </c>
      <c r="C3887" s="101" t="s">
        <v>156</v>
      </c>
      <c r="D3887" s="101" t="s">
        <v>626</v>
      </c>
      <c r="E3887" s="101" t="s">
        <v>140</v>
      </c>
    </row>
    <row r="3888" spans="1:5" x14ac:dyDescent="0.3">
      <c r="A3888" t="str">
        <f t="shared" si="60"/>
        <v>0814056</v>
      </c>
      <c r="B3888" s="101" t="s">
        <v>320</v>
      </c>
      <c r="C3888" s="101" t="s">
        <v>156</v>
      </c>
      <c r="D3888" s="101" t="s">
        <v>626</v>
      </c>
      <c r="E3888" s="101" t="s">
        <v>140</v>
      </c>
    </row>
    <row r="3889" spans="1:5" x14ac:dyDescent="0.3">
      <c r="A3889" t="str">
        <f t="shared" si="60"/>
        <v>0114062</v>
      </c>
      <c r="B3889" s="101" t="s">
        <v>640</v>
      </c>
      <c r="C3889" s="101" t="s">
        <v>156</v>
      </c>
      <c r="D3889" s="101" t="s">
        <v>632</v>
      </c>
      <c r="E3889" s="101" t="s">
        <v>140</v>
      </c>
    </row>
    <row r="3890" spans="1:5" x14ac:dyDescent="0.3">
      <c r="A3890" t="str">
        <f t="shared" si="60"/>
        <v>0114063</v>
      </c>
      <c r="B3890" s="101" t="s">
        <v>640</v>
      </c>
      <c r="C3890" s="101" t="s">
        <v>156</v>
      </c>
      <c r="D3890" s="101" t="s">
        <v>631</v>
      </c>
      <c r="E3890" s="101" t="s">
        <v>19</v>
      </c>
    </row>
    <row r="3891" spans="1:5" x14ac:dyDescent="0.3">
      <c r="A3891" t="str">
        <f t="shared" si="60"/>
        <v>0114500</v>
      </c>
      <c r="B3891" s="101" t="s">
        <v>640</v>
      </c>
      <c r="C3891" s="101" t="s">
        <v>156</v>
      </c>
      <c r="D3891" s="101" t="s">
        <v>146</v>
      </c>
      <c r="E3891" s="101" t="s">
        <v>139</v>
      </c>
    </row>
    <row r="3892" spans="1:5" x14ac:dyDescent="0.3">
      <c r="A3892" t="str">
        <f t="shared" si="60"/>
        <v>0114512</v>
      </c>
      <c r="B3892" s="101" t="s">
        <v>640</v>
      </c>
      <c r="C3892" s="101" t="s">
        <v>156</v>
      </c>
      <c r="D3892" s="101" t="s">
        <v>398</v>
      </c>
      <c r="E3892" s="101" t="s">
        <v>139</v>
      </c>
    </row>
    <row r="3893" spans="1:5" x14ac:dyDescent="0.3">
      <c r="A3893" t="str">
        <f t="shared" si="60"/>
        <v>0314512</v>
      </c>
      <c r="B3893" s="101" t="s">
        <v>16</v>
      </c>
      <c r="C3893" s="101" t="s">
        <v>156</v>
      </c>
      <c r="D3893" s="101" t="s">
        <v>398</v>
      </c>
      <c r="E3893" s="101" t="s">
        <v>139</v>
      </c>
    </row>
    <row r="3894" spans="1:5" x14ac:dyDescent="0.3">
      <c r="A3894" t="str">
        <f t="shared" si="60"/>
        <v>0214522</v>
      </c>
      <c r="B3894" s="101" t="s">
        <v>639</v>
      </c>
      <c r="C3894" s="101" t="s">
        <v>156</v>
      </c>
      <c r="D3894" s="101" t="s">
        <v>345</v>
      </c>
      <c r="E3894" s="101" t="s">
        <v>17</v>
      </c>
    </row>
    <row r="3895" spans="1:5" x14ac:dyDescent="0.3">
      <c r="A3895" t="str">
        <f t="shared" si="60"/>
        <v>0214523</v>
      </c>
      <c r="B3895" s="101" t="s">
        <v>639</v>
      </c>
      <c r="C3895" s="101" t="s">
        <v>156</v>
      </c>
      <c r="D3895" s="101" t="s">
        <v>408</v>
      </c>
      <c r="E3895" s="101" t="s">
        <v>17</v>
      </c>
    </row>
    <row r="3896" spans="1:5" x14ac:dyDescent="0.3">
      <c r="A3896" t="str">
        <f t="shared" si="60"/>
        <v>0114531</v>
      </c>
      <c r="B3896" s="101" t="s">
        <v>640</v>
      </c>
      <c r="C3896" s="101" t="s">
        <v>156</v>
      </c>
      <c r="D3896" s="101" t="s">
        <v>409</v>
      </c>
      <c r="E3896" s="101" t="s">
        <v>17</v>
      </c>
    </row>
    <row r="3897" spans="1:5" x14ac:dyDescent="0.3">
      <c r="A3897" t="str">
        <f t="shared" si="60"/>
        <v>0214807</v>
      </c>
      <c r="B3897" s="101" t="s">
        <v>639</v>
      </c>
      <c r="C3897" s="101" t="s">
        <v>156</v>
      </c>
      <c r="D3897" s="101" t="s">
        <v>185</v>
      </c>
      <c r="E3897" s="101" t="s">
        <v>17</v>
      </c>
    </row>
    <row r="3898" spans="1:5" x14ac:dyDescent="0.3">
      <c r="A3898" t="str">
        <f t="shared" si="60"/>
        <v>0214808</v>
      </c>
      <c r="B3898" s="101" t="s">
        <v>639</v>
      </c>
      <c r="C3898" s="101" t="s">
        <v>156</v>
      </c>
      <c r="D3898" s="101" t="s">
        <v>186</v>
      </c>
      <c r="E3898" s="101" t="s">
        <v>17</v>
      </c>
    </row>
    <row r="3899" spans="1:5" x14ac:dyDescent="0.3">
      <c r="A3899" t="str">
        <f t="shared" si="60"/>
        <v>0414808</v>
      </c>
      <c r="B3899" s="101" t="s">
        <v>18</v>
      </c>
      <c r="C3899" s="101" t="s">
        <v>156</v>
      </c>
      <c r="D3899" s="101" t="s">
        <v>186</v>
      </c>
      <c r="E3899" s="101" t="s">
        <v>17</v>
      </c>
    </row>
    <row r="3900" spans="1:5" x14ac:dyDescent="0.3">
      <c r="A3900" t="str">
        <f t="shared" si="60"/>
        <v>0114814</v>
      </c>
      <c r="B3900" s="101" t="s">
        <v>640</v>
      </c>
      <c r="C3900" s="101" t="s">
        <v>156</v>
      </c>
      <c r="D3900" s="101" t="s">
        <v>333</v>
      </c>
      <c r="E3900" s="101" t="s">
        <v>17</v>
      </c>
    </row>
    <row r="3901" spans="1:5" x14ac:dyDescent="0.3">
      <c r="A3901" t="str">
        <f t="shared" si="60"/>
        <v>0214826</v>
      </c>
      <c r="B3901" s="101" t="s">
        <v>639</v>
      </c>
      <c r="C3901" s="101" t="s">
        <v>156</v>
      </c>
      <c r="D3901" s="101" t="s">
        <v>359</v>
      </c>
      <c r="E3901" s="101" t="s">
        <v>19</v>
      </c>
    </row>
    <row r="3902" spans="1:5" x14ac:dyDescent="0.3">
      <c r="A3902" t="str">
        <f t="shared" si="60"/>
        <v>0214827</v>
      </c>
      <c r="B3902" s="101" t="s">
        <v>639</v>
      </c>
      <c r="C3902" s="101" t="s">
        <v>156</v>
      </c>
      <c r="D3902" s="101" t="s">
        <v>361</v>
      </c>
      <c r="E3902" s="101" t="s">
        <v>19</v>
      </c>
    </row>
    <row r="3903" spans="1:5" x14ac:dyDescent="0.3">
      <c r="A3903" t="str">
        <f t="shared" si="60"/>
        <v>0114837</v>
      </c>
      <c r="B3903" s="101" t="s">
        <v>640</v>
      </c>
      <c r="C3903" s="101" t="s">
        <v>156</v>
      </c>
      <c r="D3903" s="101" t="s">
        <v>557</v>
      </c>
      <c r="E3903" s="101" t="s">
        <v>139</v>
      </c>
    </row>
    <row r="3904" spans="1:5" x14ac:dyDescent="0.3">
      <c r="A3904" t="str">
        <f t="shared" si="60"/>
        <v>0714874</v>
      </c>
      <c r="B3904" s="101" t="s">
        <v>319</v>
      </c>
      <c r="C3904" s="101" t="s">
        <v>156</v>
      </c>
      <c r="D3904" s="101" t="s">
        <v>567</v>
      </c>
      <c r="E3904" s="101" t="s">
        <v>17</v>
      </c>
    </row>
    <row r="3905" spans="1:5" x14ac:dyDescent="0.3">
      <c r="A3905" t="str">
        <f t="shared" si="60"/>
        <v>0814874</v>
      </c>
      <c r="B3905" s="101" t="s">
        <v>320</v>
      </c>
      <c r="C3905" s="101" t="s">
        <v>156</v>
      </c>
      <c r="D3905" s="101" t="s">
        <v>567</v>
      </c>
      <c r="E3905" s="101" t="s">
        <v>17</v>
      </c>
    </row>
    <row r="3906" spans="1:5" x14ac:dyDescent="0.3">
      <c r="A3906" t="str">
        <f t="shared" si="60"/>
        <v>0114896</v>
      </c>
      <c r="B3906" s="101" t="s">
        <v>640</v>
      </c>
      <c r="C3906" s="101" t="s">
        <v>156</v>
      </c>
      <c r="D3906" s="101" t="s">
        <v>572</v>
      </c>
      <c r="E3906" s="101" t="s">
        <v>139</v>
      </c>
    </row>
    <row r="3907" spans="1:5" x14ac:dyDescent="0.3">
      <c r="A3907" t="str">
        <f t="shared" ref="A3907:A3970" si="61">CONCATENATE(B3907,C3907,D3907,F3907)</f>
        <v>0415037</v>
      </c>
      <c r="B3907" s="101" t="s">
        <v>18</v>
      </c>
      <c r="C3907" s="101" t="s">
        <v>158</v>
      </c>
      <c r="D3907" s="101" t="s">
        <v>625</v>
      </c>
      <c r="E3907" s="101" t="s">
        <v>17</v>
      </c>
    </row>
    <row r="3908" spans="1:5" x14ac:dyDescent="0.3">
      <c r="A3908" t="str">
        <f t="shared" si="61"/>
        <v>0415066</v>
      </c>
      <c r="B3908" s="101" t="s">
        <v>18</v>
      </c>
      <c r="C3908" s="101" t="s">
        <v>158</v>
      </c>
      <c r="D3908" s="101" t="s">
        <v>609</v>
      </c>
      <c r="E3908" s="101" t="s">
        <v>17</v>
      </c>
    </row>
    <row r="3909" spans="1:5" x14ac:dyDescent="0.3">
      <c r="A3909" t="str">
        <f t="shared" si="61"/>
        <v>0115102</v>
      </c>
      <c r="B3909" s="101" t="s">
        <v>640</v>
      </c>
      <c r="C3909" s="101" t="s">
        <v>158</v>
      </c>
      <c r="D3909" s="101" t="s">
        <v>232</v>
      </c>
      <c r="E3909" s="101" t="s">
        <v>140</v>
      </c>
    </row>
    <row r="3910" spans="1:5" x14ac:dyDescent="0.3">
      <c r="A3910" t="str">
        <f t="shared" si="61"/>
        <v>0115103</v>
      </c>
      <c r="B3910" s="101" t="s">
        <v>640</v>
      </c>
      <c r="C3910" s="101" t="s">
        <v>158</v>
      </c>
      <c r="D3910" s="101" t="s">
        <v>233</v>
      </c>
      <c r="E3910" s="101" t="s">
        <v>19</v>
      </c>
    </row>
    <row r="3911" spans="1:5" x14ac:dyDescent="0.3">
      <c r="A3911" t="str">
        <f t="shared" si="61"/>
        <v>0115500</v>
      </c>
      <c r="B3911" s="101" t="s">
        <v>640</v>
      </c>
      <c r="C3911" s="101" t="s">
        <v>158</v>
      </c>
      <c r="D3911" s="101" t="s">
        <v>146</v>
      </c>
      <c r="E3911" s="101" t="s">
        <v>139</v>
      </c>
    </row>
    <row r="3912" spans="1:5" x14ac:dyDescent="0.3">
      <c r="A3912" t="str">
        <f t="shared" si="61"/>
        <v>0215517</v>
      </c>
      <c r="B3912" s="101" t="s">
        <v>639</v>
      </c>
      <c r="C3912" s="101" t="s">
        <v>158</v>
      </c>
      <c r="D3912" s="101" t="s">
        <v>390</v>
      </c>
      <c r="E3912" s="101" t="s">
        <v>17</v>
      </c>
    </row>
    <row r="3913" spans="1:5" x14ac:dyDescent="0.3">
      <c r="A3913" t="str">
        <f t="shared" si="61"/>
        <v>0415518</v>
      </c>
      <c r="B3913" s="101" t="s">
        <v>18</v>
      </c>
      <c r="C3913" s="101" t="s">
        <v>158</v>
      </c>
      <c r="D3913" s="101" t="s">
        <v>382</v>
      </c>
      <c r="E3913" s="101" t="s">
        <v>17</v>
      </c>
    </row>
    <row r="3914" spans="1:5" x14ac:dyDescent="0.3">
      <c r="A3914" t="str">
        <f t="shared" si="61"/>
        <v>0215519</v>
      </c>
      <c r="B3914" s="101" t="s">
        <v>639</v>
      </c>
      <c r="C3914" s="101" t="s">
        <v>158</v>
      </c>
      <c r="D3914" s="101" t="s">
        <v>383</v>
      </c>
      <c r="E3914" s="101" t="s">
        <v>17</v>
      </c>
    </row>
    <row r="3915" spans="1:5" x14ac:dyDescent="0.3">
      <c r="A3915" t="str">
        <f t="shared" si="61"/>
        <v>0515519</v>
      </c>
      <c r="B3915" s="101" t="s">
        <v>313</v>
      </c>
      <c r="C3915" s="101" t="s">
        <v>158</v>
      </c>
      <c r="D3915" s="101" t="s">
        <v>383</v>
      </c>
      <c r="E3915" s="101" t="s">
        <v>17</v>
      </c>
    </row>
    <row r="3916" spans="1:5" x14ac:dyDescent="0.3">
      <c r="A3916" t="str">
        <f t="shared" si="61"/>
        <v>0615519</v>
      </c>
      <c r="B3916" s="101" t="s">
        <v>317</v>
      </c>
      <c r="C3916" s="101" t="s">
        <v>158</v>
      </c>
      <c r="D3916" s="101" t="s">
        <v>383</v>
      </c>
      <c r="E3916" s="101" t="s">
        <v>17</v>
      </c>
    </row>
    <row r="3917" spans="1:5" x14ac:dyDescent="0.3">
      <c r="A3917" t="str">
        <f t="shared" si="61"/>
        <v>0715519</v>
      </c>
      <c r="B3917" s="101" t="s">
        <v>319</v>
      </c>
      <c r="C3917" s="101" t="s">
        <v>158</v>
      </c>
      <c r="D3917" s="101" t="s">
        <v>383</v>
      </c>
      <c r="E3917" s="101" t="s">
        <v>17</v>
      </c>
    </row>
    <row r="3918" spans="1:5" x14ac:dyDescent="0.3">
      <c r="A3918" t="str">
        <f t="shared" si="61"/>
        <v>0815519</v>
      </c>
      <c r="B3918" s="101" t="s">
        <v>320</v>
      </c>
      <c r="C3918" s="101" t="s">
        <v>158</v>
      </c>
      <c r="D3918" s="101" t="s">
        <v>383</v>
      </c>
      <c r="E3918" s="101" t="s">
        <v>17</v>
      </c>
    </row>
    <row r="3919" spans="1:5" x14ac:dyDescent="0.3">
      <c r="A3919" t="str">
        <f t="shared" si="61"/>
        <v>0215520</v>
      </c>
      <c r="B3919" s="101" t="s">
        <v>639</v>
      </c>
      <c r="C3919" s="101" t="s">
        <v>158</v>
      </c>
      <c r="D3919" s="101" t="s">
        <v>404</v>
      </c>
      <c r="E3919" s="101" t="s">
        <v>17</v>
      </c>
    </row>
    <row r="3920" spans="1:5" x14ac:dyDescent="0.3">
      <c r="A3920" t="str">
        <f t="shared" si="61"/>
        <v>0515520</v>
      </c>
      <c r="B3920" s="101" t="s">
        <v>313</v>
      </c>
      <c r="C3920" s="101" t="s">
        <v>158</v>
      </c>
      <c r="D3920" s="101" t="s">
        <v>404</v>
      </c>
      <c r="E3920" s="101" t="s">
        <v>17</v>
      </c>
    </row>
    <row r="3921" spans="1:5" x14ac:dyDescent="0.3">
      <c r="A3921" t="str">
        <f t="shared" si="61"/>
        <v>0615520</v>
      </c>
      <c r="B3921" s="101" t="s">
        <v>317</v>
      </c>
      <c r="C3921" s="101" t="s">
        <v>158</v>
      </c>
      <c r="D3921" s="101" t="s">
        <v>404</v>
      </c>
      <c r="E3921" s="101" t="s">
        <v>17</v>
      </c>
    </row>
    <row r="3922" spans="1:5" x14ac:dyDescent="0.3">
      <c r="A3922" t="str">
        <f t="shared" si="61"/>
        <v>0715520</v>
      </c>
      <c r="B3922" s="101" t="s">
        <v>319</v>
      </c>
      <c r="C3922" s="101" t="s">
        <v>158</v>
      </c>
      <c r="D3922" s="101" t="s">
        <v>404</v>
      </c>
      <c r="E3922" s="101" t="s">
        <v>17</v>
      </c>
    </row>
    <row r="3923" spans="1:5" x14ac:dyDescent="0.3">
      <c r="A3923" t="str">
        <f t="shared" si="61"/>
        <v>0815520</v>
      </c>
      <c r="B3923" s="101" t="s">
        <v>320</v>
      </c>
      <c r="C3923" s="101" t="s">
        <v>158</v>
      </c>
      <c r="D3923" s="101" t="s">
        <v>404</v>
      </c>
      <c r="E3923" s="101" t="s">
        <v>17</v>
      </c>
    </row>
    <row r="3924" spans="1:5" x14ac:dyDescent="0.3">
      <c r="A3924" t="str">
        <f t="shared" si="61"/>
        <v>0215522</v>
      </c>
      <c r="B3924" s="101" t="s">
        <v>639</v>
      </c>
      <c r="C3924" s="101" t="s">
        <v>158</v>
      </c>
      <c r="D3924" s="101" t="s">
        <v>345</v>
      </c>
      <c r="E3924" s="101" t="s">
        <v>17</v>
      </c>
    </row>
    <row r="3925" spans="1:5" x14ac:dyDescent="0.3">
      <c r="A3925" t="str">
        <f t="shared" si="61"/>
        <v>0515522</v>
      </c>
      <c r="B3925" s="101" t="s">
        <v>313</v>
      </c>
      <c r="C3925" s="101" t="s">
        <v>158</v>
      </c>
      <c r="D3925" s="101" t="s">
        <v>345</v>
      </c>
      <c r="E3925" s="101" t="s">
        <v>17</v>
      </c>
    </row>
    <row r="3926" spans="1:5" x14ac:dyDescent="0.3">
      <c r="A3926" t="str">
        <f t="shared" si="61"/>
        <v>0615522</v>
      </c>
      <c r="B3926" s="101" t="s">
        <v>317</v>
      </c>
      <c r="C3926" s="101" t="s">
        <v>158</v>
      </c>
      <c r="D3926" s="101" t="s">
        <v>345</v>
      </c>
      <c r="E3926" s="101" t="s">
        <v>17</v>
      </c>
    </row>
    <row r="3927" spans="1:5" x14ac:dyDescent="0.3">
      <c r="A3927" t="str">
        <f t="shared" si="61"/>
        <v>0715522</v>
      </c>
      <c r="B3927" s="101" t="s">
        <v>319</v>
      </c>
      <c r="C3927" s="101" t="s">
        <v>158</v>
      </c>
      <c r="D3927" s="101" t="s">
        <v>345</v>
      </c>
      <c r="E3927" s="101" t="s">
        <v>17</v>
      </c>
    </row>
    <row r="3928" spans="1:5" x14ac:dyDescent="0.3">
      <c r="A3928" t="str">
        <f t="shared" si="61"/>
        <v>0815522</v>
      </c>
      <c r="B3928" s="101" t="s">
        <v>320</v>
      </c>
      <c r="C3928" s="101" t="s">
        <v>158</v>
      </c>
      <c r="D3928" s="101" t="s">
        <v>345</v>
      </c>
      <c r="E3928" s="101" t="s">
        <v>17</v>
      </c>
    </row>
    <row r="3929" spans="1:5" x14ac:dyDescent="0.3">
      <c r="A3929" t="str">
        <f t="shared" si="61"/>
        <v>0215523</v>
      </c>
      <c r="B3929" s="101" t="s">
        <v>639</v>
      </c>
      <c r="C3929" s="101" t="s">
        <v>158</v>
      </c>
      <c r="D3929" s="101" t="s">
        <v>408</v>
      </c>
      <c r="E3929" s="101" t="s">
        <v>17</v>
      </c>
    </row>
    <row r="3930" spans="1:5" x14ac:dyDescent="0.3">
      <c r="A3930" t="str">
        <f t="shared" si="61"/>
        <v>0515523</v>
      </c>
      <c r="B3930" s="101" t="s">
        <v>313</v>
      </c>
      <c r="C3930" s="101" t="s">
        <v>158</v>
      </c>
      <c r="D3930" s="101" t="s">
        <v>408</v>
      </c>
      <c r="E3930" s="101" t="s">
        <v>17</v>
      </c>
    </row>
    <row r="3931" spans="1:5" x14ac:dyDescent="0.3">
      <c r="A3931" t="str">
        <f t="shared" si="61"/>
        <v>0615523</v>
      </c>
      <c r="B3931" s="101" t="s">
        <v>317</v>
      </c>
      <c r="C3931" s="101" t="s">
        <v>158</v>
      </c>
      <c r="D3931" s="101" t="s">
        <v>408</v>
      </c>
      <c r="E3931" s="101" t="s">
        <v>17</v>
      </c>
    </row>
    <row r="3932" spans="1:5" x14ac:dyDescent="0.3">
      <c r="A3932" t="str">
        <f t="shared" si="61"/>
        <v>0715523</v>
      </c>
      <c r="B3932" s="101" t="s">
        <v>319</v>
      </c>
      <c r="C3932" s="101" t="s">
        <v>158</v>
      </c>
      <c r="D3932" s="101" t="s">
        <v>408</v>
      </c>
      <c r="E3932" s="101" t="s">
        <v>17</v>
      </c>
    </row>
    <row r="3933" spans="1:5" x14ac:dyDescent="0.3">
      <c r="A3933" t="str">
        <f t="shared" si="61"/>
        <v>0815523</v>
      </c>
      <c r="B3933" s="101" t="s">
        <v>320</v>
      </c>
      <c r="C3933" s="101" t="s">
        <v>158</v>
      </c>
      <c r="D3933" s="101" t="s">
        <v>408</v>
      </c>
      <c r="E3933" s="101" t="s">
        <v>17</v>
      </c>
    </row>
    <row r="3934" spans="1:5" x14ac:dyDescent="0.3">
      <c r="A3934" t="str">
        <f t="shared" si="61"/>
        <v>0215525</v>
      </c>
      <c r="B3934" s="101" t="s">
        <v>639</v>
      </c>
      <c r="C3934" s="101" t="s">
        <v>158</v>
      </c>
      <c r="D3934" s="101" t="s">
        <v>394</v>
      </c>
      <c r="E3934" s="101" t="s">
        <v>17</v>
      </c>
    </row>
    <row r="3935" spans="1:5" x14ac:dyDescent="0.3">
      <c r="A3935" t="str">
        <f t="shared" si="61"/>
        <v>0515525</v>
      </c>
      <c r="B3935" s="101" t="s">
        <v>313</v>
      </c>
      <c r="C3935" s="101" t="s">
        <v>158</v>
      </c>
      <c r="D3935" s="101" t="s">
        <v>394</v>
      </c>
      <c r="E3935" s="101" t="s">
        <v>17</v>
      </c>
    </row>
    <row r="3936" spans="1:5" x14ac:dyDescent="0.3">
      <c r="A3936" t="str">
        <f t="shared" si="61"/>
        <v>0615525</v>
      </c>
      <c r="B3936" s="101" t="s">
        <v>317</v>
      </c>
      <c r="C3936" s="101" t="s">
        <v>158</v>
      </c>
      <c r="D3936" s="101" t="s">
        <v>394</v>
      </c>
      <c r="E3936" s="101" t="s">
        <v>17</v>
      </c>
    </row>
    <row r="3937" spans="1:5" x14ac:dyDescent="0.3">
      <c r="A3937" t="str">
        <f t="shared" si="61"/>
        <v>0715525</v>
      </c>
      <c r="B3937" s="101" t="s">
        <v>319</v>
      </c>
      <c r="C3937" s="101" t="s">
        <v>158</v>
      </c>
      <c r="D3937" s="101" t="s">
        <v>394</v>
      </c>
      <c r="E3937" s="101" t="s">
        <v>17</v>
      </c>
    </row>
    <row r="3938" spans="1:5" x14ac:dyDescent="0.3">
      <c r="A3938" t="str">
        <f t="shared" si="61"/>
        <v>0815525</v>
      </c>
      <c r="B3938" s="101" t="s">
        <v>320</v>
      </c>
      <c r="C3938" s="101" t="s">
        <v>158</v>
      </c>
      <c r="D3938" s="101" t="s">
        <v>394</v>
      </c>
      <c r="E3938" s="101" t="s">
        <v>17</v>
      </c>
    </row>
    <row r="3939" spans="1:5" x14ac:dyDescent="0.3">
      <c r="A3939" t="str">
        <f t="shared" si="61"/>
        <v>0215526</v>
      </c>
      <c r="B3939" s="101" t="s">
        <v>639</v>
      </c>
      <c r="C3939" s="101" t="s">
        <v>158</v>
      </c>
      <c r="D3939" s="101" t="s">
        <v>379</v>
      </c>
      <c r="E3939" s="101" t="s">
        <v>17</v>
      </c>
    </row>
    <row r="3940" spans="1:5" x14ac:dyDescent="0.3">
      <c r="A3940" t="str">
        <f t="shared" si="61"/>
        <v>0515526</v>
      </c>
      <c r="B3940" s="101" t="s">
        <v>313</v>
      </c>
      <c r="C3940" s="101" t="s">
        <v>158</v>
      </c>
      <c r="D3940" s="101" t="s">
        <v>379</v>
      </c>
      <c r="E3940" s="101" t="s">
        <v>17</v>
      </c>
    </row>
    <row r="3941" spans="1:5" x14ac:dyDescent="0.3">
      <c r="A3941" t="str">
        <f t="shared" si="61"/>
        <v>0615526</v>
      </c>
      <c r="B3941" s="101" t="s">
        <v>317</v>
      </c>
      <c r="C3941" s="101" t="s">
        <v>158</v>
      </c>
      <c r="D3941" s="101" t="s">
        <v>379</v>
      </c>
      <c r="E3941" s="101" t="s">
        <v>17</v>
      </c>
    </row>
    <row r="3942" spans="1:5" x14ac:dyDescent="0.3">
      <c r="A3942" t="str">
        <f t="shared" si="61"/>
        <v>0715526</v>
      </c>
      <c r="B3942" s="101" t="s">
        <v>319</v>
      </c>
      <c r="C3942" s="101" t="s">
        <v>158</v>
      </c>
      <c r="D3942" s="101" t="s">
        <v>379</v>
      </c>
      <c r="E3942" s="101" t="s">
        <v>17</v>
      </c>
    </row>
    <row r="3943" spans="1:5" x14ac:dyDescent="0.3">
      <c r="A3943" t="str">
        <f t="shared" si="61"/>
        <v>0815526</v>
      </c>
      <c r="B3943" s="101" t="s">
        <v>320</v>
      </c>
      <c r="C3943" s="101" t="s">
        <v>158</v>
      </c>
      <c r="D3943" s="101" t="s">
        <v>379</v>
      </c>
      <c r="E3943" s="101" t="s">
        <v>17</v>
      </c>
    </row>
    <row r="3944" spans="1:5" x14ac:dyDescent="0.3">
      <c r="A3944" t="str">
        <f t="shared" si="61"/>
        <v>0215528</v>
      </c>
      <c r="B3944" s="101" t="s">
        <v>639</v>
      </c>
      <c r="C3944" s="101" t="s">
        <v>158</v>
      </c>
      <c r="D3944" s="101" t="s">
        <v>381</v>
      </c>
      <c r="E3944" s="101" t="s">
        <v>17</v>
      </c>
    </row>
    <row r="3945" spans="1:5" x14ac:dyDescent="0.3">
      <c r="A3945" t="str">
        <f t="shared" si="61"/>
        <v>0515528</v>
      </c>
      <c r="B3945" s="101" t="s">
        <v>313</v>
      </c>
      <c r="C3945" s="101" t="s">
        <v>158</v>
      </c>
      <c r="D3945" s="101" t="s">
        <v>381</v>
      </c>
      <c r="E3945" s="101" t="s">
        <v>17</v>
      </c>
    </row>
    <row r="3946" spans="1:5" x14ac:dyDescent="0.3">
      <c r="A3946" t="str">
        <f t="shared" si="61"/>
        <v>0615528</v>
      </c>
      <c r="B3946" s="101" t="s">
        <v>317</v>
      </c>
      <c r="C3946" s="101" t="s">
        <v>158</v>
      </c>
      <c r="D3946" s="101" t="s">
        <v>381</v>
      </c>
      <c r="E3946" s="101" t="s">
        <v>17</v>
      </c>
    </row>
    <row r="3947" spans="1:5" x14ac:dyDescent="0.3">
      <c r="A3947" t="str">
        <f t="shared" si="61"/>
        <v>0715528</v>
      </c>
      <c r="B3947" s="101" t="s">
        <v>319</v>
      </c>
      <c r="C3947" s="101" t="s">
        <v>158</v>
      </c>
      <c r="D3947" s="101" t="s">
        <v>381</v>
      </c>
      <c r="E3947" s="101" t="s">
        <v>17</v>
      </c>
    </row>
    <row r="3948" spans="1:5" x14ac:dyDescent="0.3">
      <c r="A3948" t="str">
        <f t="shared" si="61"/>
        <v>0815528</v>
      </c>
      <c r="B3948" s="101" t="s">
        <v>320</v>
      </c>
      <c r="C3948" s="101" t="s">
        <v>158</v>
      </c>
      <c r="D3948" s="101" t="s">
        <v>381</v>
      </c>
      <c r="E3948" s="101" t="s">
        <v>17</v>
      </c>
    </row>
    <row r="3949" spans="1:5" x14ac:dyDescent="0.3">
      <c r="A3949" t="str">
        <f t="shared" si="61"/>
        <v>0215529</v>
      </c>
      <c r="B3949" s="101" t="s">
        <v>639</v>
      </c>
      <c r="C3949" s="101" t="s">
        <v>158</v>
      </c>
      <c r="D3949" s="101" t="s">
        <v>364</v>
      </c>
      <c r="E3949" s="101" t="s">
        <v>17</v>
      </c>
    </row>
    <row r="3950" spans="1:5" x14ac:dyDescent="0.3">
      <c r="A3950" t="str">
        <f t="shared" si="61"/>
        <v>0515529</v>
      </c>
      <c r="B3950" s="101" t="s">
        <v>313</v>
      </c>
      <c r="C3950" s="101" t="s">
        <v>158</v>
      </c>
      <c r="D3950" s="101" t="s">
        <v>364</v>
      </c>
      <c r="E3950" s="101" t="s">
        <v>17</v>
      </c>
    </row>
    <row r="3951" spans="1:5" x14ac:dyDescent="0.3">
      <c r="A3951" t="str">
        <f t="shared" si="61"/>
        <v>0615529</v>
      </c>
      <c r="B3951" s="101" t="s">
        <v>317</v>
      </c>
      <c r="C3951" s="101" t="s">
        <v>158</v>
      </c>
      <c r="D3951" s="101" t="s">
        <v>364</v>
      </c>
      <c r="E3951" s="101" t="s">
        <v>17</v>
      </c>
    </row>
    <row r="3952" spans="1:5" x14ac:dyDescent="0.3">
      <c r="A3952" t="str">
        <f t="shared" si="61"/>
        <v>0715529</v>
      </c>
      <c r="B3952" s="101" t="s">
        <v>319</v>
      </c>
      <c r="C3952" s="101" t="s">
        <v>158</v>
      </c>
      <c r="D3952" s="101" t="s">
        <v>364</v>
      </c>
      <c r="E3952" s="101" t="s">
        <v>17</v>
      </c>
    </row>
    <row r="3953" spans="1:5" x14ac:dyDescent="0.3">
      <c r="A3953" t="str">
        <f t="shared" si="61"/>
        <v>0815529</v>
      </c>
      <c r="B3953" s="101" t="s">
        <v>320</v>
      </c>
      <c r="C3953" s="101" t="s">
        <v>158</v>
      </c>
      <c r="D3953" s="101" t="s">
        <v>364</v>
      </c>
      <c r="E3953" s="101" t="s">
        <v>17</v>
      </c>
    </row>
    <row r="3954" spans="1:5" x14ac:dyDescent="0.3">
      <c r="A3954" t="str">
        <f t="shared" si="61"/>
        <v>0215534</v>
      </c>
      <c r="B3954" s="101" t="s">
        <v>639</v>
      </c>
      <c r="C3954" s="101" t="s">
        <v>158</v>
      </c>
      <c r="D3954" s="101" t="s">
        <v>350</v>
      </c>
      <c r="E3954" s="101" t="s">
        <v>17</v>
      </c>
    </row>
    <row r="3955" spans="1:5" x14ac:dyDescent="0.3">
      <c r="A3955" t="str">
        <f t="shared" si="61"/>
        <v>0515534</v>
      </c>
      <c r="B3955" s="101" t="s">
        <v>313</v>
      </c>
      <c r="C3955" s="101" t="s">
        <v>158</v>
      </c>
      <c r="D3955" s="101" t="s">
        <v>350</v>
      </c>
      <c r="E3955" s="101" t="s">
        <v>17</v>
      </c>
    </row>
    <row r="3956" spans="1:5" x14ac:dyDescent="0.3">
      <c r="A3956" t="str">
        <f t="shared" si="61"/>
        <v>0615534</v>
      </c>
      <c r="B3956" s="101" t="s">
        <v>317</v>
      </c>
      <c r="C3956" s="101" t="s">
        <v>158</v>
      </c>
      <c r="D3956" s="101" t="s">
        <v>350</v>
      </c>
      <c r="E3956" s="101" t="s">
        <v>17</v>
      </c>
    </row>
    <row r="3957" spans="1:5" x14ac:dyDescent="0.3">
      <c r="A3957" t="str">
        <f t="shared" si="61"/>
        <v>0715534</v>
      </c>
      <c r="B3957" s="101" t="s">
        <v>319</v>
      </c>
      <c r="C3957" s="101" t="s">
        <v>158</v>
      </c>
      <c r="D3957" s="101" t="s">
        <v>350</v>
      </c>
      <c r="E3957" s="101" t="s">
        <v>17</v>
      </c>
    </row>
    <row r="3958" spans="1:5" x14ac:dyDescent="0.3">
      <c r="A3958" t="str">
        <f t="shared" si="61"/>
        <v>0815534</v>
      </c>
      <c r="B3958" s="101" t="s">
        <v>320</v>
      </c>
      <c r="C3958" s="101" t="s">
        <v>158</v>
      </c>
      <c r="D3958" s="101" t="s">
        <v>350</v>
      </c>
      <c r="E3958" s="101" t="s">
        <v>17</v>
      </c>
    </row>
    <row r="3959" spans="1:5" x14ac:dyDescent="0.3">
      <c r="A3959" t="str">
        <f t="shared" si="61"/>
        <v>0215535</v>
      </c>
      <c r="B3959" s="101" t="s">
        <v>639</v>
      </c>
      <c r="C3959" s="101" t="s">
        <v>158</v>
      </c>
      <c r="D3959" s="101" t="s">
        <v>410</v>
      </c>
      <c r="E3959" s="101" t="s">
        <v>17</v>
      </c>
    </row>
    <row r="3960" spans="1:5" x14ac:dyDescent="0.3">
      <c r="A3960" t="str">
        <f t="shared" si="61"/>
        <v>0515535</v>
      </c>
      <c r="B3960" s="101" t="s">
        <v>313</v>
      </c>
      <c r="C3960" s="101" t="s">
        <v>158</v>
      </c>
      <c r="D3960" s="101" t="s">
        <v>410</v>
      </c>
      <c r="E3960" s="101" t="s">
        <v>17</v>
      </c>
    </row>
    <row r="3961" spans="1:5" x14ac:dyDescent="0.3">
      <c r="A3961" t="str">
        <f t="shared" si="61"/>
        <v>0715535</v>
      </c>
      <c r="B3961" s="101" t="s">
        <v>319</v>
      </c>
      <c r="C3961" s="101" t="s">
        <v>158</v>
      </c>
      <c r="D3961" s="101" t="s">
        <v>410</v>
      </c>
      <c r="E3961" s="101" t="s">
        <v>17</v>
      </c>
    </row>
    <row r="3962" spans="1:5" x14ac:dyDescent="0.3">
      <c r="A3962" t="str">
        <f t="shared" si="61"/>
        <v>0815535</v>
      </c>
      <c r="B3962" s="101" t="s">
        <v>320</v>
      </c>
      <c r="C3962" s="101" t="s">
        <v>158</v>
      </c>
      <c r="D3962" s="101" t="s">
        <v>410</v>
      </c>
      <c r="E3962" s="101" t="s">
        <v>17</v>
      </c>
    </row>
    <row r="3963" spans="1:5" x14ac:dyDescent="0.3">
      <c r="A3963" t="str">
        <f t="shared" si="61"/>
        <v>0215537</v>
      </c>
      <c r="B3963" s="101" t="s">
        <v>639</v>
      </c>
      <c r="C3963" s="101" t="s">
        <v>158</v>
      </c>
      <c r="D3963" s="101" t="s">
        <v>395</v>
      </c>
      <c r="E3963" s="101" t="s">
        <v>17</v>
      </c>
    </row>
    <row r="3964" spans="1:5" x14ac:dyDescent="0.3">
      <c r="A3964" t="str">
        <f t="shared" si="61"/>
        <v>0415537</v>
      </c>
      <c r="B3964" s="101" t="s">
        <v>18</v>
      </c>
      <c r="C3964" s="101" t="s">
        <v>158</v>
      </c>
      <c r="D3964" s="101" t="s">
        <v>395</v>
      </c>
      <c r="E3964" s="101" t="s">
        <v>17</v>
      </c>
    </row>
    <row r="3965" spans="1:5" x14ac:dyDescent="0.3">
      <c r="A3965" t="str">
        <f t="shared" si="61"/>
        <v>0415566</v>
      </c>
      <c r="B3965" s="101" t="s">
        <v>18</v>
      </c>
      <c r="C3965" s="101" t="s">
        <v>158</v>
      </c>
      <c r="D3965" s="101" t="s">
        <v>425</v>
      </c>
      <c r="E3965" s="101" t="s">
        <v>17</v>
      </c>
    </row>
    <row r="3966" spans="1:5" x14ac:dyDescent="0.3">
      <c r="A3966" t="str">
        <f t="shared" si="61"/>
        <v>0115802</v>
      </c>
      <c r="B3966" s="101" t="s">
        <v>640</v>
      </c>
      <c r="C3966" s="101" t="s">
        <v>158</v>
      </c>
      <c r="D3966" s="101" t="s">
        <v>145</v>
      </c>
      <c r="E3966" s="101" t="s">
        <v>139</v>
      </c>
    </row>
    <row r="3967" spans="1:5" x14ac:dyDescent="0.3">
      <c r="A3967" t="str">
        <f t="shared" si="61"/>
        <v>0215809</v>
      </c>
      <c r="B3967" s="101" t="s">
        <v>639</v>
      </c>
      <c r="C3967" s="101" t="s">
        <v>158</v>
      </c>
      <c r="D3967" s="101" t="s">
        <v>187</v>
      </c>
      <c r="E3967" s="101" t="s">
        <v>17</v>
      </c>
    </row>
    <row r="3968" spans="1:5" x14ac:dyDescent="0.3">
      <c r="A3968" t="str">
        <f t="shared" si="61"/>
        <v>0515809</v>
      </c>
      <c r="B3968" s="101" t="s">
        <v>313</v>
      </c>
      <c r="C3968" s="101" t="s">
        <v>158</v>
      </c>
      <c r="D3968" s="101" t="s">
        <v>187</v>
      </c>
      <c r="E3968" s="101" t="s">
        <v>17</v>
      </c>
    </row>
    <row r="3969" spans="1:5" x14ac:dyDescent="0.3">
      <c r="A3969" t="str">
        <f t="shared" si="61"/>
        <v>0615809</v>
      </c>
      <c r="B3969" s="101" t="s">
        <v>317</v>
      </c>
      <c r="C3969" s="101" t="s">
        <v>158</v>
      </c>
      <c r="D3969" s="101" t="s">
        <v>187</v>
      </c>
      <c r="E3969" s="101" t="s">
        <v>17</v>
      </c>
    </row>
    <row r="3970" spans="1:5" x14ac:dyDescent="0.3">
      <c r="A3970" t="str">
        <f t="shared" si="61"/>
        <v>0715809</v>
      </c>
      <c r="B3970" s="101" t="s">
        <v>319</v>
      </c>
      <c r="C3970" s="101" t="s">
        <v>158</v>
      </c>
      <c r="D3970" s="101" t="s">
        <v>187</v>
      </c>
      <c r="E3970" s="101" t="s">
        <v>17</v>
      </c>
    </row>
    <row r="3971" spans="1:5" x14ac:dyDescent="0.3">
      <c r="A3971" t="str">
        <f t="shared" ref="A3971:A4034" si="62">CONCATENATE(B3971,C3971,D3971,F3971)</f>
        <v>0515810</v>
      </c>
      <c r="B3971" s="101" t="s">
        <v>313</v>
      </c>
      <c r="C3971" s="101" t="s">
        <v>158</v>
      </c>
      <c r="D3971" s="101" t="s">
        <v>188</v>
      </c>
      <c r="E3971" s="101" t="s">
        <v>17</v>
      </c>
    </row>
    <row r="3972" spans="1:5" x14ac:dyDescent="0.3">
      <c r="A3972" t="str">
        <f t="shared" si="62"/>
        <v>0615810</v>
      </c>
      <c r="B3972" s="101" t="s">
        <v>317</v>
      </c>
      <c r="C3972" s="101" t="s">
        <v>158</v>
      </c>
      <c r="D3972" s="101" t="s">
        <v>188</v>
      </c>
      <c r="E3972" s="101" t="s">
        <v>17</v>
      </c>
    </row>
    <row r="3973" spans="1:5" x14ac:dyDescent="0.3">
      <c r="A3973" t="str">
        <f t="shared" si="62"/>
        <v>0215811</v>
      </c>
      <c r="B3973" s="101" t="s">
        <v>639</v>
      </c>
      <c r="C3973" s="101" t="s">
        <v>158</v>
      </c>
      <c r="D3973" s="101" t="s">
        <v>189</v>
      </c>
      <c r="E3973" s="101" t="s">
        <v>17</v>
      </c>
    </row>
    <row r="3974" spans="1:5" x14ac:dyDescent="0.3">
      <c r="A3974" t="str">
        <f t="shared" si="62"/>
        <v>0215812</v>
      </c>
      <c r="B3974" s="101" t="s">
        <v>639</v>
      </c>
      <c r="C3974" s="101" t="s">
        <v>158</v>
      </c>
      <c r="D3974" s="101" t="s">
        <v>190</v>
      </c>
      <c r="E3974" s="101" t="s">
        <v>17</v>
      </c>
    </row>
    <row r="3975" spans="1:5" x14ac:dyDescent="0.3">
      <c r="A3975" t="str">
        <f t="shared" si="62"/>
        <v>0215826</v>
      </c>
      <c r="B3975" s="101" t="s">
        <v>639</v>
      </c>
      <c r="C3975" s="101" t="s">
        <v>158</v>
      </c>
      <c r="D3975" s="101" t="s">
        <v>359</v>
      </c>
      <c r="E3975" s="101" t="s">
        <v>19</v>
      </c>
    </row>
    <row r="3976" spans="1:5" x14ac:dyDescent="0.3">
      <c r="A3976" t="str">
        <f t="shared" si="62"/>
        <v>0215827</v>
      </c>
      <c r="B3976" s="101" t="s">
        <v>639</v>
      </c>
      <c r="C3976" s="101" t="s">
        <v>158</v>
      </c>
      <c r="D3976" s="101" t="s">
        <v>361</v>
      </c>
      <c r="E3976" s="101" t="s">
        <v>19</v>
      </c>
    </row>
    <row r="3977" spans="1:5" x14ac:dyDescent="0.3">
      <c r="A3977" t="str">
        <f t="shared" si="62"/>
        <v>0315835</v>
      </c>
      <c r="B3977" s="101" t="s">
        <v>16</v>
      </c>
      <c r="C3977" s="101" t="s">
        <v>158</v>
      </c>
      <c r="D3977" s="101" t="s">
        <v>555</v>
      </c>
      <c r="E3977" s="101" t="s">
        <v>139</v>
      </c>
    </row>
    <row r="3978" spans="1:5" x14ac:dyDescent="0.3">
      <c r="A3978" t="str">
        <f t="shared" si="62"/>
        <v>0115873</v>
      </c>
      <c r="B3978" s="101" t="s">
        <v>640</v>
      </c>
      <c r="C3978" s="101" t="s">
        <v>158</v>
      </c>
      <c r="D3978" s="101" t="s">
        <v>566</v>
      </c>
      <c r="E3978" s="101" t="s">
        <v>139</v>
      </c>
    </row>
    <row r="3979" spans="1:5" x14ac:dyDescent="0.3">
      <c r="A3979" t="str">
        <f t="shared" si="62"/>
        <v>0215874</v>
      </c>
      <c r="B3979" s="101" t="s">
        <v>639</v>
      </c>
      <c r="C3979" s="101" t="s">
        <v>158</v>
      </c>
      <c r="D3979" s="101" t="s">
        <v>567</v>
      </c>
      <c r="E3979" s="101" t="s">
        <v>17</v>
      </c>
    </row>
    <row r="3980" spans="1:5" x14ac:dyDescent="0.3">
      <c r="A3980" t="str">
        <f t="shared" si="62"/>
        <v>0515874</v>
      </c>
      <c r="B3980" s="101" t="s">
        <v>313</v>
      </c>
      <c r="C3980" s="101" t="s">
        <v>158</v>
      </c>
      <c r="D3980" s="101" t="s">
        <v>567</v>
      </c>
      <c r="E3980" s="101" t="s">
        <v>17</v>
      </c>
    </row>
    <row r="3981" spans="1:5" x14ac:dyDescent="0.3">
      <c r="A3981" t="str">
        <f t="shared" si="62"/>
        <v>0615874</v>
      </c>
      <c r="B3981" s="101" t="s">
        <v>317</v>
      </c>
      <c r="C3981" s="101" t="s">
        <v>158</v>
      </c>
      <c r="D3981" s="101" t="s">
        <v>567</v>
      </c>
      <c r="E3981" s="101" t="s">
        <v>17</v>
      </c>
    </row>
    <row r="3982" spans="1:5" x14ac:dyDescent="0.3">
      <c r="A3982" t="str">
        <f t="shared" si="62"/>
        <v>0815874</v>
      </c>
      <c r="B3982" s="101" t="s">
        <v>320</v>
      </c>
      <c r="C3982" s="101" t="s">
        <v>158</v>
      </c>
      <c r="D3982" s="101" t="s">
        <v>567</v>
      </c>
      <c r="E3982" s="101" t="s">
        <v>17</v>
      </c>
    </row>
    <row r="3983" spans="1:5" x14ac:dyDescent="0.3">
      <c r="A3983" t="str">
        <f t="shared" si="62"/>
        <v>0415890</v>
      </c>
      <c r="B3983" s="101" t="s">
        <v>18</v>
      </c>
      <c r="C3983" s="101" t="s">
        <v>158</v>
      </c>
      <c r="D3983" s="101" t="s">
        <v>568</v>
      </c>
      <c r="E3983" s="101" t="s">
        <v>17</v>
      </c>
    </row>
    <row r="3984" spans="1:5" x14ac:dyDescent="0.3">
      <c r="A3984" t="str">
        <f t="shared" si="62"/>
        <v>0316003</v>
      </c>
      <c r="B3984" s="101" t="s">
        <v>16</v>
      </c>
      <c r="C3984" s="101" t="s">
        <v>160</v>
      </c>
      <c r="D3984" s="101" t="s">
        <v>597</v>
      </c>
      <c r="E3984" s="101" t="s">
        <v>139</v>
      </c>
    </row>
    <row r="3985" spans="1:5" x14ac:dyDescent="0.3">
      <c r="A3985" t="str">
        <f t="shared" si="62"/>
        <v>0216006</v>
      </c>
      <c r="B3985" s="101" t="s">
        <v>639</v>
      </c>
      <c r="C3985" s="101" t="s">
        <v>160</v>
      </c>
      <c r="D3985" s="101" t="s">
        <v>400</v>
      </c>
      <c r="E3985" s="101" t="s">
        <v>17</v>
      </c>
    </row>
    <row r="3986" spans="1:5" x14ac:dyDescent="0.3">
      <c r="A3986" t="str">
        <f t="shared" si="62"/>
        <v>0216021</v>
      </c>
      <c r="B3986" s="101" t="s">
        <v>639</v>
      </c>
      <c r="C3986" s="101" t="s">
        <v>160</v>
      </c>
      <c r="D3986" s="101" t="s">
        <v>477</v>
      </c>
      <c r="E3986" s="101" t="s">
        <v>17</v>
      </c>
    </row>
    <row r="3987" spans="1:5" x14ac:dyDescent="0.3">
      <c r="A3987" t="str">
        <f t="shared" si="62"/>
        <v>0216030</v>
      </c>
      <c r="B3987" s="101" t="s">
        <v>639</v>
      </c>
      <c r="C3987" s="101" t="s">
        <v>160</v>
      </c>
      <c r="D3987" s="101" t="s">
        <v>357</v>
      </c>
      <c r="E3987" s="101" t="s">
        <v>17</v>
      </c>
    </row>
    <row r="3988" spans="1:5" x14ac:dyDescent="0.3">
      <c r="A3988" t="str">
        <f t="shared" si="62"/>
        <v>0216031</v>
      </c>
      <c r="B3988" s="101" t="s">
        <v>639</v>
      </c>
      <c r="C3988" s="101" t="s">
        <v>160</v>
      </c>
      <c r="D3988" s="101" t="s">
        <v>369</v>
      </c>
      <c r="E3988" s="101" t="s">
        <v>17</v>
      </c>
    </row>
    <row r="3989" spans="1:5" x14ac:dyDescent="0.3">
      <c r="A3989" t="str">
        <f t="shared" si="62"/>
        <v>0216032</v>
      </c>
      <c r="B3989" s="101" t="s">
        <v>639</v>
      </c>
      <c r="C3989" s="101" t="s">
        <v>160</v>
      </c>
      <c r="D3989" s="101" t="s">
        <v>370</v>
      </c>
      <c r="E3989" s="101" t="s">
        <v>17</v>
      </c>
    </row>
    <row r="3990" spans="1:5" x14ac:dyDescent="0.3">
      <c r="A3990" t="str">
        <f t="shared" si="62"/>
        <v>0216033</v>
      </c>
      <c r="B3990" s="101" t="s">
        <v>639</v>
      </c>
      <c r="C3990" s="101" t="s">
        <v>160</v>
      </c>
      <c r="D3990" s="101" t="s">
        <v>327</v>
      </c>
      <c r="E3990" s="101" t="s">
        <v>17</v>
      </c>
    </row>
    <row r="3991" spans="1:5" x14ac:dyDescent="0.3">
      <c r="A3991" t="str">
        <f t="shared" si="62"/>
        <v>0216034</v>
      </c>
      <c r="B3991" s="101" t="s">
        <v>639</v>
      </c>
      <c r="C3991" s="101" t="s">
        <v>160</v>
      </c>
      <c r="D3991" s="101" t="s">
        <v>329</v>
      </c>
      <c r="E3991" s="101" t="s">
        <v>17</v>
      </c>
    </row>
    <row r="3992" spans="1:5" x14ac:dyDescent="0.3">
      <c r="A3992" t="str">
        <f t="shared" si="62"/>
        <v>0116042</v>
      </c>
      <c r="B3992" s="101" t="s">
        <v>640</v>
      </c>
      <c r="C3992" s="101" t="s">
        <v>160</v>
      </c>
      <c r="D3992" s="101" t="s">
        <v>584</v>
      </c>
      <c r="E3992" s="101" t="s">
        <v>140</v>
      </c>
    </row>
    <row r="3993" spans="1:5" x14ac:dyDescent="0.3">
      <c r="A3993" t="str">
        <f t="shared" si="62"/>
        <v>0116043</v>
      </c>
      <c r="B3993" s="101" t="s">
        <v>640</v>
      </c>
      <c r="C3993" s="101" t="s">
        <v>160</v>
      </c>
      <c r="D3993" s="101" t="s">
        <v>419</v>
      </c>
      <c r="E3993" s="101" t="s">
        <v>19</v>
      </c>
    </row>
    <row r="3994" spans="1:5" x14ac:dyDescent="0.3">
      <c r="A3994" t="str">
        <f t="shared" si="62"/>
        <v>0216521</v>
      </c>
      <c r="B3994" s="101" t="s">
        <v>639</v>
      </c>
      <c r="C3994" s="101" t="s">
        <v>160</v>
      </c>
      <c r="D3994" s="101" t="s">
        <v>384</v>
      </c>
      <c r="E3994" s="101" t="s">
        <v>139</v>
      </c>
    </row>
    <row r="3995" spans="1:5" x14ac:dyDescent="0.3">
      <c r="A3995" t="str">
        <f t="shared" si="62"/>
        <v>0216522</v>
      </c>
      <c r="B3995" s="101" t="s">
        <v>639</v>
      </c>
      <c r="C3995" s="101" t="s">
        <v>160</v>
      </c>
      <c r="D3995" s="101" t="s">
        <v>345</v>
      </c>
      <c r="E3995" s="101" t="s">
        <v>17</v>
      </c>
    </row>
    <row r="3996" spans="1:5" x14ac:dyDescent="0.3">
      <c r="A3996" t="str">
        <f t="shared" si="62"/>
        <v>0216523</v>
      </c>
      <c r="B3996" s="101" t="s">
        <v>639</v>
      </c>
      <c r="C3996" s="101" t="s">
        <v>160</v>
      </c>
      <c r="D3996" s="101" t="s">
        <v>408</v>
      </c>
      <c r="E3996" s="101" t="s">
        <v>17</v>
      </c>
    </row>
    <row r="3997" spans="1:5" x14ac:dyDescent="0.3">
      <c r="A3997" t="str">
        <f t="shared" si="62"/>
        <v>0216525</v>
      </c>
      <c r="B3997" s="101" t="s">
        <v>639</v>
      </c>
      <c r="C3997" s="101" t="s">
        <v>160</v>
      </c>
      <c r="D3997" s="101" t="s">
        <v>394</v>
      </c>
      <c r="E3997" s="101" t="s">
        <v>17</v>
      </c>
    </row>
    <row r="3998" spans="1:5" x14ac:dyDescent="0.3">
      <c r="A3998" t="str">
        <f t="shared" si="62"/>
        <v>0416525</v>
      </c>
      <c r="B3998" s="101" t="s">
        <v>18</v>
      </c>
      <c r="C3998" s="101" t="s">
        <v>160</v>
      </c>
      <c r="D3998" s="101" t="s">
        <v>394</v>
      </c>
      <c r="E3998" s="101" t="s">
        <v>17</v>
      </c>
    </row>
    <row r="3999" spans="1:5" x14ac:dyDescent="0.3">
      <c r="A3999" t="str">
        <f t="shared" si="62"/>
        <v>0216527</v>
      </c>
      <c r="B3999" s="101" t="s">
        <v>639</v>
      </c>
      <c r="C3999" s="101" t="s">
        <v>160</v>
      </c>
      <c r="D3999" s="101" t="s">
        <v>380</v>
      </c>
      <c r="E3999" s="101" t="s">
        <v>17</v>
      </c>
    </row>
    <row r="4000" spans="1:5" x14ac:dyDescent="0.3">
      <c r="A4000" t="str">
        <f t="shared" si="62"/>
        <v>0216529</v>
      </c>
      <c r="B4000" s="101" t="s">
        <v>639</v>
      </c>
      <c r="C4000" s="101" t="s">
        <v>160</v>
      </c>
      <c r="D4000" s="101" t="s">
        <v>364</v>
      </c>
      <c r="E4000" s="101" t="s">
        <v>17</v>
      </c>
    </row>
    <row r="4001" spans="1:5" x14ac:dyDescent="0.3">
      <c r="A4001" t="str">
        <f t="shared" si="62"/>
        <v>0216530</v>
      </c>
      <c r="B4001" s="101" t="s">
        <v>639</v>
      </c>
      <c r="C4001" s="101" t="s">
        <v>160</v>
      </c>
      <c r="D4001" s="101" t="s">
        <v>377</v>
      </c>
      <c r="E4001" s="101" t="s">
        <v>17</v>
      </c>
    </row>
    <row r="4002" spans="1:5" x14ac:dyDescent="0.3">
      <c r="A4002" t="str">
        <f t="shared" si="62"/>
        <v>0216531</v>
      </c>
      <c r="B4002" s="101" t="s">
        <v>639</v>
      </c>
      <c r="C4002" s="101" t="s">
        <v>160</v>
      </c>
      <c r="D4002" s="101" t="s">
        <v>409</v>
      </c>
      <c r="E4002" s="101" t="s">
        <v>17</v>
      </c>
    </row>
    <row r="4003" spans="1:5" x14ac:dyDescent="0.3">
      <c r="A4003" t="str">
        <f t="shared" si="62"/>
        <v>0216532</v>
      </c>
      <c r="B4003" s="101" t="s">
        <v>639</v>
      </c>
      <c r="C4003" s="101" t="s">
        <v>160</v>
      </c>
      <c r="D4003" s="101" t="s">
        <v>323</v>
      </c>
      <c r="E4003" s="101" t="s">
        <v>17</v>
      </c>
    </row>
    <row r="4004" spans="1:5" x14ac:dyDescent="0.3">
      <c r="A4004" t="str">
        <f t="shared" si="62"/>
        <v>0216535</v>
      </c>
      <c r="B4004" s="101" t="s">
        <v>639</v>
      </c>
      <c r="C4004" s="101" t="s">
        <v>160</v>
      </c>
      <c r="D4004" s="101" t="s">
        <v>410</v>
      </c>
      <c r="E4004" s="101" t="s">
        <v>17</v>
      </c>
    </row>
    <row r="4005" spans="1:5" x14ac:dyDescent="0.3">
      <c r="A4005" t="str">
        <f t="shared" si="62"/>
        <v>0416548</v>
      </c>
      <c r="B4005" s="101" t="s">
        <v>18</v>
      </c>
      <c r="C4005" s="101" t="s">
        <v>160</v>
      </c>
      <c r="D4005" s="101" t="s">
        <v>354</v>
      </c>
      <c r="E4005" s="101" t="s">
        <v>17</v>
      </c>
    </row>
    <row r="4006" spans="1:5" x14ac:dyDescent="0.3">
      <c r="A4006" t="str">
        <f t="shared" si="62"/>
        <v>0416549</v>
      </c>
      <c r="B4006" s="101" t="s">
        <v>18</v>
      </c>
      <c r="C4006" s="101" t="s">
        <v>160</v>
      </c>
      <c r="D4006" s="101" t="s">
        <v>348</v>
      </c>
      <c r="E4006" s="101" t="s">
        <v>17</v>
      </c>
    </row>
    <row r="4007" spans="1:5" x14ac:dyDescent="0.3">
      <c r="A4007" t="str">
        <f t="shared" si="62"/>
        <v>0216551</v>
      </c>
      <c r="B4007" s="101" t="s">
        <v>639</v>
      </c>
      <c r="C4007" s="101" t="s">
        <v>160</v>
      </c>
      <c r="D4007" s="101" t="s">
        <v>416</v>
      </c>
      <c r="E4007" s="101" t="s">
        <v>19</v>
      </c>
    </row>
    <row r="4008" spans="1:5" x14ac:dyDescent="0.3">
      <c r="A4008" t="str">
        <f t="shared" si="62"/>
        <v>0216567</v>
      </c>
      <c r="B4008" s="101" t="s">
        <v>639</v>
      </c>
      <c r="C4008" s="101" t="s">
        <v>160</v>
      </c>
      <c r="D4008" s="101" t="s">
        <v>426</v>
      </c>
      <c r="E4008" s="101" t="s">
        <v>17</v>
      </c>
    </row>
    <row r="4009" spans="1:5" x14ac:dyDescent="0.3">
      <c r="A4009" t="str">
        <f t="shared" si="62"/>
        <v>0216800</v>
      </c>
      <c r="B4009" s="101" t="s">
        <v>639</v>
      </c>
      <c r="C4009" s="101" t="s">
        <v>160</v>
      </c>
      <c r="D4009" s="101" t="s">
        <v>539</v>
      </c>
      <c r="E4009" s="101" t="s">
        <v>17</v>
      </c>
    </row>
    <row r="4010" spans="1:5" x14ac:dyDescent="0.3">
      <c r="A4010" t="str">
        <f t="shared" si="62"/>
        <v>0516800</v>
      </c>
      <c r="B4010" s="101" t="s">
        <v>313</v>
      </c>
      <c r="C4010" s="101" t="s">
        <v>160</v>
      </c>
      <c r="D4010" s="101" t="s">
        <v>539</v>
      </c>
      <c r="E4010" s="101" t="s">
        <v>139</v>
      </c>
    </row>
    <row r="4011" spans="1:5" x14ac:dyDescent="0.3">
      <c r="A4011" t="str">
        <f t="shared" si="62"/>
        <v>0716800</v>
      </c>
      <c r="B4011" s="101" t="s">
        <v>319</v>
      </c>
      <c r="C4011" s="101" t="s">
        <v>160</v>
      </c>
      <c r="D4011" s="101" t="s">
        <v>539</v>
      </c>
      <c r="E4011" s="101" t="s">
        <v>17</v>
      </c>
    </row>
    <row r="4012" spans="1:5" x14ac:dyDescent="0.3">
      <c r="A4012" t="str">
        <f t="shared" si="62"/>
        <v>0816800</v>
      </c>
      <c r="B4012" s="101" t="s">
        <v>320</v>
      </c>
      <c r="C4012" s="101" t="s">
        <v>160</v>
      </c>
      <c r="D4012" s="101" t="s">
        <v>539</v>
      </c>
      <c r="E4012" s="101" t="s">
        <v>17</v>
      </c>
    </row>
    <row r="4013" spans="1:5" x14ac:dyDescent="0.3">
      <c r="A4013" t="str">
        <f t="shared" si="62"/>
        <v>0116802</v>
      </c>
      <c r="B4013" s="101" t="s">
        <v>640</v>
      </c>
      <c r="C4013" s="101" t="s">
        <v>160</v>
      </c>
      <c r="D4013" s="101" t="s">
        <v>145</v>
      </c>
      <c r="E4013" s="101" t="s">
        <v>139</v>
      </c>
    </row>
    <row r="4014" spans="1:5" x14ac:dyDescent="0.3">
      <c r="A4014" t="str">
        <f t="shared" si="62"/>
        <v>0216807</v>
      </c>
      <c r="B4014" s="101" t="s">
        <v>639</v>
      </c>
      <c r="C4014" s="101" t="s">
        <v>160</v>
      </c>
      <c r="D4014" s="101" t="s">
        <v>185</v>
      </c>
      <c r="E4014" s="101" t="s">
        <v>17</v>
      </c>
    </row>
    <row r="4015" spans="1:5" x14ac:dyDescent="0.3">
      <c r="A4015" t="str">
        <f t="shared" si="62"/>
        <v>0216808</v>
      </c>
      <c r="B4015" s="101" t="s">
        <v>639</v>
      </c>
      <c r="C4015" s="101" t="s">
        <v>160</v>
      </c>
      <c r="D4015" s="101" t="s">
        <v>186</v>
      </c>
      <c r="E4015" s="101" t="s">
        <v>17</v>
      </c>
    </row>
    <row r="4016" spans="1:5" x14ac:dyDescent="0.3">
      <c r="A4016" t="str">
        <f t="shared" si="62"/>
        <v>0216812</v>
      </c>
      <c r="B4016" s="101" t="s">
        <v>639</v>
      </c>
      <c r="C4016" s="101" t="s">
        <v>160</v>
      </c>
      <c r="D4016" s="101" t="s">
        <v>190</v>
      </c>
      <c r="E4016" s="101" t="s">
        <v>17</v>
      </c>
    </row>
    <row r="4017" spans="1:5" x14ac:dyDescent="0.3">
      <c r="A4017" t="str">
        <f t="shared" si="62"/>
        <v>0216813</v>
      </c>
      <c r="B4017" s="101" t="s">
        <v>639</v>
      </c>
      <c r="C4017" s="101" t="s">
        <v>160</v>
      </c>
      <c r="D4017" s="101" t="s">
        <v>541</v>
      </c>
      <c r="E4017" s="101" t="s">
        <v>17</v>
      </c>
    </row>
    <row r="4018" spans="1:5" x14ac:dyDescent="0.3">
      <c r="A4018" t="str">
        <f t="shared" si="62"/>
        <v>0216826</v>
      </c>
      <c r="B4018" s="101" t="s">
        <v>639</v>
      </c>
      <c r="C4018" s="101" t="s">
        <v>160</v>
      </c>
      <c r="D4018" s="101" t="s">
        <v>359</v>
      </c>
      <c r="E4018" s="101" t="s">
        <v>19</v>
      </c>
    </row>
    <row r="4019" spans="1:5" x14ac:dyDescent="0.3">
      <c r="A4019" t="str">
        <f t="shared" si="62"/>
        <v>0216827</v>
      </c>
      <c r="B4019" s="101" t="s">
        <v>639</v>
      </c>
      <c r="C4019" s="101" t="s">
        <v>160</v>
      </c>
      <c r="D4019" s="101" t="s">
        <v>361</v>
      </c>
      <c r="E4019" s="101" t="s">
        <v>19</v>
      </c>
    </row>
    <row r="4020" spans="1:5" x14ac:dyDescent="0.3">
      <c r="A4020" t="str">
        <f t="shared" si="62"/>
        <v>0116833</v>
      </c>
      <c r="B4020" s="101" t="s">
        <v>640</v>
      </c>
      <c r="C4020" s="101" t="s">
        <v>160</v>
      </c>
      <c r="D4020" s="101" t="s">
        <v>554</v>
      </c>
      <c r="E4020" s="101" t="s">
        <v>139</v>
      </c>
    </row>
    <row r="4021" spans="1:5" x14ac:dyDescent="0.3">
      <c r="A4021" t="str">
        <f t="shared" si="62"/>
        <v>0116837</v>
      </c>
      <c r="B4021" s="101" t="s">
        <v>640</v>
      </c>
      <c r="C4021" s="101" t="s">
        <v>160</v>
      </c>
      <c r="D4021" s="101" t="s">
        <v>557</v>
      </c>
      <c r="E4021" s="101" t="s">
        <v>139</v>
      </c>
    </row>
    <row r="4022" spans="1:5" x14ac:dyDescent="0.3">
      <c r="A4022" t="str">
        <f t="shared" si="62"/>
        <v>0116873</v>
      </c>
      <c r="B4022" s="101" t="s">
        <v>640</v>
      </c>
      <c r="C4022" s="101" t="s">
        <v>160</v>
      </c>
      <c r="D4022" s="101" t="s">
        <v>566</v>
      </c>
      <c r="E4022" s="101" t="s">
        <v>139</v>
      </c>
    </row>
    <row r="4023" spans="1:5" x14ac:dyDescent="0.3">
      <c r="A4023" t="str">
        <f t="shared" si="62"/>
        <v>0716873</v>
      </c>
      <c r="B4023" s="101" t="s">
        <v>319</v>
      </c>
      <c r="C4023" s="101" t="s">
        <v>160</v>
      </c>
      <c r="D4023" s="101" t="s">
        <v>566</v>
      </c>
      <c r="E4023" s="101" t="s">
        <v>139</v>
      </c>
    </row>
    <row r="4024" spans="1:5" x14ac:dyDescent="0.3">
      <c r="A4024" t="str">
        <f t="shared" si="62"/>
        <v>0716874</v>
      </c>
      <c r="B4024" s="101" t="s">
        <v>319</v>
      </c>
      <c r="C4024" s="101" t="s">
        <v>160</v>
      </c>
      <c r="D4024" s="101" t="s">
        <v>567</v>
      </c>
      <c r="E4024" s="101" t="s">
        <v>17</v>
      </c>
    </row>
    <row r="4025" spans="1:5" x14ac:dyDescent="0.3">
      <c r="A4025" t="str">
        <f t="shared" si="62"/>
        <v>0416890</v>
      </c>
      <c r="B4025" s="101" t="s">
        <v>18</v>
      </c>
      <c r="C4025" s="101" t="s">
        <v>160</v>
      </c>
      <c r="D4025" s="101" t="s">
        <v>568</v>
      </c>
      <c r="E4025" s="101" t="s">
        <v>17</v>
      </c>
    </row>
    <row r="4026" spans="1:5" x14ac:dyDescent="0.3">
      <c r="A4026" t="str">
        <f t="shared" si="62"/>
        <v>0116894</v>
      </c>
      <c r="B4026" s="101" t="s">
        <v>640</v>
      </c>
      <c r="C4026" s="101" t="s">
        <v>160</v>
      </c>
      <c r="D4026" s="101" t="s">
        <v>570</v>
      </c>
      <c r="E4026" s="101" t="s">
        <v>139</v>
      </c>
    </row>
    <row r="4027" spans="1:5" x14ac:dyDescent="0.3">
      <c r="A4027" t="str">
        <f t="shared" si="62"/>
        <v>0116895</v>
      </c>
      <c r="B4027" s="101" t="s">
        <v>640</v>
      </c>
      <c r="C4027" s="101" t="s">
        <v>160</v>
      </c>
      <c r="D4027" s="101" t="s">
        <v>571</v>
      </c>
      <c r="E4027" s="101" t="s">
        <v>139</v>
      </c>
    </row>
    <row r="4028" spans="1:5" x14ac:dyDescent="0.3">
      <c r="A4028" t="str">
        <f t="shared" si="62"/>
        <v>0116896</v>
      </c>
      <c r="B4028" s="101" t="s">
        <v>640</v>
      </c>
      <c r="C4028" s="101" t="s">
        <v>160</v>
      </c>
      <c r="D4028" s="101" t="s">
        <v>572</v>
      </c>
      <c r="E4028" s="101" t="s">
        <v>139</v>
      </c>
    </row>
    <row r="4029" spans="1:5" x14ac:dyDescent="0.3">
      <c r="A4029" t="str">
        <f t="shared" si="62"/>
        <v>0217014</v>
      </c>
      <c r="B4029" s="101" t="s">
        <v>639</v>
      </c>
      <c r="C4029" s="101" t="s">
        <v>162</v>
      </c>
      <c r="D4029" s="101" t="s">
        <v>531</v>
      </c>
      <c r="E4029" s="101" t="s">
        <v>17</v>
      </c>
    </row>
    <row r="4030" spans="1:5" x14ac:dyDescent="0.3">
      <c r="A4030" t="str">
        <f t="shared" si="62"/>
        <v>0217015</v>
      </c>
      <c r="B4030" s="101" t="s">
        <v>639</v>
      </c>
      <c r="C4030" s="101" t="s">
        <v>162</v>
      </c>
      <c r="D4030" s="101" t="s">
        <v>321</v>
      </c>
      <c r="E4030" s="101" t="s">
        <v>17</v>
      </c>
    </row>
    <row r="4031" spans="1:5" x14ac:dyDescent="0.3">
      <c r="A4031" t="str">
        <f t="shared" si="62"/>
        <v>0217017</v>
      </c>
      <c r="B4031" s="101" t="s">
        <v>639</v>
      </c>
      <c r="C4031" s="101" t="s">
        <v>162</v>
      </c>
      <c r="D4031" s="101" t="s">
        <v>575</v>
      </c>
      <c r="E4031" s="101" t="s">
        <v>17</v>
      </c>
    </row>
    <row r="4032" spans="1:5" x14ac:dyDescent="0.3">
      <c r="A4032" t="str">
        <f t="shared" si="62"/>
        <v>0217021</v>
      </c>
      <c r="B4032" s="101" t="s">
        <v>639</v>
      </c>
      <c r="C4032" s="101" t="s">
        <v>162</v>
      </c>
      <c r="D4032" s="101" t="s">
        <v>477</v>
      </c>
      <c r="E4032" s="101" t="s">
        <v>17</v>
      </c>
    </row>
    <row r="4033" spans="1:5" x14ac:dyDescent="0.3">
      <c r="A4033" t="str">
        <f t="shared" si="62"/>
        <v>0217023</v>
      </c>
      <c r="B4033" s="101" t="s">
        <v>639</v>
      </c>
      <c r="C4033" s="101" t="s">
        <v>162</v>
      </c>
      <c r="D4033" s="101" t="s">
        <v>480</v>
      </c>
      <c r="E4033" s="101" t="s">
        <v>17</v>
      </c>
    </row>
    <row r="4034" spans="1:5" x14ac:dyDescent="0.3">
      <c r="A4034" t="str">
        <f t="shared" si="62"/>
        <v>0217024</v>
      </c>
      <c r="B4034" s="101" t="s">
        <v>639</v>
      </c>
      <c r="C4034" s="101" t="s">
        <v>162</v>
      </c>
      <c r="D4034" s="101" t="s">
        <v>481</v>
      </c>
      <c r="E4034" s="101" t="s">
        <v>17</v>
      </c>
    </row>
    <row r="4035" spans="1:5" x14ac:dyDescent="0.3">
      <c r="A4035" t="str">
        <f t="shared" ref="A4035:A4098" si="63">CONCATENATE(B4035,C4035,D4035,F4035)</f>
        <v>0217026</v>
      </c>
      <c r="B4035" s="101" t="s">
        <v>639</v>
      </c>
      <c r="C4035" s="101" t="s">
        <v>162</v>
      </c>
      <c r="D4035" s="101" t="s">
        <v>579</v>
      </c>
      <c r="E4035" s="101" t="s">
        <v>17</v>
      </c>
    </row>
    <row r="4036" spans="1:5" x14ac:dyDescent="0.3">
      <c r="A4036" t="str">
        <f t="shared" si="63"/>
        <v>0217030</v>
      </c>
      <c r="B4036" s="101" t="s">
        <v>639</v>
      </c>
      <c r="C4036" s="101" t="s">
        <v>162</v>
      </c>
      <c r="D4036" s="101" t="s">
        <v>357</v>
      </c>
      <c r="E4036" s="101" t="s">
        <v>17</v>
      </c>
    </row>
    <row r="4037" spans="1:5" x14ac:dyDescent="0.3">
      <c r="A4037" t="str">
        <f t="shared" si="63"/>
        <v>0217033</v>
      </c>
      <c r="B4037" s="101" t="s">
        <v>639</v>
      </c>
      <c r="C4037" s="101" t="s">
        <v>162</v>
      </c>
      <c r="D4037" s="101" t="s">
        <v>327</v>
      </c>
      <c r="E4037" s="101" t="s">
        <v>17</v>
      </c>
    </row>
    <row r="4038" spans="1:5" x14ac:dyDescent="0.3">
      <c r="A4038" t="str">
        <f t="shared" si="63"/>
        <v>0217036</v>
      </c>
      <c r="B4038" s="101" t="s">
        <v>639</v>
      </c>
      <c r="C4038" s="101" t="s">
        <v>162</v>
      </c>
      <c r="D4038" s="101" t="s">
        <v>580</v>
      </c>
      <c r="E4038" s="101" t="s">
        <v>17</v>
      </c>
    </row>
    <row r="4039" spans="1:5" x14ac:dyDescent="0.3">
      <c r="A4039" t="str">
        <f t="shared" si="63"/>
        <v>0217039</v>
      </c>
      <c r="B4039" s="101" t="s">
        <v>639</v>
      </c>
      <c r="C4039" s="101" t="s">
        <v>162</v>
      </c>
      <c r="D4039" s="101" t="s">
        <v>582</v>
      </c>
      <c r="E4039" s="101" t="s">
        <v>17</v>
      </c>
    </row>
    <row r="4040" spans="1:5" x14ac:dyDescent="0.3">
      <c r="A4040" t="str">
        <f t="shared" si="63"/>
        <v>0217041</v>
      </c>
      <c r="B4040" s="101" t="s">
        <v>639</v>
      </c>
      <c r="C4040" s="101" t="s">
        <v>162</v>
      </c>
      <c r="D4040" s="101" t="s">
        <v>583</v>
      </c>
      <c r="E4040" s="101" t="s">
        <v>17</v>
      </c>
    </row>
    <row r="4041" spans="1:5" x14ac:dyDescent="0.3">
      <c r="A4041" t="str">
        <f t="shared" si="63"/>
        <v>0217042</v>
      </c>
      <c r="B4041" s="101" t="s">
        <v>639</v>
      </c>
      <c r="C4041" s="101" t="s">
        <v>162</v>
      </c>
      <c r="D4041" s="101" t="s">
        <v>584</v>
      </c>
      <c r="E4041" s="101" t="s">
        <v>17</v>
      </c>
    </row>
    <row r="4042" spans="1:5" x14ac:dyDescent="0.3">
      <c r="A4042" t="str">
        <f t="shared" si="63"/>
        <v>0217044</v>
      </c>
      <c r="B4042" s="101" t="s">
        <v>639</v>
      </c>
      <c r="C4042" s="101" t="s">
        <v>162</v>
      </c>
      <c r="D4042" s="101" t="s">
        <v>420</v>
      </c>
      <c r="E4042" s="101" t="s">
        <v>17</v>
      </c>
    </row>
    <row r="4043" spans="1:5" x14ac:dyDescent="0.3">
      <c r="A4043" t="str">
        <f t="shared" si="63"/>
        <v>0217045</v>
      </c>
      <c r="B4043" s="101" t="s">
        <v>639</v>
      </c>
      <c r="C4043" s="101" t="s">
        <v>162</v>
      </c>
      <c r="D4043" s="101" t="s">
        <v>453</v>
      </c>
      <c r="E4043" s="101" t="s">
        <v>17</v>
      </c>
    </row>
    <row r="4044" spans="1:5" x14ac:dyDescent="0.3">
      <c r="A4044" t="str">
        <f t="shared" si="63"/>
        <v>0217047</v>
      </c>
      <c r="B4044" s="101" t="s">
        <v>639</v>
      </c>
      <c r="C4044" s="101" t="s">
        <v>162</v>
      </c>
      <c r="D4044" s="101" t="s">
        <v>585</v>
      </c>
      <c r="E4044" s="101" t="s">
        <v>17</v>
      </c>
    </row>
    <row r="4045" spans="1:5" x14ac:dyDescent="0.3">
      <c r="A4045" t="str">
        <f t="shared" si="63"/>
        <v>0217048</v>
      </c>
      <c r="B4045" s="101" t="s">
        <v>639</v>
      </c>
      <c r="C4045" s="101" t="s">
        <v>162</v>
      </c>
      <c r="D4045" s="101" t="s">
        <v>586</v>
      </c>
      <c r="E4045" s="101" t="s">
        <v>17</v>
      </c>
    </row>
    <row r="4046" spans="1:5" x14ac:dyDescent="0.3">
      <c r="A4046" t="str">
        <f t="shared" si="63"/>
        <v>0217050</v>
      </c>
      <c r="B4046" s="101" t="s">
        <v>639</v>
      </c>
      <c r="C4046" s="101" t="s">
        <v>162</v>
      </c>
      <c r="D4046" s="101" t="s">
        <v>587</v>
      </c>
      <c r="E4046" s="101" t="s">
        <v>17</v>
      </c>
    </row>
    <row r="4047" spans="1:5" x14ac:dyDescent="0.3">
      <c r="A4047" t="str">
        <f t="shared" si="63"/>
        <v>0217051</v>
      </c>
      <c r="B4047" s="101" t="s">
        <v>639</v>
      </c>
      <c r="C4047" s="101" t="s">
        <v>162</v>
      </c>
      <c r="D4047" s="101" t="s">
        <v>588</v>
      </c>
      <c r="E4047" s="101" t="s">
        <v>17</v>
      </c>
    </row>
    <row r="4048" spans="1:5" x14ac:dyDescent="0.3">
      <c r="A4048" t="str">
        <f t="shared" si="63"/>
        <v>0217090</v>
      </c>
      <c r="B4048" s="101" t="s">
        <v>639</v>
      </c>
      <c r="C4048" s="101" t="s">
        <v>162</v>
      </c>
      <c r="D4048" s="101" t="s">
        <v>590</v>
      </c>
      <c r="E4048" s="101" t="s">
        <v>17</v>
      </c>
    </row>
    <row r="4049" spans="1:5" x14ac:dyDescent="0.3">
      <c r="A4049" t="str">
        <f t="shared" si="63"/>
        <v>0117094</v>
      </c>
      <c r="B4049" s="101" t="s">
        <v>640</v>
      </c>
      <c r="C4049" s="101" t="s">
        <v>162</v>
      </c>
      <c r="D4049" s="101" t="s">
        <v>591</v>
      </c>
      <c r="E4049" s="101" t="s">
        <v>19</v>
      </c>
    </row>
    <row r="4050" spans="1:5" x14ac:dyDescent="0.3">
      <c r="A4050" t="str">
        <f t="shared" si="63"/>
        <v>0117095</v>
      </c>
      <c r="B4050" s="101" t="s">
        <v>640</v>
      </c>
      <c r="C4050" s="101" t="s">
        <v>162</v>
      </c>
      <c r="D4050" s="101" t="s">
        <v>592</v>
      </c>
      <c r="E4050" s="101" t="s">
        <v>19</v>
      </c>
    </row>
    <row r="4051" spans="1:5" x14ac:dyDescent="0.3">
      <c r="A4051" t="str">
        <f t="shared" si="63"/>
        <v>0217114</v>
      </c>
      <c r="B4051" s="101" t="s">
        <v>639</v>
      </c>
      <c r="C4051" s="101" t="s">
        <v>162</v>
      </c>
      <c r="D4051" s="101" t="s">
        <v>244</v>
      </c>
      <c r="E4051" s="101" t="s">
        <v>17</v>
      </c>
    </row>
    <row r="4052" spans="1:5" x14ac:dyDescent="0.3">
      <c r="A4052" t="str">
        <f t="shared" si="63"/>
        <v>0217116</v>
      </c>
      <c r="B4052" s="101" t="s">
        <v>639</v>
      </c>
      <c r="C4052" s="101" t="s">
        <v>162</v>
      </c>
      <c r="D4052" s="101" t="s">
        <v>246</v>
      </c>
      <c r="E4052" s="101" t="s">
        <v>17</v>
      </c>
    </row>
    <row r="4053" spans="1:5" x14ac:dyDescent="0.3">
      <c r="A4053" t="str">
        <f t="shared" si="63"/>
        <v>0417116</v>
      </c>
      <c r="B4053" s="101" t="s">
        <v>18</v>
      </c>
      <c r="C4053" s="101" t="s">
        <v>162</v>
      </c>
      <c r="D4053" s="101" t="s">
        <v>246</v>
      </c>
      <c r="E4053" s="101" t="s">
        <v>17</v>
      </c>
    </row>
    <row r="4054" spans="1:5" x14ac:dyDescent="0.3">
      <c r="A4054" t="str">
        <f t="shared" si="63"/>
        <v>0217118</v>
      </c>
      <c r="B4054" s="101" t="s">
        <v>639</v>
      </c>
      <c r="C4054" s="101" t="s">
        <v>162</v>
      </c>
      <c r="D4054" s="101" t="s">
        <v>247</v>
      </c>
      <c r="E4054" s="101" t="s">
        <v>139</v>
      </c>
    </row>
    <row r="4055" spans="1:5" x14ac:dyDescent="0.3">
      <c r="A4055" t="str">
        <f t="shared" si="63"/>
        <v>0117119</v>
      </c>
      <c r="B4055" s="101" t="s">
        <v>640</v>
      </c>
      <c r="C4055" s="101" t="s">
        <v>162</v>
      </c>
      <c r="D4055" s="101" t="s">
        <v>248</v>
      </c>
      <c r="E4055" s="101" t="s">
        <v>19</v>
      </c>
    </row>
    <row r="4056" spans="1:5" x14ac:dyDescent="0.3">
      <c r="A4056" t="str">
        <f t="shared" si="63"/>
        <v>0217121</v>
      </c>
      <c r="B4056" s="101" t="s">
        <v>639</v>
      </c>
      <c r="C4056" s="101" t="s">
        <v>162</v>
      </c>
      <c r="D4056" s="101" t="s">
        <v>250</v>
      </c>
      <c r="E4056" s="101" t="s">
        <v>17</v>
      </c>
    </row>
    <row r="4057" spans="1:5" x14ac:dyDescent="0.3">
      <c r="A4057" t="str">
        <f t="shared" si="63"/>
        <v>0417121</v>
      </c>
      <c r="B4057" s="101" t="s">
        <v>18</v>
      </c>
      <c r="C4057" s="101" t="s">
        <v>162</v>
      </c>
      <c r="D4057" s="101" t="s">
        <v>250</v>
      </c>
      <c r="E4057" s="101" t="s">
        <v>17</v>
      </c>
    </row>
    <row r="4058" spans="1:5" x14ac:dyDescent="0.3">
      <c r="A4058" t="str">
        <f t="shared" si="63"/>
        <v>0217122</v>
      </c>
      <c r="B4058" s="101" t="s">
        <v>639</v>
      </c>
      <c r="C4058" s="101" t="s">
        <v>162</v>
      </c>
      <c r="D4058" s="101" t="s">
        <v>251</v>
      </c>
      <c r="E4058" s="101" t="s">
        <v>17</v>
      </c>
    </row>
    <row r="4059" spans="1:5" x14ac:dyDescent="0.3">
      <c r="A4059" t="str">
        <f t="shared" si="63"/>
        <v>0417122</v>
      </c>
      <c r="B4059" s="101" t="s">
        <v>18</v>
      </c>
      <c r="C4059" s="101" t="s">
        <v>162</v>
      </c>
      <c r="D4059" s="101" t="s">
        <v>251</v>
      </c>
      <c r="E4059" s="101" t="s">
        <v>17</v>
      </c>
    </row>
    <row r="4060" spans="1:5" x14ac:dyDescent="0.3">
      <c r="A4060" t="str">
        <f t="shared" si="63"/>
        <v>0117294</v>
      </c>
      <c r="B4060" s="101" t="s">
        <v>640</v>
      </c>
      <c r="C4060" s="101" t="s">
        <v>162</v>
      </c>
      <c r="D4060" s="101" t="s">
        <v>349</v>
      </c>
      <c r="E4060" s="101" t="s">
        <v>140</v>
      </c>
    </row>
    <row r="4061" spans="1:5" x14ac:dyDescent="0.3">
      <c r="A4061" t="str">
        <f t="shared" si="63"/>
        <v>0117301</v>
      </c>
      <c r="B4061" s="101" t="s">
        <v>640</v>
      </c>
      <c r="C4061" s="101" t="s">
        <v>162</v>
      </c>
      <c r="D4061" s="101" t="s">
        <v>358</v>
      </c>
      <c r="E4061" s="101" t="s">
        <v>19</v>
      </c>
    </row>
    <row r="4062" spans="1:5" x14ac:dyDescent="0.3">
      <c r="A4062" t="str">
        <f t="shared" si="63"/>
        <v>0217511</v>
      </c>
      <c r="B4062" s="101" t="s">
        <v>639</v>
      </c>
      <c r="C4062" s="101" t="s">
        <v>162</v>
      </c>
      <c r="D4062" s="101" t="s">
        <v>386</v>
      </c>
      <c r="E4062" s="101" t="s">
        <v>17</v>
      </c>
    </row>
    <row r="4063" spans="1:5" x14ac:dyDescent="0.3">
      <c r="A4063" t="str">
        <f t="shared" si="63"/>
        <v>0217539</v>
      </c>
      <c r="B4063" s="101" t="s">
        <v>639</v>
      </c>
      <c r="C4063" s="101" t="s">
        <v>162</v>
      </c>
      <c r="D4063" s="101" t="s">
        <v>378</v>
      </c>
      <c r="E4063" s="101" t="s">
        <v>139</v>
      </c>
    </row>
    <row r="4064" spans="1:5" x14ac:dyDescent="0.3">
      <c r="A4064" t="str">
        <f t="shared" si="63"/>
        <v>0217541</v>
      </c>
      <c r="B4064" s="101" t="s">
        <v>639</v>
      </c>
      <c r="C4064" s="101" t="s">
        <v>162</v>
      </c>
      <c r="D4064" s="101" t="s">
        <v>325</v>
      </c>
      <c r="E4064" s="101" t="s">
        <v>139</v>
      </c>
    </row>
    <row r="4065" spans="1:5" x14ac:dyDescent="0.3">
      <c r="A4065" t="str">
        <f t="shared" si="63"/>
        <v>0217543</v>
      </c>
      <c r="B4065" s="101" t="s">
        <v>639</v>
      </c>
      <c r="C4065" s="101" t="s">
        <v>162</v>
      </c>
      <c r="D4065" s="101" t="s">
        <v>347</v>
      </c>
      <c r="E4065" s="101" t="s">
        <v>139</v>
      </c>
    </row>
    <row r="4066" spans="1:5" x14ac:dyDescent="0.3">
      <c r="A4066" t="str">
        <f t="shared" si="63"/>
        <v>0217549</v>
      </c>
      <c r="B4066" s="101" t="s">
        <v>639</v>
      </c>
      <c r="C4066" s="101" t="s">
        <v>162</v>
      </c>
      <c r="D4066" s="101" t="s">
        <v>348</v>
      </c>
      <c r="E4066" s="101" t="s">
        <v>139</v>
      </c>
    </row>
    <row r="4067" spans="1:5" x14ac:dyDescent="0.3">
      <c r="A4067" t="str">
        <f t="shared" si="63"/>
        <v>0217551</v>
      </c>
      <c r="B4067" s="101" t="s">
        <v>639</v>
      </c>
      <c r="C4067" s="101" t="s">
        <v>162</v>
      </c>
      <c r="D4067" s="101" t="s">
        <v>416</v>
      </c>
      <c r="E4067" s="101" t="s">
        <v>139</v>
      </c>
    </row>
    <row r="4068" spans="1:5" x14ac:dyDescent="0.3">
      <c r="A4068" t="str">
        <f t="shared" si="63"/>
        <v>0217553</v>
      </c>
      <c r="B4068" s="101" t="s">
        <v>639</v>
      </c>
      <c r="C4068" s="101" t="s">
        <v>162</v>
      </c>
      <c r="D4068" s="101" t="s">
        <v>417</v>
      </c>
      <c r="E4068" s="101" t="s">
        <v>139</v>
      </c>
    </row>
    <row r="4069" spans="1:5" x14ac:dyDescent="0.3">
      <c r="A4069" t="str">
        <f t="shared" si="63"/>
        <v>0217557</v>
      </c>
      <c r="B4069" s="101" t="s">
        <v>639</v>
      </c>
      <c r="C4069" s="101" t="s">
        <v>162</v>
      </c>
      <c r="D4069" s="101" t="s">
        <v>343</v>
      </c>
      <c r="E4069" s="101" t="s">
        <v>139</v>
      </c>
    </row>
    <row r="4070" spans="1:5" x14ac:dyDescent="0.3">
      <c r="A4070" t="str">
        <f t="shared" si="63"/>
        <v>0217559</v>
      </c>
      <c r="B4070" s="101" t="s">
        <v>639</v>
      </c>
      <c r="C4070" s="101" t="s">
        <v>162</v>
      </c>
      <c r="D4070" s="101" t="s">
        <v>363</v>
      </c>
      <c r="E4070" s="101" t="s">
        <v>139</v>
      </c>
    </row>
    <row r="4071" spans="1:5" x14ac:dyDescent="0.3">
      <c r="A4071" t="str">
        <f t="shared" si="63"/>
        <v>0217563</v>
      </c>
      <c r="B4071" s="101" t="s">
        <v>639</v>
      </c>
      <c r="C4071" s="101" t="s">
        <v>162</v>
      </c>
      <c r="D4071" s="101" t="s">
        <v>422</v>
      </c>
      <c r="E4071" s="101" t="s">
        <v>17</v>
      </c>
    </row>
    <row r="4072" spans="1:5" x14ac:dyDescent="0.3">
      <c r="A4072" t="str">
        <f t="shared" si="63"/>
        <v>0217564</v>
      </c>
      <c r="B4072" s="101" t="s">
        <v>639</v>
      </c>
      <c r="C4072" s="101" t="s">
        <v>162</v>
      </c>
      <c r="D4072" s="101" t="s">
        <v>423</v>
      </c>
      <c r="E4072" s="101" t="s">
        <v>17</v>
      </c>
    </row>
    <row r="4073" spans="1:5" x14ac:dyDescent="0.3">
      <c r="A4073" t="str">
        <f t="shared" si="63"/>
        <v>0217572</v>
      </c>
      <c r="B4073" s="101" t="s">
        <v>639</v>
      </c>
      <c r="C4073" s="101" t="s">
        <v>162</v>
      </c>
      <c r="D4073" s="101" t="s">
        <v>431</v>
      </c>
      <c r="E4073" s="101" t="s">
        <v>17</v>
      </c>
    </row>
    <row r="4074" spans="1:5" x14ac:dyDescent="0.3">
      <c r="A4074" t="str">
        <f t="shared" si="63"/>
        <v>0217578</v>
      </c>
      <c r="B4074" s="101" t="s">
        <v>639</v>
      </c>
      <c r="C4074" s="101" t="s">
        <v>162</v>
      </c>
      <c r="D4074" s="101" t="s">
        <v>437</v>
      </c>
      <c r="E4074" s="101" t="s">
        <v>17</v>
      </c>
    </row>
    <row r="4075" spans="1:5" x14ac:dyDescent="0.3">
      <c r="A4075" t="str">
        <f t="shared" si="63"/>
        <v>0217581</v>
      </c>
      <c r="B4075" s="101" t="s">
        <v>639</v>
      </c>
      <c r="C4075" s="101" t="s">
        <v>162</v>
      </c>
      <c r="D4075" s="101" t="s">
        <v>440</v>
      </c>
      <c r="E4075" s="101" t="s">
        <v>17</v>
      </c>
    </row>
    <row r="4076" spans="1:5" x14ac:dyDescent="0.3">
      <c r="A4076" t="str">
        <f t="shared" si="63"/>
        <v>0217587</v>
      </c>
      <c r="B4076" s="101" t="s">
        <v>639</v>
      </c>
      <c r="C4076" s="101" t="s">
        <v>162</v>
      </c>
      <c r="D4076" s="101" t="s">
        <v>446</v>
      </c>
      <c r="E4076" s="101" t="s">
        <v>17</v>
      </c>
    </row>
    <row r="4077" spans="1:5" x14ac:dyDescent="0.3">
      <c r="A4077" t="str">
        <f t="shared" si="63"/>
        <v>0217590</v>
      </c>
      <c r="B4077" s="101" t="s">
        <v>639</v>
      </c>
      <c r="C4077" s="101" t="s">
        <v>162</v>
      </c>
      <c r="D4077" s="101" t="s">
        <v>449</v>
      </c>
      <c r="E4077" s="101" t="s">
        <v>17</v>
      </c>
    </row>
    <row r="4078" spans="1:5" x14ac:dyDescent="0.3">
      <c r="A4078" t="str">
        <f t="shared" si="63"/>
        <v>0217602</v>
      </c>
      <c r="B4078" s="101" t="s">
        <v>639</v>
      </c>
      <c r="C4078" s="101" t="s">
        <v>162</v>
      </c>
      <c r="D4078" s="101" t="s">
        <v>461</v>
      </c>
      <c r="E4078" s="101" t="s">
        <v>139</v>
      </c>
    </row>
    <row r="4079" spans="1:5" x14ac:dyDescent="0.3">
      <c r="A4079" t="str">
        <f t="shared" si="63"/>
        <v>0417602</v>
      </c>
      <c r="B4079" s="101" t="s">
        <v>18</v>
      </c>
      <c r="C4079" s="101" t="s">
        <v>162</v>
      </c>
      <c r="D4079" s="101" t="s">
        <v>461</v>
      </c>
      <c r="E4079" s="101" t="s">
        <v>139</v>
      </c>
    </row>
    <row r="4080" spans="1:5" x14ac:dyDescent="0.3">
      <c r="A4080" t="str">
        <f t="shared" si="63"/>
        <v>0217603</v>
      </c>
      <c r="B4080" s="101" t="s">
        <v>639</v>
      </c>
      <c r="C4080" s="101" t="s">
        <v>162</v>
      </c>
      <c r="D4080" s="101" t="s">
        <v>462</v>
      </c>
      <c r="E4080" s="101" t="s">
        <v>139</v>
      </c>
    </row>
    <row r="4081" spans="1:5" x14ac:dyDescent="0.3">
      <c r="A4081" t="str">
        <f t="shared" si="63"/>
        <v>0217605</v>
      </c>
      <c r="B4081" s="101" t="s">
        <v>639</v>
      </c>
      <c r="C4081" s="101" t="s">
        <v>162</v>
      </c>
      <c r="D4081" s="101" t="s">
        <v>464</v>
      </c>
      <c r="E4081" s="101" t="s">
        <v>139</v>
      </c>
    </row>
    <row r="4082" spans="1:5" x14ac:dyDescent="0.3">
      <c r="A4082" t="str">
        <f t="shared" si="63"/>
        <v>0417606</v>
      </c>
      <c r="B4082" s="101" t="s">
        <v>18</v>
      </c>
      <c r="C4082" s="101" t="s">
        <v>162</v>
      </c>
      <c r="D4082" s="101" t="s">
        <v>465</v>
      </c>
      <c r="E4082" s="101" t="s">
        <v>139</v>
      </c>
    </row>
    <row r="4083" spans="1:5" x14ac:dyDescent="0.3">
      <c r="A4083" t="str">
        <f t="shared" si="63"/>
        <v>0217608</v>
      </c>
      <c r="B4083" s="101" t="s">
        <v>639</v>
      </c>
      <c r="C4083" s="101" t="s">
        <v>162</v>
      </c>
      <c r="D4083" s="101" t="s">
        <v>289</v>
      </c>
      <c r="E4083" s="101" t="s">
        <v>139</v>
      </c>
    </row>
    <row r="4084" spans="1:5" x14ac:dyDescent="0.3">
      <c r="A4084" t="str">
        <f t="shared" si="63"/>
        <v>0217609</v>
      </c>
      <c r="B4084" s="101" t="s">
        <v>639</v>
      </c>
      <c r="C4084" s="101" t="s">
        <v>162</v>
      </c>
      <c r="D4084" s="101" t="s">
        <v>290</v>
      </c>
      <c r="E4084" s="101" t="s">
        <v>139</v>
      </c>
    </row>
    <row r="4085" spans="1:5" x14ac:dyDescent="0.3">
      <c r="A4085" t="str">
        <f t="shared" si="63"/>
        <v>0217614</v>
      </c>
      <c r="B4085" s="101" t="s">
        <v>639</v>
      </c>
      <c r="C4085" s="101" t="s">
        <v>162</v>
      </c>
      <c r="D4085" s="101" t="s">
        <v>291</v>
      </c>
      <c r="E4085" s="101" t="s">
        <v>139</v>
      </c>
    </row>
    <row r="4086" spans="1:5" x14ac:dyDescent="0.3">
      <c r="A4086" t="str">
        <f t="shared" si="63"/>
        <v>0217615</v>
      </c>
      <c r="B4086" s="101" t="s">
        <v>639</v>
      </c>
      <c r="C4086" s="101" t="s">
        <v>162</v>
      </c>
      <c r="D4086" s="101" t="s">
        <v>292</v>
      </c>
      <c r="E4086" s="101" t="s">
        <v>139</v>
      </c>
    </row>
    <row r="4087" spans="1:5" x14ac:dyDescent="0.3">
      <c r="A4087" t="str">
        <f t="shared" si="63"/>
        <v>0217620</v>
      </c>
      <c r="B4087" s="101" t="s">
        <v>639</v>
      </c>
      <c r="C4087" s="101" t="s">
        <v>162</v>
      </c>
      <c r="D4087" s="101" t="s">
        <v>475</v>
      </c>
      <c r="E4087" s="101" t="s">
        <v>139</v>
      </c>
    </row>
    <row r="4088" spans="1:5" x14ac:dyDescent="0.3">
      <c r="A4088" t="str">
        <f t="shared" si="63"/>
        <v>0417620</v>
      </c>
      <c r="B4088" s="101" t="s">
        <v>18</v>
      </c>
      <c r="C4088" s="101" t="s">
        <v>162</v>
      </c>
      <c r="D4088" s="101" t="s">
        <v>475</v>
      </c>
      <c r="E4088" s="101" t="s">
        <v>139</v>
      </c>
    </row>
    <row r="4089" spans="1:5" x14ac:dyDescent="0.3">
      <c r="A4089" t="str">
        <f t="shared" si="63"/>
        <v>0217621</v>
      </c>
      <c r="B4089" s="101" t="s">
        <v>639</v>
      </c>
      <c r="C4089" s="101" t="s">
        <v>162</v>
      </c>
      <c r="D4089" s="101" t="s">
        <v>476</v>
      </c>
      <c r="E4089" s="101" t="s">
        <v>139</v>
      </c>
    </row>
    <row r="4090" spans="1:5" x14ac:dyDescent="0.3">
      <c r="A4090" t="str">
        <f t="shared" si="63"/>
        <v>0217626</v>
      </c>
      <c r="B4090" s="101" t="s">
        <v>639</v>
      </c>
      <c r="C4090" s="101" t="s">
        <v>162</v>
      </c>
      <c r="D4090" s="101" t="s">
        <v>193</v>
      </c>
      <c r="E4090" s="101" t="s">
        <v>139</v>
      </c>
    </row>
    <row r="4091" spans="1:5" x14ac:dyDescent="0.3">
      <c r="A4091" t="str">
        <f t="shared" si="63"/>
        <v>0217627</v>
      </c>
      <c r="B4091" s="101" t="s">
        <v>639</v>
      </c>
      <c r="C4091" s="101" t="s">
        <v>162</v>
      </c>
      <c r="D4091" s="101" t="s">
        <v>194</v>
      </c>
      <c r="E4091" s="101" t="s">
        <v>139</v>
      </c>
    </row>
    <row r="4092" spans="1:5" x14ac:dyDescent="0.3">
      <c r="A4092" t="str">
        <f t="shared" si="63"/>
        <v>0217636</v>
      </c>
      <c r="B4092" s="101" t="s">
        <v>639</v>
      </c>
      <c r="C4092" s="101" t="s">
        <v>162</v>
      </c>
      <c r="D4092" s="101" t="s">
        <v>269</v>
      </c>
      <c r="E4092" s="101" t="s">
        <v>139</v>
      </c>
    </row>
    <row r="4093" spans="1:5" x14ac:dyDescent="0.3">
      <c r="A4093" t="str">
        <f t="shared" si="63"/>
        <v>0217638</v>
      </c>
      <c r="B4093" s="101" t="s">
        <v>639</v>
      </c>
      <c r="C4093" s="101" t="s">
        <v>162</v>
      </c>
      <c r="D4093" s="101" t="s">
        <v>280</v>
      </c>
      <c r="E4093" s="101" t="s">
        <v>17</v>
      </c>
    </row>
    <row r="4094" spans="1:5" x14ac:dyDescent="0.3">
      <c r="A4094" t="str">
        <f t="shared" si="63"/>
        <v>0217639</v>
      </c>
      <c r="B4094" s="101" t="s">
        <v>639</v>
      </c>
      <c r="C4094" s="101" t="s">
        <v>162</v>
      </c>
      <c r="D4094" s="101" t="s">
        <v>281</v>
      </c>
      <c r="E4094" s="101" t="s">
        <v>17</v>
      </c>
    </row>
    <row r="4095" spans="1:5" x14ac:dyDescent="0.3">
      <c r="A4095" t="str">
        <f t="shared" si="63"/>
        <v>0217641</v>
      </c>
      <c r="B4095" s="101" t="s">
        <v>639</v>
      </c>
      <c r="C4095" s="101" t="s">
        <v>162</v>
      </c>
      <c r="D4095" s="101" t="s">
        <v>283</v>
      </c>
      <c r="E4095" s="101" t="s">
        <v>139</v>
      </c>
    </row>
    <row r="4096" spans="1:5" x14ac:dyDescent="0.3">
      <c r="A4096" t="str">
        <f t="shared" si="63"/>
        <v>0217647</v>
      </c>
      <c r="B4096" s="101" t="s">
        <v>639</v>
      </c>
      <c r="C4096" s="101" t="s">
        <v>162</v>
      </c>
      <c r="D4096" s="101" t="s">
        <v>198</v>
      </c>
      <c r="E4096" s="101" t="s">
        <v>139</v>
      </c>
    </row>
    <row r="4097" spans="1:5" x14ac:dyDescent="0.3">
      <c r="A4097" t="str">
        <f t="shared" si="63"/>
        <v>0217661</v>
      </c>
      <c r="B4097" s="101" t="s">
        <v>639</v>
      </c>
      <c r="C4097" s="101" t="s">
        <v>162</v>
      </c>
      <c r="D4097" s="101" t="s">
        <v>217</v>
      </c>
      <c r="E4097" s="101" t="s">
        <v>139</v>
      </c>
    </row>
    <row r="4098" spans="1:5" x14ac:dyDescent="0.3">
      <c r="A4098" t="str">
        <f t="shared" si="63"/>
        <v>0217662</v>
      </c>
      <c r="B4098" s="101" t="s">
        <v>639</v>
      </c>
      <c r="C4098" s="101" t="s">
        <v>162</v>
      </c>
      <c r="D4098" s="101" t="s">
        <v>493</v>
      </c>
      <c r="E4098" s="101" t="s">
        <v>139</v>
      </c>
    </row>
    <row r="4099" spans="1:5" x14ac:dyDescent="0.3">
      <c r="A4099" t="str">
        <f t="shared" ref="A4099:A4162" si="64">CONCATENATE(B4099,C4099,D4099,F4099)</f>
        <v>0117688</v>
      </c>
      <c r="B4099" s="101" t="s">
        <v>640</v>
      </c>
      <c r="C4099" s="101" t="s">
        <v>162</v>
      </c>
      <c r="D4099" s="101" t="s">
        <v>300</v>
      </c>
      <c r="E4099" s="101" t="s">
        <v>19</v>
      </c>
    </row>
    <row r="4100" spans="1:5" x14ac:dyDescent="0.3">
      <c r="A4100" t="str">
        <f t="shared" si="64"/>
        <v>0217725</v>
      </c>
      <c r="B4100" s="101" t="s">
        <v>639</v>
      </c>
      <c r="C4100" s="101" t="s">
        <v>162</v>
      </c>
      <c r="D4100" s="101" t="s">
        <v>530</v>
      </c>
      <c r="E4100" s="101" t="s">
        <v>139</v>
      </c>
    </row>
    <row r="4101" spans="1:5" x14ac:dyDescent="0.3">
      <c r="A4101" t="str">
        <f t="shared" si="64"/>
        <v>0717801</v>
      </c>
      <c r="B4101" s="101" t="s">
        <v>319</v>
      </c>
      <c r="C4101" s="101" t="s">
        <v>162</v>
      </c>
      <c r="D4101" s="101" t="s">
        <v>144</v>
      </c>
      <c r="E4101" s="101" t="s">
        <v>139</v>
      </c>
    </row>
    <row r="4102" spans="1:5" x14ac:dyDescent="0.3">
      <c r="A4102" t="str">
        <f t="shared" si="64"/>
        <v>0817801</v>
      </c>
      <c r="B4102" s="101" t="s">
        <v>320</v>
      </c>
      <c r="C4102" s="101" t="s">
        <v>162</v>
      </c>
      <c r="D4102" s="101" t="s">
        <v>144</v>
      </c>
      <c r="E4102" s="101" t="s">
        <v>139</v>
      </c>
    </row>
    <row r="4103" spans="1:5" x14ac:dyDescent="0.3">
      <c r="A4103" t="str">
        <f t="shared" si="64"/>
        <v>0117802</v>
      </c>
      <c r="B4103" s="101" t="s">
        <v>640</v>
      </c>
      <c r="C4103" s="101" t="s">
        <v>162</v>
      </c>
      <c r="D4103" s="101" t="s">
        <v>145</v>
      </c>
      <c r="E4103" s="101" t="s">
        <v>139</v>
      </c>
    </row>
    <row r="4104" spans="1:5" x14ac:dyDescent="0.3">
      <c r="A4104" t="str">
        <f t="shared" si="64"/>
        <v>0317802</v>
      </c>
      <c r="B4104" s="101" t="s">
        <v>16</v>
      </c>
      <c r="C4104" s="101" t="s">
        <v>162</v>
      </c>
      <c r="D4104" s="101" t="s">
        <v>145</v>
      </c>
      <c r="E4104" s="101" t="s">
        <v>139</v>
      </c>
    </row>
    <row r="4105" spans="1:5" x14ac:dyDescent="0.3">
      <c r="A4105" t="str">
        <f t="shared" si="64"/>
        <v>0517802</v>
      </c>
      <c r="B4105" s="101" t="s">
        <v>313</v>
      </c>
      <c r="C4105" s="101" t="s">
        <v>162</v>
      </c>
      <c r="D4105" s="101" t="s">
        <v>145</v>
      </c>
      <c r="E4105" s="101" t="s">
        <v>139</v>
      </c>
    </row>
    <row r="4106" spans="1:5" x14ac:dyDescent="0.3">
      <c r="A4106" t="str">
        <f t="shared" si="64"/>
        <v>0617802</v>
      </c>
      <c r="B4106" s="101" t="s">
        <v>317</v>
      </c>
      <c r="C4106" s="101" t="s">
        <v>162</v>
      </c>
      <c r="D4106" s="101" t="s">
        <v>145</v>
      </c>
      <c r="E4106" s="101" t="s">
        <v>139</v>
      </c>
    </row>
    <row r="4107" spans="1:5" x14ac:dyDescent="0.3">
      <c r="A4107" t="str">
        <f t="shared" si="64"/>
        <v>0717802</v>
      </c>
      <c r="B4107" s="101" t="s">
        <v>319</v>
      </c>
      <c r="C4107" s="101" t="s">
        <v>162</v>
      </c>
      <c r="D4107" s="101" t="s">
        <v>145</v>
      </c>
      <c r="E4107" s="101" t="s">
        <v>139</v>
      </c>
    </row>
    <row r="4108" spans="1:5" x14ac:dyDescent="0.3">
      <c r="A4108" t="str">
        <f t="shared" si="64"/>
        <v>0817802</v>
      </c>
      <c r="B4108" s="101" t="s">
        <v>320</v>
      </c>
      <c r="C4108" s="101" t="s">
        <v>162</v>
      </c>
      <c r="D4108" s="101" t="s">
        <v>145</v>
      </c>
      <c r="E4108" s="101" t="s">
        <v>139</v>
      </c>
    </row>
    <row r="4109" spans="1:5" x14ac:dyDescent="0.3">
      <c r="A4109" t="str">
        <f t="shared" si="64"/>
        <v>0217807</v>
      </c>
      <c r="B4109" s="101" t="s">
        <v>639</v>
      </c>
      <c r="C4109" s="101" t="s">
        <v>162</v>
      </c>
      <c r="D4109" s="101" t="s">
        <v>185</v>
      </c>
      <c r="E4109" s="101" t="s">
        <v>17</v>
      </c>
    </row>
    <row r="4110" spans="1:5" x14ac:dyDescent="0.3">
      <c r="A4110" t="str">
        <f t="shared" si="64"/>
        <v>0317807</v>
      </c>
      <c r="B4110" s="101" t="s">
        <v>16</v>
      </c>
      <c r="C4110" s="101" t="s">
        <v>162</v>
      </c>
      <c r="D4110" s="101" t="s">
        <v>185</v>
      </c>
      <c r="E4110" s="101" t="s">
        <v>139</v>
      </c>
    </row>
    <row r="4111" spans="1:5" x14ac:dyDescent="0.3">
      <c r="A4111" t="str">
        <f t="shared" si="64"/>
        <v>0217808</v>
      </c>
      <c r="B4111" s="101" t="s">
        <v>639</v>
      </c>
      <c r="C4111" s="101" t="s">
        <v>162</v>
      </c>
      <c r="D4111" s="101" t="s">
        <v>186</v>
      </c>
      <c r="E4111" s="101" t="s">
        <v>17</v>
      </c>
    </row>
    <row r="4112" spans="1:5" x14ac:dyDescent="0.3">
      <c r="A4112" t="str">
        <f t="shared" si="64"/>
        <v>0217827</v>
      </c>
      <c r="B4112" s="101" t="s">
        <v>639</v>
      </c>
      <c r="C4112" s="101" t="s">
        <v>162</v>
      </c>
      <c r="D4112" s="101" t="s">
        <v>361</v>
      </c>
      <c r="E4112" s="101" t="s">
        <v>19</v>
      </c>
    </row>
    <row r="4113" spans="1:5" x14ac:dyDescent="0.3">
      <c r="A4113" t="str">
        <f t="shared" si="64"/>
        <v>0517873</v>
      </c>
      <c r="B4113" s="101" t="s">
        <v>313</v>
      </c>
      <c r="C4113" s="101" t="s">
        <v>162</v>
      </c>
      <c r="D4113" s="101" t="s">
        <v>566</v>
      </c>
      <c r="E4113" s="101" t="s">
        <v>139</v>
      </c>
    </row>
    <row r="4114" spans="1:5" x14ac:dyDescent="0.3">
      <c r="A4114" t="str">
        <f t="shared" si="64"/>
        <v>0717873</v>
      </c>
      <c r="B4114" s="101" t="s">
        <v>319</v>
      </c>
      <c r="C4114" s="101" t="s">
        <v>162</v>
      </c>
      <c r="D4114" s="101" t="s">
        <v>566</v>
      </c>
      <c r="E4114" s="101" t="s">
        <v>139</v>
      </c>
    </row>
    <row r="4115" spans="1:5" x14ac:dyDescent="0.3">
      <c r="A4115" t="str">
        <f t="shared" si="64"/>
        <v>0517874</v>
      </c>
      <c r="B4115" s="101" t="s">
        <v>313</v>
      </c>
      <c r="C4115" s="101" t="s">
        <v>162</v>
      </c>
      <c r="D4115" s="101" t="s">
        <v>567</v>
      </c>
      <c r="E4115" s="101" t="s">
        <v>17</v>
      </c>
    </row>
    <row r="4116" spans="1:5" x14ac:dyDescent="0.3">
      <c r="A4116" t="str">
        <f t="shared" si="64"/>
        <v>0218003</v>
      </c>
      <c r="B4116" s="101" t="s">
        <v>639</v>
      </c>
      <c r="C4116" s="101" t="s">
        <v>164</v>
      </c>
      <c r="D4116" s="101" t="s">
        <v>597</v>
      </c>
      <c r="E4116" s="101" t="s">
        <v>17</v>
      </c>
    </row>
    <row r="4117" spans="1:5" x14ac:dyDescent="0.3">
      <c r="A4117" t="str">
        <f t="shared" si="64"/>
        <v>0218011</v>
      </c>
      <c r="B4117" s="101" t="s">
        <v>639</v>
      </c>
      <c r="C4117" s="101" t="s">
        <v>164</v>
      </c>
      <c r="D4117" s="101" t="s">
        <v>402</v>
      </c>
      <c r="E4117" s="101" t="s">
        <v>17</v>
      </c>
    </row>
    <row r="4118" spans="1:5" x14ac:dyDescent="0.3">
      <c r="A4118" t="str">
        <f t="shared" si="64"/>
        <v>0218013</v>
      </c>
      <c r="B4118" s="101" t="s">
        <v>639</v>
      </c>
      <c r="C4118" s="101" t="s">
        <v>164</v>
      </c>
      <c r="D4118" s="101" t="s">
        <v>403</v>
      </c>
      <c r="E4118" s="101" t="s">
        <v>17</v>
      </c>
    </row>
    <row r="4119" spans="1:5" x14ac:dyDescent="0.3">
      <c r="A4119" t="str">
        <f t="shared" si="64"/>
        <v>0218015</v>
      </c>
      <c r="B4119" s="101" t="s">
        <v>639</v>
      </c>
      <c r="C4119" s="101" t="s">
        <v>164</v>
      </c>
      <c r="D4119" s="101" t="s">
        <v>321</v>
      </c>
      <c r="E4119" s="101" t="s">
        <v>17</v>
      </c>
    </row>
    <row r="4120" spans="1:5" x14ac:dyDescent="0.3">
      <c r="A4120" t="str">
        <f t="shared" si="64"/>
        <v>0218017</v>
      </c>
      <c r="B4120" s="101" t="s">
        <v>639</v>
      </c>
      <c r="C4120" s="101" t="s">
        <v>164</v>
      </c>
      <c r="D4120" s="101" t="s">
        <v>575</v>
      </c>
      <c r="E4120" s="101" t="s">
        <v>17</v>
      </c>
    </row>
    <row r="4121" spans="1:5" x14ac:dyDescent="0.3">
      <c r="A4121" t="str">
        <f t="shared" si="64"/>
        <v>0218019</v>
      </c>
      <c r="B4121" s="101" t="s">
        <v>639</v>
      </c>
      <c r="C4121" s="101" t="s">
        <v>164</v>
      </c>
      <c r="D4121" s="101" t="s">
        <v>393</v>
      </c>
      <c r="E4121" s="101" t="s">
        <v>17</v>
      </c>
    </row>
    <row r="4122" spans="1:5" x14ac:dyDescent="0.3">
      <c r="A4122" t="str">
        <f t="shared" si="64"/>
        <v>0218021</v>
      </c>
      <c r="B4122" s="101" t="s">
        <v>639</v>
      </c>
      <c r="C4122" s="101" t="s">
        <v>164</v>
      </c>
      <c r="D4122" s="101" t="s">
        <v>477</v>
      </c>
      <c r="E4122" s="101" t="s">
        <v>17</v>
      </c>
    </row>
    <row r="4123" spans="1:5" x14ac:dyDescent="0.3">
      <c r="A4123" t="str">
        <f t="shared" si="64"/>
        <v>0218023</v>
      </c>
      <c r="B4123" s="101" t="s">
        <v>639</v>
      </c>
      <c r="C4123" s="101" t="s">
        <v>164</v>
      </c>
      <c r="D4123" s="101" t="s">
        <v>480</v>
      </c>
      <c r="E4123" s="101" t="s">
        <v>17</v>
      </c>
    </row>
    <row r="4124" spans="1:5" x14ac:dyDescent="0.3">
      <c r="A4124" t="str">
        <f t="shared" si="64"/>
        <v>0218025</v>
      </c>
      <c r="B4124" s="101" t="s">
        <v>639</v>
      </c>
      <c r="C4124" s="101" t="s">
        <v>164</v>
      </c>
      <c r="D4124" s="101" t="s">
        <v>367</v>
      </c>
      <c r="E4124" s="101" t="s">
        <v>17</v>
      </c>
    </row>
    <row r="4125" spans="1:5" x14ac:dyDescent="0.3">
      <c r="A4125" t="str">
        <f t="shared" si="64"/>
        <v>0218027</v>
      </c>
      <c r="B4125" s="101" t="s">
        <v>639</v>
      </c>
      <c r="C4125" s="101" t="s">
        <v>164</v>
      </c>
      <c r="D4125" s="101" t="s">
        <v>545</v>
      </c>
      <c r="E4125" s="101" t="s">
        <v>17</v>
      </c>
    </row>
    <row r="4126" spans="1:5" x14ac:dyDescent="0.3">
      <c r="A4126" t="str">
        <f t="shared" si="64"/>
        <v>0118101</v>
      </c>
      <c r="B4126" s="101" t="s">
        <v>640</v>
      </c>
      <c r="C4126" s="101" t="s">
        <v>164</v>
      </c>
      <c r="D4126" s="101" t="s">
        <v>223</v>
      </c>
      <c r="E4126" s="101" t="s">
        <v>140</v>
      </c>
    </row>
    <row r="4127" spans="1:5" x14ac:dyDescent="0.3">
      <c r="A4127" t="str">
        <f t="shared" si="64"/>
        <v>0118102</v>
      </c>
      <c r="B4127" s="101" t="s">
        <v>640</v>
      </c>
      <c r="C4127" s="101" t="s">
        <v>164</v>
      </c>
      <c r="D4127" s="101" t="s">
        <v>232</v>
      </c>
      <c r="E4127" s="101" t="s">
        <v>19</v>
      </c>
    </row>
    <row r="4128" spans="1:5" x14ac:dyDescent="0.3">
      <c r="A4128" t="str">
        <f t="shared" si="64"/>
        <v>0118501</v>
      </c>
      <c r="B4128" s="101" t="s">
        <v>640</v>
      </c>
      <c r="C4128" s="101" t="s">
        <v>164</v>
      </c>
      <c r="D4128" s="101" t="s">
        <v>147</v>
      </c>
      <c r="E4128" s="101" t="s">
        <v>139</v>
      </c>
    </row>
    <row r="4129" spans="1:5" x14ac:dyDescent="0.3">
      <c r="A4129" t="str">
        <f t="shared" si="64"/>
        <v>0118510</v>
      </c>
      <c r="B4129" s="101" t="s">
        <v>640</v>
      </c>
      <c r="C4129" s="101" t="s">
        <v>164</v>
      </c>
      <c r="D4129" s="101" t="s">
        <v>385</v>
      </c>
      <c r="E4129" s="101" t="s">
        <v>139</v>
      </c>
    </row>
    <row r="4130" spans="1:5" x14ac:dyDescent="0.3">
      <c r="A4130" t="str">
        <f t="shared" si="64"/>
        <v>0318510</v>
      </c>
      <c r="B4130" s="101" t="s">
        <v>16</v>
      </c>
      <c r="C4130" s="101" t="s">
        <v>164</v>
      </c>
      <c r="D4130" s="101" t="s">
        <v>385</v>
      </c>
      <c r="E4130" s="101" t="s">
        <v>139</v>
      </c>
    </row>
    <row r="4131" spans="1:5" x14ac:dyDescent="0.3">
      <c r="A4131" t="str">
        <f t="shared" si="64"/>
        <v>0218580</v>
      </c>
      <c r="B4131" s="101" t="s">
        <v>639</v>
      </c>
      <c r="C4131" s="101" t="s">
        <v>164</v>
      </c>
      <c r="D4131" s="101" t="s">
        <v>439</v>
      </c>
      <c r="E4131" s="101" t="s">
        <v>139</v>
      </c>
    </row>
    <row r="4132" spans="1:5" x14ac:dyDescent="0.3">
      <c r="A4132" t="str">
        <f t="shared" si="64"/>
        <v>0218582</v>
      </c>
      <c r="B4132" s="101" t="s">
        <v>639</v>
      </c>
      <c r="C4132" s="101" t="s">
        <v>164</v>
      </c>
      <c r="D4132" s="101" t="s">
        <v>441</v>
      </c>
      <c r="E4132" s="101" t="s">
        <v>139</v>
      </c>
    </row>
    <row r="4133" spans="1:5" x14ac:dyDescent="0.3">
      <c r="A4133" t="str">
        <f t="shared" si="64"/>
        <v>0218584</v>
      </c>
      <c r="B4133" s="101" t="s">
        <v>639</v>
      </c>
      <c r="C4133" s="101" t="s">
        <v>164</v>
      </c>
      <c r="D4133" s="101" t="s">
        <v>443</v>
      </c>
      <c r="E4133" s="101" t="s">
        <v>139</v>
      </c>
    </row>
    <row r="4134" spans="1:5" x14ac:dyDescent="0.3">
      <c r="A4134" t="str">
        <f t="shared" si="64"/>
        <v>0218586</v>
      </c>
      <c r="B4134" s="101" t="s">
        <v>639</v>
      </c>
      <c r="C4134" s="101" t="s">
        <v>164</v>
      </c>
      <c r="D4134" s="101" t="s">
        <v>445</v>
      </c>
      <c r="E4134" s="101" t="s">
        <v>139</v>
      </c>
    </row>
    <row r="4135" spans="1:5" x14ac:dyDescent="0.3">
      <c r="A4135" t="str">
        <f t="shared" si="64"/>
        <v>0218590</v>
      </c>
      <c r="B4135" s="101" t="s">
        <v>639</v>
      </c>
      <c r="C4135" s="101" t="s">
        <v>164</v>
      </c>
      <c r="D4135" s="101" t="s">
        <v>449</v>
      </c>
      <c r="E4135" s="101" t="s">
        <v>17</v>
      </c>
    </row>
    <row r="4136" spans="1:5" x14ac:dyDescent="0.3">
      <c r="A4136" t="str">
        <f t="shared" si="64"/>
        <v>0218692</v>
      </c>
      <c r="B4136" s="101" t="s">
        <v>639</v>
      </c>
      <c r="C4136" s="101" t="s">
        <v>164</v>
      </c>
      <c r="D4136" s="101" t="s">
        <v>273</v>
      </c>
      <c r="E4136" s="101" t="s">
        <v>17</v>
      </c>
    </row>
    <row r="4137" spans="1:5" x14ac:dyDescent="0.3">
      <c r="A4137" t="str">
        <f t="shared" si="64"/>
        <v>0218694</v>
      </c>
      <c r="B4137" s="101" t="s">
        <v>639</v>
      </c>
      <c r="C4137" s="101" t="s">
        <v>164</v>
      </c>
      <c r="D4137" s="101" t="s">
        <v>210</v>
      </c>
      <c r="E4137" s="101" t="s">
        <v>17</v>
      </c>
    </row>
    <row r="4138" spans="1:5" x14ac:dyDescent="0.3">
      <c r="A4138" t="str">
        <f t="shared" si="64"/>
        <v>0218696</v>
      </c>
      <c r="B4138" s="101" t="s">
        <v>639</v>
      </c>
      <c r="C4138" s="101" t="s">
        <v>164</v>
      </c>
      <c r="D4138" s="101" t="s">
        <v>505</v>
      </c>
      <c r="E4138" s="101" t="s">
        <v>17</v>
      </c>
    </row>
    <row r="4139" spans="1:5" x14ac:dyDescent="0.3">
      <c r="A4139" t="str">
        <f t="shared" si="64"/>
        <v>0218698</v>
      </c>
      <c r="B4139" s="101" t="s">
        <v>639</v>
      </c>
      <c r="C4139" s="101" t="s">
        <v>164</v>
      </c>
      <c r="D4139" s="101" t="s">
        <v>507</v>
      </c>
      <c r="E4139" s="101" t="s">
        <v>17</v>
      </c>
    </row>
    <row r="4140" spans="1:5" x14ac:dyDescent="0.3">
      <c r="A4140" t="str">
        <f t="shared" si="64"/>
        <v>0218700</v>
      </c>
      <c r="B4140" s="101" t="s">
        <v>639</v>
      </c>
      <c r="C4140" s="101" t="s">
        <v>164</v>
      </c>
      <c r="D4140" s="101" t="s">
        <v>509</v>
      </c>
      <c r="E4140" s="101" t="s">
        <v>17</v>
      </c>
    </row>
    <row r="4141" spans="1:5" x14ac:dyDescent="0.3">
      <c r="A4141" t="str">
        <f t="shared" si="64"/>
        <v>0218702</v>
      </c>
      <c r="B4141" s="101" t="s">
        <v>639</v>
      </c>
      <c r="C4141" s="101" t="s">
        <v>164</v>
      </c>
      <c r="D4141" s="101" t="s">
        <v>511</v>
      </c>
      <c r="E4141" s="101" t="s">
        <v>17</v>
      </c>
    </row>
    <row r="4142" spans="1:5" x14ac:dyDescent="0.3">
      <c r="A4142" t="str">
        <f t="shared" si="64"/>
        <v>0218704</v>
      </c>
      <c r="B4142" s="101" t="s">
        <v>639</v>
      </c>
      <c r="C4142" s="101" t="s">
        <v>164</v>
      </c>
      <c r="D4142" s="101" t="s">
        <v>513</v>
      </c>
      <c r="E4142" s="101" t="s">
        <v>17</v>
      </c>
    </row>
    <row r="4143" spans="1:5" x14ac:dyDescent="0.3">
      <c r="A4143" t="str">
        <f t="shared" si="64"/>
        <v>0218706</v>
      </c>
      <c r="B4143" s="101" t="s">
        <v>639</v>
      </c>
      <c r="C4143" s="101" t="s">
        <v>164</v>
      </c>
      <c r="D4143" s="101" t="s">
        <v>515</v>
      </c>
      <c r="E4143" s="101" t="s">
        <v>17</v>
      </c>
    </row>
    <row r="4144" spans="1:5" x14ac:dyDescent="0.3">
      <c r="A4144" t="str">
        <f t="shared" si="64"/>
        <v>0218708</v>
      </c>
      <c r="B4144" s="101" t="s">
        <v>639</v>
      </c>
      <c r="C4144" s="101" t="s">
        <v>164</v>
      </c>
      <c r="D4144" s="101" t="s">
        <v>517</v>
      </c>
      <c r="E4144" s="101" t="s">
        <v>17</v>
      </c>
    </row>
    <row r="4145" spans="1:5" x14ac:dyDescent="0.3">
      <c r="A4145" t="str">
        <f t="shared" si="64"/>
        <v>0218710</v>
      </c>
      <c r="B4145" s="101" t="s">
        <v>639</v>
      </c>
      <c r="C4145" s="101" t="s">
        <v>164</v>
      </c>
      <c r="D4145" s="101" t="s">
        <v>519</v>
      </c>
      <c r="E4145" s="101" t="s">
        <v>17</v>
      </c>
    </row>
    <row r="4146" spans="1:5" x14ac:dyDescent="0.3">
      <c r="A4146" t="str">
        <f t="shared" si="64"/>
        <v>0218712</v>
      </c>
      <c r="B4146" s="101" t="s">
        <v>639</v>
      </c>
      <c r="C4146" s="101" t="s">
        <v>164</v>
      </c>
      <c r="D4146" s="101" t="s">
        <v>521</v>
      </c>
      <c r="E4146" s="101" t="s">
        <v>17</v>
      </c>
    </row>
    <row r="4147" spans="1:5" x14ac:dyDescent="0.3">
      <c r="A4147" t="str">
        <f t="shared" si="64"/>
        <v>0218714</v>
      </c>
      <c r="B4147" s="101" t="s">
        <v>639</v>
      </c>
      <c r="C4147" s="101" t="s">
        <v>164</v>
      </c>
      <c r="D4147" s="101" t="s">
        <v>523</v>
      </c>
      <c r="E4147" s="101" t="s">
        <v>17</v>
      </c>
    </row>
    <row r="4148" spans="1:5" x14ac:dyDescent="0.3">
      <c r="A4148" t="str">
        <f t="shared" si="64"/>
        <v>0318716</v>
      </c>
      <c r="B4148" s="101" t="s">
        <v>16</v>
      </c>
      <c r="C4148" s="101" t="s">
        <v>164</v>
      </c>
      <c r="D4148" s="101" t="s">
        <v>524</v>
      </c>
      <c r="E4148" s="101" t="s">
        <v>139</v>
      </c>
    </row>
    <row r="4149" spans="1:5" x14ac:dyDescent="0.3">
      <c r="A4149" t="str">
        <f t="shared" si="64"/>
        <v>0318717</v>
      </c>
      <c r="B4149" s="101" t="s">
        <v>16</v>
      </c>
      <c r="C4149" s="101" t="s">
        <v>164</v>
      </c>
      <c r="D4149" s="101" t="s">
        <v>525</v>
      </c>
      <c r="E4149" s="101" t="s">
        <v>139</v>
      </c>
    </row>
    <row r="4150" spans="1:5" x14ac:dyDescent="0.3">
      <c r="A4150" t="str">
        <f t="shared" si="64"/>
        <v>0318718</v>
      </c>
      <c r="B4150" s="101" t="s">
        <v>16</v>
      </c>
      <c r="C4150" s="101" t="s">
        <v>164</v>
      </c>
      <c r="D4150" s="101" t="s">
        <v>526</v>
      </c>
      <c r="E4150" s="101" t="s">
        <v>139</v>
      </c>
    </row>
    <row r="4151" spans="1:5" x14ac:dyDescent="0.3">
      <c r="A4151" t="str">
        <f t="shared" si="64"/>
        <v>0318719</v>
      </c>
      <c r="B4151" s="101" t="s">
        <v>16</v>
      </c>
      <c r="C4151" s="101" t="s">
        <v>164</v>
      </c>
      <c r="D4151" s="101" t="s">
        <v>527</v>
      </c>
      <c r="E4151" s="101" t="s">
        <v>139</v>
      </c>
    </row>
    <row r="4152" spans="1:5" x14ac:dyDescent="0.3">
      <c r="A4152" t="str">
        <f t="shared" si="64"/>
        <v>0118720</v>
      </c>
      <c r="B4152" s="101" t="s">
        <v>640</v>
      </c>
      <c r="C4152" s="101" t="s">
        <v>164</v>
      </c>
      <c r="D4152" s="101" t="s">
        <v>528</v>
      </c>
      <c r="E4152" s="101" t="s">
        <v>139</v>
      </c>
    </row>
    <row r="4153" spans="1:5" x14ac:dyDescent="0.3">
      <c r="A4153" t="str">
        <f t="shared" si="64"/>
        <v>0218826</v>
      </c>
      <c r="B4153" s="101" t="s">
        <v>639</v>
      </c>
      <c r="C4153" s="101" t="s">
        <v>164</v>
      </c>
      <c r="D4153" s="101" t="s">
        <v>359</v>
      </c>
      <c r="E4153" s="101" t="s">
        <v>19</v>
      </c>
    </row>
    <row r="4154" spans="1:5" x14ac:dyDescent="0.3">
      <c r="A4154" t="str">
        <f t="shared" si="64"/>
        <v>0218827</v>
      </c>
      <c r="B4154" s="101" t="s">
        <v>639</v>
      </c>
      <c r="C4154" s="101" t="s">
        <v>164</v>
      </c>
      <c r="D4154" s="101" t="s">
        <v>361</v>
      </c>
      <c r="E4154" s="101" t="s">
        <v>19</v>
      </c>
    </row>
    <row r="4155" spans="1:5" x14ac:dyDescent="0.3">
      <c r="A4155" t="str">
        <f t="shared" si="64"/>
        <v>0118840</v>
      </c>
      <c r="B4155" s="101" t="s">
        <v>640</v>
      </c>
      <c r="C4155" s="101" t="s">
        <v>164</v>
      </c>
      <c r="D4155" s="101" t="s">
        <v>560</v>
      </c>
      <c r="E4155" s="101" t="s">
        <v>139</v>
      </c>
    </row>
    <row r="4156" spans="1:5" x14ac:dyDescent="0.3">
      <c r="A4156" t="str">
        <f t="shared" si="64"/>
        <v>0518873</v>
      </c>
      <c r="B4156" s="101" t="s">
        <v>313</v>
      </c>
      <c r="C4156" s="101" t="s">
        <v>164</v>
      </c>
      <c r="D4156" s="101" t="s">
        <v>566</v>
      </c>
      <c r="E4156" s="101" t="s">
        <v>139</v>
      </c>
    </row>
    <row r="4157" spans="1:5" x14ac:dyDescent="0.3">
      <c r="A4157" t="str">
        <f t="shared" si="64"/>
        <v>0618873</v>
      </c>
      <c r="B4157" s="101" t="s">
        <v>317</v>
      </c>
      <c r="C4157" s="101" t="s">
        <v>164</v>
      </c>
      <c r="D4157" s="101" t="s">
        <v>566</v>
      </c>
      <c r="E4157" s="101" t="s">
        <v>139</v>
      </c>
    </row>
    <row r="4158" spans="1:5" x14ac:dyDescent="0.3">
      <c r="A4158" t="str">
        <f t="shared" si="64"/>
        <v>0718873</v>
      </c>
      <c r="B4158" s="101" t="s">
        <v>319</v>
      </c>
      <c r="C4158" s="101" t="s">
        <v>164</v>
      </c>
      <c r="D4158" s="101" t="s">
        <v>566</v>
      </c>
      <c r="E4158" s="101" t="s">
        <v>139</v>
      </c>
    </row>
    <row r="4159" spans="1:5" x14ac:dyDescent="0.3">
      <c r="A4159" t="str">
        <f t="shared" si="64"/>
        <v>0818873</v>
      </c>
      <c r="B4159" s="101" t="s">
        <v>320</v>
      </c>
      <c r="C4159" s="101" t="s">
        <v>164</v>
      </c>
      <c r="D4159" s="101" t="s">
        <v>566</v>
      </c>
      <c r="E4159" s="101" t="s">
        <v>139</v>
      </c>
    </row>
    <row r="4160" spans="1:5" x14ac:dyDescent="0.3">
      <c r="A4160" t="str">
        <f t="shared" si="64"/>
        <v>0119002</v>
      </c>
      <c r="B4160" s="101" t="s">
        <v>640</v>
      </c>
      <c r="C4160" s="101" t="s">
        <v>166</v>
      </c>
      <c r="D4160" s="101" t="s">
        <v>596</v>
      </c>
      <c r="E4160" s="101" t="s">
        <v>139</v>
      </c>
    </row>
    <row r="4161" spans="1:5" x14ac:dyDescent="0.3">
      <c r="A4161" t="str">
        <f t="shared" si="64"/>
        <v>0219004</v>
      </c>
      <c r="B4161" s="101" t="s">
        <v>639</v>
      </c>
      <c r="C4161" s="101" t="s">
        <v>166</v>
      </c>
      <c r="D4161" s="101" t="s">
        <v>598</v>
      </c>
      <c r="E4161" s="101" t="s">
        <v>17</v>
      </c>
    </row>
    <row r="4162" spans="1:5" x14ac:dyDescent="0.3">
      <c r="A4162" t="str">
        <f t="shared" si="64"/>
        <v>0119008</v>
      </c>
      <c r="B4162" s="101" t="s">
        <v>640</v>
      </c>
      <c r="C4162" s="101" t="s">
        <v>166</v>
      </c>
      <c r="D4162" s="101" t="s">
        <v>405</v>
      </c>
      <c r="E4162" s="101" t="s">
        <v>17</v>
      </c>
    </row>
    <row r="4163" spans="1:5" x14ac:dyDescent="0.3">
      <c r="A4163" t="str">
        <f t="shared" ref="A4163:A4226" si="65">CONCATENATE(B4163,C4163,D4163,F4163)</f>
        <v>0319008</v>
      </c>
      <c r="B4163" s="101" t="s">
        <v>16</v>
      </c>
      <c r="C4163" s="101" t="s">
        <v>166</v>
      </c>
      <c r="D4163" s="101" t="s">
        <v>405</v>
      </c>
      <c r="E4163" s="101" t="s">
        <v>17</v>
      </c>
    </row>
    <row r="4164" spans="1:5" x14ac:dyDescent="0.3">
      <c r="A4164" t="str">
        <f t="shared" si="65"/>
        <v>0119022</v>
      </c>
      <c r="B4164" s="101" t="s">
        <v>640</v>
      </c>
      <c r="C4164" s="101" t="s">
        <v>166</v>
      </c>
      <c r="D4164" s="101" t="s">
        <v>322</v>
      </c>
      <c r="E4164" s="101" t="s">
        <v>17</v>
      </c>
    </row>
    <row r="4165" spans="1:5" x14ac:dyDescent="0.3">
      <c r="A4165" t="str">
        <f t="shared" si="65"/>
        <v>0219022</v>
      </c>
      <c r="B4165" s="101" t="s">
        <v>639</v>
      </c>
      <c r="C4165" s="101" t="s">
        <v>166</v>
      </c>
      <c r="D4165" s="101" t="s">
        <v>322</v>
      </c>
      <c r="E4165" s="101" t="s">
        <v>17</v>
      </c>
    </row>
    <row r="4166" spans="1:5" x14ac:dyDescent="0.3">
      <c r="A4166" t="str">
        <f t="shared" si="65"/>
        <v>0119024</v>
      </c>
      <c r="B4166" s="101" t="s">
        <v>640</v>
      </c>
      <c r="C4166" s="101" t="s">
        <v>166</v>
      </c>
      <c r="D4166" s="101" t="s">
        <v>481</v>
      </c>
      <c r="E4166" s="101" t="s">
        <v>17</v>
      </c>
    </row>
    <row r="4167" spans="1:5" x14ac:dyDescent="0.3">
      <c r="A4167" t="str">
        <f t="shared" si="65"/>
        <v>0219024</v>
      </c>
      <c r="B4167" s="101" t="s">
        <v>639</v>
      </c>
      <c r="C4167" s="101" t="s">
        <v>166</v>
      </c>
      <c r="D4167" s="101" t="s">
        <v>481</v>
      </c>
      <c r="E4167" s="101" t="s">
        <v>17</v>
      </c>
    </row>
    <row r="4168" spans="1:5" x14ac:dyDescent="0.3">
      <c r="A4168" t="str">
        <f t="shared" si="65"/>
        <v>0219027</v>
      </c>
      <c r="B4168" s="101" t="s">
        <v>639</v>
      </c>
      <c r="C4168" s="101" t="s">
        <v>166</v>
      </c>
      <c r="D4168" s="101" t="s">
        <v>545</v>
      </c>
      <c r="E4168" s="101" t="s">
        <v>139</v>
      </c>
    </row>
    <row r="4169" spans="1:5" x14ac:dyDescent="0.3">
      <c r="A4169" t="str">
        <f t="shared" si="65"/>
        <v>0419027</v>
      </c>
      <c r="B4169" s="101" t="s">
        <v>18</v>
      </c>
      <c r="C4169" s="101" t="s">
        <v>166</v>
      </c>
      <c r="D4169" s="101" t="s">
        <v>545</v>
      </c>
      <c r="E4169" s="101" t="s">
        <v>139</v>
      </c>
    </row>
    <row r="4170" spans="1:5" x14ac:dyDescent="0.3">
      <c r="A4170" t="str">
        <f t="shared" si="65"/>
        <v>0219051</v>
      </c>
      <c r="B4170" s="101" t="s">
        <v>639</v>
      </c>
      <c r="C4170" s="101" t="s">
        <v>166</v>
      </c>
      <c r="D4170" s="101" t="s">
        <v>588</v>
      </c>
      <c r="E4170" s="101" t="s">
        <v>139</v>
      </c>
    </row>
    <row r="4171" spans="1:5" x14ac:dyDescent="0.3">
      <c r="A4171" t="str">
        <f t="shared" si="65"/>
        <v>0219053</v>
      </c>
      <c r="B4171" s="101" t="s">
        <v>639</v>
      </c>
      <c r="C4171" s="101" t="s">
        <v>166</v>
      </c>
      <c r="D4171" s="101" t="s">
        <v>607</v>
      </c>
      <c r="E4171" s="101" t="s">
        <v>139</v>
      </c>
    </row>
    <row r="4172" spans="1:5" x14ac:dyDescent="0.3">
      <c r="A4172" t="str">
        <f t="shared" si="65"/>
        <v>0219055</v>
      </c>
      <c r="B4172" s="101" t="s">
        <v>639</v>
      </c>
      <c r="C4172" s="101" t="s">
        <v>166</v>
      </c>
      <c r="D4172" s="101" t="s">
        <v>608</v>
      </c>
      <c r="E4172" s="101" t="s">
        <v>139</v>
      </c>
    </row>
    <row r="4173" spans="1:5" x14ac:dyDescent="0.3">
      <c r="A4173" t="str">
        <f t="shared" si="65"/>
        <v>0219059</v>
      </c>
      <c r="B4173" s="101" t="s">
        <v>639</v>
      </c>
      <c r="C4173" s="101" t="s">
        <v>166</v>
      </c>
      <c r="D4173" s="101" t="s">
        <v>482</v>
      </c>
      <c r="E4173" s="101" t="s">
        <v>139</v>
      </c>
    </row>
    <row r="4174" spans="1:5" x14ac:dyDescent="0.3">
      <c r="A4174" t="str">
        <f t="shared" si="65"/>
        <v>0419061</v>
      </c>
      <c r="B4174" s="101" t="s">
        <v>18</v>
      </c>
      <c r="C4174" s="101" t="s">
        <v>166</v>
      </c>
      <c r="D4174" s="101" t="s">
        <v>636</v>
      </c>
      <c r="E4174" s="101" t="s">
        <v>139</v>
      </c>
    </row>
    <row r="4175" spans="1:5" x14ac:dyDescent="0.3">
      <c r="A4175" t="str">
        <f t="shared" si="65"/>
        <v>0419063</v>
      </c>
      <c r="B4175" s="101" t="s">
        <v>18</v>
      </c>
      <c r="C4175" s="101" t="s">
        <v>166</v>
      </c>
      <c r="D4175" s="101" t="s">
        <v>631</v>
      </c>
      <c r="E4175" s="101" t="s">
        <v>139</v>
      </c>
    </row>
    <row r="4176" spans="1:5" x14ac:dyDescent="0.3">
      <c r="A4176" t="str">
        <f t="shared" si="65"/>
        <v>0119157</v>
      </c>
      <c r="B4176" s="101" t="s">
        <v>640</v>
      </c>
      <c r="C4176" s="101" t="s">
        <v>166</v>
      </c>
      <c r="D4176" s="101" t="s">
        <v>278</v>
      </c>
      <c r="E4176" s="101" t="s">
        <v>17</v>
      </c>
    </row>
    <row r="4177" spans="1:5" x14ac:dyDescent="0.3">
      <c r="A4177" t="str">
        <f t="shared" si="65"/>
        <v>0119158</v>
      </c>
      <c r="B4177" s="101" t="s">
        <v>640</v>
      </c>
      <c r="C4177" s="101" t="s">
        <v>166</v>
      </c>
      <c r="D4177" s="101" t="s">
        <v>279</v>
      </c>
      <c r="E4177" s="101" t="s">
        <v>17</v>
      </c>
    </row>
    <row r="4178" spans="1:5" x14ac:dyDescent="0.3">
      <c r="A4178" t="str">
        <f t="shared" si="65"/>
        <v>0219158</v>
      </c>
      <c r="B4178" s="101" t="s">
        <v>639</v>
      </c>
      <c r="C4178" s="101" t="s">
        <v>166</v>
      </c>
      <c r="D4178" s="101" t="s">
        <v>279</v>
      </c>
      <c r="E4178" s="101" t="s">
        <v>17</v>
      </c>
    </row>
    <row r="4179" spans="1:5" x14ac:dyDescent="0.3">
      <c r="A4179" t="str">
        <f t="shared" si="65"/>
        <v>0319158</v>
      </c>
      <c r="B4179" s="101" t="s">
        <v>16</v>
      </c>
      <c r="C4179" s="101" t="s">
        <v>166</v>
      </c>
      <c r="D4179" s="101" t="s">
        <v>279</v>
      </c>
      <c r="E4179" s="101" t="s">
        <v>17</v>
      </c>
    </row>
    <row r="4180" spans="1:5" x14ac:dyDescent="0.3">
      <c r="A4180" t="str">
        <f t="shared" si="65"/>
        <v>0119282</v>
      </c>
      <c r="B4180" s="101" t="s">
        <v>640</v>
      </c>
      <c r="C4180" s="101" t="s">
        <v>166</v>
      </c>
      <c r="D4180" s="101" t="s">
        <v>331</v>
      </c>
      <c r="E4180" s="101" t="s">
        <v>140</v>
      </c>
    </row>
    <row r="4181" spans="1:5" x14ac:dyDescent="0.3">
      <c r="A4181" t="str">
        <f t="shared" si="65"/>
        <v>0119283</v>
      </c>
      <c r="B4181" s="101" t="s">
        <v>640</v>
      </c>
      <c r="C4181" s="101" t="s">
        <v>166</v>
      </c>
      <c r="D4181" s="101" t="s">
        <v>332</v>
      </c>
      <c r="E4181" s="101" t="s">
        <v>19</v>
      </c>
    </row>
    <row r="4182" spans="1:5" x14ac:dyDescent="0.3">
      <c r="A4182" t="str">
        <f t="shared" si="65"/>
        <v>0219302</v>
      </c>
      <c r="B4182" s="101" t="s">
        <v>639</v>
      </c>
      <c r="C4182" s="101" t="s">
        <v>166</v>
      </c>
      <c r="D4182" s="101" t="s">
        <v>360</v>
      </c>
      <c r="E4182" s="101" t="s">
        <v>17</v>
      </c>
    </row>
    <row r="4183" spans="1:5" x14ac:dyDescent="0.3">
      <c r="A4183" t="str">
        <f t="shared" si="65"/>
        <v>0419302</v>
      </c>
      <c r="B4183" s="101" t="s">
        <v>18</v>
      </c>
      <c r="C4183" s="101" t="s">
        <v>166</v>
      </c>
      <c r="D4183" s="101" t="s">
        <v>360</v>
      </c>
      <c r="E4183" s="101" t="s">
        <v>17</v>
      </c>
    </row>
    <row r="4184" spans="1:5" x14ac:dyDescent="0.3">
      <c r="A4184" t="str">
        <f t="shared" si="65"/>
        <v>0119501</v>
      </c>
      <c r="B4184" s="101" t="s">
        <v>640</v>
      </c>
      <c r="C4184" s="101" t="s">
        <v>166</v>
      </c>
      <c r="D4184" s="101" t="s">
        <v>147</v>
      </c>
      <c r="E4184" s="101" t="s">
        <v>139</v>
      </c>
    </row>
    <row r="4185" spans="1:5" x14ac:dyDescent="0.3">
      <c r="A4185" t="str">
        <f t="shared" si="65"/>
        <v>0119510</v>
      </c>
      <c r="B4185" s="101" t="s">
        <v>640</v>
      </c>
      <c r="C4185" s="101" t="s">
        <v>166</v>
      </c>
      <c r="D4185" s="101" t="s">
        <v>385</v>
      </c>
      <c r="E4185" s="101" t="s">
        <v>17</v>
      </c>
    </row>
    <row r="4186" spans="1:5" x14ac:dyDescent="0.3">
      <c r="A4186" t="str">
        <f t="shared" si="65"/>
        <v>0219510</v>
      </c>
      <c r="B4186" s="101" t="s">
        <v>639</v>
      </c>
      <c r="C4186" s="101" t="s">
        <v>166</v>
      </c>
      <c r="D4186" s="101" t="s">
        <v>385</v>
      </c>
      <c r="E4186" s="101" t="s">
        <v>17</v>
      </c>
    </row>
    <row r="4187" spans="1:5" x14ac:dyDescent="0.3">
      <c r="A4187" t="str">
        <f t="shared" si="65"/>
        <v>0519510</v>
      </c>
      <c r="B4187" s="101" t="s">
        <v>313</v>
      </c>
      <c r="C4187" s="101" t="s">
        <v>166</v>
      </c>
      <c r="D4187" s="101" t="s">
        <v>385</v>
      </c>
      <c r="E4187" s="101" t="s">
        <v>17</v>
      </c>
    </row>
    <row r="4188" spans="1:5" x14ac:dyDescent="0.3">
      <c r="A4188" t="str">
        <f t="shared" si="65"/>
        <v>0619510</v>
      </c>
      <c r="B4188" s="101" t="s">
        <v>317</v>
      </c>
      <c r="C4188" s="101" t="s">
        <v>166</v>
      </c>
      <c r="D4188" s="101" t="s">
        <v>385</v>
      </c>
      <c r="E4188" s="101" t="s">
        <v>17</v>
      </c>
    </row>
    <row r="4189" spans="1:5" x14ac:dyDescent="0.3">
      <c r="A4189" t="str">
        <f t="shared" si="65"/>
        <v>0719510</v>
      </c>
      <c r="B4189" s="101" t="s">
        <v>319</v>
      </c>
      <c r="C4189" s="101" t="s">
        <v>166</v>
      </c>
      <c r="D4189" s="101" t="s">
        <v>385</v>
      </c>
      <c r="E4189" s="101" t="s">
        <v>17</v>
      </c>
    </row>
    <row r="4190" spans="1:5" x14ac:dyDescent="0.3">
      <c r="A4190" t="str">
        <f t="shared" si="65"/>
        <v>0819510</v>
      </c>
      <c r="B4190" s="101" t="s">
        <v>320</v>
      </c>
      <c r="C4190" s="101" t="s">
        <v>166</v>
      </c>
      <c r="D4190" s="101" t="s">
        <v>385</v>
      </c>
      <c r="E4190" s="101" t="s">
        <v>17</v>
      </c>
    </row>
    <row r="4191" spans="1:5" x14ac:dyDescent="0.3">
      <c r="A4191" t="str">
        <f t="shared" si="65"/>
        <v>0119511</v>
      </c>
      <c r="B4191" s="101" t="s">
        <v>640</v>
      </c>
      <c r="C4191" s="101" t="s">
        <v>166</v>
      </c>
      <c r="D4191" s="101" t="s">
        <v>386</v>
      </c>
      <c r="E4191" s="101" t="s">
        <v>17</v>
      </c>
    </row>
    <row r="4192" spans="1:5" x14ac:dyDescent="0.3">
      <c r="A4192" t="str">
        <f t="shared" si="65"/>
        <v>0219511</v>
      </c>
      <c r="B4192" s="101" t="s">
        <v>639</v>
      </c>
      <c r="C4192" s="101" t="s">
        <v>166</v>
      </c>
      <c r="D4192" s="101" t="s">
        <v>386</v>
      </c>
      <c r="E4192" s="101" t="s">
        <v>17</v>
      </c>
    </row>
    <row r="4193" spans="1:5" x14ac:dyDescent="0.3">
      <c r="A4193" t="str">
        <f t="shared" si="65"/>
        <v>0519511</v>
      </c>
      <c r="B4193" s="101" t="s">
        <v>313</v>
      </c>
      <c r="C4193" s="101" t="s">
        <v>166</v>
      </c>
      <c r="D4193" s="101" t="s">
        <v>386</v>
      </c>
      <c r="E4193" s="101" t="s">
        <v>17</v>
      </c>
    </row>
    <row r="4194" spans="1:5" x14ac:dyDescent="0.3">
      <c r="A4194" t="str">
        <f t="shared" si="65"/>
        <v>0619511</v>
      </c>
      <c r="B4194" s="101" t="s">
        <v>317</v>
      </c>
      <c r="C4194" s="101" t="s">
        <v>166</v>
      </c>
      <c r="D4194" s="101" t="s">
        <v>386</v>
      </c>
      <c r="E4194" s="101" t="s">
        <v>17</v>
      </c>
    </row>
    <row r="4195" spans="1:5" x14ac:dyDescent="0.3">
      <c r="A4195" t="str">
        <f t="shared" si="65"/>
        <v>0719511</v>
      </c>
      <c r="B4195" s="101" t="s">
        <v>319</v>
      </c>
      <c r="C4195" s="101" t="s">
        <v>166</v>
      </c>
      <c r="D4195" s="101" t="s">
        <v>386</v>
      </c>
      <c r="E4195" s="101" t="s">
        <v>17</v>
      </c>
    </row>
    <row r="4196" spans="1:5" x14ac:dyDescent="0.3">
      <c r="A4196" t="str">
        <f t="shared" si="65"/>
        <v>0819511</v>
      </c>
      <c r="B4196" s="101" t="s">
        <v>320</v>
      </c>
      <c r="C4196" s="101" t="s">
        <v>166</v>
      </c>
      <c r="D4196" s="101" t="s">
        <v>386</v>
      </c>
      <c r="E4196" s="101" t="s">
        <v>17</v>
      </c>
    </row>
    <row r="4197" spans="1:5" x14ac:dyDescent="0.3">
      <c r="A4197" t="str">
        <f t="shared" si="65"/>
        <v>0119512</v>
      </c>
      <c r="B4197" s="101" t="s">
        <v>640</v>
      </c>
      <c r="C4197" s="101" t="s">
        <v>166</v>
      </c>
      <c r="D4197" s="101" t="s">
        <v>398</v>
      </c>
      <c r="E4197" s="101" t="s">
        <v>17</v>
      </c>
    </row>
    <row r="4198" spans="1:5" x14ac:dyDescent="0.3">
      <c r="A4198" t="str">
        <f t="shared" si="65"/>
        <v>0219512</v>
      </c>
      <c r="B4198" s="101" t="s">
        <v>639</v>
      </c>
      <c r="C4198" s="101" t="s">
        <v>166</v>
      </c>
      <c r="D4198" s="101" t="s">
        <v>398</v>
      </c>
      <c r="E4198" s="101" t="s">
        <v>17</v>
      </c>
    </row>
    <row r="4199" spans="1:5" x14ac:dyDescent="0.3">
      <c r="A4199" t="str">
        <f t="shared" si="65"/>
        <v>0119513</v>
      </c>
      <c r="B4199" s="101" t="s">
        <v>640</v>
      </c>
      <c r="C4199" s="101" t="s">
        <v>166</v>
      </c>
      <c r="D4199" s="101" t="s">
        <v>387</v>
      </c>
      <c r="E4199" s="101" t="s">
        <v>17</v>
      </c>
    </row>
    <row r="4200" spans="1:5" x14ac:dyDescent="0.3">
      <c r="A4200" t="str">
        <f t="shared" si="65"/>
        <v>0219513</v>
      </c>
      <c r="B4200" s="101" t="s">
        <v>639</v>
      </c>
      <c r="C4200" s="101" t="s">
        <v>166</v>
      </c>
      <c r="D4200" s="101" t="s">
        <v>387</v>
      </c>
      <c r="E4200" s="101" t="s">
        <v>17</v>
      </c>
    </row>
    <row r="4201" spans="1:5" x14ac:dyDescent="0.3">
      <c r="A4201" t="str">
        <f t="shared" si="65"/>
        <v>0119516</v>
      </c>
      <c r="B4201" s="101" t="s">
        <v>640</v>
      </c>
      <c r="C4201" s="101" t="s">
        <v>166</v>
      </c>
      <c r="D4201" s="101" t="s">
        <v>389</v>
      </c>
      <c r="E4201" s="101" t="s">
        <v>17</v>
      </c>
    </row>
    <row r="4202" spans="1:5" x14ac:dyDescent="0.3">
      <c r="A4202" t="str">
        <f t="shared" si="65"/>
        <v>0219516</v>
      </c>
      <c r="B4202" s="101" t="s">
        <v>639</v>
      </c>
      <c r="C4202" s="101" t="s">
        <v>166</v>
      </c>
      <c r="D4202" s="101" t="s">
        <v>389</v>
      </c>
      <c r="E4202" s="101" t="s">
        <v>17</v>
      </c>
    </row>
    <row r="4203" spans="1:5" x14ac:dyDescent="0.3">
      <c r="A4203" t="str">
        <f t="shared" si="65"/>
        <v>0119517</v>
      </c>
      <c r="B4203" s="101" t="s">
        <v>640</v>
      </c>
      <c r="C4203" s="101" t="s">
        <v>166</v>
      </c>
      <c r="D4203" s="101" t="s">
        <v>390</v>
      </c>
      <c r="E4203" s="101" t="s">
        <v>17</v>
      </c>
    </row>
    <row r="4204" spans="1:5" x14ac:dyDescent="0.3">
      <c r="A4204" t="str">
        <f t="shared" si="65"/>
        <v>0219517</v>
      </c>
      <c r="B4204" s="101" t="s">
        <v>639</v>
      </c>
      <c r="C4204" s="101" t="s">
        <v>166</v>
      </c>
      <c r="D4204" s="101" t="s">
        <v>390</v>
      </c>
      <c r="E4204" s="101" t="s">
        <v>17</v>
      </c>
    </row>
    <row r="4205" spans="1:5" x14ac:dyDescent="0.3">
      <c r="A4205" t="str">
        <f t="shared" si="65"/>
        <v>0319517</v>
      </c>
      <c r="B4205" s="101" t="s">
        <v>16</v>
      </c>
      <c r="C4205" s="101" t="s">
        <v>166</v>
      </c>
      <c r="D4205" s="101" t="s">
        <v>390</v>
      </c>
      <c r="E4205" s="101" t="s">
        <v>17</v>
      </c>
    </row>
    <row r="4206" spans="1:5" x14ac:dyDescent="0.3">
      <c r="A4206" t="str">
        <f t="shared" si="65"/>
        <v>0419517</v>
      </c>
      <c r="B4206" s="101" t="s">
        <v>18</v>
      </c>
      <c r="C4206" s="101" t="s">
        <v>166</v>
      </c>
      <c r="D4206" s="101" t="s">
        <v>390</v>
      </c>
      <c r="E4206" s="101" t="s">
        <v>17</v>
      </c>
    </row>
    <row r="4207" spans="1:5" x14ac:dyDescent="0.3">
      <c r="A4207" t="str">
        <f t="shared" si="65"/>
        <v>0119521</v>
      </c>
      <c r="B4207" s="101" t="s">
        <v>640</v>
      </c>
      <c r="C4207" s="101" t="s">
        <v>166</v>
      </c>
      <c r="D4207" s="101" t="s">
        <v>384</v>
      </c>
      <c r="E4207" s="101" t="s">
        <v>17</v>
      </c>
    </row>
    <row r="4208" spans="1:5" x14ac:dyDescent="0.3">
      <c r="A4208" t="str">
        <f t="shared" si="65"/>
        <v>0219521</v>
      </c>
      <c r="B4208" s="101" t="s">
        <v>639</v>
      </c>
      <c r="C4208" s="101" t="s">
        <v>166</v>
      </c>
      <c r="D4208" s="101" t="s">
        <v>384</v>
      </c>
      <c r="E4208" s="101" t="s">
        <v>17</v>
      </c>
    </row>
    <row r="4209" spans="1:5" x14ac:dyDescent="0.3">
      <c r="A4209" t="str">
        <f t="shared" si="65"/>
        <v>0119527</v>
      </c>
      <c r="B4209" s="101" t="s">
        <v>640</v>
      </c>
      <c r="C4209" s="101" t="s">
        <v>166</v>
      </c>
      <c r="D4209" s="101" t="s">
        <v>380</v>
      </c>
      <c r="E4209" s="101" t="s">
        <v>17</v>
      </c>
    </row>
    <row r="4210" spans="1:5" x14ac:dyDescent="0.3">
      <c r="A4210" t="str">
        <f t="shared" si="65"/>
        <v>0219527</v>
      </c>
      <c r="B4210" s="101" t="s">
        <v>639</v>
      </c>
      <c r="C4210" s="101" t="s">
        <v>166</v>
      </c>
      <c r="D4210" s="101" t="s">
        <v>380</v>
      </c>
      <c r="E4210" s="101" t="s">
        <v>17</v>
      </c>
    </row>
    <row r="4211" spans="1:5" x14ac:dyDescent="0.3">
      <c r="A4211" t="str">
        <f t="shared" si="65"/>
        <v>0119529</v>
      </c>
      <c r="B4211" s="101" t="s">
        <v>640</v>
      </c>
      <c r="C4211" s="101" t="s">
        <v>166</v>
      </c>
      <c r="D4211" s="101" t="s">
        <v>364</v>
      </c>
      <c r="E4211" s="101" t="s">
        <v>17</v>
      </c>
    </row>
    <row r="4212" spans="1:5" x14ac:dyDescent="0.3">
      <c r="A4212" t="str">
        <f t="shared" si="65"/>
        <v>0219529</v>
      </c>
      <c r="B4212" s="101" t="s">
        <v>639</v>
      </c>
      <c r="C4212" s="101" t="s">
        <v>166</v>
      </c>
      <c r="D4212" s="101" t="s">
        <v>364</v>
      </c>
      <c r="E4212" s="101" t="s">
        <v>17</v>
      </c>
    </row>
    <row r="4213" spans="1:5" x14ac:dyDescent="0.3">
      <c r="A4213" t="str">
        <f t="shared" si="65"/>
        <v>0219531</v>
      </c>
      <c r="B4213" s="101" t="s">
        <v>639</v>
      </c>
      <c r="C4213" s="101" t="s">
        <v>166</v>
      </c>
      <c r="D4213" s="101" t="s">
        <v>409</v>
      </c>
      <c r="E4213" s="101" t="s">
        <v>139</v>
      </c>
    </row>
    <row r="4214" spans="1:5" x14ac:dyDescent="0.3">
      <c r="A4214" t="str">
        <f t="shared" si="65"/>
        <v>0219556</v>
      </c>
      <c r="B4214" s="101" t="s">
        <v>639</v>
      </c>
      <c r="C4214" s="101" t="s">
        <v>166</v>
      </c>
      <c r="D4214" s="101" t="s">
        <v>342</v>
      </c>
      <c r="E4214" s="101" t="s">
        <v>139</v>
      </c>
    </row>
    <row r="4215" spans="1:5" x14ac:dyDescent="0.3">
      <c r="A4215" t="str">
        <f t="shared" si="65"/>
        <v>0219558</v>
      </c>
      <c r="B4215" s="101" t="s">
        <v>639</v>
      </c>
      <c r="C4215" s="101" t="s">
        <v>166</v>
      </c>
      <c r="D4215" s="101" t="s">
        <v>362</v>
      </c>
      <c r="E4215" s="101" t="s">
        <v>139</v>
      </c>
    </row>
    <row r="4216" spans="1:5" x14ac:dyDescent="0.3">
      <c r="A4216" t="str">
        <f t="shared" si="65"/>
        <v>0419558</v>
      </c>
      <c r="B4216" s="101" t="s">
        <v>18</v>
      </c>
      <c r="C4216" s="101" t="s">
        <v>166</v>
      </c>
      <c r="D4216" s="101" t="s">
        <v>362</v>
      </c>
      <c r="E4216" s="101" t="s">
        <v>139</v>
      </c>
    </row>
    <row r="4217" spans="1:5" x14ac:dyDescent="0.3">
      <c r="A4217" t="str">
        <f t="shared" si="65"/>
        <v>0219560</v>
      </c>
      <c r="B4217" s="101" t="s">
        <v>639</v>
      </c>
      <c r="C4217" s="101" t="s">
        <v>166</v>
      </c>
      <c r="D4217" s="101" t="s">
        <v>375</v>
      </c>
      <c r="E4217" s="101" t="s">
        <v>139</v>
      </c>
    </row>
    <row r="4218" spans="1:5" x14ac:dyDescent="0.3">
      <c r="A4218" t="str">
        <f t="shared" si="65"/>
        <v>0419560</v>
      </c>
      <c r="B4218" s="101" t="s">
        <v>18</v>
      </c>
      <c r="C4218" s="101" t="s">
        <v>166</v>
      </c>
      <c r="D4218" s="101" t="s">
        <v>375</v>
      </c>
      <c r="E4218" s="101" t="s">
        <v>139</v>
      </c>
    </row>
    <row r="4219" spans="1:5" x14ac:dyDescent="0.3">
      <c r="A4219" t="str">
        <f t="shared" si="65"/>
        <v>0219564</v>
      </c>
      <c r="B4219" s="101" t="s">
        <v>639</v>
      </c>
      <c r="C4219" s="101" t="s">
        <v>166</v>
      </c>
      <c r="D4219" s="101" t="s">
        <v>423</v>
      </c>
      <c r="E4219" s="101" t="s">
        <v>139</v>
      </c>
    </row>
    <row r="4220" spans="1:5" x14ac:dyDescent="0.3">
      <c r="A4220" t="str">
        <f t="shared" si="65"/>
        <v>0419566</v>
      </c>
      <c r="B4220" s="101" t="s">
        <v>18</v>
      </c>
      <c r="C4220" s="101" t="s">
        <v>166</v>
      </c>
      <c r="D4220" s="101" t="s">
        <v>425</v>
      </c>
      <c r="E4220" s="101" t="s">
        <v>139</v>
      </c>
    </row>
    <row r="4221" spans="1:5" x14ac:dyDescent="0.3">
      <c r="A4221" t="str">
        <f t="shared" si="65"/>
        <v>0419568</v>
      </c>
      <c r="B4221" s="101" t="s">
        <v>18</v>
      </c>
      <c r="C4221" s="101" t="s">
        <v>166</v>
      </c>
      <c r="D4221" s="101" t="s">
        <v>427</v>
      </c>
      <c r="E4221" s="101" t="s">
        <v>139</v>
      </c>
    </row>
    <row r="4222" spans="1:5" x14ac:dyDescent="0.3">
      <c r="A4222" t="str">
        <f t="shared" si="65"/>
        <v>0219577</v>
      </c>
      <c r="B4222" s="101" t="s">
        <v>639</v>
      </c>
      <c r="C4222" s="101" t="s">
        <v>166</v>
      </c>
      <c r="D4222" s="101" t="s">
        <v>436</v>
      </c>
      <c r="E4222" s="101" t="s">
        <v>140</v>
      </c>
    </row>
    <row r="4223" spans="1:5" x14ac:dyDescent="0.3">
      <c r="A4223" t="str">
        <f t="shared" si="65"/>
        <v>0219578</v>
      </c>
      <c r="B4223" s="101" t="s">
        <v>639</v>
      </c>
      <c r="C4223" s="101" t="s">
        <v>166</v>
      </c>
      <c r="D4223" s="101" t="s">
        <v>437</v>
      </c>
      <c r="E4223" s="101" t="s">
        <v>140</v>
      </c>
    </row>
    <row r="4224" spans="1:5" x14ac:dyDescent="0.3">
      <c r="A4224" t="str">
        <f t="shared" si="65"/>
        <v>0119805</v>
      </c>
      <c r="B4224" s="101" t="s">
        <v>640</v>
      </c>
      <c r="C4224" s="101" t="s">
        <v>166</v>
      </c>
      <c r="D4224" s="101" t="s">
        <v>543</v>
      </c>
      <c r="E4224" s="101" t="s">
        <v>17</v>
      </c>
    </row>
    <row r="4225" spans="1:5" x14ac:dyDescent="0.3">
      <c r="A4225" t="str">
        <f t="shared" si="65"/>
        <v>0119806</v>
      </c>
      <c r="B4225" s="101" t="s">
        <v>640</v>
      </c>
      <c r="C4225" s="101" t="s">
        <v>166</v>
      </c>
      <c r="D4225" s="101" t="s">
        <v>544</v>
      </c>
      <c r="E4225" s="101" t="s">
        <v>17</v>
      </c>
    </row>
    <row r="4226" spans="1:5" x14ac:dyDescent="0.3">
      <c r="A4226" t="str">
        <f t="shared" si="65"/>
        <v>0219806</v>
      </c>
      <c r="B4226" s="101" t="s">
        <v>639</v>
      </c>
      <c r="C4226" s="101" t="s">
        <v>166</v>
      </c>
      <c r="D4226" s="101" t="s">
        <v>544</v>
      </c>
      <c r="E4226" s="101" t="s">
        <v>17</v>
      </c>
    </row>
    <row r="4227" spans="1:5" x14ac:dyDescent="0.3">
      <c r="A4227" t="str">
        <f t="shared" ref="A4227:A4290" si="66">CONCATENATE(B4227,C4227,D4227,F4227)</f>
        <v>0619811</v>
      </c>
      <c r="B4227" s="101" t="s">
        <v>317</v>
      </c>
      <c r="C4227" s="101" t="s">
        <v>166</v>
      </c>
      <c r="D4227" s="101" t="s">
        <v>189</v>
      </c>
      <c r="E4227" s="101" t="s">
        <v>17</v>
      </c>
    </row>
    <row r="4228" spans="1:5" x14ac:dyDescent="0.3">
      <c r="A4228" t="str">
        <f t="shared" si="66"/>
        <v>0719811</v>
      </c>
      <c r="B4228" s="101" t="s">
        <v>319</v>
      </c>
      <c r="C4228" s="101" t="s">
        <v>166</v>
      </c>
      <c r="D4228" s="101" t="s">
        <v>189</v>
      </c>
      <c r="E4228" s="101" t="s">
        <v>17</v>
      </c>
    </row>
    <row r="4229" spans="1:5" x14ac:dyDescent="0.3">
      <c r="A4229" t="str">
        <f t="shared" si="66"/>
        <v>0819811</v>
      </c>
      <c r="B4229" s="101" t="s">
        <v>320</v>
      </c>
      <c r="C4229" s="101" t="s">
        <v>166</v>
      </c>
      <c r="D4229" s="101" t="s">
        <v>189</v>
      </c>
      <c r="E4229" s="101" t="s">
        <v>17</v>
      </c>
    </row>
    <row r="4230" spans="1:5" x14ac:dyDescent="0.3">
      <c r="A4230" t="str">
        <f t="shared" si="66"/>
        <v>0119812</v>
      </c>
      <c r="B4230" s="101" t="s">
        <v>640</v>
      </c>
      <c r="C4230" s="101" t="s">
        <v>166</v>
      </c>
      <c r="D4230" s="101" t="s">
        <v>190</v>
      </c>
      <c r="E4230" s="101" t="s">
        <v>17</v>
      </c>
    </row>
    <row r="4231" spans="1:5" x14ac:dyDescent="0.3">
      <c r="A4231" t="str">
        <f t="shared" si="66"/>
        <v>0819812</v>
      </c>
      <c r="B4231" s="101" t="s">
        <v>320</v>
      </c>
      <c r="C4231" s="101" t="s">
        <v>166</v>
      </c>
      <c r="D4231" s="101" t="s">
        <v>190</v>
      </c>
      <c r="E4231" s="101" t="s">
        <v>17</v>
      </c>
    </row>
    <row r="4232" spans="1:5" x14ac:dyDescent="0.3">
      <c r="A4232" t="str">
        <f t="shared" si="66"/>
        <v>0119815</v>
      </c>
      <c r="B4232" s="101" t="s">
        <v>640</v>
      </c>
      <c r="C4232" s="101" t="s">
        <v>166</v>
      </c>
      <c r="D4232" s="101" t="s">
        <v>335</v>
      </c>
      <c r="E4232" s="101" t="s">
        <v>17</v>
      </c>
    </row>
    <row r="4233" spans="1:5" x14ac:dyDescent="0.3">
      <c r="A4233" t="str">
        <f t="shared" si="66"/>
        <v>0219826</v>
      </c>
      <c r="B4233" s="101" t="s">
        <v>639</v>
      </c>
      <c r="C4233" s="101" t="s">
        <v>166</v>
      </c>
      <c r="D4233" s="101" t="s">
        <v>359</v>
      </c>
      <c r="E4233" s="101" t="s">
        <v>19</v>
      </c>
    </row>
    <row r="4234" spans="1:5" x14ac:dyDescent="0.3">
      <c r="A4234" t="str">
        <f t="shared" si="66"/>
        <v>0219827</v>
      </c>
      <c r="B4234" s="101" t="s">
        <v>639</v>
      </c>
      <c r="C4234" s="101" t="s">
        <v>166</v>
      </c>
      <c r="D4234" s="101" t="s">
        <v>361</v>
      </c>
      <c r="E4234" s="101" t="s">
        <v>19</v>
      </c>
    </row>
    <row r="4235" spans="1:5" x14ac:dyDescent="0.3">
      <c r="A4235" t="str">
        <f t="shared" si="66"/>
        <v>0319835</v>
      </c>
      <c r="B4235" s="101" t="s">
        <v>16</v>
      </c>
      <c r="C4235" s="101" t="s">
        <v>166</v>
      </c>
      <c r="D4235" s="101" t="s">
        <v>555</v>
      </c>
      <c r="E4235" s="101" t="s">
        <v>139</v>
      </c>
    </row>
    <row r="4236" spans="1:5" x14ac:dyDescent="0.3">
      <c r="A4236" t="str">
        <f t="shared" si="66"/>
        <v>0519835</v>
      </c>
      <c r="B4236" s="101" t="s">
        <v>313</v>
      </c>
      <c r="C4236" s="101" t="s">
        <v>166</v>
      </c>
      <c r="D4236" s="101" t="s">
        <v>555</v>
      </c>
      <c r="E4236" s="101" t="s">
        <v>139</v>
      </c>
    </row>
    <row r="4237" spans="1:5" x14ac:dyDescent="0.3">
      <c r="A4237" t="str">
        <f t="shared" si="66"/>
        <v>0119873</v>
      </c>
      <c r="B4237" s="101" t="s">
        <v>640</v>
      </c>
      <c r="C4237" s="101" t="s">
        <v>166</v>
      </c>
      <c r="D4237" s="101" t="s">
        <v>566</v>
      </c>
      <c r="E4237" s="101" t="s">
        <v>139</v>
      </c>
    </row>
    <row r="4238" spans="1:5" x14ac:dyDescent="0.3">
      <c r="A4238" t="str">
        <f t="shared" si="66"/>
        <v>0519873</v>
      </c>
      <c r="B4238" s="101" t="s">
        <v>313</v>
      </c>
      <c r="C4238" s="101" t="s">
        <v>166</v>
      </c>
      <c r="D4238" s="101" t="s">
        <v>566</v>
      </c>
      <c r="E4238" s="101" t="s">
        <v>139</v>
      </c>
    </row>
    <row r="4239" spans="1:5" x14ac:dyDescent="0.3">
      <c r="A4239" t="str">
        <f t="shared" si="66"/>
        <v>0619873</v>
      </c>
      <c r="B4239" s="101" t="s">
        <v>317</v>
      </c>
      <c r="C4239" s="101" t="s">
        <v>166</v>
      </c>
      <c r="D4239" s="101" t="s">
        <v>566</v>
      </c>
      <c r="E4239" s="101" t="s">
        <v>139</v>
      </c>
    </row>
    <row r="4240" spans="1:5" x14ac:dyDescent="0.3">
      <c r="A4240" t="str">
        <f t="shared" si="66"/>
        <v>0819873</v>
      </c>
      <c r="B4240" s="101" t="s">
        <v>320</v>
      </c>
      <c r="C4240" s="101" t="s">
        <v>166</v>
      </c>
      <c r="D4240" s="101" t="s">
        <v>566</v>
      </c>
      <c r="E4240" s="101" t="s">
        <v>139</v>
      </c>
    </row>
    <row r="4241" spans="1:5" x14ac:dyDescent="0.3">
      <c r="A4241" t="str">
        <f t="shared" si="66"/>
        <v>0220017</v>
      </c>
      <c r="B4241" s="101" t="s">
        <v>639</v>
      </c>
      <c r="C4241" s="101" t="s">
        <v>168</v>
      </c>
      <c r="D4241" s="101" t="s">
        <v>575</v>
      </c>
      <c r="E4241" s="101" t="s">
        <v>139</v>
      </c>
    </row>
    <row r="4242" spans="1:5" x14ac:dyDescent="0.3">
      <c r="A4242" t="str">
        <f t="shared" si="66"/>
        <v>0220018</v>
      </c>
      <c r="B4242" s="101" t="s">
        <v>639</v>
      </c>
      <c r="C4242" s="101" t="s">
        <v>168</v>
      </c>
      <c r="D4242" s="101" t="s">
        <v>576</v>
      </c>
      <c r="E4242" s="101" t="s">
        <v>139</v>
      </c>
    </row>
    <row r="4243" spans="1:5" x14ac:dyDescent="0.3">
      <c r="A4243" t="str">
        <f t="shared" si="66"/>
        <v>0220019</v>
      </c>
      <c r="B4243" s="101" t="s">
        <v>639</v>
      </c>
      <c r="C4243" s="101" t="s">
        <v>168</v>
      </c>
      <c r="D4243" s="101" t="s">
        <v>393</v>
      </c>
      <c r="E4243" s="101" t="s">
        <v>139</v>
      </c>
    </row>
    <row r="4244" spans="1:5" x14ac:dyDescent="0.3">
      <c r="A4244" t="str">
        <f t="shared" si="66"/>
        <v>0220020</v>
      </c>
      <c r="B4244" s="101" t="s">
        <v>639</v>
      </c>
      <c r="C4244" s="101" t="s">
        <v>168</v>
      </c>
      <c r="D4244" s="101" t="s">
        <v>577</v>
      </c>
      <c r="E4244" s="101" t="s">
        <v>139</v>
      </c>
    </row>
    <row r="4245" spans="1:5" x14ac:dyDescent="0.3">
      <c r="A4245" t="str">
        <f t="shared" si="66"/>
        <v>0220033</v>
      </c>
      <c r="B4245" s="101" t="s">
        <v>639</v>
      </c>
      <c r="C4245" s="101" t="s">
        <v>168</v>
      </c>
      <c r="D4245" s="101" t="s">
        <v>327</v>
      </c>
      <c r="E4245" s="101" t="s">
        <v>139</v>
      </c>
    </row>
    <row r="4246" spans="1:5" x14ac:dyDescent="0.3">
      <c r="A4246" t="str">
        <f t="shared" si="66"/>
        <v>0220034</v>
      </c>
      <c r="B4246" s="101" t="s">
        <v>639</v>
      </c>
      <c r="C4246" s="101" t="s">
        <v>168</v>
      </c>
      <c r="D4246" s="101" t="s">
        <v>329</v>
      </c>
      <c r="E4246" s="101" t="s">
        <v>139</v>
      </c>
    </row>
    <row r="4247" spans="1:5" x14ac:dyDescent="0.3">
      <c r="A4247" t="str">
        <f t="shared" si="66"/>
        <v>0220038</v>
      </c>
      <c r="B4247" s="101" t="s">
        <v>639</v>
      </c>
      <c r="C4247" s="101" t="s">
        <v>168</v>
      </c>
      <c r="D4247" s="101" t="s">
        <v>581</v>
      </c>
      <c r="E4247" s="101" t="s">
        <v>17</v>
      </c>
    </row>
    <row r="4248" spans="1:5" x14ac:dyDescent="0.3">
      <c r="A4248" t="str">
        <f t="shared" si="66"/>
        <v>0220039</v>
      </c>
      <c r="B4248" s="101" t="s">
        <v>639</v>
      </c>
      <c r="C4248" s="101" t="s">
        <v>168</v>
      </c>
      <c r="D4248" s="101" t="s">
        <v>582</v>
      </c>
      <c r="E4248" s="101" t="s">
        <v>139</v>
      </c>
    </row>
    <row r="4249" spans="1:5" x14ac:dyDescent="0.3">
      <c r="A4249" t="str">
        <f t="shared" si="66"/>
        <v>0220040</v>
      </c>
      <c r="B4249" s="101" t="s">
        <v>639</v>
      </c>
      <c r="C4249" s="101" t="s">
        <v>168</v>
      </c>
      <c r="D4249" s="101" t="s">
        <v>614</v>
      </c>
      <c r="E4249" s="101" t="s">
        <v>139</v>
      </c>
    </row>
    <row r="4250" spans="1:5" x14ac:dyDescent="0.3">
      <c r="A4250" t="str">
        <f t="shared" si="66"/>
        <v>0220045</v>
      </c>
      <c r="B4250" s="101" t="s">
        <v>639</v>
      </c>
      <c r="C4250" s="101" t="s">
        <v>168</v>
      </c>
      <c r="D4250" s="101" t="s">
        <v>453</v>
      </c>
      <c r="E4250" s="101" t="s">
        <v>17</v>
      </c>
    </row>
    <row r="4251" spans="1:5" x14ac:dyDescent="0.3">
      <c r="A4251" t="str">
        <f t="shared" si="66"/>
        <v>0220050</v>
      </c>
      <c r="B4251" s="101" t="s">
        <v>639</v>
      </c>
      <c r="C4251" s="101" t="s">
        <v>168</v>
      </c>
      <c r="D4251" s="101" t="s">
        <v>587</v>
      </c>
      <c r="E4251" s="101" t="s">
        <v>17</v>
      </c>
    </row>
    <row r="4252" spans="1:5" x14ac:dyDescent="0.3">
      <c r="A4252" t="str">
        <f t="shared" si="66"/>
        <v>0220051</v>
      </c>
      <c r="B4252" s="101" t="s">
        <v>639</v>
      </c>
      <c r="C4252" s="101" t="s">
        <v>168</v>
      </c>
      <c r="D4252" s="101" t="s">
        <v>588</v>
      </c>
      <c r="E4252" s="101" t="s">
        <v>17</v>
      </c>
    </row>
    <row r="4253" spans="1:5" x14ac:dyDescent="0.3">
      <c r="A4253" t="str">
        <f t="shared" si="66"/>
        <v>0220052</v>
      </c>
      <c r="B4253" s="101" t="s">
        <v>639</v>
      </c>
      <c r="C4253" s="101" t="s">
        <v>168</v>
      </c>
      <c r="D4253" s="101" t="s">
        <v>630</v>
      </c>
      <c r="E4253" s="101" t="s">
        <v>17</v>
      </c>
    </row>
    <row r="4254" spans="1:5" x14ac:dyDescent="0.3">
      <c r="A4254" t="str">
        <f t="shared" si="66"/>
        <v>0220053</v>
      </c>
      <c r="B4254" s="101" t="s">
        <v>639</v>
      </c>
      <c r="C4254" s="101" t="s">
        <v>168</v>
      </c>
      <c r="D4254" s="101" t="s">
        <v>607</v>
      </c>
      <c r="E4254" s="101" t="s">
        <v>17</v>
      </c>
    </row>
    <row r="4255" spans="1:5" x14ac:dyDescent="0.3">
      <c r="A4255" t="str">
        <f t="shared" si="66"/>
        <v>0220071</v>
      </c>
      <c r="B4255" s="101" t="s">
        <v>639</v>
      </c>
      <c r="C4255" s="101" t="s">
        <v>168</v>
      </c>
      <c r="D4255" s="101" t="s">
        <v>600</v>
      </c>
      <c r="E4255" s="101" t="s">
        <v>17</v>
      </c>
    </row>
    <row r="4256" spans="1:5" x14ac:dyDescent="0.3">
      <c r="A4256" t="str">
        <f t="shared" si="66"/>
        <v>0220072</v>
      </c>
      <c r="B4256" s="101" t="s">
        <v>639</v>
      </c>
      <c r="C4256" s="101" t="s">
        <v>168</v>
      </c>
      <c r="D4256" s="101" t="s">
        <v>601</v>
      </c>
      <c r="E4256" s="101" t="s">
        <v>17</v>
      </c>
    </row>
    <row r="4257" spans="1:5" x14ac:dyDescent="0.3">
      <c r="A4257" t="str">
        <f t="shared" si="66"/>
        <v>0220073</v>
      </c>
      <c r="B4257" s="101" t="s">
        <v>639</v>
      </c>
      <c r="C4257" s="101" t="s">
        <v>168</v>
      </c>
      <c r="D4257" s="101" t="s">
        <v>612</v>
      </c>
      <c r="E4257" s="101" t="s">
        <v>17</v>
      </c>
    </row>
    <row r="4258" spans="1:5" x14ac:dyDescent="0.3">
      <c r="A4258" t="str">
        <f t="shared" si="66"/>
        <v>0220074</v>
      </c>
      <c r="B4258" s="101" t="s">
        <v>639</v>
      </c>
      <c r="C4258" s="101" t="s">
        <v>168</v>
      </c>
      <c r="D4258" s="101" t="s">
        <v>613</v>
      </c>
      <c r="E4258" s="101" t="s">
        <v>17</v>
      </c>
    </row>
    <row r="4259" spans="1:5" x14ac:dyDescent="0.3">
      <c r="A4259" t="str">
        <f t="shared" si="66"/>
        <v>0220107</v>
      </c>
      <c r="B4259" s="101" t="s">
        <v>639</v>
      </c>
      <c r="C4259" s="101" t="s">
        <v>168</v>
      </c>
      <c r="D4259" s="101" t="s">
        <v>237</v>
      </c>
      <c r="E4259" s="101" t="s">
        <v>17</v>
      </c>
    </row>
    <row r="4260" spans="1:5" x14ac:dyDescent="0.3">
      <c r="A4260" t="str">
        <f t="shared" si="66"/>
        <v>0220124</v>
      </c>
      <c r="B4260" s="101" t="s">
        <v>639</v>
      </c>
      <c r="C4260" s="101" t="s">
        <v>168</v>
      </c>
      <c r="D4260" s="101" t="s">
        <v>148</v>
      </c>
      <c r="E4260" s="101" t="s">
        <v>17</v>
      </c>
    </row>
    <row r="4261" spans="1:5" x14ac:dyDescent="0.3">
      <c r="A4261" t="str">
        <f t="shared" si="66"/>
        <v>0420124</v>
      </c>
      <c r="B4261" s="101" t="s">
        <v>18</v>
      </c>
      <c r="C4261" s="101" t="s">
        <v>168</v>
      </c>
      <c r="D4261" s="101" t="s">
        <v>148</v>
      </c>
      <c r="E4261" s="101" t="s">
        <v>17</v>
      </c>
    </row>
    <row r="4262" spans="1:5" x14ac:dyDescent="0.3">
      <c r="A4262" t="str">
        <f t="shared" si="66"/>
        <v>0220125</v>
      </c>
      <c r="B4262" s="101" t="s">
        <v>639</v>
      </c>
      <c r="C4262" s="101" t="s">
        <v>168</v>
      </c>
      <c r="D4262" s="101" t="s">
        <v>149</v>
      </c>
      <c r="E4262" s="101" t="s">
        <v>17</v>
      </c>
    </row>
    <row r="4263" spans="1:5" x14ac:dyDescent="0.3">
      <c r="A4263" t="str">
        <f t="shared" si="66"/>
        <v>0420125</v>
      </c>
      <c r="B4263" s="101" t="s">
        <v>18</v>
      </c>
      <c r="C4263" s="101" t="s">
        <v>168</v>
      </c>
      <c r="D4263" s="101" t="s">
        <v>149</v>
      </c>
      <c r="E4263" s="101" t="s">
        <v>17</v>
      </c>
    </row>
    <row r="4264" spans="1:5" x14ac:dyDescent="0.3">
      <c r="A4264" t="str">
        <f t="shared" si="66"/>
        <v>0120128</v>
      </c>
      <c r="B4264" s="101" t="s">
        <v>640</v>
      </c>
      <c r="C4264" s="101" t="s">
        <v>168</v>
      </c>
      <c r="D4264" s="101" t="s">
        <v>253</v>
      </c>
      <c r="E4264" s="101" t="s">
        <v>19</v>
      </c>
    </row>
    <row r="4265" spans="1:5" x14ac:dyDescent="0.3">
      <c r="A4265" t="str">
        <f t="shared" si="66"/>
        <v>0120129</v>
      </c>
      <c r="B4265" s="101" t="s">
        <v>640</v>
      </c>
      <c r="C4265" s="101" t="s">
        <v>168</v>
      </c>
      <c r="D4265" s="101" t="s">
        <v>254</v>
      </c>
      <c r="E4265" s="101" t="s">
        <v>19</v>
      </c>
    </row>
    <row r="4266" spans="1:5" x14ac:dyDescent="0.3">
      <c r="A4266" t="str">
        <f t="shared" si="66"/>
        <v>0120130</v>
      </c>
      <c r="B4266" s="101" t="s">
        <v>640</v>
      </c>
      <c r="C4266" s="101" t="s">
        <v>168</v>
      </c>
      <c r="D4266" s="101" t="s">
        <v>226</v>
      </c>
      <c r="E4266" s="101" t="s">
        <v>19</v>
      </c>
    </row>
    <row r="4267" spans="1:5" x14ac:dyDescent="0.3">
      <c r="A4267" t="str">
        <f t="shared" si="66"/>
        <v>0120131</v>
      </c>
      <c r="B4267" s="101" t="s">
        <v>640</v>
      </c>
      <c r="C4267" s="101" t="s">
        <v>168</v>
      </c>
      <c r="D4267" s="101" t="s">
        <v>227</v>
      </c>
      <c r="E4267" s="101" t="s">
        <v>19</v>
      </c>
    </row>
    <row r="4268" spans="1:5" x14ac:dyDescent="0.3">
      <c r="A4268" t="str">
        <f t="shared" si="66"/>
        <v>0220132</v>
      </c>
      <c r="B4268" s="101" t="s">
        <v>639</v>
      </c>
      <c r="C4268" s="101" t="s">
        <v>168</v>
      </c>
      <c r="D4268" s="101" t="s">
        <v>255</v>
      </c>
      <c r="E4268" s="101" t="s">
        <v>140</v>
      </c>
    </row>
    <row r="4269" spans="1:5" x14ac:dyDescent="0.3">
      <c r="A4269" t="str">
        <f t="shared" si="66"/>
        <v>0220133</v>
      </c>
      <c r="B4269" s="101" t="s">
        <v>639</v>
      </c>
      <c r="C4269" s="101" t="s">
        <v>168</v>
      </c>
      <c r="D4269" s="101" t="s">
        <v>256</v>
      </c>
      <c r="E4269" s="101" t="s">
        <v>140</v>
      </c>
    </row>
    <row r="4270" spans="1:5" x14ac:dyDescent="0.3">
      <c r="A4270" t="str">
        <f t="shared" si="66"/>
        <v>0220134</v>
      </c>
      <c r="B4270" s="101" t="s">
        <v>639</v>
      </c>
      <c r="C4270" s="101" t="s">
        <v>168</v>
      </c>
      <c r="D4270" s="101" t="s">
        <v>257</v>
      </c>
      <c r="E4270" s="101" t="s">
        <v>140</v>
      </c>
    </row>
    <row r="4271" spans="1:5" x14ac:dyDescent="0.3">
      <c r="A4271" t="str">
        <f t="shared" si="66"/>
        <v>0220135</v>
      </c>
      <c r="B4271" s="101" t="s">
        <v>639</v>
      </c>
      <c r="C4271" s="101" t="s">
        <v>168</v>
      </c>
      <c r="D4271" s="101" t="s">
        <v>258</v>
      </c>
      <c r="E4271" s="101" t="s">
        <v>140</v>
      </c>
    </row>
    <row r="4272" spans="1:5" x14ac:dyDescent="0.3">
      <c r="A4272" t="str">
        <f t="shared" si="66"/>
        <v>0220136</v>
      </c>
      <c r="B4272" s="101" t="s">
        <v>639</v>
      </c>
      <c r="C4272" s="101" t="s">
        <v>168</v>
      </c>
      <c r="D4272" s="101" t="s">
        <v>259</v>
      </c>
      <c r="E4272" s="101" t="s">
        <v>19</v>
      </c>
    </row>
    <row r="4273" spans="1:5" x14ac:dyDescent="0.3">
      <c r="A4273" t="str">
        <f t="shared" si="66"/>
        <v>0120137</v>
      </c>
      <c r="B4273" s="101" t="s">
        <v>640</v>
      </c>
      <c r="C4273" s="101" t="s">
        <v>168</v>
      </c>
      <c r="D4273" s="101" t="s">
        <v>260</v>
      </c>
      <c r="E4273" s="101" t="s">
        <v>19</v>
      </c>
    </row>
    <row r="4274" spans="1:5" x14ac:dyDescent="0.3">
      <c r="A4274" t="str">
        <f t="shared" si="66"/>
        <v>0220166</v>
      </c>
      <c r="B4274" s="101" t="s">
        <v>639</v>
      </c>
      <c r="C4274" s="101" t="s">
        <v>168</v>
      </c>
      <c r="D4274" s="101" t="s">
        <v>167</v>
      </c>
      <c r="E4274" s="101" t="s">
        <v>17</v>
      </c>
    </row>
    <row r="4275" spans="1:5" x14ac:dyDescent="0.3">
      <c r="A4275" t="str">
        <f t="shared" si="66"/>
        <v>0420166</v>
      </c>
      <c r="B4275" s="101" t="s">
        <v>18</v>
      </c>
      <c r="C4275" s="101" t="s">
        <v>168</v>
      </c>
      <c r="D4275" s="101" t="s">
        <v>167</v>
      </c>
      <c r="E4275" s="101" t="s">
        <v>17</v>
      </c>
    </row>
    <row r="4276" spans="1:5" x14ac:dyDescent="0.3">
      <c r="A4276" t="str">
        <f t="shared" si="66"/>
        <v>0220167</v>
      </c>
      <c r="B4276" s="101" t="s">
        <v>639</v>
      </c>
      <c r="C4276" s="101" t="s">
        <v>168</v>
      </c>
      <c r="D4276" s="101" t="s">
        <v>169</v>
      </c>
      <c r="E4276" s="101" t="s">
        <v>17</v>
      </c>
    </row>
    <row r="4277" spans="1:5" x14ac:dyDescent="0.3">
      <c r="A4277" t="str">
        <f t="shared" si="66"/>
        <v>0420167</v>
      </c>
      <c r="B4277" s="101" t="s">
        <v>18</v>
      </c>
      <c r="C4277" s="101" t="s">
        <v>168</v>
      </c>
      <c r="D4277" s="101" t="s">
        <v>169</v>
      </c>
      <c r="E4277" s="101" t="s">
        <v>17</v>
      </c>
    </row>
    <row r="4278" spans="1:5" x14ac:dyDescent="0.3">
      <c r="A4278" t="str">
        <f t="shared" si="66"/>
        <v>0220178</v>
      </c>
      <c r="B4278" s="101" t="s">
        <v>639</v>
      </c>
      <c r="C4278" s="101" t="s">
        <v>168</v>
      </c>
      <c r="D4278" s="101" t="s">
        <v>175</v>
      </c>
      <c r="E4278" s="101" t="s">
        <v>17</v>
      </c>
    </row>
    <row r="4279" spans="1:5" x14ac:dyDescent="0.3">
      <c r="A4279" t="str">
        <f t="shared" si="66"/>
        <v>0420178</v>
      </c>
      <c r="B4279" s="101" t="s">
        <v>18</v>
      </c>
      <c r="C4279" s="101" t="s">
        <v>168</v>
      </c>
      <c r="D4279" s="101" t="s">
        <v>175</v>
      </c>
      <c r="E4279" s="101" t="s">
        <v>17</v>
      </c>
    </row>
    <row r="4280" spans="1:5" x14ac:dyDescent="0.3">
      <c r="A4280" t="str">
        <f t="shared" si="66"/>
        <v>0220179</v>
      </c>
      <c r="B4280" s="101" t="s">
        <v>639</v>
      </c>
      <c r="C4280" s="101" t="s">
        <v>168</v>
      </c>
      <c r="D4280" s="101" t="s">
        <v>177</v>
      </c>
      <c r="E4280" s="101" t="s">
        <v>17</v>
      </c>
    </row>
    <row r="4281" spans="1:5" x14ac:dyDescent="0.3">
      <c r="A4281" t="str">
        <f t="shared" si="66"/>
        <v>0420179</v>
      </c>
      <c r="B4281" s="101" t="s">
        <v>18</v>
      </c>
      <c r="C4281" s="101" t="s">
        <v>168</v>
      </c>
      <c r="D4281" s="101" t="s">
        <v>177</v>
      </c>
      <c r="E4281" s="101" t="s">
        <v>17</v>
      </c>
    </row>
    <row r="4282" spans="1:5" x14ac:dyDescent="0.3">
      <c r="A4282" t="str">
        <f t="shared" si="66"/>
        <v>0220182</v>
      </c>
      <c r="B4282" s="101" t="s">
        <v>639</v>
      </c>
      <c r="C4282" s="101" t="s">
        <v>168</v>
      </c>
      <c r="D4282" s="101" t="s">
        <v>179</v>
      </c>
      <c r="E4282" s="101" t="s">
        <v>17</v>
      </c>
    </row>
    <row r="4283" spans="1:5" x14ac:dyDescent="0.3">
      <c r="A4283" t="str">
        <f t="shared" si="66"/>
        <v>0420182</v>
      </c>
      <c r="B4283" s="101" t="s">
        <v>18</v>
      </c>
      <c r="C4283" s="101" t="s">
        <v>168</v>
      </c>
      <c r="D4283" s="101" t="s">
        <v>179</v>
      </c>
      <c r="E4283" s="101" t="s">
        <v>17</v>
      </c>
    </row>
    <row r="4284" spans="1:5" x14ac:dyDescent="0.3">
      <c r="A4284" t="str">
        <f t="shared" si="66"/>
        <v>0220183</v>
      </c>
      <c r="B4284" s="101" t="s">
        <v>639</v>
      </c>
      <c r="C4284" s="101" t="s">
        <v>168</v>
      </c>
      <c r="D4284" s="101" t="s">
        <v>181</v>
      </c>
      <c r="E4284" s="101" t="s">
        <v>17</v>
      </c>
    </row>
    <row r="4285" spans="1:5" x14ac:dyDescent="0.3">
      <c r="A4285" t="str">
        <f t="shared" si="66"/>
        <v>0420183</v>
      </c>
      <c r="B4285" s="101" t="s">
        <v>18</v>
      </c>
      <c r="C4285" s="101" t="s">
        <v>168</v>
      </c>
      <c r="D4285" s="101" t="s">
        <v>181</v>
      </c>
      <c r="E4285" s="101" t="s">
        <v>17</v>
      </c>
    </row>
    <row r="4286" spans="1:5" x14ac:dyDescent="0.3">
      <c r="A4286" t="str">
        <f t="shared" si="66"/>
        <v>0220194</v>
      </c>
      <c r="B4286" s="101" t="s">
        <v>639</v>
      </c>
      <c r="C4286" s="101" t="s">
        <v>168</v>
      </c>
      <c r="D4286" s="101" t="s">
        <v>183</v>
      </c>
      <c r="E4286" s="101" t="s">
        <v>17</v>
      </c>
    </row>
    <row r="4287" spans="1:5" x14ac:dyDescent="0.3">
      <c r="A4287" t="str">
        <f t="shared" si="66"/>
        <v>0420194</v>
      </c>
      <c r="B4287" s="101" t="s">
        <v>18</v>
      </c>
      <c r="C4287" s="101" t="s">
        <v>168</v>
      </c>
      <c r="D4287" s="101" t="s">
        <v>183</v>
      </c>
      <c r="E4287" s="101" t="s">
        <v>17</v>
      </c>
    </row>
    <row r="4288" spans="1:5" x14ac:dyDescent="0.3">
      <c r="A4288" t="str">
        <f t="shared" si="66"/>
        <v>0220195</v>
      </c>
      <c r="B4288" s="101" t="s">
        <v>639</v>
      </c>
      <c r="C4288" s="101" t="s">
        <v>168</v>
      </c>
      <c r="D4288" s="101" t="s">
        <v>184</v>
      </c>
      <c r="E4288" s="101" t="s">
        <v>17</v>
      </c>
    </row>
    <row r="4289" spans="1:5" x14ac:dyDescent="0.3">
      <c r="A4289" t="str">
        <f t="shared" si="66"/>
        <v>0420195</v>
      </c>
      <c r="B4289" s="101" t="s">
        <v>18</v>
      </c>
      <c r="C4289" s="101" t="s">
        <v>168</v>
      </c>
      <c r="D4289" s="101" t="s">
        <v>184</v>
      </c>
      <c r="E4289" s="101" t="s">
        <v>17</v>
      </c>
    </row>
    <row r="4290" spans="1:5" x14ac:dyDescent="0.3">
      <c r="A4290" t="str">
        <f t="shared" si="66"/>
        <v>0420283</v>
      </c>
      <c r="B4290" s="101" t="s">
        <v>18</v>
      </c>
      <c r="C4290" s="101" t="s">
        <v>168</v>
      </c>
      <c r="D4290" s="101" t="s">
        <v>332</v>
      </c>
      <c r="E4290" s="101" t="s">
        <v>17</v>
      </c>
    </row>
    <row r="4291" spans="1:5" x14ac:dyDescent="0.3">
      <c r="A4291" t="str">
        <f t="shared" ref="A4291:A4354" si="67">CONCATENATE(B4291,C4291,D4291,F4291)</f>
        <v>0520283</v>
      </c>
      <c r="B4291" s="101" t="s">
        <v>313</v>
      </c>
      <c r="C4291" s="101" t="s">
        <v>168</v>
      </c>
      <c r="D4291" s="101" t="s">
        <v>332</v>
      </c>
      <c r="E4291" s="101" t="s">
        <v>17</v>
      </c>
    </row>
    <row r="4292" spans="1:5" x14ac:dyDescent="0.3">
      <c r="A4292" t="str">
        <f t="shared" si="67"/>
        <v>0620283</v>
      </c>
      <c r="B4292" s="101" t="s">
        <v>317</v>
      </c>
      <c r="C4292" s="101" t="s">
        <v>168</v>
      </c>
      <c r="D4292" s="101" t="s">
        <v>332</v>
      </c>
      <c r="E4292" s="101" t="s">
        <v>17</v>
      </c>
    </row>
    <row r="4293" spans="1:5" x14ac:dyDescent="0.3">
      <c r="A4293" t="str">
        <f t="shared" si="67"/>
        <v>0720283</v>
      </c>
      <c r="B4293" s="101" t="s">
        <v>319</v>
      </c>
      <c r="C4293" s="101" t="s">
        <v>168</v>
      </c>
      <c r="D4293" s="101" t="s">
        <v>332</v>
      </c>
      <c r="E4293" s="101" t="s">
        <v>17</v>
      </c>
    </row>
    <row r="4294" spans="1:5" x14ac:dyDescent="0.3">
      <c r="A4294" t="str">
        <f t="shared" si="67"/>
        <v>0820283</v>
      </c>
      <c r="B4294" s="101" t="s">
        <v>320</v>
      </c>
      <c r="C4294" s="101" t="s">
        <v>168</v>
      </c>
      <c r="D4294" s="101" t="s">
        <v>332</v>
      </c>
      <c r="E4294" s="101" t="s">
        <v>17</v>
      </c>
    </row>
    <row r="4295" spans="1:5" x14ac:dyDescent="0.3">
      <c r="A4295" t="str">
        <f t="shared" si="67"/>
        <v>0420284</v>
      </c>
      <c r="B4295" s="101" t="s">
        <v>18</v>
      </c>
      <c r="C4295" s="101" t="s">
        <v>168</v>
      </c>
      <c r="D4295" s="101" t="s">
        <v>334</v>
      </c>
      <c r="E4295" s="101" t="s">
        <v>17</v>
      </c>
    </row>
    <row r="4296" spans="1:5" x14ac:dyDescent="0.3">
      <c r="A4296" t="str">
        <f t="shared" si="67"/>
        <v>0520284</v>
      </c>
      <c r="B4296" s="101" t="s">
        <v>313</v>
      </c>
      <c r="C4296" s="101" t="s">
        <v>168</v>
      </c>
      <c r="D4296" s="101" t="s">
        <v>334</v>
      </c>
      <c r="E4296" s="101" t="s">
        <v>17</v>
      </c>
    </row>
    <row r="4297" spans="1:5" x14ac:dyDescent="0.3">
      <c r="A4297" t="str">
        <f t="shared" si="67"/>
        <v>0620284</v>
      </c>
      <c r="B4297" s="101" t="s">
        <v>317</v>
      </c>
      <c r="C4297" s="101" t="s">
        <v>168</v>
      </c>
      <c r="D4297" s="101" t="s">
        <v>334</v>
      </c>
      <c r="E4297" s="101" t="s">
        <v>17</v>
      </c>
    </row>
    <row r="4298" spans="1:5" x14ac:dyDescent="0.3">
      <c r="A4298" t="str">
        <f t="shared" si="67"/>
        <v>0720284</v>
      </c>
      <c r="B4298" s="101" t="s">
        <v>319</v>
      </c>
      <c r="C4298" s="101" t="s">
        <v>168</v>
      </c>
      <c r="D4298" s="101" t="s">
        <v>334</v>
      </c>
      <c r="E4298" s="101" t="s">
        <v>17</v>
      </c>
    </row>
    <row r="4299" spans="1:5" x14ac:dyDescent="0.3">
      <c r="A4299" t="str">
        <f t="shared" si="67"/>
        <v>0820284</v>
      </c>
      <c r="B4299" s="101" t="s">
        <v>320</v>
      </c>
      <c r="C4299" s="101" t="s">
        <v>168</v>
      </c>
      <c r="D4299" s="101" t="s">
        <v>334</v>
      </c>
      <c r="E4299" s="101" t="s">
        <v>17</v>
      </c>
    </row>
    <row r="4300" spans="1:5" x14ac:dyDescent="0.3">
      <c r="A4300" t="str">
        <f t="shared" si="67"/>
        <v>0120294</v>
      </c>
      <c r="B4300" s="101" t="s">
        <v>640</v>
      </c>
      <c r="C4300" s="101" t="s">
        <v>168</v>
      </c>
      <c r="D4300" s="101" t="s">
        <v>349</v>
      </c>
      <c r="E4300" s="101" t="s">
        <v>140</v>
      </c>
    </row>
    <row r="4301" spans="1:5" x14ac:dyDescent="0.3">
      <c r="A4301" t="str">
        <f t="shared" si="67"/>
        <v>0120301</v>
      </c>
      <c r="B4301" s="101" t="s">
        <v>640</v>
      </c>
      <c r="C4301" s="101" t="s">
        <v>168</v>
      </c>
      <c r="D4301" s="101" t="s">
        <v>358</v>
      </c>
      <c r="E4301" s="101" t="s">
        <v>19</v>
      </c>
    </row>
    <row r="4302" spans="1:5" x14ac:dyDescent="0.3">
      <c r="A4302" t="str">
        <f t="shared" si="67"/>
        <v>0220517</v>
      </c>
      <c r="B4302" s="101" t="s">
        <v>639</v>
      </c>
      <c r="C4302" s="101" t="s">
        <v>168</v>
      </c>
      <c r="D4302" s="101" t="s">
        <v>390</v>
      </c>
      <c r="E4302" s="101" t="s">
        <v>139</v>
      </c>
    </row>
    <row r="4303" spans="1:5" x14ac:dyDescent="0.3">
      <c r="A4303" t="str">
        <f t="shared" si="67"/>
        <v>0220518</v>
      </c>
      <c r="B4303" s="101" t="s">
        <v>639</v>
      </c>
      <c r="C4303" s="101" t="s">
        <v>168</v>
      </c>
      <c r="D4303" s="101" t="s">
        <v>382</v>
      </c>
      <c r="E4303" s="101" t="s">
        <v>139</v>
      </c>
    </row>
    <row r="4304" spans="1:5" x14ac:dyDescent="0.3">
      <c r="A4304" t="str">
        <f t="shared" si="67"/>
        <v>0220519</v>
      </c>
      <c r="B4304" s="101" t="s">
        <v>639</v>
      </c>
      <c r="C4304" s="101" t="s">
        <v>168</v>
      </c>
      <c r="D4304" s="101" t="s">
        <v>383</v>
      </c>
      <c r="E4304" s="101" t="s">
        <v>139</v>
      </c>
    </row>
    <row r="4305" spans="1:5" x14ac:dyDescent="0.3">
      <c r="A4305" t="str">
        <f t="shared" si="67"/>
        <v>0220520</v>
      </c>
      <c r="B4305" s="101" t="s">
        <v>639</v>
      </c>
      <c r="C4305" s="101" t="s">
        <v>168</v>
      </c>
      <c r="D4305" s="101" t="s">
        <v>404</v>
      </c>
      <c r="E4305" s="101" t="s">
        <v>139</v>
      </c>
    </row>
    <row r="4306" spans="1:5" x14ac:dyDescent="0.3">
      <c r="A4306" t="str">
        <f t="shared" si="67"/>
        <v>0220533</v>
      </c>
      <c r="B4306" s="101" t="s">
        <v>639</v>
      </c>
      <c r="C4306" s="101" t="s">
        <v>168</v>
      </c>
      <c r="D4306" s="101" t="s">
        <v>397</v>
      </c>
      <c r="E4306" s="101" t="s">
        <v>139</v>
      </c>
    </row>
    <row r="4307" spans="1:5" x14ac:dyDescent="0.3">
      <c r="A4307" t="str">
        <f t="shared" si="67"/>
        <v>0220534</v>
      </c>
      <c r="B4307" s="101" t="s">
        <v>639</v>
      </c>
      <c r="C4307" s="101" t="s">
        <v>168</v>
      </c>
      <c r="D4307" s="101" t="s">
        <v>350</v>
      </c>
      <c r="E4307" s="101" t="s">
        <v>139</v>
      </c>
    </row>
    <row r="4308" spans="1:5" x14ac:dyDescent="0.3">
      <c r="A4308" t="str">
        <f t="shared" si="67"/>
        <v>0220539</v>
      </c>
      <c r="B4308" s="101" t="s">
        <v>639</v>
      </c>
      <c r="C4308" s="101" t="s">
        <v>168</v>
      </c>
      <c r="D4308" s="101" t="s">
        <v>378</v>
      </c>
      <c r="E4308" s="101" t="s">
        <v>139</v>
      </c>
    </row>
    <row r="4309" spans="1:5" x14ac:dyDescent="0.3">
      <c r="A4309" t="str">
        <f t="shared" si="67"/>
        <v>0220540</v>
      </c>
      <c r="B4309" s="101" t="s">
        <v>639</v>
      </c>
      <c r="C4309" s="101" t="s">
        <v>168</v>
      </c>
      <c r="D4309" s="101" t="s">
        <v>411</v>
      </c>
      <c r="E4309" s="101" t="s">
        <v>139</v>
      </c>
    </row>
    <row r="4310" spans="1:5" x14ac:dyDescent="0.3">
      <c r="A4310" t="str">
        <f t="shared" si="67"/>
        <v>0220544</v>
      </c>
      <c r="B4310" s="101" t="s">
        <v>639</v>
      </c>
      <c r="C4310" s="101" t="s">
        <v>168</v>
      </c>
      <c r="D4310" s="101" t="s">
        <v>412</v>
      </c>
      <c r="E4310" s="101" t="s">
        <v>17</v>
      </c>
    </row>
    <row r="4311" spans="1:5" x14ac:dyDescent="0.3">
      <c r="A4311" t="str">
        <f t="shared" si="67"/>
        <v>0220545</v>
      </c>
      <c r="B4311" s="101" t="s">
        <v>639</v>
      </c>
      <c r="C4311" s="101" t="s">
        <v>168</v>
      </c>
      <c r="D4311" s="101" t="s">
        <v>413</v>
      </c>
      <c r="E4311" s="101" t="s">
        <v>17</v>
      </c>
    </row>
    <row r="4312" spans="1:5" x14ac:dyDescent="0.3">
      <c r="A4312" t="str">
        <f t="shared" si="67"/>
        <v>0220546</v>
      </c>
      <c r="B4312" s="101" t="s">
        <v>639</v>
      </c>
      <c r="C4312" s="101" t="s">
        <v>168</v>
      </c>
      <c r="D4312" s="101" t="s">
        <v>373</v>
      </c>
      <c r="E4312" s="101" t="s">
        <v>17</v>
      </c>
    </row>
    <row r="4313" spans="1:5" x14ac:dyDescent="0.3">
      <c r="A4313" t="str">
        <f t="shared" si="67"/>
        <v>0420546</v>
      </c>
      <c r="B4313" s="101" t="s">
        <v>18</v>
      </c>
      <c r="C4313" s="101" t="s">
        <v>168</v>
      </c>
      <c r="D4313" s="101" t="s">
        <v>373</v>
      </c>
      <c r="E4313" s="101" t="s">
        <v>17</v>
      </c>
    </row>
    <row r="4314" spans="1:5" x14ac:dyDescent="0.3">
      <c r="A4314" t="str">
        <f t="shared" si="67"/>
        <v>0220548</v>
      </c>
      <c r="B4314" s="101" t="s">
        <v>639</v>
      </c>
      <c r="C4314" s="101" t="s">
        <v>168</v>
      </c>
      <c r="D4314" s="101" t="s">
        <v>354</v>
      </c>
      <c r="E4314" s="101" t="s">
        <v>17</v>
      </c>
    </row>
    <row r="4315" spans="1:5" x14ac:dyDescent="0.3">
      <c r="A4315" t="str">
        <f t="shared" si="67"/>
        <v>0220550</v>
      </c>
      <c r="B4315" s="101" t="s">
        <v>639</v>
      </c>
      <c r="C4315" s="101" t="s">
        <v>168</v>
      </c>
      <c r="D4315" s="101" t="s">
        <v>415</v>
      </c>
      <c r="E4315" s="101" t="s">
        <v>17</v>
      </c>
    </row>
    <row r="4316" spans="1:5" x14ac:dyDescent="0.3">
      <c r="A4316" t="str">
        <f t="shared" si="67"/>
        <v>0220551</v>
      </c>
      <c r="B4316" s="101" t="s">
        <v>639</v>
      </c>
      <c r="C4316" s="101" t="s">
        <v>168</v>
      </c>
      <c r="D4316" s="101" t="s">
        <v>416</v>
      </c>
      <c r="E4316" s="101" t="s">
        <v>17</v>
      </c>
    </row>
    <row r="4317" spans="1:5" x14ac:dyDescent="0.3">
      <c r="A4317" t="str">
        <f t="shared" si="67"/>
        <v>0220552</v>
      </c>
      <c r="B4317" s="101" t="s">
        <v>639</v>
      </c>
      <c r="C4317" s="101" t="s">
        <v>168</v>
      </c>
      <c r="D4317" s="101" t="s">
        <v>374</v>
      </c>
      <c r="E4317" s="101" t="s">
        <v>17</v>
      </c>
    </row>
    <row r="4318" spans="1:5" x14ac:dyDescent="0.3">
      <c r="A4318" t="str">
        <f t="shared" si="67"/>
        <v>0220553</v>
      </c>
      <c r="B4318" s="101" t="s">
        <v>639</v>
      </c>
      <c r="C4318" s="101" t="s">
        <v>168</v>
      </c>
      <c r="D4318" s="101" t="s">
        <v>417</v>
      </c>
      <c r="E4318" s="101" t="s">
        <v>17</v>
      </c>
    </row>
    <row r="4319" spans="1:5" x14ac:dyDescent="0.3">
      <c r="A4319" t="str">
        <f t="shared" si="67"/>
        <v>0220554</v>
      </c>
      <c r="B4319" s="101" t="s">
        <v>639</v>
      </c>
      <c r="C4319" s="101" t="s">
        <v>168</v>
      </c>
      <c r="D4319" s="101" t="s">
        <v>391</v>
      </c>
      <c r="E4319" s="101" t="s">
        <v>17</v>
      </c>
    </row>
    <row r="4320" spans="1:5" x14ac:dyDescent="0.3">
      <c r="A4320" t="str">
        <f t="shared" si="67"/>
        <v>0220555</v>
      </c>
      <c r="B4320" s="101" t="s">
        <v>639</v>
      </c>
      <c r="C4320" s="101" t="s">
        <v>168</v>
      </c>
      <c r="D4320" s="101" t="s">
        <v>418</v>
      </c>
      <c r="E4320" s="101" t="s">
        <v>17</v>
      </c>
    </row>
    <row r="4321" spans="1:5" x14ac:dyDescent="0.3">
      <c r="A4321" t="str">
        <f t="shared" si="67"/>
        <v>0420565</v>
      </c>
      <c r="B4321" s="101" t="s">
        <v>18</v>
      </c>
      <c r="C4321" s="101" t="s">
        <v>168</v>
      </c>
      <c r="D4321" s="101" t="s">
        <v>424</v>
      </c>
      <c r="E4321" s="101" t="s">
        <v>17</v>
      </c>
    </row>
    <row r="4322" spans="1:5" x14ac:dyDescent="0.3">
      <c r="A4322" t="str">
        <f t="shared" si="67"/>
        <v>0220571</v>
      </c>
      <c r="B4322" s="101" t="s">
        <v>639</v>
      </c>
      <c r="C4322" s="101" t="s">
        <v>168</v>
      </c>
      <c r="D4322" s="101" t="s">
        <v>430</v>
      </c>
      <c r="E4322" s="101" t="s">
        <v>17</v>
      </c>
    </row>
    <row r="4323" spans="1:5" x14ac:dyDescent="0.3">
      <c r="A4323" t="str">
        <f t="shared" si="67"/>
        <v>0220572</v>
      </c>
      <c r="B4323" s="101" t="s">
        <v>639</v>
      </c>
      <c r="C4323" s="101" t="s">
        <v>168</v>
      </c>
      <c r="D4323" s="101" t="s">
        <v>431</v>
      </c>
      <c r="E4323" s="101" t="s">
        <v>17</v>
      </c>
    </row>
    <row r="4324" spans="1:5" x14ac:dyDescent="0.3">
      <c r="A4324" t="str">
        <f t="shared" si="67"/>
        <v>0220573</v>
      </c>
      <c r="B4324" s="101" t="s">
        <v>639</v>
      </c>
      <c r="C4324" s="101" t="s">
        <v>168</v>
      </c>
      <c r="D4324" s="101" t="s">
        <v>432</v>
      </c>
      <c r="E4324" s="101" t="s">
        <v>17</v>
      </c>
    </row>
    <row r="4325" spans="1:5" x14ac:dyDescent="0.3">
      <c r="A4325" t="str">
        <f t="shared" si="67"/>
        <v>0220574</v>
      </c>
      <c r="B4325" s="101" t="s">
        <v>639</v>
      </c>
      <c r="C4325" s="101" t="s">
        <v>168</v>
      </c>
      <c r="D4325" s="101" t="s">
        <v>433</v>
      </c>
      <c r="E4325" s="101" t="s">
        <v>17</v>
      </c>
    </row>
    <row r="4326" spans="1:5" x14ac:dyDescent="0.3">
      <c r="A4326" t="str">
        <f t="shared" si="67"/>
        <v>0120586</v>
      </c>
      <c r="B4326" s="101" t="s">
        <v>640</v>
      </c>
      <c r="C4326" s="101" t="s">
        <v>168</v>
      </c>
      <c r="D4326" s="101" t="s">
        <v>445</v>
      </c>
      <c r="E4326" s="101" t="s">
        <v>19</v>
      </c>
    </row>
    <row r="4327" spans="1:5" x14ac:dyDescent="0.3">
      <c r="A4327" t="str">
        <f t="shared" si="67"/>
        <v>0120587</v>
      </c>
      <c r="B4327" s="101" t="s">
        <v>640</v>
      </c>
      <c r="C4327" s="101" t="s">
        <v>168</v>
      </c>
      <c r="D4327" s="101" t="s">
        <v>446</v>
      </c>
      <c r="E4327" s="101" t="s">
        <v>19</v>
      </c>
    </row>
    <row r="4328" spans="1:5" x14ac:dyDescent="0.3">
      <c r="A4328" t="str">
        <f t="shared" si="67"/>
        <v>0120588</v>
      </c>
      <c r="B4328" s="101" t="s">
        <v>640</v>
      </c>
      <c r="C4328" s="101" t="s">
        <v>168</v>
      </c>
      <c r="D4328" s="101" t="s">
        <v>447</v>
      </c>
      <c r="E4328" s="101" t="s">
        <v>19</v>
      </c>
    </row>
    <row r="4329" spans="1:5" x14ac:dyDescent="0.3">
      <c r="A4329" t="str">
        <f t="shared" si="67"/>
        <v>0120589</v>
      </c>
      <c r="B4329" s="101" t="s">
        <v>640</v>
      </c>
      <c r="C4329" s="101" t="s">
        <v>168</v>
      </c>
      <c r="D4329" s="101" t="s">
        <v>448</v>
      </c>
      <c r="E4329" s="101" t="s">
        <v>19</v>
      </c>
    </row>
    <row r="4330" spans="1:5" x14ac:dyDescent="0.3">
      <c r="A4330" t="str">
        <f t="shared" si="67"/>
        <v>0120600</v>
      </c>
      <c r="B4330" s="101" t="s">
        <v>640</v>
      </c>
      <c r="C4330" s="101" t="s">
        <v>168</v>
      </c>
      <c r="D4330" s="101" t="s">
        <v>230</v>
      </c>
      <c r="E4330" s="101" t="s">
        <v>17</v>
      </c>
    </row>
    <row r="4331" spans="1:5" x14ac:dyDescent="0.3">
      <c r="A4331" t="str">
        <f t="shared" si="67"/>
        <v>0120602</v>
      </c>
      <c r="B4331" s="101" t="s">
        <v>640</v>
      </c>
      <c r="C4331" s="101" t="s">
        <v>168</v>
      </c>
      <c r="D4331" s="101" t="s">
        <v>461</v>
      </c>
      <c r="E4331" s="101" t="s">
        <v>17</v>
      </c>
    </row>
    <row r="4332" spans="1:5" x14ac:dyDescent="0.3">
      <c r="A4332" t="str">
        <f t="shared" si="67"/>
        <v>0120603</v>
      </c>
      <c r="B4332" s="101" t="s">
        <v>640</v>
      </c>
      <c r="C4332" s="101" t="s">
        <v>168</v>
      </c>
      <c r="D4332" s="101" t="s">
        <v>462</v>
      </c>
      <c r="E4332" s="101" t="s">
        <v>17</v>
      </c>
    </row>
    <row r="4333" spans="1:5" x14ac:dyDescent="0.3">
      <c r="A4333" t="str">
        <f t="shared" si="67"/>
        <v>0120626</v>
      </c>
      <c r="B4333" s="101" t="s">
        <v>640</v>
      </c>
      <c r="C4333" s="101" t="s">
        <v>168</v>
      </c>
      <c r="D4333" s="101" t="s">
        <v>193</v>
      </c>
      <c r="E4333" s="101" t="s">
        <v>17</v>
      </c>
    </row>
    <row r="4334" spans="1:5" x14ac:dyDescent="0.3">
      <c r="A4334" t="str">
        <f t="shared" si="67"/>
        <v>0120627</v>
      </c>
      <c r="B4334" s="101" t="s">
        <v>640</v>
      </c>
      <c r="C4334" s="101" t="s">
        <v>168</v>
      </c>
      <c r="D4334" s="101" t="s">
        <v>194</v>
      </c>
      <c r="E4334" s="101" t="s">
        <v>17</v>
      </c>
    </row>
    <row r="4335" spans="1:5" x14ac:dyDescent="0.3">
      <c r="A4335" t="str">
        <f t="shared" si="67"/>
        <v>0120644</v>
      </c>
      <c r="B4335" s="101" t="s">
        <v>640</v>
      </c>
      <c r="C4335" s="101" t="s">
        <v>168</v>
      </c>
      <c r="D4335" s="101" t="s">
        <v>485</v>
      </c>
      <c r="E4335" s="101" t="s">
        <v>19</v>
      </c>
    </row>
    <row r="4336" spans="1:5" x14ac:dyDescent="0.3">
      <c r="A4336" t="str">
        <f t="shared" si="67"/>
        <v>0120645</v>
      </c>
      <c r="B4336" s="101" t="s">
        <v>640</v>
      </c>
      <c r="C4336" s="101" t="s">
        <v>168</v>
      </c>
      <c r="D4336" s="101" t="s">
        <v>486</v>
      </c>
      <c r="E4336" s="101" t="s">
        <v>19</v>
      </c>
    </row>
    <row r="4337" spans="1:5" x14ac:dyDescent="0.3">
      <c r="A4337" t="str">
        <f t="shared" si="67"/>
        <v>0320656</v>
      </c>
      <c r="B4337" s="101" t="s">
        <v>16</v>
      </c>
      <c r="C4337" s="101" t="s">
        <v>168</v>
      </c>
      <c r="D4337" s="101" t="s">
        <v>212</v>
      </c>
      <c r="E4337" s="101" t="s">
        <v>139</v>
      </c>
    </row>
    <row r="4338" spans="1:5" x14ac:dyDescent="0.3">
      <c r="A4338" t="str">
        <f t="shared" si="67"/>
        <v>0520803</v>
      </c>
      <c r="B4338" s="101" t="s">
        <v>313</v>
      </c>
      <c r="C4338" s="101" t="s">
        <v>168</v>
      </c>
      <c r="D4338" s="101" t="s">
        <v>540</v>
      </c>
      <c r="E4338" s="101" t="s">
        <v>17</v>
      </c>
    </row>
    <row r="4339" spans="1:5" x14ac:dyDescent="0.3">
      <c r="A4339" t="str">
        <f t="shared" si="67"/>
        <v>0620803</v>
      </c>
      <c r="B4339" s="101" t="s">
        <v>317</v>
      </c>
      <c r="C4339" s="101" t="s">
        <v>168</v>
      </c>
      <c r="D4339" s="101" t="s">
        <v>540</v>
      </c>
      <c r="E4339" s="101" t="s">
        <v>17</v>
      </c>
    </row>
    <row r="4340" spans="1:5" x14ac:dyDescent="0.3">
      <c r="A4340" t="str">
        <f t="shared" si="67"/>
        <v>0720803</v>
      </c>
      <c r="B4340" s="101" t="s">
        <v>319</v>
      </c>
      <c r="C4340" s="101" t="s">
        <v>168</v>
      </c>
      <c r="D4340" s="101" t="s">
        <v>540</v>
      </c>
      <c r="E4340" s="101" t="s">
        <v>17</v>
      </c>
    </row>
    <row r="4341" spans="1:5" x14ac:dyDescent="0.3">
      <c r="A4341" t="str">
        <f t="shared" si="67"/>
        <v>0820803</v>
      </c>
      <c r="B4341" s="101" t="s">
        <v>320</v>
      </c>
      <c r="C4341" s="101" t="s">
        <v>168</v>
      </c>
      <c r="D4341" s="101" t="s">
        <v>540</v>
      </c>
      <c r="E4341" s="101" t="s">
        <v>17</v>
      </c>
    </row>
    <row r="4342" spans="1:5" x14ac:dyDescent="0.3">
      <c r="A4342" t="str">
        <f t="shared" si="67"/>
        <v>0520804</v>
      </c>
      <c r="B4342" s="101" t="s">
        <v>313</v>
      </c>
      <c r="C4342" s="101" t="s">
        <v>168</v>
      </c>
      <c r="D4342" s="101" t="s">
        <v>542</v>
      </c>
      <c r="E4342" s="101" t="s">
        <v>17</v>
      </c>
    </row>
    <row r="4343" spans="1:5" x14ac:dyDescent="0.3">
      <c r="A4343" t="str">
        <f t="shared" si="67"/>
        <v>0620804</v>
      </c>
      <c r="B4343" s="101" t="s">
        <v>317</v>
      </c>
      <c r="C4343" s="101" t="s">
        <v>168</v>
      </c>
      <c r="D4343" s="101" t="s">
        <v>542</v>
      </c>
      <c r="E4343" s="101" t="s">
        <v>17</v>
      </c>
    </row>
    <row r="4344" spans="1:5" x14ac:dyDescent="0.3">
      <c r="A4344" t="str">
        <f t="shared" si="67"/>
        <v>0820804</v>
      </c>
      <c r="B4344" s="101" t="s">
        <v>320</v>
      </c>
      <c r="C4344" s="101" t="s">
        <v>168</v>
      </c>
      <c r="D4344" s="101" t="s">
        <v>542</v>
      </c>
      <c r="E4344" s="101" t="s">
        <v>17</v>
      </c>
    </row>
    <row r="4345" spans="1:5" x14ac:dyDescent="0.3">
      <c r="A4345" t="str">
        <f t="shared" si="67"/>
        <v>0220808</v>
      </c>
      <c r="B4345" s="101" t="s">
        <v>639</v>
      </c>
      <c r="C4345" s="101" t="s">
        <v>168</v>
      </c>
      <c r="D4345" s="101" t="s">
        <v>186</v>
      </c>
      <c r="E4345" s="101" t="s">
        <v>17</v>
      </c>
    </row>
    <row r="4346" spans="1:5" x14ac:dyDescent="0.3">
      <c r="A4346" t="str">
        <f t="shared" si="67"/>
        <v>0420808</v>
      </c>
      <c r="B4346" s="101" t="s">
        <v>18</v>
      </c>
      <c r="C4346" s="101" t="s">
        <v>168</v>
      </c>
      <c r="D4346" s="101" t="s">
        <v>186</v>
      </c>
      <c r="E4346" s="101" t="s">
        <v>17</v>
      </c>
    </row>
    <row r="4347" spans="1:5" x14ac:dyDescent="0.3">
      <c r="A4347" t="str">
        <f t="shared" si="67"/>
        <v>0220809</v>
      </c>
      <c r="B4347" s="101" t="s">
        <v>639</v>
      </c>
      <c r="C4347" s="101" t="s">
        <v>168</v>
      </c>
      <c r="D4347" s="101" t="s">
        <v>187</v>
      </c>
      <c r="E4347" s="101" t="s">
        <v>17</v>
      </c>
    </row>
    <row r="4348" spans="1:5" x14ac:dyDescent="0.3">
      <c r="A4348" t="str">
        <f t="shared" si="67"/>
        <v>0420809</v>
      </c>
      <c r="B4348" s="101" t="s">
        <v>18</v>
      </c>
      <c r="C4348" s="101" t="s">
        <v>168</v>
      </c>
      <c r="D4348" s="101" t="s">
        <v>187</v>
      </c>
      <c r="E4348" s="101" t="s">
        <v>17</v>
      </c>
    </row>
    <row r="4349" spans="1:5" x14ac:dyDescent="0.3">
      <c r="A4349" t="str">
        <f t="shared" si="67"/>
        <v>0220810</v>
      </c>
      <c r="B4349" s="101" t="s">
        <v>639</v>
      </c>
      <c r="C4349" s="101" t="s">
        <v>168</v>
      </c>
      <c r="D4349" s="101" t="s">
        <v>188</v>
      </c>
      <c r="E4349" s="101" t="s">
        <v>17</v>
      </c>
    </row>
    <row r="4350" spans="1:5" x14ac:dyDescent="0.3">
      <c r="A4350" t="str">
        <f t="shared" si="67"/>
        <v>0420810</v>
      </c>
      <c r="B4350" s="101" t="s">
        <v>18</v>
      </c>
      <c r="C4350" s="101" t="s">
        <v>168</v>
      </c>
      <c r="D4350" s="101" t="s">
        <v>188</v>
      </c>
      <c r="E4350" s="101" t="s">
        <v>17</v>
      </c>
    </row>
    <row r="4351" spans="1:5" x14ac:dyDescent="0.3">
      <c r="A4351" t="str">
        <f t="shared" si="67"/>
        <v>0520811</v>
      </c>
      <c r="B4351" s="101" t="s">
        <v>313</v>
      </c>
      <c r="C4351" s="101" t="s">
        <v>168</v>
      </c>
      <c r="D4351" s="101" t="s">
        <v>189</v>
      </c>
      <c r="E4351" s="101" t="s">
        <v>17</v>
      </c>
    </row>
    <row r="4352" spans="1:5" x14ac:dyDescent="0.3">
      <c r="A4352" t="str">
        <f t="shared" si="67"/>
        <v>0520812</v>
      </c>
      <c r="B4352" s="101" t="s">
        <v>313</v>
      </c>
      <c r="C4352" s="101" t="s">
        <v>168</v>
      </c>
      <c r="D4352" s="101" t="s">
        <v>190</v>
      </c>
      <c r="E4352" s="101" t="s">
        <v>17</v>
      </c>
    </row>
    <row r="4353" spans="1:5" x14ac:dyDescent="0.3">
      <c r="A4353" t="str">
        <f t="shared" si="67"/>
        <v>0620812</v>
      </c>
      <c r="B4353" s="101" t="s">
        <v>317</v>
      </c>
      <c r="C4353" s="101" t="s">
        <v>168</v>
      </c>
      <c r="D4353" s="101" t="s">
        <v>190</v>
      </c>
      <c r="E4353" s="101" t="s">
        <v>17</v>
      </c>
    </row>
    <row r="4354" spans="1:5" x14ac:dyDescent="0.3">
      <c r="A4354" t="str">
        <f t="shared" si="67"/>
        <v>0720812</v>
      </c>
      <c r="B4354" s="101" t="s">
        <v>319</v>
      </c>
      <c r="C4354" s="101" t="s">
        <v>168</v>
      </c>
      <c r="D4354" s="101" t="s">
        <v>190</v>
      </c>
      <c r="E4354" s="101" t="s">
        <v>17</v>
      </c>
    </row>
    <row r="4355" spans="1:5" x14ac:dyDescent="0.3">
      <c r="A4355" t="str">
        <f t="shared" ref="A4355:A4418" si="68">CONCATENATE(B4355,C4355,D4355,F4355)</f>
        <v>0820812</v>
      </c>
      <c r="B4355" s="101" t="s">
        <v>320</v>
      </c>
      <c r="C4355" s="101" t="s">
        <v>168</v>
      </c>
      <c r="D4355" s="101" t="s">
        <v>190</v>
      </c>
      <c r="E4355" s="101" t="s">
        <v>17</v>
      </c>
    </row>
    <row r="4356" spans="1:5" x14ac:dyDescent="0.3">
      <c r="A4356" t="str">
        <f t="shared" si="68"/>
        <v>0220813</v>
      </c>
      <c r="B4356" s="101" t="s">
        <v>639</v>
      </c>
      <c r="C4356" s="101" t="s">
        <v>168</v>
      </c>
      <c r="D4356" s="101" t="s">
        <v>541</v>
      </c>
      <c r="E4356" s="101" t="s">
        <v>17</v>
      </c>
    </row>
    <row r="4357" spans="1:5" x14ac:dyDescent="0.3">
      <c r="A4357" t="str">
        <f t="shared" si="68"/>
        <v>0420813</v>
      </c>
      <c r="B4357" s="101" t="s">
        <v>18</v>
      </c>
      <c r="C4357" s="101" t="s">
        <v>168</v>
      </c>
      <c r="D4357" s="101" t="s">
        <v>541</v>
      </c>
      <c r="E4357" s="101" t="s">
        <v>17</v>
      </c>
    </row>
    <row r="4358" spans="1:5" x14ac:dyDescent="0.3">
      <c r="A4358" t="str">
        <f t="shared" si="68"/>
        <v>0220814</v>
      </c>
      <c r="B4358" s="101" t="s">
        <v>639</v>
      </c>
      <c r="C4358" s="101" t="s">
        <v>168</v>
      </c>
      <c r="D4358" s="101" t="s">
        <v>333</v>
      </c>
      <c r="E4358" s="101" t="s">
        <v>17</v>
      </c>
    </row>
    <row r="4359" spans="1:5" x14ac:dyDescent="0.3">
      <c r="A4359" t="str">
        <f t="shared" si="68"/>
        <v>0420814</v>
      </c>
      <c r="B4359" s="101" t="s">
        <v>18</v>
      </c>
      <c r="C4359" s="101" t="s">
        <v>168</v>
      </c>
      <c r="D4359" s="101" t="s">
        <v>333</v>
      </c>
      <c r="E4359" s="101" t="s">
        <v>17</v>
      </c>
    </row>
    <row r="4360" spans="1:5" x14ac:dyDescent="0.3">
      <c r="A4360" t="str">
        <f t="shared" si="68"/>
        <v>0220815</v>
      </c>
      <c r="B4360" s="101" t="s">
        <v>639</v>
      </c>
      <c r="C4360" s="101" t="s">
        <v>168</v>
      </c>
      <c r="D4360" s="101" t="s">
        <v>335</v>
      </c>
      <c r="E4360" s="101" t="s">
        <v>17</v>
      </c>
    </row>
    <row r="4361" spans="1:5" x14ac:dyDescent="0.3">
      <c r="A4361" t="str">
        <f t="shared" si="68"/>
        <v>0420815</v>
      </c>
      <c r="B4361" s="101" t="s">
        <v>18</v>
      </c>
      <c r="C4361" s="101" t="s">
        <v>168</v>
      </c>
      <c r="D4361" s="101" t="s">
        <v>335</v>
      </c>
      <c r="E4361" s="101" t="s">
        <v>17</v>
      </c>
    </row>
    <row r="4362" spans="1:5" x14ac:dyDescent="0.3">
      <c r="A4362" t="str">
        <f t="shared" si="68"/>
        <v>0520816</v>
      </c>
      <c r="B4362" s="101" t="s">
        <v>313</v>
      </c>
      <c r="C4362" s="101" t="s">
        <v>168</v>
      </c>
      <c r="D4362" s="101" t="s">
        <v>336</v>
      </c>
      <c r="E4362" s="101" t="s">
        <v>17</v>
      </c>
    </row>
    <row r="4363" spans="1:5" x14ac:dyDescent="0.3">
      <c r="A4363" t="str">
        <f t="shared" si="68"/>
        <v>0720816</v>
      </c>
      <c r="B4363" s="101" t="s">
        <v>319</v>
      </c>
      <c r="C4363" s="101" t="s">
        <v>168</v>
      </c>
      <c r="D4363" s="101" t="s">
        <v>336</v>
      </c>
      <c r="E4363" s="101" t="s">
        <v>17</v>
      </c>
    </row>
    <row r="4364" spans="1:5" x14ac:dyDescent="0.3">
      <c r="A4364" t="str">
        <f t="shared" si="68"/>
        <v>0620817</v>
      </c>
      <c r="B4364" s="101" t="s">
        <v>317</v>
      </c>
      <c r="C4364" s="101" t="s">
        <v>168</v>
      </c>
      <c r="D4364" s="101" t="s">
        <v>338</v>
      </c>
      <c r="E4364" s="101" t="s">
        <v>17</v>
      </c>
    </row>
    <row r="4365" spans="1:5" x14ac:dyDescent="0.3">
      <c r="A4365" t="str">
        <f t="shared" si="68"/>
        <v>0720817</v>
      </c>
      <c r="B4365" s="101" t="s">
        <v>319</v>
      </c>
      <c r="C4365" s="101" t="s">
        <v>168</v>
      </c>
      <c r="D4365" s="101" t="s">
        <v>338</v>
      </c>
      <c r="E4365" s="101" t="s">
        <v>17</v>
      </c>
    </row>
    <row r="4366" spans="1:5" x14ac:dyDescent="0.3">
      <c r="A4366" t="str">
        <f t="shared" si="68"/>
        <v>0220826</v>
      </c>
      <c r="B4366" s="101" t="s">
        <v>639</v>
      </c>
      <c r="C4366" s="101" t="s">
        <v>168</v>
      </c>
      <c r="D4366" s="101" t="s">
        <v>359</v>
      </c>
      <c r="E4366" s="101" t="s">
        <v>19</v>
      </c>
    </row>
    <row r="4367" spans="1:5" x14ac:dyDescent="0.3">
      <c r="A4367" t="str">
        <f t="shared" si="68"/>
        <v>0220827</v>
      </c>
      <c r="B4367" s="101" t="s">
        <v>639</v>
      </c>
      <c r="C4367" s="101" t="s">
        <v>168</v>
      </c>
      <c r="D4367" s="101" t="s">
        <v>361</v>
      </c>
      <c r="E4367" s="101" t="s">
        <v>19</v>
      </c>
    </row>
    <row r="4368" spans="1:5" x14ac:dyDescent="0.3">
      <c r="A4368" t="str">
        <f t="shared" si="68"/>
        <v>0320835</v>
      </c>
      <c r="B4368" s="101" t="s">
        <v>16</v>
      </c>
      <c r="C4368" s="101" t="s">
        <v>168</v>
      </c>
      <c r="D4368" s="101" t="s">
        <v>555</v>
      </c>
      <c r="E4368" s="101" t="s">
        <v>139</v>
      </c>
    </row>
    <row r="4369" spans="1:5" x14ac:dyDescent="0.3">
      <c r="A4369" t="str">
        <f t="shared" si="68"/>
        <v>0420890</v>
      </c>
      <c r="B4369" s="101" t="s">
        <v>18</v>
      </c>
      <c r="C4369" s="101" t="s">
        <v>168</v>
      </c>
      <c r="D4369" s="101" t="s">
        <v>568</v>
      </c>
      <c r="E4369" s="101" t="s">
        <v>17</v>
      </c>
    </row>
    <row r="4370" spans="1:5" x14ac:dyDescent="0.3">
      <c r="A4370" t="str">
        <f t="shared" si="68"/>
        <v>0120896</v>
      </c>
      <c r="B4370" s="101" t="s">
        <v>640</v>
      </c>
      <c r="C4370" s="101" t="s">
        <v>168</v>
      </c>
      <c r="D4370" s="101" t="s">
        <v>572</v>
      </c>
      <c r="E4370" s="101" t="s">
        <v>139</v>
      </c>
    </row>
    <row r="4371" spans="1:5" x14ac:dyDescent="0.3">
      <c r="A4371" t="str">
        <f t="shared" si="68"/>
        <v>0221103</v>
      </c>
      <c r="B4371" s="101" t="s">
        <v>639</v>
      </c>
      <c r="C4371" s="101" t="s">
        <v>170</v>
      </c>
      <c r="D4371" s="101" t="s">
        <v>233</v>
      </c>
      <c r="E4371" s="101" t="s">
        <v>17</v>
      </c>
    </row>
    <row r="4372" spans="1:5" x14ac:dyDescent="0.3">
      <c r="A4372" t="str">
        <f t="shared" si="68"/>
        <v>0221106</v>
      </c>
      <c r="B4372" s="101" t="s">
        <v>639</v>
      </c>
      <c r="C4372" s="101" t="s">
        <v>170</v>
      </c>
      <c r="D4372" s="101" t="s">
        <v>236</v>
      </c>
      <c r="E4372" s="101" t="s">
        <v>17</v>
      </c>
    </row>
    <row r="4373" spans="1:5" x14ac:dyDescent="0.3">
      <c r="A4373" t="str">
        <f t="shared" si="68"/>
        <v>0221140</v>
      </c>
      <c r="B4373" s="101" t="s">
        <v>639</v>
      </c>
      <c r="C4373" s="101" t="s">
        <v>170</v>
      </c>
      <c r="D4373" s="101" t="s">
        <v>263</v>
      </c>
      <c r="E4373" s="101" t="s">
        <v>17</v>
      </c>
    </row>
    <row r="4374" spans="1:5" x14ac:dyDescent="0.3">
      <c r="A4374" t="str">
        <f t="shared" si="68"/>
        <v>0221141</v>
      </c>
      <c r="B4374" s="101" t="s">
        <v>639</v>
      </c>
      <c r="C4374" s="101" t="s">
        <v>170</v>
      </c>
      <c r="D4374" s="101" t="s">
        <v>264</v>
      </c>
      <c r="E4374" s="101" t="s">
        <v>17</v>
      </c>
    </row>
    <row r="4375" spans="1:5" x14ac:dyDescent="0.3">
      <c r="A4375" t="str">
        <f t="shared" si="68"/>
        <v>0221142</v>
      </c>
      <c r="B4375" s="101" t="s">
        <v>639</v>
      </c>
      <c r="C4375" s="101" t="s">
        <v>170</v>
      </c>
      <c r="D4375" s="101" t="s">
        <v>155</v>
      </c>
      <c r="E4375" s="101" t="s">
        <v>17</v>
      </c>
    </row>
    <row r="4376" spans="1:5" x14ac:dyDescent="0.3">
      <c r="A4376" t="str">
        <f t="shared" si="68"/>
        <v>0221143</v>
      </c>
      <c r="B4376" s="101" t="s">
        <v>639</v>
      </c>
      <c r="C4376" s="101" t="s">
        <v>170</v>
      </c>
      <c r="D4376" s="101" t="s">
        <v>157</v>
      </c>
      <c r="E4376" s="101" t="s">
        <v>17</v>
      </c>
    </row>
    <row r="4377" spans="1:5" x14ac:dyDescent="0.3">
      <c r="A4377" t="str">
        <f t="shared" si="68"/>
        <v>0221144</v>
      </c>
      <c r="B4377" s="101" t="s">
        <v>639</v>
      </c>
      <c r="C4377" s="101" t="s">
        <v>170</v>
      </c>
      <c r="D4377" s="101" t="s">
        <v>266</v>
      </c>
      <c r="E4377" s="101" t="s">
        <v>17</v>
      </c>
    </row>
    <row r="4378" spans="1:5" x14ac:dyDescent="0.3">
      <c r="A4378" t="str">
        <f t="shared" si="68"/>
        <v>0221145</v>
      </c>
      <c r="B4378" s="101" t="s">
        <v>639</v>
      </c>
      <c r="C4378" s="101" t="s">
        <v>170</v>
      </c>
      <c r="D4378" s="101" t="s">
        <v>268</v>
      </c>
      <c r="E4378" s="101" t="s">
        <v>17</v>
      </c>
    </row>
    <row r="4379" spans="1:5" x14ac:dyDescent="0.3">
      <c r="A4379" t="str">
        <f t="shared" si="68"/>
        <v>0221146</v>
      </c>
      <c r="B4379" s="101" t="s">
        <v>639</v>
      </c>
      <c r="C4379" s="101" t="s">
        <v>170</v>
      </c>
      <c r="D4379" s="101" t="s">
        <v>159</v>
      </c>
      <c r="E4379" s="101" t="s">
        <v>17</v>
      </c>
    </row>
    <row r="4380" spans="1:5" x14ac:dyDescent="0.3">
      <c r="A4380" t="str">
        <f t="shared" si="68"/>
        <v>0221196</v>
      </c>
      <c r="B4380" s="101" t="s">
        <v>639</v>
      </c>
      <c r="C4380" s="101" t="s">
        <v>170</v>
      </c>
      <c r="D4380" s="101" t="s">
        <v>297</v>
      </c>
      <c r="E4380" s="101" t="s">
        <v>17</v>
      </c>
    </row>
    <row r="4381" spans="1:5" x14ac:dyDescent="0.3">
      <c r="A4381" t="str">
        <f t="shared" si="68"/>
        <v>0221208</v>
      </c>
      <c r="B4381" s="101" t="s">
        <v>639</v>
      </c>
      <c r="C4381" s="101" t="s">
        <v>170</v>
      </c>
      <c r="D4381" s="101" t="s">
        <v>306</v>
      </c>
      <c r="E4381" s="101" t="s">
        <v>17</v>
      </c>
    </row>
    <row r="4382" spans="1:5" x14ac:dyDescent="0.3">
      <c r="A4382" t="str">
        <f t="shared" si="68"/>
        <v>0121220</v>
      </c>
      <c r="B4382" s="101" t="s">
        <v>640</v>
      </c>
      <c r="C4382" s="101" t="s">
        <v>170</v>
      </c>
      <c r="D4382" s="101" t="s">
        <v>309</v>
      </c>
      <c r="E4382" s="101" t="s">
        <v>19</v>
      </c>
    </row>
    <row r="4383" spans="1:5" x14ac:dyDescent="0.3">
      <c r="A4383" t="str">
        <f t="shared" si="68"/>
        <v>0121221</v>
      </c>
      <c r="B4383" s="101" t="s">
        <v>640</v>
      </c>
      <c r="C4383" s="101" t="s">
        <v>170</v>
      </c>
      <c r="D4383" s="101" t="s">
        <v>310</v>
      </c>
      <c r="E4383" s="101" t="s">
        <v>19</v>
      </c>
    </row>
    <row r="4384" spans="1:5" x14ac:dyDescent="0.3">
      <c r="A4384" t="str">
        <f t="shared" si="68"/>
        <v>0221280</v>
      </c>
      <c r="B4384" s="101" t="s">
        <v>639</v>
      </c>
      <c r="C4384" s="101" t="s">
        <v>170</v>
      </c>
      <c r="D4384" s="101" t="s">
        <v>328</v>
      </c>
      <c r="E4384" s="101" t="s">
        <v>17</v>
      </c>
    </row>
    <row r="4385" spans="1:5" x14ac:dyDescent="0.3">
      <c r="A4385" t="str">
        <f t="shared" si="68"/>
        <v>0421280</v>
      </c>
      <c r="B4385" s="101" t="s">
        <v>18</v>
      </c>
      <c r="C4385" s="101" t="s">
        <v>170</v>
      </c>
      <c r="D4385" s="101" t="s">
        <v>328</v>
      </c>
      <c r="E4385" s="101" t="s">
        <v>17</v>
      </c>
    </row>
    <row r="4386" spans="1:5" x14ac:dyDescent="0.3">
      <c r="A4386" t="str">
        <f t="shared" si="68"/>
        <v>0221281</v>
      </c>
      <c r="B4386" s="101" t="s">
        <v>639</v>
      </c>
      <c r="C4386" s="101" t="s">
        <v>170</v>
      </c>
      <c r="D4386" s="101" t="s">
        <v>330</v>
      </c>
      <c r="E4386" s="101" t="s">
        <v>17</v>
      </c>
    </row>
    <row r="4387" spans="1:5" x14ac:dyDescent="0.3">
      <c r="A4387" t="str">
        <f t="shared" si="68"/>
        <v>0421281</v>
      </c>
      <c r="B4387" s="101" t="s">
        <v>18</v>
      </c>
      <c r="C4387" s="101" t="s">
        <v>170</v>
      </c>
      <c r="D4387" s="101" t="s">
        <v>330</v>
      </c>
      <c r="E4387" s="101" t="s">
        <v>17</v>
      </c>
    </row>
    <row r="4388" spans="1:5" x14ac:dyDescent="0.3">
      <c r="A4388" t="str">
        <f t="shared" si="68"/>
        <v>0221282</v>
      </c>
      <c r="B4388" s="101" t="s">
        <v>639</v>
      </c>
      <c r="C4388" s="101" t="s">
        <v>170</v>
      </c>
      <c r="D4388" s="101" t="s">
        <v>331</v>
      </c>
      <c r="E4388" s="101" t="s">
        <v>17</v>
      </c>
    </row>
    <row r="4389" spans="1:5" x14ac:dyDescent="0.3">
      <c r="A4389" t="str">
        <f t="shared" si="68"/>
        <v>0421282</v>
      </c>
      <c r="B4389" s="101" t="s">
        <v>18</v>
      </c>
      <c r="C4389" s="101" t="s">
        <v>170</v>
      </c>
      <c r="D4389" s="101" t="s">
        <v>331</v>
      </c>
      <c r="E4389" s="101" t="s">
        <v>17</v>
      </c>
    </row>
    <row r="4390" spans="1:5" x14ac:dyDescent="0.3">
      <c r="A4390" t="str">
        <f t="shared" si="68"/>
        <v>0121287</v>
      </c>
      <c r="B4390" s="101" t="s">
        <v>640</v>
      </c>
      <c r="C4390" s="101" t="s">
        <v>170</v>
      </c>
      <c r="D4390" s="101" t="s">
        <v>339</v>
      </c>
      <c r="E4390" s="101" t="s">
        <v>19</v>
      </c>
    </row>
    <row r="4391" spans="1:5" x14ac:dyDescent="0.3">
      <c r="A4391" t="str">
        <f t="shared" si="68"/>
        <v>0121291</v>
      </c>
      <c r="B4391" s="101" t="s">
        <v>640</v>
      </c>
      <c r="C4391" s="101" t="s">
        <v>170</v>
      </c>
      <c r="D4391" s="101" t="s">
        <v>344</v>
      </c>
      <c r="E4391" s="101" t="s">
        <v>140</v>
      </c>
    </row>
    <row r="4392" spans="1:5" x14ac:dyDescent="0.3">
      <c r="A4392" t="str">
        <f t="shared" si="68"/>
        <v>0121292</v>
      </c>
      <c r="B4392" s="101" t="s">
        <v>640</v>
      </c>
      <c r="C4392" s="101" t="s">
        <v>170</v>
      </c>
      <c r="D4392" s="101" t="s">
        <v>346</v>
      </c>
      <c r="E4392" s="101" t="s">
        <v>19</v>
      </c>
    </row>
    <row r="4393" spans="1:5" x14ac:dyDescent="0.3">
      <c r="A4393" t="str">
        <f t="shared" si="68"/>
        <v>0121501</v>
      </c>
      <c r="B4393" s="101" t="s">
        <v>640</v>
      </c>
      <c r="C4393" s="101" t="s">
        <v>170</v>
      </c>
      <c r="D4393" s="101" t="s">
        <v>147</v>
      </c>
      <c r="E4393" s="101" t="s">
        <v>139</v>
      </c>
    </row>
    <row r="4394" spans="1:5" x14ac:dyDescent="0.3">
      <c r="A4394" t="str">
        <f t="shared" si="68"/>
        <v>0221642</v>
      </c>
      <c r="B4394" s="101" t="s">
        <v>639</v>
      </c>
      <c r="C4394" s="101" t="s">
        <v>170</v>
      </c>
      <c r="D4394" s="101" t="s">
        <v>195</v>
      </c>
      <c r="E4394" s="101" t="s">
        <v>17</v>
      </c>
    </row>
    <row r="4395" spans="1:5" x14ac:dyDescent="0.3">
      <c r="A4395" t="str">
        <f t="shared" si="68"/>
        <v>0221643</v>
      </c>
      <c r="B4395" s="101" t="s">
        <v>639</v>
      </c>
      <c r="C4395" s="101" t="s">
        <v>170</v>
      </c>
      <c r="D4395" s="101" t="s">
        <v>196</v>
      </c>
      <c r="E4395" s="101" t="s">
        <v>17</v>
      </c>
    </row>
    <row r="4396" spans="1:5" x14ac:dyDescent="0.3">
      <c r="A4396" t="str">
        <f t="shared" si="68"/>
        <v>0221644</v>
      </c>
      <c r="B4396" s="101" t="s">
        <v>639</v>
      </c>
      <c r="C4396" s="101" t="s">
        <v>170</v>
      </c>
      <c r="D4396" s="101" t="s">
        <v>485</v>
      </c>
      <c r="E4396" s="101" t="s">
        <v>17</v>
      </c>
    </row>
    <row r="4397" spans="1:5" x14ac:dyDescent="0.3">
      <c r="A4397" t="str">
        <f t="shared" si="68"/>
        <v>0221645</v>
      </c>
      <c r="B4397" s="101" t="s">
        <v>639</v>
      </c>
      <c r="C4397" s="101" t="s">
        <v>170</v>
      </c>
      <c r="D4397" s="101" t="s">
        <v>486</v>
      </c>
      <c r="E4397" s="101" t="s">
        <v>17</v>
      </c>
    </row>
    <row r="4398" spans="1:5" x14ac:dyDescent="0.3">
      <c r="A4398" t="str">
        <f t="shared" si="68"/>
        <v>0221646</v>
      </c>
      <c r="B4398" s="101" t="s">
        <v>639</v>
      </c>
      <c r="C4398" s="101" t="s">
        <v>170</v>
      </c>
      <c r="D4398" s="101" t="s">
        <v>197</v>
      </c>
      <c r="E4398" s="101" t="s">
        <v>17</v>
      </c>
    </row>
    <row r="4399" spans="1:5" x14ac:dyDescent="0.3">
      <c r="A4399" t="str">
        <f t="shared" si="68"/>
        <v>0221647</v>
      </c>
      <c r="B4399" s="101" t="s">
        <v>639</v>
      </c>
      <c r="C4399" s="101" t="s">
        <v>170</v>
      </c>
      <c r="D4399" s="101" t="s">
        <v>198</v>
      </c>
      <c r="E4399" s="101" t="s">
        <v>17</v>
      </c>
    </row>
    <row r="4400" spans="1:5" x14ac:dyDescent="0.3">
      <c r="A4400" t="str">
        <f t="shared" si="68"/>
        <v>0221648</v>
      </c>
      <c r="B4400" s="101" t="s">
        <v>639</v>
      </c>
      <c r="C4400" s="101" t="s">
        <v>170</v>
      </c>
      <c r="D4400" s="101" t="s">
        <v>199</v>
      </c>
      <c r="E4400" s="101" t="s">
        <v>17</v>
      </c>
    </row>
    <row r="4401" spans="1:5" x14ac:dyDescent="0.3">
      <c r="A4401" t="str">
        <f t="shared" si="68"/>
        <v>0221649</v>
      </c>
      <c r="B4401" s="101" t="s">
        <v>639</v>
      </c>
      <c r="C4401" s="101" t="s">
        <v>170</v>
      </c>
      <c r="D4401" s="101" t="s">
        <v>200</v>
      </c>
      <c r="E4401" s="101" t="s">
        <v>17</v>
      </c>
    </row>
    <row r="4402" spans="1:5" x14ac:dyDescent="0.3">
      <c r="A4402" t="str">
        <f t="shared" si="68"/>
        <v>0221684</v>
      </c>
      <c r="B4402" s="101" t="s">
        <v>639</v>
      </c>
      <c r="C4402" s="101" t="s">
        <v>170</v>
      </c>
      <c r="D4402" s="101" t="s">
        <v>295</v>
      </c>
      <c r="E4402" s="101" t="s">
        <v>17</v>
      </c>
    </row>
    <row r="4403" spans="1:5" x14ac:dyDescent="0.3">
      <c r="A4403" t="str">
        <f t="shared" si="68"/>
        <v>0121740</v>
      </c>
      <c r="B4403" s="101" t="s">
        <v>640</v>
      </c>
      <c r="C4403" s="101" t="s">
        <v>170</v>
      </c>
      <c r="D4403" s="101" t="s">
        <v>534</v>
      </c>
      <c r="E4403" s="101" t="s">
        <v>19</v>
      </c>
    </row>
    <row r="4404" spans="1:5" x14ac:dyDescent="0.3">
      <c r="A4404" t="str">
        <f t="shared" si="68"/>
        <v>0121741</v>
      </c>
      <c r="B4404" s="101" t="s">
        <v>640</v>
      </c>
      <c r="C4404" s="101" t="s">
        <v>170</v>
      </c>
      <c r="D4404" s="101" t="s">
        <v>535</v>
      </c>
      <c r="E4404" s="101" t="s">
        <v>19</v>
      </c>
    </row>
    <row r="4405" spans="1:5" x14ac:dyDescent="0.3">
      <c r="A4405" t="str">
        <f t="shared" si="68"/>
        <v>0121802</v>
      </c>
      <c r="B4405" s="101" t="s">
        <v>640</v>
      </c>
      <c r="C4405" s="101" t="s">
        <v>170</v>
      </c>
      <c r="D4405" s="101" t="s">
        <v>145</v>
      </c>
      <c r="E4405" s="101" t="s">
        <v>139</v>
      </c>
    </row>
    <row r="4406" spans="1:5" x14ac:dyDescent="0.3">
      <c r="A4406" t="str">
        <f t="shared" si="68"/>
        <v>0221805</v>
      </c>
      <c r="B4406" s="101" t="s">
        <v>639</v>
      </c>
      <c r="C4406" s="101" t="s">
        <v>170</v>
      </c>
      <c r="D4406" s="101" t="s">
        <v>543</v>
      </c>
      <c r="E4406" s="101" t="s">
        <v>17</v>
      </c>
    </row>
    <row r="4407" spans="1:5" x14ac:dyDescent="0.3">
      <c r="A4407" t="str">
        <f t="shared" si="68"/>
        <v>0521807</v>
      </c>
      <c r="B4407" s="101" t="s">
        <v>313</v>
      </c>
      <c r="C4407" s="101" t="s">
        <v>170</v>
      </c>
      <c r="D4407" s="101" t="s">
        <v>185</v>
      </c>
      <c r="E4407" s="101" t="s">
        <v>17</v>
      </c>
    </row>
    <row r="4408" spans="1:5" x14ac:dyDescent="0.3">
      <c r="A4408" t="str">
        <f t="shared" si="68"/>
        <v>0721807</v>
      </c>
      <c r="B4408" s="101" t="s">
        <v>319</v>
      </c>
      <c r="C4408" s="101" t="s">
        <v>170</v>
      </c>
      <c r="D4408" s="101" t="s">
        <v>185</v>
      </c>
      <c r="E4408" s="101" t="s">
        <v>17</v>
      </c>
    </row>
    <row r="4409" spans="1:5" x14ac:dyDescent="0.3">
      <c r="A4409" t="str">
        <f t="shared" si="68"/>
        <v>0821807</v>
      </c>
      <c r="B4409" s="101" t="s">
        <v>320</v>
      </c>
      <c r="C4409" s="101" t="s">
        <v>170</v>
      </c>
      <c r="D4409" s="101" t="s">
        <v>185</v>
      </c>
      <c r="E4409" s="101" t="s">
        <v>17</v>
      </c>
    </row>
    <row r="4410" spans="1:5" x14ac:dyDescent="0.3">
      <c r="A4410" t="str">
        <f t="shared" si="68"/>
        <v>0221808</v>
      </c>
      <c r="B4410" s="101" t="s">
        <v>639</v>
      </c>
      <c r="C4410" s="101" t="s">
        <v>170</v>
      </c>
      <c r="D4410" s="101" t="s">
        <v>186</v>
      </c>
      <c r="E4410" s="101" t="s">
        <v>17</v>
      </c>
    </row>
    <row r="4411" spans="1:5" x14ac:dyDescent="0.3">
      <c r="A4411" t="str">
        <f t="shared" si="68"/>
        <v>0421808</v>
      </c>
      <c r="B4411" s="101" t="s">
        <v>18</v>
      </c>
      <c r="C4411" s="101" t="s">
        <v>170</v>
      </c>
      <c r="D4411" s="101" t="s">
        <v>186</v>
      </c>
      <c r="E4411" s="101" t="s">
        <v>17</v>
      </c>
    </row>
    <row r="4412" spans="1:5" x14ac:dyDescent="0.3">
      <c r="A4412" t="str">
        <f t="shared" si="68"/>
        <v>0621808</v>
      </c>
      <c r="B4412" s="101" t="s">
        <v>317</v>
      </c>
      <c r="C4412" s="101" t="s">
        <v>170</v>
      </c>
      <c r="D4412" s="101" t="s">
        <v>186</v>
      </c>
      <c r="E4412" s="101" t="s">
        <v>17</v>
      </c>
    </row>
    <row r="4413" spans="1:5" x14ac:dyDescent="0.3">
      <c r="A4413" t="str">
        <f t="shared" si="68"/>
        <v>0721808</v>
      </c>
      <c r="B4413" s="101" t="s">
        <v>319</v>
      </c>
      <c r="C4413" s="101" t="s">
        <v>170</v>
      </c>
      <c r="D4413" s="101" t="s">
        <v>186</v>
      </c>
      <c r="E4413" s="101" t="s">
        <v>17</v>
      </c>
    </row>
    <row r="4414" spans="1:5" x14ac:dyDescent="0.3">
      <c r="A4414" t="str">
        <f t="shared" si="68"/>
        <v>0821808</v>
      </c>
      <c r="B4414" s="101" t="s">
        <v>320</v>
      </c>
      <c r="C4414" s="101" t="s">
        <v>170</v>
      </c>
      <c r="D4414" s="101" t="s">
        <v>186</v>
      </c>
      <c r="E4414" s="101" t="s">
        <v>17</v>
      </c>
    </row>
    <row r="4415" spans="1:5" x14ac:dyDescent="0.3">
      <c r="A4415" t="str">
        <f t="shared" si="68"/>
        <v>0221812</v>
      </c>
      <c r="B4415" s="101" t="s">
        <v>639</v>
      </c>
      <c r="C4415" s="101" t="s">
        <v>170</v>
      </c>
      <c r="D4415" s="101" t="s">
        <v>190</v>
      </c>
      <c r="E4415" s="101" t="s">
        <v>17</v>
      </c>
    </row>
    <row r="4416" spans="1:5" x14ac:dyDescent="0.3">
      <c r="A4416" t="str">
        <f t="shared" si="68"/>
        <v>0221826</v>
      </c>
      <c r="B4416" s="101" t="s">
        <v>639</v>
      </c>
      <c r="C4416" s="101" t="s">
        <v>170</v>
      </c>
      <c r="D4416" s="101" t="s">
        <v>359</v>
      </c>
      <c r="E4416" s="101" t="s">
        <v>19</v>
      </c>
    </row>
    <row r="4417" spans="1:5" x14ac:dyDescent="0.3">
      <c r="A4417" t="str">
        <f t="shared" si="68"/>
        <v>0221827</v>
      </c>
      <c r="B4417" s="101" t="s">
        <v>639</v>
      </c>
      <c r="C4417" s="101" t="s">
        <v>170</v>
      </c>
      <c r="D4417" s="101" t="s">
        <v>361</v>
      </c>
      <c r="E4417" s="101" t="s">
        <v>19</v>
      </c>
    </row>
    <row r="4418" spans="1:5" x14ac:dyDescent="0.3">
      <c r="A4418" t="str">
        <f t="shared" si="68"/>
        <v>0321835</v>
      </c>
      <c r="B4418" s="101" t="s">
        <v>16</v>
      </c>
      <c r="C4418" s="101" t="s">
        <v>170</v>
      </c>
      <c r="D4418" s="101" t="s">
        <v>555</v>
      </c>
      <c r="E4418" s="101" t="s">
        <v>139</v>
      </c>
    </row>
    <row r="4419" spans="1:5" x14ac:dyDescent="0.3">
      <c r="A4419" t="str">
        <f t="shared" ref="A4419:A4482" si="69">CONCATENATE(B4419,C4419,D4419,F4419)</f>
        <v>0121837</v>
      </c>
      <c r="B4419" s="101" t="s">
        <v>640</v>
      </c>
      <c r="C4419" s="101" t="s">
        <v>170</v>
      </c>
      <c r="D4419" s="101" t="s">
        <v>557</v>
      </c>
      <c r="E4419" s="101" t="s">
        <v>139</v>
      </c>
    </row>
    <row r="4420" spans="1:5" x14ac:dyDescent="0.3">
      <c r="A4420" t="str">
        <f t="shared" si="69"/>
        <v>0521873</v>
      </c>
      <c r="B4420" s="101" t="s">
        <v>313</v>
      </c>
      <c r="C4420" s="101" t="s">
        <v>170</v>
      </c>
      <c r="D4420" s="101" t="s">
        <v>566</v>
      </c>
      <c r="E4420" s="101" t="s">
        <v>139</v>
      </c>
    </row>
    <row r="4421" spans="1:5" x14ac:dyDescent="0.3">
      <c r="A4421" t="str">
        <f t="shared" si="69"/>
        <v>0621873</v>
      </c>
      <c r="B4421" s="101" t="s">
        <v>317</v>
      </c>
      <c r="C4421" s="101" t="s">
        <v>170</v>
      </c>
      <c r="D4421" s="101" t="s">
        <v>566</v>
      </c>
      <c r="E4421" s="101" t="s">
        <v>139</v>
      </c>
    </row>
    <row r="4422" spans="1:5" x14ac:dyDescent="0.3">
      <c r="A4422" t="str">
        <f t="shared" si="69"/>
        <v>0721873</v>
      </c>
      <c r="B4422" s="101" t="s">
        <v>319</v>
      </c>
      <c r="C4422" s="101" t="s">
        <v>170</v>
      </c>
      <c r="D4422" s="101" t="s">
        <v>566</v>
      </c>
      <c r="E4422" s="101" t="s">
        <v>139</v>
      </c>
    </row>
    <row r="4423" spans="1:5" x14ac:dyDescent="0.3">
      <c r="A4423" t="str">
        <f t="shared" si="69"/>
        <v>0821873</v>
      </c>
      <c r="B4423" s="101" t="s">
        <v>320</v>
      </c>
      <c r="C4423" s="101" t="s">
        <v>170</v>
      </c>
      <c r="D4423" s="101" t="s">
        <v>566</v>
      </c>
      <c r="E4423" s="101" t="s">
        <v>139</v>
      </c>
    </row>
    <row r="4424" spans="1:5" x14ac:dyDescent="0.3">
      <c r="A4424" t="str">
        <f t="shared" si="69"/>
        <v>0521874</v>
      </c>
      <c r="B4424" s="101" t="s">
        <v>313</v>
      </c>
      <c r="C4424" s="101" t="s">
        <v>170</v>
      </c>
      <c r="D4424" s="101" t="s">
        <v>567</v>
      </c>
      <c r="E4424" s="101" t="s">
        <v>17</v>
      </c>
    </row>
    <row r="4425" spans="1:5" x14ac:dyDescent="0.3">
      <c r="A4425" t="str">
        <f t="shared" si="69"/>
        <v>0421890</v>
      </c>
      <c r="B4425" s="101" t="s">
        <v>18</v>
      </c>
      <c r="C4425" s="101" t="s">
        <v>170</v>
      </c>
      <c r="D4425" s="101" t="s">
        <v>568</v>
      </c>
      <c r="E4425" s="101" t="s">
        <v>17</v>
      </c>
    </row>
    <row r="4426" spans="1:5" x14ac:dyDescent="0.3">
      <c r="A4426" t="str">
        <f t="shared" si="69"/>
        <v>0222031</v>
      </c>
      <c r="B4426" s="101" t="s">
        <v>639</v>
      </c>
      <c r="C4426" s="101" t="s">
        <v>172</v>
      </c>
      <c r="D4426" s="101" t="s">
        <v>369</v>
      </c>
      <c r="E4426" s="101" t="s">
        <v>17</v>
      </c>
    </row>
    <row r="4427" spans="1:5" x14ac:dyDescent="0.3">
      <c r="A4427" t="str">
        <f t="shared" si="69"/>
        <v>0222032</v>
      </c>
      <c r="B4427" s="101" t="s">
        <v>639</v>
      </c>
      <c r="C4427" s="101" t="s">
        <v>172</v>
      </c>
      <c r="D4427" s="101" t="s">
        <v>370</v>
      </c>
      <c r="E4427" s="101" t="s">
        <v>17</v>
      </c>
    </row>
    <row r="4428" spans="1:5" x14ac:dyDescent="0.3">
      <c r="A4428" t="str">
        <f t="shared" si="69"/>
        <v>0222033</v>
      </c>
      <c r="B4428" s="101" t="s">
        <v>639</v>
      </c>
      <c r="C4428" s="101" t="s">
        <v>172</v>
      </c>
      <c r="D4428" s="101" t="s">
        <v>327</v>
      </c>
      <c r="E4428" s="101" t="s">
        <v>17</v>
      </c>
    </row>
    <row r="4429" spans="1:5" x14ac:dyDescent="0.3">
      <c r="A4429" t="str">
        <f t="shared" si="69"/>
        <v>0222035</v>
      </c>
      <c r="B4429" s="101" t="s">
        <v>639</v>
      </c>
      <c r="C4429" s="101" t="s">
        <v>172</v>
      </c>
      <c r="D4429" s="101" t="s">
        <v>497</v>
      </c>
      <c r="E4429" s="101" t="s">
        <v>17</v>
      </c>
    </row>
    <row r="4430" spans="1:5" x14ac:dyDescent="0.3">
      <c r="A4430" t="str">
        <f t="shared" si="69"/>
        <v>0222036</v>
      </c>
      <c r="B4430" s="101" t="s">
        <v>639</v>
      </c>
      <c r="C4430" s="101" t="s">
        <v>172</v>
      </c>
      <c r="D4430" s="101" t="s">
        <v>580</v>
      </c>
      <c r="E4430" s="101" t="s">
        <v>17</v>
      </c>
    </row>
    <row r="4431" spans="1:5" x14ac:dyDescent="0.3">
      <c r="A4431" t="str">
        <f t="shared" si="69"/>
        <v>0222037</v>
      </c>
      <c r="B4431" s="101" t="s">
        <v>639</v>
      </c>
      <c r="C4431" s="101" t="s">
        <v>172</v>
      </c>
      <c r="D4431" s="101" t="s">
        <v>625</v>
      </c>
      <c r="E4431" s="101" t="s">
        <v>17</v>
      </c>
    </row>
    <row r="4432" spans="1:5" x14ac:dyDescent="0.3">
      <c r="A4432" t="str">
        <f t="shared" si="69"/>
        <v>0222040</v>
      </c>
      <c r="B4432" s="101" t="s">
        <v>639</v>
      </c>
      <c r="C4432" s="101" t="s">
        <v>172</v>
      </c>
      <c r="D4432" s="101" t="s">
        <v>614</v>
      </c>
      <c r="E4432" s="101" t="s">
        <v>17</v>
      </c>
    </row>
    <row r="4433" spans="1:5" x14ac:dyDescent="0.3">
      <c r="A4433" t="str">
        <f t="shared" si="69"/>
        <v>0222047</v>
      </c>
      <c r="B4433" s="101" t="s">
        <v>639</v>
      </c>
      <c r="C4433" s="101" t="s">
        <v>172</v>
      </c>
      <c r="D4433" s="101" t="s">
        <v>585</v>
      </c>
      <c r="E4433" s="101" t="s">
        <v>17</v>
      </c>
    </row>
    <row r="4434" spans="1:5" x14ac:dyDescent="0.3">
      <c r="A4434" t="str">
        <f t="shared" si="69"/>
        <v>0222051</v>
      </c>
      <c r="B4434" s="101" t="s">
        <v>639</v>
      </c>
      <c r="C4434" s="101" t="s">
        <v>172</v>
      </c>
      <c r="D4434" s="101" t="s">
        <v>588</v>
      </c>
      <c r="E4434" s="101" t="s">
        <v>17</v>
      </c>
    </row>
    <row r="4435" spans="1:5" x14ac:dyDescent="0.3">
      <c r="A4435" t="str">
        <f t="shared" si="69"/>
        <v>0422051</v>
      </c>
      <c r="B4435" s="101" t="s">
        <v>18</v>
      </c>
      <c r="C4435" s="101" t="s">
        <v>172</v>
      </c>
      <c r="D4435" s="101" t="s">
        <v>588</v>
      </c>
      <c r="E4435" s="101" t="s">
        <v>17</v>
      </c>
    </row>
    <row r="4436" spans="1:5" x14ac:dyDescent="0.3">
      <c r="A4436" t="str">
        <f t="shared" si="69"/>
        <v>0222057</v>
      </c>
      <c r="B4436" s="101" t="s">
        <v>639</v>
      </c>
      <c r="C4436" s="101" t="s">
        <v>172</v>
      </c>
      <c r="D4436" s="101" t="s">
        <v>638</v>
      </c>
      <c r="E4436" s="101" t="s">
        <v>140</v>
      </c>
    </row>
    <row r="4437" spans="1:5" x14ac:dyDescent="0.3">
      <c r="A4437" t="str">
        <f t="shared" si="69"/>
        <v>0122102</v>
      </c>
      <c r="B4437" s="101" t="s">
        <v>640</v>
      </c>
      <c r="C4437" s="101" t="s">
        <v>172</v>
      </c>
      <c r="D4437" s="101" t="s">
        <v>232</v>
      </c>
      <c r="E4437" s="101" t="s">
        <v>140</v>
      </c>
    </row>
    <row r="4438" spans="1:5" x14ac:dyDescent="0.3">
      <c r="A4438" t="str">
        <f t="shared" si="69"/>
        <v>0122103</v>
      </c>
      <c r="B4438" s="101" t="s">
        <v>640</v>
      </c>
      <c r="C4438" s="101" t="s">
        <v>172</v>
      </c>
      <c r="D4438" s="101" t="s">
        <v>233</v>
      </c>
      <c r="E4438" s="101" t="s">
        <v>19</v>
      </c>
    </row>
    <row r="4439" spans="1:5" x14ac:dyDescent="0.3">
      <c r="A4439" t="str">
        <f t="shared" si="69"/>
        <v>0222116</v>
      </c>
      <c r="B4439" s="101" t="s">
        <v>639</v>
      </c>
      <c r="C4439" s="101" t="s">
        <v>172</v>
      </c>
      <c r="D4439" s="101" t="s">
        <v>246</v>
      </c>
      <c r="E4439" s="101" t="s">
        <v>17</v>
      </c>
    </row>
    <row r="4440" spans="1:5" x14ac:dyDescent="0.3">
      <c r="A4440" t="str">
        <f t="shared" si="69"/>
        <v>0422116</v>
      </c>
      <c r="B4440" s="101" t="s">
        <v>18</v>
      </c>
      <c r="C4440" s="101" t="s">
        <v>172</v>
      </c>
      <c r="D4440" s="101" t="s">
        <v>246</v>
      </c>
      <c r="E4440" s="101" t="s">
        <v>17</v>
      </c>
    </row>
    <row r="4441" spans="1:5" x14ac:dyDescent="0.3">
      <c r="A4441" t="str">
        <f t="shared" si="69"/>
        <v>0222302</v>
      </c>
      <c r="B4441" s="101" t="s">
        <v>639</v>
      </c>
      <c r="C4441" s="101" t="s">
        <v>172</v>
      </c>
      <c r="D4441" s="101" t="s">
        <v>360</v>
      </c>
      <c r="E4441" s="101" t="s">
        <v>17</v>
      </c>
    </row>
    <row r="4442" spans="1:5" x14ac:dyDescent="0.3">
      <c r="A4442" t="str">
        <f t="shared" si="69"/>
        <v>0422302</v>
      </c>
      <c r="B4442" s="101" t="s">
        <v>18</v>
      </c>
      <c r="C4442" s="101" t="s">
        <v>172</v>
      </c>
      <c r="D4442" s="101" t="s">
        <v>360</v>
      </c>
      <c r="E4442" s="101" t="s">
        <v>17</v>
      </c>
    </row>
    <row r="4443" spans="1:5" x14ac:dyDescent="0.3">
      <c r="A4443" t="str">
        <f t="shared" si="69"/>
        <v>0122501</v>
      </c>
      <c r="B4443" s="101" t="s">
        <v>640</v>
      </c>
      <c r="C4443" s="101" t="s">
        <v>172</v>
      </c>
      <c r="D4443" s="101" t="s">
        <v>147</v>
      </c>
      <c r="E4443" s="101" t="s">
        <v>139</v>
      </c>
    </row>
    <row r="4444" spans="1:5" x14ac:dyDescent="0.3">
      <c r="A4444" t="str">
        <f t="shared" si="69"/>
        <v>0222541</v>
      </c>
      <c r="B4444" s="101" t="s">
        <v>639</v>
      </c>
      <c r="C4444" s="101" t="s">
        <v>172</v>
      </c>
      <c r="D4444" s="101" t="s">
        <v>325</v>
      </c>
      <c r="E4444" s="101" t="s">
        <v>17</v>
      </c>
    </row>
    <row r="4445" spans="1:5" x14ac:dyDescent="0.3">
      <c r="A4445" t="str">
        <f t="shared" si="69"/>
        <v>0222542</v>
      </c>
      <c r="B4445" s="101" t="s">
        <v>639</v>
      </c>
      <c r="C4445" s="101" t="s">
        <v>172</v>
      </c>
      <c r="D4445" s="101" t="s">
        <v>353</v>
      </c>
      <c r="E4445" s="101" t="s">
        <v>17</v>
      </c>
    </row>
    <row r="4446" spans="1:5" x14ac:dyDescent="0.3">
      <c r="A4446" t="str">
        <f t="shared" si="69"/>
        <v>0222543</v>
      </c>
      <c r="B4446" s="101" t="s">
        <v>639</v>
      </c>
      <c r="C4446" s="101" t="s">
        <v>172</v>
      </c>
      <c r="D4446" s="101" t="s">
        <v>347</v>
      </c>
      <c r="E4446" s="101" t="s">
        <v>17</v>
      </c>
    </row>
    <row r="4447" spans="1:5" x14ac:dyDescent="0.3">
      <c r="A4447" t="str">
        <f t="shared" si="69"/>
        <v>0222544</v>
      </c>
      <c r="B4447" s="101" t="s">
        <v>639</v>
      </c>
      <c r="C4447" s="101" t="s">
        <v>172</v>
      </c>
      <c r="D4447" s="101" t="s">
        <v>412</v>
      </c>
      <c r="E4447" s="101" t="s">
        <v>17</v>
      </c>
    </row>
    <row r="4448" spans="1:5" x14ac:dyDescent="0.3">
      <c r="A4448" t="str">
        <f t="shared" si="69"/>
        <v>0222545</v>
      </c>
      <c r="B4448" s="101" t="s">
        <v>639</v>
      </c>
      <c r="C4448" s="101" t="s">
        <v>172</v>
      </c>
      <c r="D4448" s="101" t="s">
        <v>413</v>
      </c>
      <c r="E4448" s="101" t="s">
        <v>17</v>
      </c>
    </row>
    <row r="4449" spans="1:5" x14ac:dyDescent="0.3">
      <c r="A4449" t="str">
        <f t="shared" si="69"/>
        <v>0222546</v>
      </c>
      <c r="B4449" s="101" t="s">
        <v>639</v>
      </c>
      <c r="C4449" s="101" t="s">
        <v>172</v>
      </c>
      <c r="D4449" s="101" t="s">
        <v>373</v>
      </c>
      <c r="E4449" s="101" t="s">
        <v>17</v>
      </c>
    </row>
    <row r="4450" spans="1:5" x14ac:dyDescent="0.3">
      <c r="A4450" t="str">
        <f t="shared" si="69"/>
        <v>0222547</v>
      </c>
      <c r="B4450" s="101" t="s">
        <v>639</v>
      </c>
      <c r="C4450" s="101" t="s">
        <v>172</v>
      </c>
      <c r="D4450" s="101" t="s">
        <v>414</v>
      </c>
      <c r="E4450" s="101" t="s">
        <v>17</v>
      </c>
    </row>
    <row r="4451" spans="1:5" x14ac:dyDescent="0.3">
      <c r="A4451" t="str">
        <f t="shared" si="69"/>
        <v>0222548</v>
      </c>
      <c r="B4451" s="101" t="s">
        <v>639</v>
      </c>
      <c r="C4451" s="101" t="s">
        <v>172</v>
      </c>
      <c r="D4451" s="101" t="s">
        <v>354</v>
      </c>
      <c r="E4451" s="101" t="s">
        <v>17</v>
      </c>
    </row>
    <row r="4452" spans="1:5" x14ac:dyDescent="0.3">
      <c r="A4452" t="str">
        <f t="shared" si="69"/>
        <v>0222549</v>
      </c>
      <c r="B4452" s="101" t="s">
        <v>639</v>
      </c>
      <c r="C4452" s="101" t="s">
        <v>172</v>
      </c>
      <c r="D4452" s="101" t="s">
        <v>348</v>
      </c>
      <c r="E4452" s="101" t="s">
        <v>17</v>
      </c>
    </row>
    <row r="4453" spans="1:5" x14ac:dyDescent="0.3">
      <c r="A4453" t="str">
        <f t="shared" si="69"/>
        <v>0222550</v>
      </c>
      <c r="B4453" s="101" t="s">
        <v>639</v>
      </c>
      <c r="C4453" s="101" t="s">
        <v>172</v>
      </c>
      <c r="D4453" s="101" t="s">
        <v>415</v>
      </c>
      <c r="E4453" s="101" t="s">
        <v>17</v>
      </c>
    </row>
    <row r="4454" spans="1:5" x14ac:dyDescent="0.3">
      <c r="A4454" t="str">
        <f t="shared" si="69"/>
        <v>0222551</v>
      </c>
      <c r="B4454" s="101" t="s">
        <v>639</v>
      </c>
      <c r="C4454" s="101" t="s">
        <v>172</v>
      </c>
      <c r="D4454" s="101" t="s">
        <v>416</v>
      </c>
      <c r="E4454" s="101" t="s">
        <v>17</v>
      </c>
    </row>
    <row r="4455" spans="1:5" x14ac:dyDescent="0.3">
      <c r="A4455" t="str">
        <f t="shared" si="69"/>
        <v>0222552</v>
      </c>
      <c r="B4455" s="101" t="s">
        <v>639</v>
      </c>
      <c r="C4455" s="101" t="s">
        <v>172</v>
      </c>
      <c r="D4455" s="101" t="s">
        <v>374</v>
      </c>
      <c r="E4455" s="101" t="s">
        <v>17</v>
      </c>
    </row>
    <row r="4456" spans="1:5" x14ac:dyDescent="0.3">
      <c r="A4456" t="str">
        <f t="shared" si="69"/>
        <v>0222557</v>
      </c>
      <c r="B4456" s="101" t="s">
        <v>639</v>
      </c>
      <c r="C4456" s="101" t="s">
        <v>172</v>
      </c>
      <c r="D4456" s="101" t="s">
        <v>343</v>
      </c>
      <c r="E4456" s="101" t="s">
        <v>140</v>
      </c>
    </row>
    <row r="4457" spans="1:5" x14ac:dyDescent="0.3">
      <c r="A4457" t="str">
        <f t="shared" si="69"/>
        <v>0222565</v>
      </c>
      <c r="B4457" s="101" t="s">
        <v>639</v>
      </c>
      <c r="C4457" s="101" t="s">
        <v>172</v>
      </c>
      <c r="D4457" s="101" t="s">
        <v>424</v>
      </c>
      <c r="E4457" s="101" t="s">
        <v>140</v>
      </c>
    </row>
    <row r="4458" spans="1:5" x14ac:dyDescent="0.3">
      <c r="A4458" t="str">
        <f t="shared" si="69"/>
        <v>0222569</v>
      </c>
      <c r="B4458" s="101" t="s">
        <v>639</v>
      </c>
      <c r="C4458" s="101" t="s">
        <v>172</v>
      </c>
      <c r="D4458" s="101" t="s">
        <v>428</v>
      </c>
      <c r="E4458" s="101" t="s">
        <v>140</v>
      </c>
    </row>
    <row r="4459" spans="1:5" x14ac:dyDescent="0.3">
      <c r="A4459" t="str">
        <f t="shared" si="69"/>
        <v>0222573</v>
      </c>
      <c r="B4459" s="101" t="s">
        <v>639</v>
      </c>
      <c r="C4459" s="101" t="s">
        <v>172</v>
      </c>
      <c r="D4459" s="101" t="s">
        <v>432</v>
      </c>
      <c r="E4459" s="101" t="s">
        <v>17</v>
      </c>
    </row>
    <row r="4460" spans="1:5" x14ac:dyDescent="0.3">
      <c r="A4460" t="str">
        <f t="shared" si="69"/>
        <v>0222575</v>
      </c>
      <c r="B4460" s="101" t="s">
        <v>639</v>
      </c>
      <c r="C4460" s="101" t="s">
        <v>172</v>
      </c>
      <c r="D4460" s="101" t="s">
        <v>434</v>
      </c>
      <c r="E4460" s="101" t="s">
        <v>17</v>
      </c>
    </row>
    <row r="4461" spans="1:5" x14ac:dyDescent="0.3">
      <c r="A4461" t="str">
        <f t="shared" si="69"/>
        <v>0422575</v>
      </c>
      <c r="B4461" s="101" t="s">
        <v>18</v>
      </c>
      <c r="C4461" s="101" t="s">
        <v>172</v>
      </c>
      <c r="D4461" s="101" t="s">
        <v>434</v>
      </c>
      <c r="E4461" s="101" t="s">
        <v>17</v>
      </c>
    </row>
    <row r="4462" spans="1:5" x14ac:dyDescent="0.3">
      <c r="A4462" t="str">
        <f t="shared" si="69"/>
        <v>0222576</v>
      </c>
      <c r="B4462" s="101" t="s">
        <v>639</v>
      </c>
      <c r="C4462" s="101" t="s">
        <v>172</v>
      </c>
      <c r="D4462" s="101" t="s">
        <v>435</v>
      </c>
      <c r="E4462" s="101" t="s">
        <v>17</v>
      </c>
    </row>
    <row r="4463" spans="1:5" x14ac:dyDescent="0.3">
      <c r="A4463" t="str">
        <f t="shared" si="69"/>
        <v>0422576</v>
      </c>
      <c r="B4463" s="101" t="s">
        <v>18</v>
      </c>
      <c r="C4463" s="101" t="s">
        <v>172</v>
      </c>
      <c r="D4463" s="101" t="s">
        <v>435</v>
      </c>
      <c r="E4463" s="101" t="s">
        <v>17</v>
      </c>
    </row>
    <row r="4464" spans="1:5" x14ac:dyDescent="0.3">
      <c r="A4464" t="str">
        <f t="shared" si="69"/>
        <v>0222580</v>
      </c>
      <c r="B4464" s="101" t="s">
        <v>639</v>
      </c>
      <c r="C4464" s="101" t="s">
        <v>172</v>
      </c>
      <c r="D4464" s="101" t="s">
        <v>439</v>
      </c>
      <c r="E4464" s="101" t="s">
        <v>17</v>
      </c>
    </row>
    <row r="4465" spans="1:5" x14ac:dyDescent="0.3">
      <c r="A4465" t="str">
        <f t="shared" si="69"/>
        <v>0222582</v>
      </c>
      <c r="B4465" s="101" t="s">
        <v>639</v>
      </c>
      <c r="C4465" s="101" t="s">
        <v>172</v>
      </c>
      <c r="D4465" s="101" t="s">
        <v>441</v>
      </c>
      <c r="E4465" s="101" t="s">
        <v>17</v>
      </c>
    </row>
    <row r="4466" spans="1:5" x14ac:dyDescent="0.3">
      <c r="A4466" t="str">
        <f t="shared" si="69"/>
        <v>0422582</v>
      </c>
      <c r="B4466" s="101" t="s">
        <v>18</v>
      </c>
      <c r="C4466" s="101" t="s">
        <v>172</v>
      </c>
      <c r="D4466" s="101" t="s">
        <v>441</v>
      </c>
      <c r="E4466" s="101" t="s">
        <v>17</v>
      </c>
    </row>
    <row r="4467" spans="1:5" x14ac:dyDescent="0.3">
      <c r="A4467" t="str">
        <f t="shared" si="69"/>
        <v>0222584</v>
      </c>
      <c r="B4467" s="101" t="s">
        <v>639</v>
      </c>
      <c r="C4467" s="101" t="s">
        <v>172</v>
      </c>
      <c r="D4467" s="101" t="s">
        <v>443</v>
      </c>
      <c r="E4467" s="101" t="s">
        <v>17</v>
      </c>
    </row>
    <row r="4468" spans="1:5" x14ac:dyDescent="0.3">
      <c r="A4468" t="str">
        <f t="shared" si="69"/>
        <v>0122587</v>
      </c>
      <c r="B4468" s="101" t="s">
        <v>640</v>
      </c>
      <c r="C4468" s="101" t="s">
        <v>172</v>
      </c>
      <c r="D4468" s="101" t="s">
        <v>446</v>
      </c>
      <c r="E4468" s="101" t="s">
        <v>139</v>
      </c>
    </row>
    <row r="4469" spans="1:5" x14ac:dyDescent="0.3">
      <c r="A4469" t="str">
        <f t="shared" si="69"/>
        <v>0322587</v>
      </c>
      <c r="B4469" s="101" t="s">
        <v>16</v>
      </c>
      <c r="C4469" s="101" t="s">
        <v>172</v>
      </c>
      <c r="D4469" s="101" t="s">
        <v>446</v>
      </c>
      <c r="E4469" s="101" t="s">
        <v>139</v>
      </c>
    </row>
    <row r="4470" spans="1:5" x14ac:dyDescent="0.3">
      <c r="A4470" t="str">
        <f t="shared" si="69"/>
        <v>0222812</v>
      </c>
      <c r="B4470" s="101" t="s">
        <v>639</v>
      </c>
      <c r="C4470" s="101" t="s">
        <v>172</v>
      </c>
      <c r="D4470" s="101" t="s">
        <v>190</v>
      </c>
      <c r="E4470" s="101" t="s">
        <v>17</v>
      </c>
    </row>
    <row r="4471" spans="1:5" x14ac:dyDescent="0.3">
      <c r="A4471" t="str">
        <f t="shared" si="69"/>
        <v>0222821</v>
      </c>
      <c r="B4471" s="101" t="s">
        <v>639</v>
      </c>
      <c r="C4471" s="101" t="s">
        <v>172</v>
      </c>
      <c r="D4471" s="101" t="s">
        <v>550</v>
      </c>
      <c r="E4471" s="101" t="s">
        <v>17</v>
      </c>
    </row>
    <row r="4472" spans="1:5" x14ac:dyDescent="0.3">
      <c r="A4472" t="str">
        <f t="shared" si="69"/>
        <v>0422821</v>
      </c>
      <c r="B4472" s="101" t="s">
        <v>18</v>
      </c>
      <c r="C4472" s="101" t="s">
        <v>172</v>
      </c>
      <c r="D4472" s="101" t="s">
        <v>550</v>
      </c>
      <c r="E4472" s="101" t="s">
        <v>17</v>
      </c>
    </row>
    <row r="4473" spans="1:5" x14ac:dyDescent="0.3">
      <c r="A4473" t="str">
        <f t="shared" si="69"/>
        <v>0222826</v>
      </c>
      <c r="B4473" s="101" t="s">
        <v>639</v>
      </c>
      <c r="C4473" s="101" t="s">
        <v>172</v>
      </c>
      <c r="D4473" s="101" t="s">
        <v>359</v>
      </c>
      <c r="E4473" s="101" t="s">
        <v>19</v>
      </c>
    </row>
    <row r="4474" spans="1:5" x14ac:dyDescent="0.3">
      <c r="A4474" t="str">
        <f t="shared" si="69"/>
        <v>0222827</v>
      </c>
      <c r="B4474" s="101" t="s">
        <v>639</v>
      </c>
      <c r="C4474" s="101" t="s">
        <v>172</v>
      </c>
      <c r="D4474" s="101" t="s">
        <v>361</v>
      </c>
      <c r="E4474" s="101" t="s">
        <v>19</v>
      </c>
    </row>
    <row r="4475" spans="1:5" x14ac:dyDescent="0.3">
      <c r="A4475" t="str">
        <f t="shared" si="69"/>
        <v>0222872</v>
      </c>
      <c r="B4475" s="101" t="s">
        <v>639</v>
      </c>
      <c r="C4475" s="101" t="s">
        <v>172</v>
      </c>
      <c r="D4475" s="101" t="s">
        <v>565</v>
      </c>
      <c r="E4475" s="101" t="s">
        <v>17</v>
      </c>
    </row>
    <row r="4476" spans="1:5" x14ac:dyDescent="0.3">
      <c r="A4476" t="str">
        <f t="shared" si="69"/>
        <v>0522873</v>
      </c>
      <c r="B4476" s="101" t="s">
        <v>313</v>
      </c>
      <c r="C4476" s="101" t="s">
        <v>172</v>
      </c>
      <c r="D4476" s="101" t="s">
        <v>566</v>
      </c>
      <c r="E4476" s="101" t="s">
        <v>139</v>
      </c>
    </row>
    <row r="4477" spans="1:5" x14ac:dyDescent="0.3">
      <c r="A4477" t="str">
        <f t="shared" si="69"/>
        <v>0722873</v>
      </c>
      <c r="B4477" s="101" t="s">
        <v>319</v>
      </c>
      <c r="C4477" s="101" t="s">
        <v>172</v>
      </c>
      <c r="D4477" s="101" t="s">
        <v>566</v>
      </c>
      <c r="E4477" s="101" t="s">
        <v>139</v>
      </c>
    </row>
    <row r="4478" spans="1:5" x14ac:dyDescent="0.3">
      <c r="A4478" t="str">
        <f t="shared" si="69"/>
        <v>0522874</v>
      </c>
      <c r="B4478" s="101" t="s">
        <v>313</v>
      </c>
      <c r="C4478" s="101" t="s">
        <v>172</v>
      </c>
      <c r="D4478" s="101" t="s">
        <v>567</v>
      </c>
      <c r="E4478" s="101" t="s">
        <v>17</v>
      </c>
    </row>
    <row r="4479" spans="1:5" x14ac:dyDescent="0.3">
      <c r="A4479" t="str">
        <f t="shared" si="69"/>
        <v>0822874</v>
      </c>
      <c r="B4479" s="101" t="s">
        <v>320</v>
      </c>
      <c r="C4479" s="101" t="s">
        <v>172</v>
      </c>
      <c r="D4479" s="101" t="s">
        <v>567</v>
      </c>
      <c r="E4479" s="101" t="s">
        <v>17</v>
      </c>
    </row>
    <row r="4480" spans="1:5" x14ac:dyDescent="0.3">
      <c r="A4480" t="str">
        <f t="shared" si="69"/>
        <v>0223002</v>
      </c>
      <c r="B4480" s="101" t="s">
        <v>639</v>
      </c>
      <c r="C4480" s="101" t="s">
        <v>174</v>
      </c>
      <c r="D4480" s="101" t="s">
        <v>596</v>
      </c>
      <c r="E4480" s="101" t="s">
        <v>139</v>
      </c>
    </row>
    <row r="4481" spans="1:5" x14ac:dyDescent="0.3">
      <c r="A4481" t="str">
        <f t="shared" si="69"/>
        <v>0223004</v>
      </c>
      <c r="B4481" s="101" t="s">
        <v>639</v>
      </c>
      <c r="C4481" s="101" t="s">
        <v>174</v>
      </c>
      <c r="D4481" s="101" t="s">
        <v>598</v>
      </c>
      <c r="E4481" s="101" t="s">
        <v>139</v>
      </c>
    </row>
    <row r="4482" spans="1:5" x14ac:dyDescent="0.3">
      <c r="A4482" t="str">
        <f t="shared" si="69"/>
        <v>0223006</v>
      </c>
      <c r="B4482" s="101" t="s">
        <v>639</v>
      </c>
      <c r="C4482" s="101" t="s">
        <v>174</v>
      </c>
      <c r="D4482" s="101" t="s">
        <v>400</v>
      </c>
      <c r="E4482" s="101" t="s">
        <v>139</v>
      </c>
    </row>
    <row r="4483" spans="1:5" x14ac:dyDescent="0.3">
      <c r="A4483" t="str">
        <f t="shared" ref="A4483:A4546" si="70">CONCATENATE(B4483,C4483,D4483,F4483)</f>
        <v>0223008</v>
      </c>
      <c r="B4483" s="101" t="s">
        <v>639</v>
      </c>
      <c r="C4483" s="101" t="s">
        <v>174</v>
      </c>
      <c r="D4483" s="101" t="s">
        <v>405</v>
      </c>
      <c r="E4483" s="101" t="s">
        <v>139</v>
      </c>
    </row>
    <row r="4484" spans="1:5" x14ac:dyDescent="0.3">
      <c r="A4484" t="str">
        <f t="shared" si="70"/>
        <v>0223010</v>
      </c>
      <c r="B4484" s="101" t="s">
        <v>639</v>
      </c>
      <c r="C4484" s="101" t="s">
        <v>174</v>
      </c>
      <c r="D4484" s="101" t="s">
        <v>599</v>
      </c>
      <c r="E4484" s="101" t="s">
        <v>139</v>
      </c>
    </row>
    <row r="4485" spans="1:5" x14ac:dyDescent="0.3">
      <c r="A4485" t="str">
        <f t="shared" si="70"/>
        <v>0223012</v>
      </c>
      <c r="B4485" s="101" t="s">
        <v>639</v>
      </c>
      <c r="C4485" s="101" t="s">
        <v>174</v>
      </c>
      <c r="D4485" s="101" t="s">
        <v>392</v>
      </c>
      <c r="E4485" s="101" t="s">
        <v>139</v>
      </c>
    </row>
    <row r="4486" spans="1:5" x14ac:dyDescent="0.3">
      <c r="A4486" t="str">
        <f t="shared" si="70"/>
        <v>0423012</v>
      </c>
      <c r="B4486" s="101" t="s">
        <v>18</v>
      </c>
      <c r="C4486" s="101" t="s">
        <v>174</v>
      </c>
      <c r="D4486" s="101" t="s">
        <v>392</v>
      </c>
      <c r="E4486" s="101" t="s">
        <v>139</v>
      </c>
    </row>
    <row r="4487" spans="1:5" x14ac:dyDescent="0.3">
      <c r="A4487" t="str">
        <f t="shared" si="70"/>
        <v>0223014</v>
      </c>
      <c r="B4487" s="101" t="s">
        <v>639</v>
      </c>
      <c r="C4487" s="101" t="s">
        <v>174</v>
      </c>
      <c r="D4487" s="101" t="s">
        <v>531</v>
      </c>
      <c r="E4487" s="101" t="s">
        <v>139</v>
      </c>
    </row>
    <row r="4488" spans="1:5" x14ac:dyDescent="0.3">
      <c r="A4488" t="str">
        <f t="shared" si="70"/>
        <v>0223016</v>
      </c>
      <c r="B4488" s="101" t="s">
        <v>639</v>
      </c>
      <c r="C4488" s="101" t="s">
        <v>174</v>
      </c>
      <c r="D4488" s="101" t="s">
        <v>396</v>
      </c>
      <c r="E4488" s="101" t="s">
        <v>139</v>
      </c>
    </row>
    <row r="4489" spans="1:5" x14ac:dyDescent="0.3">
      <c r="A4489" t="str">
        <f t="shared" si="70"/>
        <v>0423017</v>
      </c>
      <c r="B4489" s="101" t="s">
        <v>18</v>
      </c>
      <c r="C4489" s="101" t="s">
        <v>174</v>
      </c>
      <c r="D4489" s="101" t="s">
        <v>575</v>
      </c>
      <c r="E4489" s="101" t="s">
        <v>139</v>
      </c>
    </row>
    <row r="4490" spans="1:5" x14ac:dyDescent="0.3">
      <c r="A4490" t="str">
        <f t="shared" si="70"/>
        <v>0223019</v>
      </c>
      <c r="B4490" s="101" t="s">
        <v>639</v>
      </c>
      <c r="C4490" s="101" t="s">
        <v>174</v>
      </c>
      <c r="D4490" s="101" t="s">
        <v>393</v>
      </c>
      <c r="E4490" s="101" t="s">
        <v>139</v>
      </c>
    </row>
    <row r="4491" spans="1:5" x14ac:dyDescent="0.3">
      <c r="A4491" t="str">
        <f t="shared" si="70"/>
        <v>0223021</v>
      </c>
      <c r="B4491" s="101" t="s">
        <v>639</v>
      </c>
      <c r="C4491" s="101" t="s">
        <v>174</v>
      </c>
      <c r="D4491" s="101" t="s">
        <v>477</v>
      </c>
      <c r="E4491" s="101" t="s">
        <v>139</v>
      </c>
    </row>
    <row r="4492" spans="1:5" x14ac:dyDescent="0.3">
      <c r="A4492" t="str">
        <f t="shared" si="70"/>
        <v>0223023</v>
      </c>
      <c r="B4492" s="101" t="s">
        <v>639</v>
      </c>
      <c r="C4492" s="101" t="s">
        <v>174</v>
      </c>
      <c r="D4492" s="101" t="s">
        <v>480</v>
      </c>
      <c r="E4492" s="101" t="s">
        <v>139</v>
      </c>
    </row>
    <row r="4493" spans="1:5" x14ac:dyDescent="0.3">
      <c r="A4493" t="str">
        <f t="shared" si="70"/>
        <v>0223025</v>
      </c>
      <c r="B4493" s="101" t="s">
        <v>639</v>
      </c>
      <c r="C4493" s="101" t="s">
        <v>174</v>
      </c>
      <c r="D4493" s="101" t="s">
        <v>367</v>
      </c>
      <c r="E4493" s="101" t="s">
        <v>139</v>
      </c>
    </row>
    <row r="4494" spans="1:5" x14ac:dyDescent="0.3">
      <c r="A4494" t="str">
        <f t="shared" si="70"/>
        <v>0223027</v>
      </c>
      <c r="B4494" s="101" t="s">
        <v>639</v>
      </c>
      <c r="C4494" s="101" t="s">
        <v>174</v>
      </c>
      <c r="D4494" s="101" t="s">
        <v>545</v>
      </c>
      <c r="E4494" s="101" t="s">
        <v>139</v>
      </c>
    </row>
    <row r="4495" spans="1:5" x14ac:dyDescent="0.3">
      <c r="A4495" t="str">
        <f t="shared" si="70"/>
        <v>0223029</v>
      </c>
      <c r="B4495" s="101" t="s">
        <v>639</v>
      </c>
      <c r="C4495" s="101" t="s">
        <v>174</v>
      </c>
      <c r="D4495" s="101" t="s">
        <v>355</v>
      </c>
      <c r="E4495" s="101" t="s">
        <v>139</v>
      </c>
    </row>
    <row r="4496" spans="1:5" x14ac:dyDescent="0.3">
      <c r="A4496" t="str">
        <f t="shared" si="70"/>
        <v>0223031</v>
      </c>
      <c r="B4496" s="101" t="s">
        <v>639</v>
      </c>
      <c r="C4496" s="101" t="s">
        <v>174</v>
      </c>
      <c r="D4496" s="101" t="s">
        <v>369</v>
      </c>
      <c r="E4496" s="101" t="s">
        <v>139</v>
      </c>
    </row>
    <row r="4497" spans="1:5" x14ac:dyDescent="0.3">
      <c r="A4497" t="str">
        <f t="shared" si="70"/>
        <v>0223033</v>
      </c>
      <c r="B4497" s="101" t="s">
        <v>639</v>
      </c>
      <c r="C4497" s="101" t="s">
        <v>174</v>
      </c>
      <c r="D4497" s="101" t="s">
        <v>327</v>
      </c>
      <c r="E4497" s="101" t="s">
        <v>139</v>
      </c>
    </row>
    <row r="4498" spans="1:5" x14ac:dyDescent="0.3">
      <c r="A4498" t="str">
        <f t="shared" si="70"/>
        <v>0423034</v>
      </c>
      <c r="B4498" s="101" t="s">
        <v>18</v>
      </c>
      <c r="C4498" s="101" t="s">
        <v>174</v>
      </c>
      <c r="D4498" s="101" t="s">
        <v>329</v>
      </c>
      <c r="E4498" s="101" t="s">
        <v>139</v>
      </c>
    </row>
    <row r="4499" spans="1:5" x14ac:dyDescent="0.3">
      <c r="A4499" t="str">
        <f t="shared" si="70"/>
        <v>0223037</v>
      </c>
      <c r="B4499" s="101" t="s">
        <v>639</v>
      </c>
      <c r="C4499" s="101" t="s">
        <v>174</v>
      </c>
      <c r="D4499" s="101" t="s">
        <v>625</v>
      </c>
      <c r="E4499" s="101" t="s">
        <v>139</v>
      </c>
    </row>
    <row r="4500" spans="1:5" x14ac:dyDescent="0.3">
      <c r="A4500" t="str">
        <f t="shared" si="70"/>
        <v>0223041</v>
      </c>
      <c r="B4500" s="101" t="s">
        <v>639</v>
      </c>
      <c r="C4500" s="101" t="s">
        <v>174</v>
      </c>
      <c r="D4500" s="101" t="s">
        <v>583</v>
      </c>
      <c r="E4500" s="101" t="s">
        <v>139</v>
      </c>
    </row>
    <row r="4501" spans="1:5" x14ac:dyDescent="0.3">
      <c r="A4501" t="str">
        <f t="shared" si="70"/>
        <v>0223045</v>
      </c>
      <c r="B4501" s="101" t="s">
        <v>639</v>
      </c>
      <c r="C4501" s="101" t="s">
        <v>174</v>
      </c>
      <c r="D4501" s="101" t="s">
        <v>453</v>
      </c>
      <c r="E4501" s="101" t="s">
        <v>17</v>
      </c>
    </row>
    <row r="4502" spans="1:5" x14ac:dyDescent="0.3">
      <c r="A4502" t="str">
        <f t="shared" si="70"/>
        <v>0223047</v>
      </c>
      <c r="B4502" s="101" t="s">
        <v>639</v>
      </c>
      <c r="C4502" s="101" t="s">
        <v>174</v>
      </c>
      <c r="D4502" s="101" t="s">
        <v>585</v>
      </c>
      <c r="E4502" s="101" t="s">
        <v>17</v>
      </c>
    </row>
    <row r="4503" spans="1:5" x14ac:dyDescent="0.3">
      <c r="A4503" t="str">
        <f t="shared" si="70"/>
        <v>0423047</v>
      </c>
      <c r="B4503" s="101" t="s">
        <v>18</v>
      </c>
      <c r="C4503" s="101" t="s">
        <v>174</v>
      </c>
      <c r="D4503" s="101" t="s">
        <v>585</v>
      </c>
      <c r="E4503" s="101" t="s">
        <v>17</v>
      </c>
    </row>
    <row r="4504" spans="1:5" x14ac:dyDescent="0.3">
      <c r="A4504" t="str">
        <f t="shared" si="70"/>
        <v>0123102</v>
      </c>
      <c r="B4504" s="101" t="s">
        <v>640</v>
      </c>
      <c r="C4504" s="101" t="s">
        <v>174</v>
      </c>
      <c r="D4504" s="101" t="s">
        <v>232</v>
      </c>
      <c r="E4504" s="101" t="s">
        <v>140</v>
      </c>
    </row>
    <row r="4505" spans="1:5" x14ac:dyDescent="0.3">
      <c r="A4505" t="str">
        <f t="shared" si="70"/>
        <v>0123103</v>
      </c>
      <c r="B4505" s="101" t="s">
        <v>640</v>
      </c>
      <c r="C4505" s="101" t="s">
        <v>174</v>
      </c>
      <c r="D4505" s="101" t="s">
        <v>233</v>
      </c>
      <c r="E4505" s="101" t="s">
        <v>19</v>
      </c>
    </row>
    <row r="4506" spans="1:5" x14ac:dyDescent="0.3">
      <c r="A4506" t="str">
        <f t="shared" si="70"/>
        <v>0123501</v>
      </c>
      <c r="B4506" s="101" t="s">
        <v>640</v>
      </c>
      <c r="C4506" s="101" t="s">
        <v>174</v>
      </c>
      <c r="D4506" s="101" t="s">
        <v>147</v>
      </c>
      <c r="E4506" s="101" t="s">
        <v>139</v>
      </c>
    </row>
    <row r="4507" spans="1:5" x14ac:dyDescent="0.3">
      <c r="A4507" t="str">
        <f t="shared" si="70"/>
        <v>0223514</v>
      </c>
      <c r="B4507" s="101" t="s">
        <v>639</v>
      </c>
      <c r="C4507" s="101" t="s">
        <v>174</v>
      </c>
      <c r="D4507" s="101" t="s">
        <v>388</v>
      </c>
      <c r="E4507" s="101" t="s">
        <v>17</v>
      </c>
    </row>
    <row r="4508" spans="1:5" x14ac:dyDescent="0.3">
      <c r="A4508" t="str">
        <f t="shared" si="70"/>
        <v>0623514</v>
      </c>
      <c r="B4508" s="101" t="s">
        <v>317</v>
      </c>
      <c r="C4508" s="101" t="s">
        <v>174</v>
      </c>
      <c r="D4508" s="101" t="s">
        <v>388</v>
      </c>
      <c r="E4508" s="101" t="s">
        <v>17</v>
      </c>
    </row>
    <row r="4509" spans="1:5" x14ac:dyDescent="0.3">
      <c r="A4509" t="str">
        <f t="shared" si="70"/>
        <v>0223515</v>
      </c>
      <c r="B4509" s="101" t="s">
        <v>639</v>
      </c>
      <c r="C4509" s="101" t="s">
        <v>174</v>
      </c>
      <c r="D4509" s="101" t="s">
        <v>407</v>
      </c>
      <c r="E4509" s="101" t="s">
        <v>17</v>
      </c>
    </row>
    <row r="4510" spans="1:5" x14ac:dyDescent="0.3">
      <c r="A4510" t="str">
        <f t="shared" si="70"/>
        <v>0223516</v>
      </c>
      <c r="B4510" s="101" t="s">
        <v>639</v>
      </c>
      <c r="C4510" s="101" t="s">
        <v>174</v>
      </c>
      <c r="D4510" s="101" t="s">
        <v>389</v>
      </c>
      <c r="E4510" s="101" t="s">
        <v>17</v>
      </c>
    </row>
    <row r="4511" spans="1:5" x14ac:dyDescent="0.3">
      <c r="A4511" t="str">
        <f t="shared" si="70"/>
        <v>0223517</v>
      </c>
      <c r="B4511" s="101" t="s">
        <v>639</v>
      </c>
      <c r="C4511" s="101" t="s">
        <v>174</v>
      </c>
      <c r="D4511" s="101" t="s">
        <v>390</v>
      </c>
      <c r="E4511" s="101" t="s">
        <v>17</v>
      </c>
    </row>
    <row r="4512" spans="1:5" x14ac:dyDescent="0.3">
      <c r="A4512" t="str">
        <f t="shared" si="70"/>
        <v>0223521</v>
      </c>
      <c r="B4512" s="101" t="s">
        <v>639</v>
      </c>
      <c r="C4512" s="101" t="s">
        <v>174</v>
      </c>
      <c r="D4512" s="101" t="s">
        <v>384</v>
      </c>
      <c r="E4512" s="101" t="s">
        <v>140</v>
      </c>
    </row>
    <row r="4513" spans="1:5" x14ac:dyDescent="0.3">
      <c r="A4513" t="str">
        <f t="shared" si="70"/>
        <v>0223523</v>
      </c>
      <c r="B4513" s="101" t="s">
        <v>639</v>
      </c>
      <c r="C4513" s="101" t="s">
        <v>174</v>
      </c>
      <c r="D4513" s="101" t="s">
        <v>408</v>
      </c>
      <c r="E4513" s="101" t="s">
        <v>139</v>
      </c>
    </row>
    <row r="4514" spans="1:5" x14ac:dyDescent="0.3">
      <c r="A4514" t="str">
        <f t="shared" si="70"/>
        <v>0223525</v>
      </c>
      <c r="B4514" s="101" t="s">
        <v>639</v>
      </c>
      <c r="C4514" s="101" t="s">
        <v>174</v>
      </c>
      <c r="D4514" s="101" t="s">
        <v>394</v>
      </c>
      <c r="E4514" s="101" t="s">
        <v>139</v>
      </c>
    </row>
    <row r="4515" spans="1:5" x14ac:dyDescent="0.3">
      <c r="A4515" t="str">
        <f t="shared" si="70"/>
        <v>0223527</v>
      </c>
      <c r="B4515" s="101" t="s">
        <v>639</v>
      </c>
      <c r="C4515" s="101" t="s">
        <v>174</v>
      </c>
      <c r="D4515" s="101" t="s">
        <v>380</v>
      </c>
      <c r="E4515" s="101" t="s">
        <v>139</v>
      </c>
    </row>
    <row r="4516" spans="1:5" x14ac:dyDescent="0.3">
      <c r="A4516" t="str">
        <f t="shared" si="70"/>
        <v>0223529</v>
      </c>
      <c r="B4516" s="101" t="s">
        <v>639</v>
      </c>
      <c r="C4516" s="101" t="s">
        <v>174</v>
      </c>
      <c r="D4516" s="101" t="s">
        <v>364</v>
      </c>
      <c r="E4516" s="101" t="s">
        <v>139</v>
      </c>
    </row>
    <row r="4517" spans="1:5" x14ac:dyDescent="0.3">
      <c r="A4517" t="str">
        <f t="shared" si="70"/>
        <v>0223531</v>
      </c>
      <c r="B4517" s="101" t="s">
        <v>639</v>
      </c>
      <c r="C4517" s="101" t="s">
        <v>174</v>
      </c>
      <c r="D4517" s="101" t="s">
        <v>409</v>
      </c>
      <c r="E4517" s="101" t="s">
        <v>139</v>
      </c>
    </row>
    <row r="4518" spans="1:5" x14ac:dyDescent="0.3">
      <c r="A4518" t="str">
        <f t="shared" si="70"/>
        <v>0223533</v>
      </c>
      <c r="B4518" s="101" t="s">
        <v>639</v>
      </c>
      <c r="C4518" s="101" t="s">
        <v>174</v>
      </c>
      <c r="D4518" s="101" t="s">
        <v>397</v>
      </c>
      <c r="E4518" s="101" t="s">
        <v>139</v>
      </c>
    </row>
    <row r="4519" spans="1:5" x14ac:dyDescent="0.3">
      <c r="A4519" t="str">
        <f t="shared" si="70"/>
        <v>0223535</v>
      </c>
      <c r="B4519" s="101" t="s">
        <v>639</v>
      </c>
      <c r="C4519" s="101" t="s">
        <v>174</v>
      </c>
      <c r="D4519" s="101" t="s">
        <v>410</v>
      </c>
      <c r="E4519" s="101" t="s">
        <v>139</v>
      </c>
    </row>
    <row r="4520" spans="1:5" x14ac:dyDescent="0.3">
      <c r="A4520" t="str">
        <f t="shared" si="70"/>
        <v>0223537</v>
      </c>
      <c r="B4520" s="101" t="s">
        <v>639</v>
      </c>
      <c r="C4520" s="101" t="s">
        <v>174</v>
      </c>
      <c r="D4520" s="101" t="s">
        <v>395</v>
      </c>
      <c r="E4520" s="101" t="s">
        <v>139</v>
      </c>
    </row>
    <row r="4521" spans="1:5" x14ac:dyDescent="0.3">
      <c r="A4521" t="str">
        <f t="shared" si="70"/>
        <v>0423538</v>
      </c>
      <c r="B4521" s="101" t="s">
        <v>18</v>
      </c>
      <c r="C4521" s="101" t="s">
        <v>174</v>
      </c>
      <c r="D4521" s="101" t="s">
        <v>365</v>
      </c>
      <c r="E4521" s="101" t="s">
        <v>139</v>
      </c>
    </row>
    <row r="4522" spans="1:5" x14ac:dyDescent="0.3">
      <c r="A4522" t="str">
        <f t="shared" si="70"/>
        <v>0223540</v>
      </c>
      <c r="B4522" s="101" t="s">
        <v>639</v>
      </c>
      <c r="C4522" s="101" t="s">
        <v>174</v>
      </c>
      <c r="D4522" s="101" t="s">
        <v>411</v>
      </c>
      <c r="E4522" s="101" t="s">
        <v>139</v>
      </c>
    </row>
    <row r="4523" spans="1:5" x14ac:dyDescent="0.3">
      <c r="A4523" t="str">
        <f t="shared" si="70"/>
        <v>0223542</v>
      </c>
      <c r="B4523" s="101" t="s">
        <v>639</v>
      </c>
      <c r="C4523" s="101" t="s">
        <v>174</v>
      </c>
      <c r="D4523" s="101" t="s">
        <v>353</v>
      </c>
      <c r="E4523" s="101" t="s">
        <v>139</v>
      </c>
    </row>
    <row r="4524" spans="1:5" x14ac:dyDescent="0.3">
      <c r="A4524" t="str">
        <f t="shared" si="70"/>
        <v>0223544</v>
      </c>
      <c r="B4524" s="101" t="s">
        <v>639</v>
      </c>
      <c r="C4524" s="101" t="s">
        <v>174</v>
      </c>
      <c r="D4524" s="101" t="s">
        <v>412</v>
      </c>
      <c r="E4524" s="101" t="s">
        <v>139</v>
      </c>
    </row>
    <row r="4525" spans="1:5" x14ac:dyDescent="0.3">
      <c r="A4525" t="str">
        <f t="shared" si="70"/>
        <v>0223546</v>
      </c>
      <c r="B4525" s="101" t="s">
        <v>639</v>
      </c>
      <c r="C4525" s="101" t="s">
        <v>174</v>
      </c>
      <c r="D4525" s="101" t="s">
        <v>373</v>
      </c>
      <c r="E4525" s="101" t="s">
        <v>139</v>
      </c>
    </row>
    <row r="4526" spans="1:5" x14ac:dyDescent="0.3">
      <c r="A4526" t="str">
        <f t="shared" si="70"/>
        <v>0223548</v>
      </c>
      <c r="B4526" s="101" t="s">
        <v>639</v>
      </c>
      <c r="C4526" s="101" t="s">
        <v>174</v>
      </c>
      <c r="D4526" s="101" t="s">
        <v>354</v>
      </c>
      <c r="E4526" s="101" t="s">
        <v>139</v>
      </c>
    </row>
    <row r="4527" spans="1:5" x14ac:dyDescent="0.3">
      <c r="A4527" t="str">
        <f t="shared" si="70"/>
        <v>0223550</v>
      </c>
      <c r="B4527" s="101" t="s">
        <v>639</v>
      </c>
      <c r="C4527" s="101" t="s">
        <v>174</v>
      </c>
      <c r="D4527" s="101" t="s">
        <v>415</v>
      </c>
      <c r="E4527" s="101" t="s">
        <v>139</v>
      </c>
    </row>
    <row r="4528" spans="1:5" x14ac:dyDescent="0.3">
      <c r="A4528" t="str">
        <f t="shared" si="70"/>
        <v>0223552</v>
      </c>
      <c r="B4528" s="101" t="s">
        <v>639</v>
      </c>
      <c r="C4528" s="101" t="s">
        <v>174</v>
      </c>
      <c r="D4528" s="101" t="s">
        <v>374</v>
      </c>
      <c r="E4528" s="101" t="s">
        <v>139</v>
      </c>
    </row>
    <row r="4529" spans="1:5" x14ac:dyDescent="0.3">
      <c r="A4529" t="str">
        <f t="shared" si="70"/>
        <v>0223554</v>
      </c>
      <c r="B4529" s="101" t="s">
        <v>639</v>
      </c>
      <c r="C4529" s="101" t="s">
        <v>174</v>
      </c>
      <c r="D4529" s="101" t="s">
        <v>391</v>
      </c>
      <c r="E4529" s="101" t="s">
        <v>139</v>
      </c>
    </row>
    <row r="4530" spans="1:5" x14ac:dyDescent="0.3">
      <c r="A4530" t="str">
        <f t="shared" si="70"/>
        <v>0423555</v>
      </c>
      <c r="B4530" s="101" t="s">
        <v>18</v>
      </c>
      <c r="C4530" s="101" t="s">
        <v>174</v>
      </c>
      <c r="D4530" s="101" t="s">
        <v>418</v>
      </c>
      <c r="E4530" s="101" t="s">
        <v>139</v>
      </c>
    </row>
    <row r="4531" spans="1:5" x14ac:dyDescent="0.3">
      <c r="A4531" t="str">
        <f t="shared" si="70"/>
        <v>0223558</v>
      </c>
      <c r="B4531" s="101" t="s">
        <v>639</v>
      </c>
      <c r="C4531" s="101" t="s">
        <v>174</v>
      </c>
      <c r="D4531" s="101" t="s">
        <v>362</v>
      </c>
      <c r="E4531" s="101" t="s">
        <v>139</v>
      </c>
    </row>
    <row r="4532" spans="1:5" x14ac:dyDescent="0.3">
      <c r="A4532" t="str">
        <f t="shared" si="70"/>
        <v>0223562</v>
      </c>
      <c r="B4532" s="101" t="s">
        <v>639</v>
      </c>
      <c r="C4532" s="101" t="s">
        <v>174</v>
      </c>
      <c r="D4532" s="101" t="s">
        <v>421</v>
      </c>
      <c r="E4532" s="101" t="s">
        <v>139</v>
      </c>
    </row>
    <row r="4533" spans="1:5" x14ac:dyDescent="0.3">
      <c r="A4533" t="str">
        <f t="shared" si="70"/>
        <v>0323566</v>
      </c>
      <c r="B4533" s="101" t="s">
        <v>16</v>
      </c>
      <c r="C4533" s="101" t="s">
        <v>174</v>
      </c>
      <c r="D4533" s="101" t="s">
        <v>425</v>
      </c>
      <c r="E4533" s="101" t="s">
        <v>139</v>
      </c>
    </row>
    <row r="4534" spans="1:5" x14ac:dyDescent="0.3">
      <c r="A4534" t="str">
        <f t="shared" si="70"/>
        <v>0323567</v>
      </c>
      <c r="B4534" s="101" t="s">
        <v>16</v>
      </c>
      <c r="C4534" s="101" t="s">
        <v>174</v>
      </c>
      <c r="D4534" s="101" t="s">
        <v>426</v>
      </c>
      <c r="E4534" s="101" t="s">
        <v>139</v>
      </c>
    </row>
    <row r="4535" spans="1:5" x14ac:dyDescent="0.3">
      <c r="A4535" t="str">
        <f t="shared" si="70"/>
        <v>0423571</v>
      </c>
      <c r="B4535" s="101" t="s">
        <v>18</v>
      </c>
      <c r="C4535" s="101" t="s">
        <v>174</v>
      </c>
      <c r="D4535" s="101" t="s">
        <v>430</v>
      </c>
      <c r="E4535" s="101" t="s">
        <v>17</v>
      </c>
    </row>
    <row r="4536" spans="1:5" x14ac:dyDescent="0.3">
      <c r="A4536" t="str">
        <f t="shared" si="70"/>
        <v>0223807</v>
      </c>
      <c r="B4536" s="101" t="s">
        <v>639</v>
      </c>
      <c r="C4536" s="101" t="s">
        <v>174</v>
      </c>
      <c r="D4536" s="101" t="s">
        <v>185</v>
      </c>
      <c r="E4536" s="101" t="s">
        <v>17</v>
      </c>
    </row>
    <row r="4537" spans="1:5" x14ac:dyDescent="0.3">
      <c r="A4537" t="str">
        <f t="shared" si="70"/>
        <v>0423807</v>
      </c>
      <c r="B4537" s="101" t="s">
        <v>18</v>
      </c>
      <c r="C4537" s="101" t="s">
        <v>174</v>
      </c>
      <c r="D4537" s="101" t="s">
        <v>185</v>
      </c>
      <c r="E4537" s="101" t="s">
        <v>17</v>
      </c>
    </row>
    <row r="4538" spans="1:5" x14ac:dyDescent="0.3">
      <c r="A4538" t="str">
        <f t="shared" si="70"/>
        <v>0823811</v>
      </c>
      <c r="B4538" s="101" t="s">
        <v>320</v>
      </c>
      <c r="C4538" s="101" t="s">
        <v>174</v>
      </c>
      <c r="D4538" s="101" t="s">
        <v>189</v>
      </c>
      <c r="E4538" s="101" t="s">
        <v>17</v>
      </c>
    </row>
    <row r="4539" spans="1:5" x14ac:dyDescent="0.3">
      <c r="A4539" t="str">
        <f t="shared" si="70"/>
        <v>0223812</v>
      </c>
      <c r="B4539" s="101" t="s">
        <v>639</v>
      </c>
      <c r="C4539" s="101" t="s">
        <v>174</v>
      </c>
      <c r="D4539" s="101" t="s">
        <v>190</v>
      </c>
      <c r="E4539" s="101" t="s">
        <v>17</v>
      </c>
    </row>
    <row r="4540" spans="1:5" x14ac:dyDescent="0.3">
      <c r="A4540" t="str">
        <f t="shared" si="70"/>
        <v>0523812</v>
      </c>
      <c r="B4540" s="101" t="s">
        <v>313</v>
      </c>
      <c r="C4540" s="101" t="s">
        <v>174</v>
      </c>
      <c r="D4540" s="101" t="s">
        <v>190</v>
      </c>
      <c r="E4540" s="101" t="s">
        <v>17</v>
      </c>
    </row>
    <row r="4541" spans="1:5" x14ac:dyDescent="0.3">
      <c r="A4541" t="str">
        <f t="shared" si="70"/>
        <v>0223826</v>
      </c>
      <c r="B4541" s="101" t="s">
        <v>639</v>
      </c>
      <c r="C4541" s="101" t="s">
        <v>174</v>
      </c>
      <c r="D4541" s="101" t="s">
        <v>359</v>
      </c>
      <c r="E4541" s="101" t="s">
        <v>19</v>
      </c>
    </row>
    <row r="4542" spans="1:5" x14ac:dyDescent="0.3">
      <c r="A4542" t="str">
        <f t="shared" si="70"/>
        <v>0223827</v>
      </c>
      <c r="B4542" s="101" t="s">
        <v>639</v>
      </c>
      <c r="C4542" s="101" t="s">
        <v>174</v>
      </c>
      <c r="D4542" s="101" t="s">
        <v>361</v>
      </c>
      <c r="E4542" s="101" t="s">
        <v>19</v>
      </c>
    </row>
    <row r="4543" spans="1:5" x14ac:dyDescent="0.3">
      <c r="A4543" t="str">
        <f t="shared" si="70"/>
        <v>0223828</v>
      </c>
      <c r="B4543" s="101" t="s">
        <v>639</v>
      </c>
      <c r="C4543" s="101" t="s">
        <v>174</v>
      </c>
      <c r="D4543" s="101" t="s">
        <v>371</v>
      </c>
      <c r="E4543" s="101" t="s">
        <v>140</v>
      </c>
    </row>
    <row r="4544" spans="1:5" x14ac:dyDescent="0.3">
      <c r="A4544" t="str">
        <f t="shared" si="70"/>
        <v>0123833</v>
      </c>
      <c r="B4544" s="101" t="s">
        <v>640</v>
      </c>
      <c r="C4544" s="101" t="s">
        <v>174</v>
      </c>
      <c r="D4544" s="101" t="s">
        <v>554</v>
      </c>
      <c r="E4544" s="101" t="s">
        <v>139</v>
      </c>
    </row>
    <row r="4545" spans="1:5" x14ac:dyDescent="0.3">
      <c r="A4545" t="str">
        <f t="shared" si="70"/>
        <v>0323833</v>
      </c>
      <c r="B4545" s="101" t="s">
        <v>16</v>
      </c>
      <c r="C4545" s="101" t="s">
        <v>174</v>
      </c>
      <c r="D4545" s="101" t="s">
        <v>554</v>
      </c>
      <c r="E4545" s="101" t="s">
        <v>139</v>
      </c>
    </row>
    <row r="4546" spans="1:5" x14ac:dyDescent="0.3">
      <c r="A4546" t="str">
        <f t="shared" si="70"/>
        <v>0323835</v>
      </c>
      <c r="B4546" s="101" t="s">
        <v>16</v>
      </c>
      <c r="C4546" s="101" t="s">
        <v>174</v>
      </c>
      <c r="D4546" s="101" t="s">
        <v>555</v>
      </c>
      <c r="E4546" s="101" t="s">
        <v>139</v>
      </c>
    </row>
    <row r="4547" spans="1:5" x14ac:dyDescent="0.3">
      <c r="A4547" t="str">
        <f t="shared" ref="A4547:A4557" si="71">CONCATENATE(B4547,C4547,D4547,F4547)</f>
        <v>0123837</v>
      </c>
      <c r="B4547" s="101" t="s">
        <v>640</v>
      </c>
      <c r="C4547" s="101" t="s">
        <v>174</v>
      </c>
      <c r="D4547" s="101" t="s">
        <v>557</v>
      </c>
      <c r="E4547" s="101" t="s">
        <v>139</v>
      </c>
    </row>
    <row r="4548" spans="1:5" x14ac:dyDescent="0.3">
      <c r="A4548" t="str">
        <f t="shared" si="71"/>
        <v>0323841</v>
      </c>
      <c r="B4548" s="101" t="s">
        <v>16</v>
      </c>
      <c r="C4548" s="101" t="s">
        <v>174</v>
      </c>
      <c r="D4548" s="101" t="s">
        <v>561</v>
      </c>
      <c r="E4548" s="101" t="s">
        <v>139</v>
      </c>
    </row>
    <row r="4549" spans="1:5" x14ac:dyDescent="0.3">
      <c r="A4549" t="str">
        <f t="shared" si="71"/>
        <v>0323843</v>
      </c>
      <c r="B4549" s="101" t="s">
        <v>16</v>
      </c>
      <c r="C4549" s="101" t="s">
        <v>174</v>
      </c>
      <c r="D4549" s="101" t="s">
        <v>563</v>
      </c>
      <c r="E4549" s="101" t="s">
        <v>139</v>
      </c>
    </row>
    <row r="4550" spans="1:5" x14ac:dyDescent="0.3">
      <c r="A4550" t="str">
        <f t="shared" si="71"/>
        <v>0123873</v>
      </c>
      <c r="B4550" s="101" t="s">
        <v>640</v>
      </c>
      <c r="C4550" s="101" t="s">
        <v>174</v>
      </c>
      <c r="D4550" s="101" t="s">
        <v>566</v>
      </c>
      <c r="E4550" s="101" t="s">
        <v>139</v>
      </c>
    </row>
    <row r="4551" spans="1:5" x14ac:dyDescent="0.3">
      <c r="A4551" t="str">
        <f t="shared" si="71"/>
        <v>0723873</v>
      </c>
      <c r="B4551" s="101" t="s">
        <v>319</v>
      </c>
      <c r="C4551" s="101" t="s">
        <v>174</v>
      </c>
      <c r="D4551" s="101" t="s">
        <v>566</v>
      </c>
      <c r="E4551" s="101" t="s">
        <v>139</v>
      </c>
    </row>
    <row r="4552" spans="1:5" x14ac:dyDescent="0.3">
      <c r="A4552" t="str">
        <f t="shared" si="71"/>
        <v>0823873</v>
      </c>
      <c r="B4552" s="101" t="s">
        <v>320</v>
      </c>
      <c r="C4552" s="101" t="s">
        <v>174</v>
      </c>
      <c r="D4552" s="101" t="s">
        <v>566</v>
      </c>
      <c r="E4552" s="101" t="s">
        <v>139</v>
      </c>
    </row>
    <row r="4553" spans="1:5" x14ac:dyDescent="0.3">
      <c r="A4553" t="str">
        <f t="shared" si="71"/>
        <v>0723874</v>
      </c>
      <c r="B4553" s="101" t="s">
        <v>319</v>
      </c>
      <c r="C4553" s="101" t="s">
        <v>174</v>
      </c>
      <c r="D4553" s="101" t="s">
        <v>567</v>
      </c>
      <c r="E4553" s="101" t="s">
        <v>17</v>
      </c>
    </row>
    <row r="4554" spans="1:5" x14ac:dyDescent="0.3">
      <c r="A4554" t="str">
        <f t="shared" si="71"/>
        <v>0823874</v>
      </c>
      <c r="B4554" s="101" t="s">
        <v>320</v>
      </c>
      <c r="C4554" s="101" t="s">
        <v>174</v>
      </c>
      <c r="D4554" s="101" t="s">
        <v>567</v>
      </c>
      <c r="E4554" s="101" t="s">
        <v>17</v>
      </c>
    </row>
    <row r="4555" spans="1:5" x14ac:dyDescent="0.3">
      <c r="A4555" t="str">
        <f t="shared" si="71"/>
        <v>0223890</v>
      </c>
      <c r="B4555" s="101" t="s">
        <v>639</v>
      </c>
      <c r="C4555" s="101" t="s">
        <v>174</v>
      </c>
      <c r="D4555" s="101" t="s">
        <v>568</v>
      </c>
      <c r="E4555" s="101" t="s">
        <v>17</v>
      </c>
    </row>
    <row r="4556" spans="1:5" x14ac:dyDescent="0.3">
      <c r="A4556" t="str">
        <f t="shared" si="71"/>
        <v>0423890</v>
      </c>
      <c r="B4556" s="101" t="s">
        <v>18</v>
      </c>
      <c r="C4556" s="101" t="s">
        <v>174</v>
      </c>
      <c r="D4556" s="101" t="s">
        <v>568</v>
      </c>
      <c r="E4556" s="101" t="s">
        <v>17</v>
      </c>
    </row>
    <row r="4557" spans="1:5" x14ac:dyDescent="0.3">
      <c r="A4557" t="str">
        <f t="shared" si="71"/>
        <v>0415043</v>
      </c>
      <c r="B4557" s="101" t="s">
        <v>18</v>
      </c>
      <c r="C4557" s="101" t="s">
        <v>158</v>
      </c>
      <c r="D4557" s="101" t="s">
        <v>419</v>
      </c>
      <c r="E4557" s="101" t="s">
        <v>19</v>
      </c>
    </row>
  </sheetData>
  <autoFilter ref="B1:F4557" xr:uid="{00000000-0009-0000-0000-000006000000}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K390"/>
  <sheetViews>
    <sheetView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2" sqref="J2"/>
    </sheetView>
  </sheetViews>
  <sheetFormatPr defaultRowHeight="14.4" x14ac:dyDescent="0.3"/>
  <cols>
    <col min="1" max="1" width="15" bestFit="1" customWidth="1"/>
    <col min="2" max="2" width="9.44140625" bestFit="1" customWidth="1"/>
    <col min="3" max="3" width="9.44140625" customWidth="1"/>
    <col min="4" max="4" width="32.109375" bestFit="1" customWidth="1"/>
    <col min="5" max="5" width="11.5546875" style="106" bestFit="1" customWidth="1"/>
    <col min="6" max="6" width="29" bestFit="1" customWidth="1"/>
    <col min="7" max="7" width="33.88671875" bestFit="1" customWidth="1"/>
    <col min="8" max="8" width="38.88671875" bestFit="1" customWidth="1"/>
    <col min="9" max="9" width="16.109375" bestFit="1" customWidth="1"/>
    <col min="10" max="10" width="16.88671875" style="105" bestFit="1" customWidth="1"/>
    <col min="11" max="11" width="14.33203125" style="105" bestFit="1" customWidth="1"/>
  </cols>
  <sheetData>
    <row r="1" spans="1:11" s="103" customFormat="1" x14ac:dyDescent="0.3">
      <c r="A1" s="103" t="s">
        <v>644</v>
      </c>
      <c r="B1" s="103" t="s">
        <v>0</v>
      </c>
      <c r="C1" s="103" t="s">
        <v>671</v>
      </c>
      <c r="D1" s="103" t="s">
        <v>646</v>
      </c>
      <c r="E1" s="107" t="s">
        <v>647</v>
      </c>
      <c r="F1" s="103" t="s">
        <v>648</v>
      </c>
      <c r="G1" s="103" t="s">
        <v>649</v>
      </c>
      <c r="H1" s="103" t="s">
        <v>650</v>
      </c>
      <c r="I1" s="103" t="s">
        <v>651</v>
      </c>
      <c r="J1" s="108" t="s">
        <v>652</v>
      </c>
      <c r="K1" s="108" t="s">
        <v>653</v>
      </c>
    </row>
    <row r="2" spans="1:11" x14ac:dyDescent="0.3">
      <c r="A2" t="str">
        <f t="shared" ref="A2:A65" si="0">CONCATENATE(B2,E2,I2)</f>
        <v>102002020/2021</v>
      </c>
      <c r="B2">
        <v>10</v>
      </c>
      <c r="C2" t="s">
        <v>672</v>
      </c>
      <c r="D2" t="s">
        <v>654</v>
      </c>
      <c r="E2" s="106">
        <v>200</v>
      </c>
      <c r="F2">
        <v>0</v>
      </c>
      <c r="G2">
        <v>0</v>
      </c>
      <c r="H2">
        <v>0</v>
      </c>
      <c r="I2" t="s">
        <v>662</v>
      </c>
      <c r="J2" s="105">
        <v>43922</v>
      </c>
      <c r="K2" s="105">
        <v>44285</v>
      </c>
    </row>
    <row r="3" spans="1:11" x14ac:dyDescent="0.3">
      <c r="A3" t="str">
        <f t="shared" si="0"/>
        <v>112472020/2021</v>
      </c>
      <c r="B3">
        <v>11</v>
      </c>
      <c r="C3" t="s">
        <v>672</v>
      </c>
      <c r="D3" t="s">
        <v>654</v>
      </c>
      <c r="E3" s="106">
        <v>247</v>
      </c>
      <c r="F3">
        <v>0</v>
      </c>
      <c r="G3">
        <v>0</v>
      </c>
      <c r="H3">
        <v>0</v>
      </c>
      <c r="I3" t="s">
        <v>662</v>
      </c>
      <c r="J3" s="105">
        <v>43922</v>
      </c>
      <c r="K3" s="105">
        <v>44285</v>
      </c>
    </row>
    <row r="4" spans="1:11" x14ac:dyDescent="0.3">
      <c r="A4" t="str">
        <f t="shared" si="0"/>
        <v>122002020/2021</v>
      </c>
      <c r="B4">
        <v>12</v>
      </c>
      <c r="C4" t="s">
        <v>672</v>
      </c>
      <c r="D4" t="s">
        <v>654</v>
      </c>
      <c r="E4" s="106">
        <v>200</v>
      </c>
      <c r="F4">
        <v>0</v>
      </c>
      <c r="G4">
        <v>0</v>
      </c>
      <c r="H4">
        <v>0</v>
      </c>
      <c r="I4" t="s">
        <v>662</v>
      </c>
      <c r="J4" s="105">
        <v>43922</v>
      </c>
      <c r="K4" s="105">
        <v>44285</v>
      </c>
    </row>
    <row r="5" spans="1:11" x14ac:dyDescent="0.3">
      <c r="A5" t="str">
        <f t="shared" si="0"/>
        <v>132802020/2021</v>
      </c>
      <c r="B5">
        <v>13</v>
      </c>
      <c r="C5" t="s">
        <v>672</v>
      </c>
      <c r="D5" t="s">
        <v>654</v>
      </c>
      <c r="E5" s="106">
        <v>280</v>
      </c>
      <c r="F5">
        <v>0</v>
      </c>
      <c r="G5">
        <v>0</v>
      </c>
      <c r="H5">
        <v>0</v>
      </c>
      <c r="I5" t="s">
        <v>662</v>
      </c>
      <c r="J5" s="105">
        <v>43922</v>
      </c>
      <c r="K5" s="105">
        <v>44285</v>
      </c>
    </row>
    <row r="6" spans="1:11" x14ac:dyDescent="0.3">
      <c r="A6" t="str">
        <f t="shared" si="0"/>
        <v>146332020/2021</v>
      </c>
      <c r="B6">
        <v>14</v>
      </c>
      <c r="C6" t="s">
        <v>672</v>
      </c>
      <c r="D6" t="s">
        <v>654</v>
      </c>
      <c r="E6" s="106">
        <v>633</v>
      </c>
      <c r="F6">
        <v>0</v>
      </c>
      <c r="G6">
        <v>0</v>
      </c>
      <c r="H6">
        <v>0</v>
      </c>
      <c r="I6" t="s">
        <v>662</v>
      </c>
      <c r="J6" s="105">
        <v>43922</v>
      </c>
      <c r="K6" s="105">
        <v>44285</v>
      </c>
    </row>
    <row r="7" spans="1:11" x14ac:dyDescent="0.3">
      <c r="A7" t="str">
        <f t="shared" si="0"/>
        <v>152782020/2021</v>
      </c>
      <c r="B7">
        <v>15</v>
      </c>
      <c r="C7" t="s">
        <v>672</v>
      </c>
      <c r="D7" t="s">
        <v>654</v>
      </c>
      <c r="E7" s="106">
        <v>278</v>
      </c>
      <c r="F7">
        <v>0</v>
      </c>
      <c r="G7">
        <v>0</v>
      </c>
      <c r="H7">
        <v>0</v>
      </c>
      <c r="I7" t="s">
        <v>662</v>
      </c>
      <c r="J7" s="105">
        <v>43922</v>
      </c>
      <c r="K7" s="105">
        <v>44285</v>
      </c>
    </row>
    <row r="8" spans="1:11" x14ac:dyDescent="0.3">
      <c r="A8" t="str">
        <f t="shared" si="0"/>
        <v>168312020/2021</v>
      </c>
      <c r="B8">
        <v>16</v>
      </c>
      <c r="C8" t="s">
        <v>672</v>
      </c>
      <c r="D8" t="s">
        <v>654</v>
      </c>
      <c r="E8" s="106">
        <v>831</v>
      </c>
      <c r="F8">
        <v>0</v>
      </c>
      <c r="G8">
        <v>0</v>
      </c>
      <c r="H8">
        <v>0</v>
      </c>
      <c r="I8" t="s">
        <v>662</v>
      </c>
      <c r="J8" s="105">
        <v>43922</v>
      </c>
      <c r="K8" s="105">
        <v>44285</v>
      </c>
    </row>
    <row r="9" spans="1:11" x14ac:dyDescent="0.3">
      <c r="A9" t="str">
        <f t="shared" si="0"/>
        <v>168612020/2021</v>
      </c>
      <c r="B9">
        <v>16</v>
      </c>
      <c r="C9" t="s">
        <v>672</v>
      </c>
      <c r="D9" t="s">
        <v>654</v>
      </c>
      <c r="E9" s="106">
        <v>861</v>
      </c>
      <c r="F9">
        <v>0</v>
      </c>
      <c r="G9">
        <v>0</v>
      </c>
      <c r="H9">
        <v>0</v>
      </c>
      <c r="I9" t="s">
        <v>662</v>
      </c>
      <c r="J9" s="105">
        <v>43922</v>
      </c>
      <c r="K9" s="105">
        <v>44285</v>
      </c>
    </row>
    <row r="10" spans="1:11" x14ac:dyDescent="0.3">
      <c r="A10" t="str">
        <f t="shared" si="0"/>
        <v>175072020/2021</v>
      </c>
      <c r="B10">
        <v>17</v>
      </c>
      <c r="C10" t="s">
        <v>672</v>
      </c>
      <c r="D10" t="s">
        <v>654</v>
      </c>
      <c r="E10" s="106">
        <v>507</v>
      </c>
      <c r="F10">
        <v>0</v>
      </c>
      <c r="G10">
        <v>0</v>
      </c>
      <c r="H10">
        <v>0</v>
      </c>
      <c r="I10" t="s">
        <v>662</v>
      </c>
      <c r="J10" s="105">
        <v>43922</v>
      </c>
      <c r="K10" s="105">
        <v>44285</v>
      </c>
    </row>
    <row r="11" spans="1:11" x14ac:dyDescent="0.3">
      <c r="A11" t="str">
        <f t="shared" si="0"/>
        <v>182802020/2021</v>
      </c>
      <c r="B11">
        <v>18</v>
      </c>
      <c r="C11" t="s">
        <v>672</v>
      </c>
      <c r="D11" t="s">
        <v>654</v>
      </c>
      <c r="E11" s="106">
        <v>280</v>
      </c>
      <c r="F11">
        <v>0</v>
      </c>
      <c r="G11">
        <v>0</v>
      </c>
      <c r="H11">
        <v>0</v>
      </c>
      <c r="I11" t="s">
        <v>662</v>
      </c>
      <c r="J11" s="105">
        <v>43922</v>
      </c>
      <c r="K11" s="105">
        <v>44285</v>
      </c>
    </row>
    <row r="12" spans="1:11" x14ac:dyDescent="0.3">
      <c r="A12" t="str">
        <f t="shared" si="0"/>
        <v>192002020/2021</v>
      </c>
      <c r="B12">
        <v>19</v>
      </c>
      <c r="C12" t="s">
        <v>672</v>
      </c>
      <c r="D12" t="s">
        <v>654</v>
      </c>
      <c r="E12" s="106">
        <v>200</v>
      </c>
      <c r="F12">
        <v>0</v>
      </c>
      <c r="G12">
        <v>0</v>
      </c>
      <c r="H12">
        <v>0</v>
      </c>
      <c r="I12" t="s">
        <v>662</v>
      </c>
      <c r="J12" s="105">
        <v>43922</v>
      </c>
      <c r="K12" s="105">
        <v>44285</v>
      </c>
    </row>
    <row r="13" spans="1:11" x14ac:dyDescent="0.3">
      <c r="A13" t="str">
        <f t="shared" si="0"/>
        <v>201662020/2021</v>
      </c>
      <c r="B13">
        <v>20</v>
      </c>
      <c r="C13" t="s">
        <v>672</v>
      </c>
      <c r="D13" t="s">
        <v>654</v>
      </c>
      <c r="E13" s="106">
        <v>166</v>
      </c>
      <c r="F13">
        <v>0</v>
      </c>
      <c r="G13">
        <v>0</v>
      </c>
      <c r="H13">
        <v>0</v>
      </c>
      <c r="I13" t="s">
        <v>662</v>
      </c>
      <c r="J13" s="105">
        <v>43922</v>
      </c>
      <c r="K13" s="105">
        <v>44285</v>
      </c>
    </row>
    <row r="14" spans="1:11" x14ac:dyDescent="0.3">
      <c r="A14" t="str">
        <f t="shared" si="0"/>
        <v>204572020/2021</v>
      </c>
      <c r="B14">
        <v>20</v>
      </c>
      <c r="C14" t="s">
        <v>672</v>
      </c>
      <c r="D14" t="s">
        <v>654</v>
      </c>
      <c r="E14" s="106">
        <v>457</v>
      </c>
      <c r="F14">
        <v>0</v>
      </c>
      <c r="G14">
        <v>0</v>
      </c>
      <c r="H14">
        <v>0</v>
      </c>
      <c r="I14" t="s">
        <v>662</v>
      </c>
      <c r="J14" s="105">
        <v>43922</v>
      </c>
      <c r="K14" s="105">
        <v>44285</v>
      </c>
    </row>
    <row r="15" spans="1:11" x14ac:dyDescent="0.3">
      <c r="A15" t="str">
        <f t="shared" si="0"/>
        <v>211172020/2021</v>
      </c>
      <c r="B15">
        <v>21</v>
      </c>
      <c r="C15" t="s">
        <v>672</v>
      </c>
      <c r="D15" t="s">
        <v>654</v>
      </c>
      <c r="E15" s="106">
        <v>117</v>
      </c>
      <c r="F15">
        <v>0</v>
      </c>
      <c r="G15">
        <v>0</v>
      </c>
      <c r="H15">
        <v>0</v>
      </c>
      <c r="I15" t="s">
        <v>662</v>
      </c>
      <c r="J15" s="105">
        <v>43922</v>
      </c>
      <c r="K15" s="105">
        <v>44285</v>
      </c>
    </row>
    <row r="16" spans="1:11" x14ac:dyDescent="0.3">
      <c r="A16" t="str">
        <f t="shared" si="0"/>
        <v>222032020/2021</v>
      </c>
      <c r="B16">
        <v>22</v>
      </c>
      <c r="C16" t="s">
        <v>672</v>
      </c>
      <c r="D16" t="s">
        <v>654</v>
      </c>
      <c r="E16" s="106">
        <v>203</v>
      </c>
      <c r="F16">
        <v>0</v>
      </c>
      <c r="G16">
        <v>0</v>
      </c>
      <c r="H16">
        <v>0</v>
      </c>
      <c r="I16" t="s">
        <v>662</v>
      </c>
      <c r="J16" s="105">
        <v>43922</v>
      </c>
      <c r="K16" s="105">
        <v>44285</v>
      </c>
    </row>
    <row r="17" spans="1:11" x14ac:dyDescent="0.3">
      <c r="A17" t="str">
        <f t="shared" si="0"/>
        <v>232992020/2021</v>
      </c>
      <c r="B17">
        <v>23</v>
      </c>
      <c r="C17" t="s">
        <v>672</v>
      </c>
      <c r="D17" t="s">
        <v>654</v>
      </c>
      <c r="E17" s="106">
        <v>299</v>
      </c>
      <c r="F17">
        <v>0</v>
      </c>
      <c r="G17">
        <v>0</v>
      </c>
      <c r="H17">
        <v>0</v>
      </c>
      <c r="I17" t="s">
        <v>662</v>
      </c>
      <c r="J17" s="105">
        <v>43922</v>
      </c>
      <c r="K17" s="105">
        <v>44285</v>
      </c>
    </row>
    <row r="18" spans="1:11" x14ac:dyDescent="0.3">
      <c r="A18" t="str">
        <f t="shared" si="0"/>
        <v>100862020/2021</v>
      </c>
      <c r="B18">
        <v>10</v>
      </c>
      <c r="C18" t="s">
        <v>673</v>
      </c>
      <c r="D18" t="s">
        <v>655</v>
      </c>
      <c r="E18" s="106" t="s">
        <v>634</v>
      </c>
      <c r="F18">
        <v>3.64</v>
      </c>
      <c r="G18">
        <v>0.315</v>
      </c>
      <c r="H18">
        <v>7.56</v>
      </c>
      <c r="I18" t="s">
        <v>662</v>
      </c>
      <c r="J18" s="105">
        <v>43922</v>
      </c>
      <c r="K18" s="105">
        <v>44285</v>
      </c>
    </row>
    <row r="19" spans="1:11" x14ac:dyDescent="0.3">
      <c r="A19" t="str">
        <f t="shared" si="0"/>
        <v>110582020/2021</v>
      </c>
      <c r="B19">
        <v>11</v>
      </c>
      <c r="C19" t="s">
        <v>673</v>
      </c>
      <c r="D19" t="s">
        <v>655</v>
      </c>
      <c r="E19" s="106" t="s">
        <v>629</v>
      </c>
      <c r="F19">
        <v>2.76</v>
      </c>
      <c r="G19">
        <v>0.14599999999999999</v>
      </c>
      <c r="H19">
        <v>5.79</v>
      </c>
      <c r="I19" t="s">
        <v>662</v>
      </c>
      <c r="J19" s="105">
        <v>43922</v>
      </c>
      <c r="K19" s="105">
        <v>44285</v>
      </c>
    </row>
    <row r="20" spans="1:11" x14ac:dyDescent="0.3">
      <c r="A20" t="str">
        <f t="shared" si="0"/>
        <v>119902020/2021</v>
      </c>
      <c r="B20">
        <v>11</v>
      </c>
      <c r="C20" t="s">
        <v>673</v>
      </c>
      <c r="D20" t="s">
        <v>655</v>
      </c>
      <c r="E20" s="106">
        <v>990</v>
      </c>
      <c r="F20">
        <v>2.76</v>
      </c>
      <c r="G20">
        <v>0.14599999999999999</v>
      </c>
      <c r="H20">
        <v>5.79</v>
      </c>
      <c r="I20" t="s">
        <v>662</v>
      </c>
      <c r="J20" s="105">
        <v>43922</v>
      </c>
      <c r="K20" s="105">
        <v>44285</v>
      </c>
    </row>
    <row r="21" spans="1:11" x14ac:dyDescent="0.3">
      <c r="A21" t="str">
        <f t="shared" si="0"/>
        <v>120092020/2021</v>
      </c>
      <c r="B21">
        <v>12</v>
      </c>
      <c r="C21" t="s">
        <v>673</v>
      </c>
      <c r="D21" t="s">
        <v>655</v>
      </c>
      <c r="E21" s="106" t="s">
        <v>406</v>
      </c>
      <c r="F21">
        <v>4.38</v>
      </c>
      <c r="G21">
        <v>0.38700000000000001</v>
      </c>
      <c r="H21">
        <v>6.75</v>
      </c>
      <c r="I21" t="s">
        <v>662</v>
      </c>
      <c r="J21" s="105">
        <v>43922</v>
      </c>
      <c r="K21" s="105">
        <v>44285</v>
      </c>
    </row>
    <row r="22" spans="1:11" x14ac:dyDescent="0.3">
      <c r="A22" t="str">
        <f t="shared" si="0"/>
        <v>135112020/2021</v>
      </c>
      <c r="B22">
        <v>13</v>
      </c>
      <c r="C22" t="s">
        <v>673</v>
      </c>
      <c r="D22" t="s">
        <v>655</v>
      </c>
      <c r="E22" s="106">
        <v>511</v>
      </c>
      <c r="F22">
        <v>2.3199999999999998</v>
      </c>
      <c r="G22">
        <v>0.33900000000000002</v>
      </c>
      <c r="H22">
        <v>4.2699999999999996</v>
      </c>
      <c r="I22" t="s">
        <v>662</v>
      </c>
      <c r="J22" s="105">
        <v>43922</v>
      </c>
      <c r="K22" s="105">
        <v>44285</v>
      </c>
    </row>
    <row r="23" spans="1:11" x14ac:dyDescent="0.3">
      <c r="A23" t="str">
        <f t="shared" si="0"/>
        <v>135912020/2021</v>
      </c>
      <c r="B23">
        <v>13</v>
      </c>
      <c r="C23" t="s">
        <v>673</v>
      </c>
      <c r="D23" t="s">
        <v>655</v>
      </c>
      <c r="E23" s="106">
        <v>591</v>
      </c>
      <c r="F23">
        <v>2.3199999999999998</v>
      </c>
      <c r="G23">
        <v>0.33900000000000002</v>
      </c>
      <c r="H23">
        <v>4.2699999999999996</v>
      </c>
      <c r="I23" t="s">
        <v>662</v>
      </c>
      <c r="J23" s="105">
        <v>43922</v>
      </c>
      <c r="K23" s="105">
        <v>44285</v>
      </c>
    </row>
    <row r="24" spans="1:11" x14ac:dyDescent="0.3">
      <c r="A24" t="str">
        <f t="shared" si="0"/>
        <v>141272020/2021</v>
      </c>
      <c r="B24">
        <v>14</v>
      </c>
      <c r="C24" t="s">
        <v>673</v>
      </c>
      <c r="D24" t="s">
        <v>655</v>
      </c>
      <c r="E24" s="106">
        <v>127</v>
      </c>
      <c r="F24">
        <v>4.09</v>
      </c>
      <c r="G24">
        <v>0.19900000000000001</v>
      </c>
      <c r="H24">
        <v>7.69</v>
      </c>
      <c r="I24" t="s">
        <v>662</v>
      </c>
      <c r="J24" s="105">
        <v>43922</v>
      </c>
      <c r="K24" s="105">
        <v>44285</v>
      </c>
    </row>
    <row r="25" spans="1:11" x14ac:dyDescent="0.3">
      <c r="A25" t="str">
        <f t="shared" si="0"/>
        <v>141292020/2021</v>
      </c>
      <c r="B25">
        <v>14</v>
      </c>
      <c r="C25" t="s">
        <v>673</v>
      </c>
      <c r="D25" t="s">
        <v>655</v>
      </c>
      <c r="E25" s="106">
        <v>129</v>
      </c>
      <c r="F25">
        <v>4.09</v>
      </c>
      <c r="G25">
        <v>0.19900000000000001</v>
      </c>
      <c r="H25">
        <v>7.69</v>
      </c>
      <c r="I25" t="s">
        <v>662</v>
      </c>
      <c r="J25" s="105">
        <v>43922</v>
      </c>
      <c r="K25" s="105">
        <v>44285</v>
      </c>
    </row>
    <row r="26" spans="1:11" x14ac:dyDescent="0.3">
      <c r="A26" t="str">
        <f t="shared" si="0"/>
        <v>152512020/2021</v>
      </c>
      <c r="B26">
        <v>15</v>
      </c>
      <c r="C26" t="s">
        <v>673</v>
      </c>
      <c r="D26" t="s">
        <v>655</v>
      </c>
      <c r="E26" s="106">
        <v>251</v>
      </c>
      <c r="F26">
        <v>2.08</v>
      </c>
      <c r="G26">
        <v>0.14499999999999999</v>
      </c>
      <c r="H26">
        <v>4.58</v>
      </c>
      <c r="I26" t="s">
        <v>662</v>
      </c>
      <c r="J26" s="105">
        <v>43922</v>
      </c>
      <c r="K26" s="105">
        <v>44285</v>
      </c>
    </row>
    <row r="27" spans="1:11" x14ac:dyDescent="0.3">
      <c r="A27" t="str">
        <f t="shared" si="0"/>
        <v>168012020/2021</v>
      </c>
      <c r="B27">
        <v>16</v>
      </c>
      <c r="C27" t="s">
        <v>673</v>
      </c>
      <c r="D27" t="s">
        <v>655</v>
      </c>
      <c r="E27" s="106">
        <v>801</v>
      </c>
      <c r="F27">
        <v>3.41</v>
      </c>
      <c r="G27">
        <v>0.161</v>
      </c>
      <c r="H27">
        <v>5.17</v>
      </c>
      <c r="I27" t="s">
        <v>662</v>
      </c>
      <c r="J27" s="105">
        <v>43922</v>
      </c>
      <c r="K27" s="105">
        <v>44285</v>
      </c>
    </row>
    <row r="28" spans="1:11" x14ac:dyDescent="0.3">
      <c r="A28" t="str">
        <f t="shared" si="0"/>
        <v>168412020/2021</v>
      </c>
      <c r="B28">
        <v>16</v>
      </c>
      <c r="C28" t="s">
        <v>673</v>
      </c>
      <c r="D28" t="s">
        <v>655</v>
      </c>
      <c r="E28" s="106">
        <v>841</v>
      </c>
      <c r="F28">
        <v>3.41</v>
      </c>
      <c r="G28">
        <v>0.161</v>
      </c>
      <c r="H28">
        <v>5.17</v>
      </c>
      <c r="I28" t="s">
        <v>662</v>
      </c>
      <c r="J28" s="105">
        <v>43922</v>
      </c>
      <c r="K28" s="105">
        <v>44285</v>
      </c>
    </row>
    <row r="29" spans="1:11" x14ac:dyDescent="0.3">
      <c r="A29" t="str">
        <f t="shared" si="0"/>
        <v>175002020/2021</v>
      </c>
      <c r="B29">
        <v>17</v>
      </c>
      <c r="C29" t="s">
        <v>673</v>
      </c>
      <c r="D29" t="s">
        <v>655</v>
      </c>
      <c r="E29" s="106">
        <v>500</v>
      </c>
      <c r="F29">
        <v>4.76</v>
      </c>
      <c r="G29">
        <v>0.27300000000000002</v>
      </c>
      <c r="H29">
        <v>8.74</v>
      </c>
      <c r="I29" t="s">
        <v>662</v>
      </c>
      <c r="J29" s="105">
        <v>43922</v>
      </c>
      <c r="K29" s="105">
        <v>44285</v>
      </c>
    </row>
    <row r="30" spans="1:11" x14ac:dyDescent="0.3">
      <c r="A30" t="str">
        <f t="shared" si="0"/>
        <v>185002020/2021</v>
      </c>
      <c r="B30">
        <v>18</v>
      </c>
      <c r="C30" t="s">
        <v>673</v>
      </c>
      <c r="D30" t="s">
        <v>655</v>
      </c>
      <c r="E30" s="106">
        <v>500</v>
      </c>
      <c r="F30">
        <v>2.34</v>
      </c>
      <c r="G30">
        <v>0.184</v>
      </c>
      <c r="H30">
        <v>3.51</v>
      </c>
      <c r="I30" t="s">
        <v>662</v>
      </c>
      <c r="J30" s="105">
        <v>43922</v>
      </c>
      <c r="K30" s="105">
        <v>44285</v>
      </c>
    </row>
    <row r="31" spans="1:11" x14ac:dyDescent="0.3">
      <c r="A31" t="str">
        <f t="shared" si="0"/>
        <v>185042020/2021</v>
      </c>
      <c r="B31">
        <v>18</v>
      </c>
      <c r="C31" t="s">
        <v>673</v>
      </c>
      <c r="D31" t="s">
        <v>655</v>
      </c>
      <c r="E31" s="106">
        <v>504</v>
      </c>
      <c r="F31">
        <v>2.34</v>
      </c>
      <c r="G31">
        <v>0.184</v>
      </c>
      <c r="H31">
        <v>3.51</v>
      </c>
      <c r="I31" t="s">
        <v>662</v>
      </c>
      <c r="J31" s="105">
        <v>43922</v>
      </c>
      <c r="K31" s="105">
        <v>44285</v>
      </c>
    </row>
    <row r="32" spans="1:11" x14ac:dyDescent="0.3">
      <c r="A32" t="str">
        <f t="shared" si="0"/>
        <v>195502020/2021</v>
      </c>
      <c r="B32">
        <v>19</v>
      </c>
      <c r="C32" t="s">
        <v>673</v>
      </c>
      <c r="D32" t="s">
        <v>655</v>
      </c>
      <c r="E32" s="106">
        <v>550</v>
      </c>
      <c r="F32">
        <v>3.69</v>
      </c>
      <c r="G32">
        <v>0.26400000000000001</v>
      </c>
      <c r="H32">
        <v>7.07</v>
      </c>
      <c r="I32" t="s">
        <v>662</v>
      </c>
      <c r="J32" s="105">
        <v>43922</v>
      </c>
      <c r="K32" s="105">
        <v>44285</v>
      </c>
    </row>
    <row r="33" spans="1:11" x14ac:dyDescent="0.3">
      <c r="A33" t="str">
        <f t="shared" si="0"/>
        <v>204532020/2021</v>
      </c>
      <c r="B33">
        <v>20</v>
      </c>
      <c r="C33" t="s">
        <v>673</v>
      </c>
      <c r="D33" t="s">
        <v>655</v>
      </c>
      <c r="E33" s="106">
        <v>453</v>
      </c>
      <c r="F33">
        <v>2.42</v>
      </c>
      <c r="G33">
        <v>0.20399999999999999</v>
      </c>
      <c r="H33">
        <v>4.58</v>
      </c>
      <c r="I33" t="s">
        <v>662</v>
      </c>
      <c r="J33" s="105">
        <v>43922</v>
      </c>
      <c r="K33" s="105">
        <v>44285</v>
      </c>
    </row>
    <row r="34" spans="1:11" x14ac:dyDescent="0.3">
      <c r="A34" t="str">
        <f t="shared" si="0"/>
        <v>204702020/2021</v>
      </c>
      <c r="B34">
        <v>20</v>
      </c>
      <c r="C34" t="s">
        <v>673</v>
      </c>
      <c r="D34" t="s">
        <v>655</v>
      </c>
      <c r="E34" s="106">
        <v>470</v>
      </c>
      <c r="F34">
        <v>2.42</v>
      </c>
      <c r="G34">
        <v>0.20399999999999999</v>
      </c>
      <c r="H34">
        <v>4.58</v>
      </c>
      <c r="I34" t="s">
        <v>662</v>
      </c>
      <c r="J34" s="105">
        <v>43922</v>
      </c>
      <c r="K34" s="105">
        <v>44285</v>
      </c>
    </row>
    <row r="35" spans="1:11" x14ac:dyDescent="0.3">
      <c r="A35" t="str">
        <f t="shared" si="0"/>
        <v>213002020/2021</v>
      </c>
      <c r="B35">
        <v>21</v>
      </c>
      <c r="C35" t="s">
        <v>673</v>
      </c>
      <c r="D35" t="s">
        <v>655</v>
      </c>
      <c r="E35" s="106">
        <v>300</v>
      </c>
      <c r="F35">
        <v>3.18</v>
      </c>
      <c r="G35">
        <v>0.28000000000000003</v>
      </c>
      <c r="H35">
        <v>6.81</v>
      </c>
      <c r="I35" t="s">
        <v>662</v>
      </c>
      <c r="J35" s="105">
        <v>43922</v>
      </c>
      <c r="K35" s="105">
        <v>44285</v>
      </c>
    </row>
    <row r="36" spans="1:11" x14ac:dyDescent="0.3">
      <c r="A36" t="str">
        <f t="shared" si="0"/>
        <v>225702020/2021</v>
      </c>
      <c r="B36">
        <v>22</v>
      </c>
      <c r="C36" t="s">
        <v>673</v>
      </c>
      <c r="D36" t="s">
        <v>655</v>
      </c>
      <c r="E36" s="106">
        <v>570</v>
      </c>
      <c r="F36">
        <v>3.27</v>
      </c>
      <c r="G36">
        <v>0.13100000000000001</v>
      </c>
      <c r="H36">
        <v>7.45</v>
      </c>
      <c r="I36" t="s">
        <v>662</v>
      </c>
      <c r="J36" s="105">
        <v>43922</v>
      </c>
      <c r="K36" s="105">
        <v>44285</v>
      </c>
    </row>
    <row r="37" spans="1:11" x14ac:dyDescent="0.3">
      <c r="A37" t="str">
        <f t="shared" si="0"/>
        <v>232812020/2021</v>
      </c>
      <c r="B37">
        <v>23</v>
      </c>
      <c r="C37" t="s">
        <v>673</v>
      </c>
      <c r="D37" t="s">
        <v>655</v>
      </c>
      <c r="E37" s="106">
        <v>281</v>
      </c>
      <c r="F37">
        <v>1.4</v>
      </c>
      <c r="G37">
        <v>0.14000000000000001</v>
      </c>
      <c r="H37">
        <v>2.95</v>
      </c>
      <c r="I37" t="s">
        <v>662</v>
      </c>
      <c r="J37" s="105">
        <v>43922</v>
      </c>
      <c r="K37" s="105">
        <v>44285</v>
      </c>
    </row>
    <row r="38" spans="1:11" x14ac:dyDescent="0.3">
      <c r="A38" t="str">
        <f t="shared" si="0"/>
        <v>100802020/2021</v>
      </c>
      <c r="B38">
        <v>10</v>
      </c>
      <c r="C38" t="s">
        <v>673</v>
      </c>
      <c r="D38" t="s">
        <v>656</v>
      </c>
      <c r="E38" s="106" t="s">
        <v>620</v>
      </c>
      <c r="F38">
        <v>5.18</v>
      </c>
      <c r="G38">
        <v>0.20799999999999999</v>
      </c>
      <c r="H38">
        <v>6.8</v>
      </c>
      <c r="I38" t="s">
        <v>662</v>
      </c>
      <c r="J38" s="105">
        <v>43922</v>
      </c>
      <c r="K38" s="105">
        <v>44285</v>
      </c>
    </row>
    <row r="39" spans="1:11" x14ac:dyDescent="0.3">
      <c r="A39" t="str">
        <f t="shared" si="0"/>
        <v>110592020/2021</v>
      </c>
      <c r="B39">
        <v>11</v>
      </c>
      <c r="C39" t="s">
        <v>673</v>
      </c>
      <c r="D39" t="s">
        <v>656</v>
      </c>
      <c r="E39" s="106" t="s">
        <v>482</v>
      </c>
      <c r="F39">
        <v>3.44</v>
      </c>
      <c r="G39">
        <v>0.10100000000000001</v>
      </c>
      <c r="H39">
        <v>5.34</v>
      </c>
      <c r="I39" t="s">
        <v>662</v>
      </c>
      <c r="J39" s="105">
        <v>43922</v>
      </c>
      <c r="K39" s="105">
        <v>44285</v>
      </c>
    </row>
    <row r="40" spans="1:11" x14ac:dyDescent="0.3">
      <c r="A40" t="str">
        <f t="shared" si="0"/>
        <v>127562020/2021</v>
      </c>
      <c r="B40">
        <v>12</v>
      </c>
      <c r="C40" t="s">
        <v>673</v>
      </c>
      <c r="D40" t="s">
        <v>656</v>
      </c>
      <c r="E40" s="106">
        <v>756</v>
      </c>
      <c r="F40">
        <v>7.79</v>
      </c>
      <c r="G40">
        <v>0.23400000000000001</v>
      </c>
      <c r="H40">
        <v>8.85</v>
      </c>
      <c r="I40" t="s">
        <v>662</v>
      </c>
      <c r="J40" s="105">
        <v>43922</v>
      </c>
      <c r="K40" s="105">
        <v>44285</v>
      </c>
    </row>
    <row r="41" spans="1:11" x14ac:dyDescent="0.3">
      <c r="A41" t="str">
        <f t="shared" si="0"/>
        <v>135132020/2021</v>
      </c>
      <c r="B41">
        <v>13</v>
      </c>
      <c r="C41" t="s">
        <v>673</v>
      </c>
      <c r="D41" t="s">
        <v>656</v>
      </c>
      <c r="E41" s="106">
        <v>513</v>
      </c>
      <c r="F41">
        <v>4.8099999999999996</v>
      </c>
      <c r="G41">
        <v>0.217</v>
      </c>
      <c r="H41">
        <v>6.78</v>
      </c>
      <c r="I41" t="s">
        <v>662</v>
      </c>
      <c r="J41" s="105">
        <v>43922</v>
      </c>
      <c r="K41" s="105">
        <v>44285</v>
      </c>
    </row>
    <row r="42" spans="1:11" x14ac:dyDescent="0.3">
      <c r="A42" t="str">
        <f t="shared" si="0"/>
        <v>135922020/2021</v>
      </c>
      <c r="B42">
        <v>13</v>
      </c>
      <c r="C42" t="s">
        <v>673</v>
      </c>
      <c r="D42" t="s">
        <v>656</v>
      </c>
      <c r="E42" s="106">
        <v>592</v>
      </c>
      <c r="F42">
        <v>4.8099999999999996</v>
      </c>
      <c r="G42">
        <v>0.217</v>
      </c>
      <c r="H42">
        <v>6.78</v>
      </c>
      <c r="I42" t="s">
        <v>662</v>
      </c>
      <c r="J42" s="105">
        <v>43922</v>
      </c>
      <c r="K42" s="105">
        <v>44285</v>
      </c>
    </row>
    <row r="43" spans="1:11" x14ac:dyDescent="0.3">
      <c r="A43" t="str">
        <f t="shared" si="0"/>
        <v>141282020/2021</v>
      </c>
      <c r="B43">
        <v>14</v>
      </c>
      <c r="C43" t="s">
        <v>673</v>
      </c>
      <c r="D43" t="s">
        <v>656</v>
      </c>
      <c r="E43" s="106">
        <v>128</v>
      </c>
      <c r="F43">
        <v>4.83</v>
      </c>
      <c r="G43">
        <v>0.13</v>
      </c>
      <c r="H43">
        <v>6.8</v>
      </c>
      <c r="I43" t="s">
        <v>662</v>
      </c>
      <c r="J43" s="105">
        <v>43922</v>
      </c>
      <c r="K43" s="105">
        <v>44285</v>
      </c>
    </row>
    <row r="44" spans="1:11" x14ac:dyDescent="0.3">
      <c r="A44" t="str">
        <f t="shared" si="0"/>
        <v>152932020/2021</v>
      </c>
      <c r="B44">
        <v>15</v>
      </c>
      <c r="C44" t="s">
        <v>673</v>
      </c>
      <c r="D44" t="s">
        <v>656</v>
      </c>
      <c r="E44" s="106">
        <v>293</v>
      </c>
      <c r="F44">
        <v>2.77</v>
      </c>
      <c r="G44">
        <v>8.7999999999999995E-2</v>
      </c>
      <c r="H44">
        <v>4.41</v>
      </c>
      <c r="I44" t="s">
        <v>662</v>
      </c>
      <c r="J44" s="105">
        <v>43922</v>
      </c>
      <c r="K44" s="105">
        <v>44285</v>
      </c>
    </row>
    <row r="45" spans="1:11" x14ac:dyDescent="0.3">
      <c r="A45" t="str">
        <f t="shared" si="0"/>
        <v>168022020/2021</v>
      </c>
      <c r="B45">
        <v>16</v>
      </c>
      <c r="C45" t="s">
        <v>673</v>
      </c>
      <c r="D45" t="s">
        <v>656</v>
      </c>
      <c r="E45" s="106">
        <v>802</v>
      </c>
      <c r="F45">
        <v>3.46</v>
      </c>
      <c r="G45">
        <v>0.121</v>
      </c>
      <c r="H45">
        <v>6.08</v>
      </c>
      <c r="I45" t="s">
        <v>662</v>
      </c>
      <c r="J45" s="105">
        <v>43922</v>
      </c>
      <c r="K45" s="105">
        <v>44285</v>
      </c>
    </row>
    <row r="46" spans="1:11" x14ac:dyDescent="0.3">
      <c r="A46" t="str">
        <f t="shared" si="0"/>
        <v>168422020/2021</v>
      </c>
      <c r="B46">
        <v>16</v>
      </c>
      <c r="C46" t="s">
        <v>673</v>
      </c>
      <c r="D46" t="s">
        <v>656</v>
      </c>
      <c r="E46" s="106">
        <v>842</v>
      </c>
      <c r="F46">
        <v>3.46</v>
      </c>
      <c r="G46">
        <v>0.121</v>
      </c>
      <c r="H46">
        <v>6.08</v>
      </c>
      <c r="I46" t="s">
        <v>662</v>
      </c>
      <c r="J46" s="105">
        <v>43922</v>
      </c>
      <c r="K46" s="105">
        <v>44285</v>
      </c>
    </row>
    <row r="47" spans="1:11" x14ac:dyDescent="0.3">
      <c r="A47" t="str">
        <f t="shared" si="0"/>
        <v>175052020/2021</v>
      </c>
      <c r="B47">
        <v>17</v>
      </c>
      <c r="C47" t="s">
        <v>673</v>
      </c>
      <c r="D47" t="s">
        <v>656</v>
      </c>
      <c r="E47" s="106">
        <v>505</v>
      </c>
      <c r="F47">
        <v>7.79</v>
      </c>
      <c r="G47">
        <v>0.13700000000000001</v>
      </c>
      <c r="H47">
        <v>10.79</v>
      </c>
      <c r="I47" t="s">
        <v>662</v>
      </c>
      <c r="J47" s="105">
        <v>43922</v>
      </c>
      <c r="K47" s="105">
        <v>44285</v>
      </c>
    </row>
    <row r="48" spans="1:11" x14ac:dyDescent="0.3">
      <c r="A48" t="str">
        <f t="shared" si="0"/>
        <v>185062020/2021</v>
      </c>
      <c r="B48">
        <v>18</v>
      </c>
      <c r="C48" t="s">
        <v>673</v>
      </c>
      <c r="D48" t="s">
        <v>656</v>
      </c>
      <c r="E48" s="106">
        <v>506</v>
      </c>
      <c r="F48">
        <v>4.28</v>
      </c>
      <c r="G48">
        <v>0.10299999999999999</v>
      </c>
      <c r="H48">
        <v>4.9000000000000004</v>
      </c>
      <c r="I48" t="s">
        <v>662</v>
      </c>
      <c r="J48" s="105">
        <v>43922</v>
      </c>
      <c r="K48" s="105">
        <v>44285</v>
      </c>
    </row>
    <row r="49" spans="1:11" x14ac:dyDescent="0.3">
      <c r="A49" t="str">
        <f t="shared" si="0"/>
        <v>185072020/2021</v>
      </c>
      <c r="B49">
        <v>18</v>
      </c>
      <c r="C49" t="s">
        <v>673</v>
      </c>
      <c r="D49" t="s">
        <v>656</v>
      </c>
      <c r="E49" s="106">
        <v>507</v>
      </c>
      <c r="F49">
        <v>4.28</v>
      </c>
      <c r="G49">
        <v>0.10299999999999999</v>
      </c>
      <c r="H49">
        <v>4.9000000000000004</v>
      </c>
      <c r="I49" t="s">
        <v>662</v>
      </c>
      <c r="J49" s="105">
        <v>43922</v>
      </c>
      <c r="K49" s="105">
        <v>44285</v>
      </c>
    </row>
    <row r="50" spans="1:11" x14ac:dyDescent="0.3">
      <c r="A50" t="str">
        <f t="shared" si="0"/>
        <v>197562020/2021</v>
      </c>
      <c r="B50">
        <v>19</v>
      </c>
      <c r="C50" t="s">
        <v>673</v>
      </c>
      <c r="D50" t="s">
        <v>656</v>
      </c>
      <c r="E50" s="106">
        <v>756</v>
      </c>
      <c r="F50">
        <v>5.79</v>
      </c>
      <c r="G50">
        <v>0.14899999999999999</v>
      </c>
      <c r="H50">
        <v>7.55</v>
      </c>
      <c r="I50" t="s">
        <v>662</v>
      </c>
      <c r="J50" s="105">
        <v>43922</v>
      </c>
      <c r="K50" s="105">
        <v>44285</v>
      </c>
    </row>
    <row r="51" spans="1:11" x14ac:dyDescent="0.3">
      <c r="A51" t="str">
        <f t="shared" si="0"/>
        <v>204552020/2021</v>
      </c>
      <c r="B51">
        <v>20</v>
      </c>
      <c r="C51" t="s">
        <v>673</v>
      </c>
      <c r="D51" t="s">
        <v>656</v>
      </c>
      <c r="E51" s="106">
        <v>455</v>
      </c>
      <c r="F51">
        <v>4.28</v>
      </c>
      <c r="G51">
        <v>0.129</v>
      </c>
      <c r="H51">
        <v>5.77</v>
      </c>
      <c r="I51" t="s">
        <v>662</v>
      </c>
      <c r="J51" s="105">
        <v>43922</v>
      </c>
      <c r="K51" s="105">
        <v>44285</v>
      </c>
    </row>
    <row r="52" spans="1:11" x14ac:dyDescent="0.3">
      <c r="A52" t="str">
        <f t="shared" si="0"/>
        <v>213442020/2021</v>
      </c>
      <c r="B52">
        <v>21</v>
      </c>
      <c r="C52" t="s">
        <v>673</v>
      </c>
      <c r="D52" t="s">
        <v>656</v>
      </c>
      <c r="E52" s="106">
        <v>344</v>
      </c>
      <c r="F52">
        <v>3.58</v>
      </c>
      <c r="G52">
        <v>0.20100000000000001</v>
      </c>
      <c r="H52">
        <v>6.7</v>
      </c>
      <c r="I52" t="s">
        <v>662</v>
      </c>
      <c r="J52" s="105">
        <v>43922</v>
      </c>
      <c r="K52" s="105">
        <v>44285</v>
      </c>
    </row>
    <row r="53" spans="1:11" x14ac:dyDescent="0.3">
      <c r="A53" t="str">
        <f t="shared" si="0"/>
        <v>225402020/2021</v>
      </c>
      <c r="B53">
        <v>22</v>
      </c>
      <c r="C53" t="s">
        <v>673</v>
      </c>
      <c r="D53" t="s">
        <v>656</v>
      </c>
      <c r="E53" s="106">
        <v>540</v>
      </c>
      <c r="F53">
        <v>3.35</v>
      </c>
      <c r="G53">
        <v>9.0999999999999998E-2</v>
      </c>
      <c r="H53">
        <v>6.89</v>
      </c>
      <c r="I53" t="s">
        <v>662</v>
      </c>
      <c r="J53" s="105">
        <v>43922</v>
      </c>
      <c r="K53" s="105">
        <v>44285</v>
      </c>
    </row>
    <row r="54" spans="1:11" x14ac:dyDescent="0.3">
      <c r="A54" t="str">
        <f t="shared" si="0"/>
        <v>234712020/2021</v>
      </c>
      <c r="B54">
        <v>23</v>
      </c>
      <c r="C54" t="s">
        <v>673</v>
      </c>
      <c r="D54" t="s">
        <v>656</v>
      </c>
      <c r="E54" s="106">
        <v>471</v>
      </c>
      <c r="F54">
        <v>1.58</v>
      </c>
      <c r="G54">
        <v>8.8999999999999996E-2</v>
      </c>
      <c r="H54">
        <v>2.46</v>
      </c>
      <c r="I54" t="s">
        <v>662</v>
      </c>
      <c r="J54" s="105">
        <v>43922</v>
      </c>
      <c r="K54" s="105">
        <v>44285</v>
      </c>
    </row>
    <row r="55" spans="1:11" x14ac:dyDescent="0.3">
      <c r="A55" t="str">
        <f t="shared" si="0"/>
        <v>100842020/2021</v>
      </c>
      <c r="B55">
        <v>10</v>
      </c>
      <c r="C55" t="s">
        <v>673</v>
      </c>
      <c r="D55" t="s">
        <v>657</v>
      </c>
      <c r="E55" s="106" t="s">
        <v>624</v>
      </c>
      <c r="F55">
        <v>4.28</v>
      </c>
      <c r="G55">
        <v>0.16700000000000001</v>
      </c>
      <c r="H55">
        <v>6.02</v>
      </c>
      <c r="I55" t="s">
        <v>662</v>
      </c>
      <c r="J55" s="105">
        <v>43922</v>
      </c>
      <c r="K55" s="105">
        <v>44285</v>
      </c>
    </row>
    <row r="56" spans="1:11" x14ac:dyDescent="0.3">
      <c r="A56" t="str">
        <f t="shared" si="0"/>
        <v>110602020/2021</v>
      </c>
      <c r="B56">
        <v>11</v>
      </c>
      <c r="C56" t="s">
        <v>673</v>
      </c>
      <c r="D56" t="s">
        <v>657</v>
      </c>
      <c r="E56" s="106" t="s">
        <v>627</v>
      </c>
      <c r="F56">
        <v>4.2</v>
      </c>
      <c r="G56">
        <v>5.2999999999999999E-2</v>
      </c>
      <c r="H56">
        <v>6.22</v>
      </c>
      <c r="I56" t="s">
        <v>662</v>
      </c>
      <c r="J56" s="105">
        <v>43922</v>
      </c>
      <c r="K56" s="105">
        <v>44285</v>
      </c>
    </row>
    <row r="57" spans="1:11" x14ac:dyDescent="0.3">
      <c r="A57" t="str">
        <f t="shared" si="0"/>
        <v>119912020/2021</v>
      </c>
      <c r="B57">
        <v>11</v>
      </c>
      <c r="C57" t="s">
        <v>673</v>
      </c>
      <c r="D57" t="s">
        <v>657</v>
      </c>
      <c r="E57" s="106">
        <v>991</v>
      </c>
      <c r="F57">
        <v>4.2</v>
      </c>
      <c r="G57">
        <v>5.2999999999999999E-2</v>
      </c>
      <c r="H57">
        <v>6.22</v>
      </c>
      <c r="I57" t="s">
        <v>662</v>
      </c>
      <c r="J57" s="105">
        <v>43922</v>
      </c>
      <c r="K57" s="105">
        <v>44285</v>
      </c>
    </row>
    <row r="58" spans="1:11" x14ac:dyDescent="0.3">
      <c r="A58" t="str">
        <f t="shared" si="0"/>
        <v>123592020/2021</v>
      </c>
      <c r="B58">
        <v>12</v>
      </c>
      <c r="C58" t="s">
        <v>673</v>
      </c>
      <c r="D58" t="s">
        <v>657</v>
      </c>
      <c r="E58" s="106">
        <v>359</v>
      </c>
      <c r="F58">
        <v>7.79</v>
      </c>
      <c r="G58">
        <v>0.20100000000000001</v>
      </c>
      <c r="H58">
        <v>8.75</v>
      </c>
      <c r="I58" t="s">
        <v>662</v>
      </c>
      <c r="J58" s="105">
        <v>43922</v>
      </c>
      <c r="K58" s="105">
        <v>44285</v>
      </c>
    </row>
    <row r="59" spans="1:11" x14ac:dyDescent="0.3">
      <c r="A59" t="str">
        <f t="shared" si="0"/>
        <v>135152020/2021</v>
      </c>
      <c r="B59">
        <v>13</v>
      </c>
      <c r="C59" t="s">
        <v>673</v>
      </c>
      <c r="D59" t="s">
        <v>657</v>
      </c>
      <c r="E59" s="106">
        <v>515</v>
      </c>
      <c r="F59">
        <v>3.74</v>
      </c>
      <c r="G59">
        <v>0.152</v>
      </c>
      <c r="H59">
        <v>6.31</v>
      </c>
      <c r="I59" t="s">
        <v>662</v>
      </c>
      <c r="J59" s="105">
        <v>43922</v>
      </c>
      <c r="K59" s="105">
        <v>44285</v>
      </c>
    </row>
    <row r="60" spans="1:11" x14ac:dyDescent="0.3">
      <c r="A60" t="str">
        <f t="shared" si="0"/>
        <v>135932020/2021</v>
      </c>
      <c r="B60">
        <v>13</v>
      </c>
      <c r="C60" t="s">
        <v>673</v>
      </c>
      <c r="D60" t="s">
        <v>657</v>
      </c>
      <c r="E60" s="106">
        <v>593</v>
      </c>
      <c r="F60">
        <v>3.74</v>
      </c>
      <c r="G60">
        <v>0.152</v>
      </c>
      <c r="H60">
        <v>6.31</v>
      </c>
      <c r="I60" t="s">
        <v>662</v>
      </c>
      <c r="J60" s="105">
        <v>43922</v>
      </c>
      <c r="K60" s="105">
        <v>44285</v>
      </c>
    </row>
    <row r="61" spans="1:11" x14ac:dyDescent="0.3">
      <c r="A61" t="str">
        <f t="shared" si="0"/>
        <v>143652020/2021</v>
      </c>
      <c r="B61">
        <v>14</v>
      </c>
      <c r="C61" t="s">
        <v>673</v>
      </c>
      <c r="D61" t="s">
        <v>657</v>
      </c>
      <c r="E61" s="106">
        <v>365</v>
      </c>
      <c r="F61">
        <v>5.12</v>
      </c>
      <c r="G61">
        <v>5.6000000000000001E-2</v>
      </c>
      <c r="H61">
        <v>6.86</v>
      </c>
      <c r="I61" t="s">
        <v>662</v>
      </c>
      <c r="J61" s="105">
        <v>43922</v>
      </c>
      <c r="K61" s="105">
        <v>44285</v>
      </c>
    </row>
    <row r="62" spans="1:11" x14ac:dyDescent="0.3">
      <c r="A62" t="str">
        <f t="shared" si="0"/>
        <v>143672020/2021</v>
      </c>
      <c r="B62">
        <v>14</v>
      </c>
      <c r="C62" t="s">
        <v>673</v>
      </c>
      <c r="D62" t="s">
        <v>657</v>
      </c>
      <c r="E62" s="106">
        <v>367</v>
      </c>
      <c r="F62">
        <v>5.12</v>
      </c>
      <c r="G62">
        <v>5.6000000000000001E-2</v>
      </c>
      <c r="H62">
        <v>6.86</v>
      </c>
      <c r="I62" t="s">
        <v>662</v>
      </c>
      <c r="J62" s="105">
        <v>43922</v>
      </c>
      <c r="K62" s="105">
        <v>44285</v>
      </c>
    </row>
    <row r="63" spans="1:11" x14ac:dyDescent="0.3">
      <c r="A63" t="str">
        <f t="shared" si="0"/>
        <v>153012020/2021</v>
      </c>
      <c r="B63">
        <v>15</v>
      </c>
      <c r="C63" t="s">
        <v>673</v>
      </c>
      <c r="D63" t="s">
        <v>657</v>
      </c>
      <c r="E63" s="106">
        <v>301</v>
      </c>
      <c r="F63">
        <v>2.74</v>
      </c>
      <c r="G63">
        <v>6.2E-2</v>
      </c>
      <c r="H63">
        <v>4.76</v>
      </c>
      <c r="I63" t="s">
        <v>662</v>
      </c>
      <c r="J63" s="105">
        <v>43922</v>
      </c>
      <c r="K63" s="105">
        <v>44285</v>
      </c>
    </row>
    <row r="64" spans="1:11" x14ac:dyDescent="0.3">
      <c r="A64" t="str">
        <f t="shared" si="0"/>
        <v>168032020/2021</v>
      </c>
      <c r="B64">
        <v>16</v>
      </c>
      <c r="C64" t="s">
        <v>673</v>
      </c>
      <c r="D64" t="s">
        <v>657</v>
      </c>
      <c r="E64" s="106">
        <v>803</v>
      </c>
      <c r="F64">
        <v>3.13</v>
      </c>
      <c r="G64">
        <v>8.1000000000000003E-2</v>
      </c>
      <c r="H64">
        <v>5.97</v>
      </c>
      <c r="I64" t="s">
        <v>662</v>
      </c>
      <c r="J64" s="105">
        <v>43922</v>
      </c>
      <c r="K64" s="105">
        <v>44285</v>
      </c>
    </row>
    <row r="65" spans="1:11" x14ac:dyDescent="0.3">
      <c r="A65" t="str">
        <f t="shared" si="0"/>
        <v>168432020/2021</v>
      </c>
      <c r="B65">
        <v>16</v>
      </c>
      <c r="C65" t="s">
        <v>673</v>
      </c>
      <c r="D65" t="s">
        <v>657</v>
      </c>
      <c r="E65" s="106">
        <v>843</v>
      </c>
      <c r="F65">
        <v>3.13</v>
      </c>
      <c r="G65">
        <v>8.1000000000000003E-2</v>
      </c>
      <c r="H65">
        <v>5.97</v>
      </c>
      <c r="I65" t="s">
        <v>662</v>
      </c>
      <c r="J65" s="105">
        <v>43922</v>
      </c>
      <c r="K65" s="105">
        <v>44285</v>
      </c>
    </row>
    <row r="66" spans="1:11" x14ac:dyDescent="0.3">
      <c r="A66" t="str">
        <f t="shared" ref="A66:A129" si="1">CONCATENATE(B66,E66,I66)</f>
        <v>176002020/2021</v>
      </c>
      <c r="B66">
        <v>17</v>
      </c>
      <c r="C66" t="s">
        <v>673</v>
      </c>
      <c r="D66" t="s">
        <v>657</v>
      </c>
      <c r="E66" s="106">
        <v>600</v>
      </c>
      <c r="F66">
        <v>10.49</v>
      </c>
      <c r="G66">
        <v>9.0999999999999998E-2</v>
      </c>
      <c r="H66">
        <v>12.37</v>
      </c>
      <c r="I66" t="s">
        <v>662</v>
      </c>
      <c r="J66" s="105">
        <v>43922</v>
      </c>
      <c r="K66" s="105">
        <v>44285</v>
      </c>
    </row>
    <row r="67" spans="1:11" x14ac:dyDescent="0.3">
      <c r="A67" t="str">
        <f t="shared" si="1"/>
        <v>185012020/2021</v>
      </c>
      <c r="B67">
        <v>18</v>
      </c>
      <c r="C67" t="s">
        <v>673</v>
      </c>
      <c r="D67" t="s">
        <v>657</v>
      </c>
      <c r="E67" s="106">
        <v>501</v>
      </c>
      <c r="F67">
        <v>4.7</v>
      </c>
      <c r="G67">
        <v>6.8000000000000005E-2</v>
      </c>
      <c r="H67">
        <v>5.84</v>
      </c>
      <c r="I67" t="s">
        <v>662</v>
      </c>
      <c r="J67" s="105">
        <v>43922</v>
      </c>
      <c r="K67" s="105">
        <v>44285</v>
      </c>
    </row>
    <row r="68" spans="1:11" x14ac:dyDescent="0.3">
      <c r="A68" t="str">
        <f t="shared" si="1"/>
        <v>185052020/2021</v>
      </c>
      <c r="B68">
        <v>18</v>
      </c>
      <c r="C68" t="s">
        <v>673</v>
      </c>
      <c r="D68" t="s">
        <v>657</v>
      </c>
      <c r="E68" s="106">
        <v>505</v>
      </c>
      <c r="F68">
        <v>4.7</v>
      </c>
      <c r="G68">
        <v>6.8000000000000005E-2</v>
      </c>
      <c r="H68">
        <v>5.84</v>
      </c>
      <c r="I68" t="s">
        <v>662</v>
      </c>
      <c r="J68" s="105">
        <v>43922</v>
      </c>
      <c r="K68" s="105">
        <v>44285</v>
      </c>
    </row>
    <row r="69" spans="1:11" x14ac:dyDescent="0.3">
      <c r="A69" t="str">
        <f t="shared" si="1"/>
        <v>196502020/2021</v>
      </c>
      <c r="B69">
        <v>19</v>
      </c>
      <c r="C69" t="s">
        <v>673</v>
      </c>
      <c r="D69" t="s">
        <v>657</v>
      </c>
      <c r="E69" s="106">
        <v>650</v>
      </c>
      <c r="F69">
        <v>4.3499999999999996</v>
      </c>
      <c r="G69">
        <v>0.14899999999999999</v>
      </c>
      <c r="H69">
        <v>6.73</v>
      </c>
      <c r="I69" t="s">
        <v>662</v>
      </c>
      <c r="J69" s="105">
        <v>43922</v>
      </c>
      <c r="K69" s="105">
        <v>44285</v>
      </c>
    </row>
    <row r="70" spans="1:11" x14ac:dyDescent="0.3">
      <c r="A70" t="str">
        <f t="shared" si="1"/>
        <v>204762020/2021</v>
      </c>
      <c r="B70">
        <v>20</v>
      </c>
      <c r="C70" t="s">
        <v>673</v>
      </c>
      <c r="D70" t="s">
        <v>657</v>
      </c>
      <c r="E70" s="106">
        <v>476</v>
      </c>
      <c r="F70">
        <v>5.28</v>
      </c>
      <c r="G70">
        <v>8.5999999999999993E-2</v>
      </c>
      <c r="H70">
        <v>6.55</v>
      </c>
      <c r="I70" t="s">
        <v>662</v>
      </c>
      <c r="J70" s="105">
        <v>43922</v>
      </c>
      <c r="K70" s="105">
        <v>44285</v>
      </c>
    </row>
    <row r="71" spans="1:11" x14ac:dyDescent="0.3">
      <c r="A71" t="str">
        <f t="shared" si="1"/>
        <v>206582020/2021</v>
      </c>
      <c r="B71">
        <v>20</v>
      </c>
      <c r="C71" t="s">
        <v>673</v>
      </c>
      <c r="D71" t="s">
        <v>657</v>
      </c>
      <c r="E71" s="106">
        <v>658</v>
      </c>
      <c r="F71">
        <v>5.28</v>
      </c>
      <c r="G71">
        <v>8.5999999999999993E-2</v>
      </c>
      <c r="H71">
        <v>6.55</v>
      </c>
      <c r="I71" t="s">
        <v>662</v>
      </c>
      <c r="J71" s="105">
        <v>43922</v>
      </c>
      <c r="K71" s="105">
        <v>44285</v>
      </c>
    </row>
    <row r="72" spans="1:11" x14ac:dyDescent="0.3">
      <c r="A72" t="str">
        <f t="shared" si="1"/>
        <v>214002020/2021</v>
      </c>
      <c r="B72">
        <v>21</v>
      </c>
      <c r="C72" t="s">
        <v>673</v>
      </c>
      <c r="D72" t="s">
        <v>657</v>
      </c>
      <c r="E72" s="106">
        <v>400</v>
      </c>
      <c r="F72">
        <v>3.65</v>
      </c>
      <c r="G72">
        <v>0.14799999999999999</v>
      </c>
      <c r="H72">
        <v>7.1</v>
      </c>
      <c r="I72" t="s">
        <v>662</v>
      </c>
      <c r="J72" s="105">
        <v>43922</v>
      </c>
      <c r="K72" s="105">
        <v>44285</v>
      </c>
    </row>
    <row r="73" spans="1:11" x14ac:dyDescent="0.3">
      <c r="A73" t="str">
        <f t="shared" si="1"/>
        <v>225102020/2021</v>
      </c>
      <c r="B73">
        <v>22</v>
      </c>
      <c r="C73" t="s">
        <v>673</v>
      </c>
      <c r="D73" t="s">
        <v>657</v>
      </c>
      <c r="E73" s="106">
        <v>510</v>
      </c>
      <c r="F73">
        <v>2.72</v>
      </c>
      <c r="G73">
        <v>6.3E-2</v>
      </c>
      <c r="H73">
        <v>6.66</v>
      </c>
      <c r="I73" t="s">
        <v>662</v>
      </c>
      <c r="J73" s="105">
        <v>43922</v>
      </c>
      <c r="K73" s="105">
        <v>44285</v>
      </c>
    </row>
    <row r="74" spans="1:11" x14ac:dyDescent="0.3">
      <c r="A74" t="str">
        <f t="shared" si="1"/>
        <v>235812020/2021</v>
      </c>
      <c r="B74">
        <v>23</v>
      </c>
      <c r="C74" t="s">
        <v>673</v>
      </c>
      <c r="D74" t="s">
        <v>657</v>
      </c>
      <c r="E74" s="106">
        <v>581</v>
      </c>
      <c r="F74">
        <v>1.91</v>
      </c>
      <c r="G74">
        <v>0.06</v>
      </c>
      <c r="H74">
        <v>3.05</v>
      </c>
      <c r="I74" t="s">
        <v>662</v>
      </c>
      <c r="J74" s="105">
        <v>43922</v>
      </c>
      <c r="K74" s="105">
        <v>44285</v>
      </c>
    </row>
    <row r="75" spans="1:11" x14ac:dyDescent="0.3">
      <c r="A75" t="str">
        <f t="shared" si="1"/>
        <v>102002019/2020</v>
      </c>
      <c r="B75">
        <v>10</v>
      </c>
      <c r="C75" t="s">
        <v>672</v>
      </c>
      <c r="D75" t="s">
        <v>654</v>
      </c>
      <c r="E75" s="106">
        <v>200</v>
      </c>
      <c r="F75">
        <v>0</v>
      </c>
      <c r="G75">
        <v>0</v>
      </c>
      <c r="H75">
        <v>0</v>
      </c>
      <c r="I75" t="s">
        <v>660</v>
      </c>
      <c r="J75" s="105">
        <v>43556</v>
      </c>
      <c r="K75" s="105">
        <v>43921</v>
      </c>
    </row>
    <row r="76" spans="1:11" x14ac:dyDescent="0.3">
      <c r="A76" t="str">
        <f t="shared" si="1"/>
        <v>112472019/2020</v>
      </c>
      <c r="B76">
        <v>11</v>
      </c>
      <c r="C76" t="s">
        <v>672</v>
      </c>
      <c r="D76" t="s">
        <v>654</v>
      </c>
      <c r="E76" s="106">
        <v>247</v>
      </c>
      <c r="F76">
        <v>0</v>
      </c>
      <c r="G76">
        <v>0</v>
      </c>
      <c r="H76">
        <v>0</v>
      </c>
      <c r="I76" t="s">
        <v>660</v>
      </c>
      <c r="J76" s="105">
        <v>43556</v>
      </c>
      <c r="K76" s="105">
        <v>43921</v>
      </c>
    </row>
    <row r="77" spans="1:11" x14ac:dyDescent="0.3">
      <c r="A77" t="str">
        <f t="shared" si="1"/>
        <v>122002019/2020</v>
      </c>
      <c r="B77">
        <v>12</v>
      </c>
      <c r="C77" t="s">
        <v>672</v>
      </c>
      <c r="D77" t="s">
        <v>654</v>
      </c>
      <c r="E77" s="106">
        <v>200</v>
      </c>
      <c r="F77">
        <v>0</v>
      </c>
      <c r="G77">
        <v>0</v>
      </c>
      <c r="H77">
        <v>0</v>
      </c>
      <c r="I77" t="s">
        <v>660</v>
      </c>
      <c r="J77" s="105">
        <v>43556</v>
      </c>
      <c r="K77" s="105">
        <v>43921</v>
      </c>
    </row>
    <row r="78" spans="1:11" x14ac:dyDescent="0.3">
      <c r="A78" t="str">
        <f t="shared" si="1"/>
        <v>132802019/2020</v>
      </c>
      <c r="B78">
        <v>13</v>
      </c>
      <c r="C78" t="s">
        <v>672</v>
      </c>
      <c r="D78" t="s">
        <v>654</v>
      </c>
      <c r="E78" s="106">
        <v>280</v>
      </c>
      <c r="F78">
        <v>0</v>
      </c>
      <c r="G78">
        <v>0</v>
      </c>
      <c r="H78">
        <v>0</v>
      </c>
      <c r="I78" t="s">
        <v>660</v>
      </c>
      <c r="J78" s="105">
        <v>43556</v>
      </c>
      <c r="K78" s="105">
        <v>43921</v>
      </c>
    </row>
    <row r="79" spans="1:11" x14ac:dyDescent="0.3">
      <c r="A79" t="str">
        <f t="shared" si="1"/>
        <v>146332019/2020</v>
      </c>
      <c r="B79">
        <v>14</v>
      </c>
      <c r="C79" t="s">
        <v>672</v>
      </c>
      <c r="D79" t="s">
        <v>654</v>
      </c>
      <c r="E79" s="106">
        <v>633</v>
      </c>
      <c r="F79">
        <v>0</v>
      </c>
      <c r="G79">
        <v>0</v>
      </c>
      <c r="H79">
        <v>0</v>
      </c>
      <c r="I79" t="s">
        <v>660</v>
      </c>
      <c r="J79" s="105">
        <v>43556</v>
      </c>
      <c r="K79" s="105">
        <v>43921</v>
      </c>
    </row>
    <row r="80" spans="1:11" x14ac:dyDescent="0.3">
      <c r="A80" t="str">
        <f t="shared" si="1"/>
        <v>152782019/2020</v>
      </c>
      <c r="B80">
        <v>15</v>
      </c>
      <c r="C80" t="s">
        <v>672</v>
      </c>
      <c r="D80" t="s">
        <v>654</v>
      </c>
      <c r="E80" s="106">
        <v>278</v>
      </c>
      <c r="F80">
        <v>0</v>
      </c>
      <c r="G80">
        <v>0</v>
      </c>
      <c r="H80">
        <v>0</v>
      </c>
      <c r="I80" t="s">
        <v>660</v>
      </c>
      <c r="J80" s="105">
        <v>43556</v>
      </c>
      <c r="K80" s="105">
        <v>43921</v>
      </c>
    </row>
    <row r="81" spans="1:11" x14ac:dyDescent="0.3">
      <c r="A81" t="str">
        <f t="shared" si="1"/>
        <v>168312019/2020</v>
      </c>
      <c r="B81">
        <v>16</v>
      </c>
      <c r="C81" t="s">
        <v>672</v>
      </c>
      <c r="D81" t="s">
        <v>654</v>
      </c>
      <c r="E81" s="106">
        <v>831</v>
      </c>
      <c r="F81">
        <v>0</v>
      </c>
      <c r="G81">
        <v>0</v>
      </c>
      <c r="H81">
        <v>0</v>
      </c>
      <c r="I81" t="s">
        <v>660</v>
      </c>
      <c r="J81" s="105">
        <v>43556</v>
      </c>
      <c r="K81" s="105">
        <v>43921</v>
      </c>
    </row>
    <row r="82" spans="1:11" x14ac:dyDescent="0.3">
      <c r="A82" t="str">
        <f t="shared" si="1"/>
        <v>168612019/2020</v>
      </c>
      <c r="B82">
        <v>16</v>
      </c>
      <c r="C82" t="s">
        <v>672</v>
      </c>
      <c r="D82" t="s">
        <v>654</v>
      </c>
      <c r="E82" s="106">
        <v>861</v>
      </c>
      <c r="F82">
        <v>0</v>
      </c>
      <c r="G82">
        <v>0</v>
      </c>
      <c r="H82">
        <v>0</v>
      </c>
      <c r="I82" t="s">
        <v>660</v>
      </c>
      <c r="J82" s="105">
        <v>43556</v>
      </c>
      <c r="K82" s="105">
        <v>43921</v>
      </c>
    </row>
    <row r="83" spans="1:11" x14ac:dyDescent="0.3">
      <c r="A83" t="str">
        <f t="shared" si="1"/>
        <v>175072019/2020</v>
      </c>
      <c r="B83">
        <v>17</v>
      </c>
      <c r="C83" t="s">
        <v>672</v>
      </c>
      <c r="D83" t="s">
        <v>654</v>
      </c>
      <c r="E83" s="106">
        <v>507</v>
      </c>
      <c r="F83">
        <v>0</v>
      </c>
      <c r="G83">
        <v>0</v>
      </c>
      <c r="H83">
        <v>0</v>
      </c>
      <c r="I83" t="s">
        <v>660</v>
      </c>
      <c r="J83" s="105">
        <v>43556</v>
      </c>
      <c r="K83" s="105">
        <v>43921</v>
      </c>
    </row>
    <row r="84" spans="1:11" x14ac:dyDescent="0.3">
      <c r="A84" t="str">
        <f t="shared" si="1"/>
        <v>182802019/2020</v>
      </c>
      <c r="B84">
        <v>18</v>
      </c>
      <c r="C84" t="s">
        <v>672</v>
      </c>
      <c r="D84" t="s">
        <v>654</v>
      </c>
      <c r="E84" s="106">
        <v>280</v>
      </c>
      <c r="F84">
        <v>0</v>
      </c>
      <c r="G84">
        <v>0</v>
      </c>
      <c r="H84">
        <v>0</v>
      </c>
      <c r="I84" t="s">
        <v>660</v>
      </c>
      <c r="J84" s="105">
        <v>43556</v>
      </c>
      <c r="K84" s="105">
        <v>43921</v>
      </c>
    </row>
    <row r="85" spans="1:11" x14ac:dyDescent="0.3">
      <c r="A85" t="str">
        <f t="shared" si="1"/>
        <v>192002019/2020</v>
      </c>
      <c r="B85">
        <v>19</v>
      </c>
      <c r="C85" t="s">
        <v>672</v>
      </c>
      <c r="D85" t="s">
        <v>654</v>
      </c>
      <c r="E85" s="106">
        <v>200</v>
      </c>
      <c r="F85">
        <v>0</v>
      </c>
      <c r="G85">
        <v>0</v>
      </c>
      <c r="H85">
        <v>0</v>
      </c>
      <c r="I85" t="s">
        <v>660</v>
      </c>
      <c r="J85" s="105">
        <v>43556</v>
      </c>
      <c r="K85" s="105">
        <v>43921</v>
      </c>
    </row>
    <row r="86" spans="1:11" x14ac:dyDescent="0.3">
      <c r="A86" t="str">
        <f t="shared" si="1"/>
        <v>201662019/2020</v>
      </c>
      <c r="B86">
        <v>20</v>
      </c>
      <c r="C86" t="s">
        <v>672</v>
      </c>
      <c r="D86" t="s">
        <v>654</v>
      </c>
      <c r="E86" s="106">
        <v>166</v>
      </c>
      <c r="F86">
        <v>0</v>
      </c>
      <c r="G86">
        <v>0</v>
      </c>
      <c r="H86">
        <v>0</v>
      </c>
      <c r="I86" t="s">
        <v>660</v>
      </c>
      <c r="J86" s="105">
        <v>43556</v>
      </c>
      <c r="K86" s="105">
        <v>43921</v>
      </c>
    </row>
    <row r="87" spans="1:11" x14ac:dyDescent="0.3">
      <c r="A87" t="str">
        <f t="shared" si="1"/>
        <v>204572019/2020</v>
      </c>
      <c r="B87">
        <v>20</v>
      </c>
      <c r="C87" t="s">
        <v>672</v>
      </c>
      <c r="D87" t="s">
        <v>654</v>
      </c>
      <c r="E87" s="106">
        <v>457</v>
      </c>
      <c r="F87">
        <v>0</v>
      </c>
      <c r="G87">
        <v>0</v>
      </c>
      <c r="H87">
        <v>0</v>
      </c>
      <c r="I87" t="s">
        <v>660</v>
      </c>
      <c r="J87" s="105">
        <v>43556</v>
      </c>
      <c r="K87" s="105">
        <v>43921</v>
      </c>
    </row>
    <row r="88" spans="1:11" x14ac:dyDescent="0.3">
      <c r="A88" t="str">
        <f t="shared" si="1"/>
        <v>211172019/2020</v>
      </c>
      <c r="B88">
        <v>21</v>
      </c>
      <c r="C88" t="s">
        <v>672</v>
      </c>
      <c r="D88" t="s">
        <v>654</v>
      </c>
      <c r="E88" s="106">
        <v>117</v>
      </c>
      <c r="F88">
        <v>0</v>
      </c>
      <c r="G88">
        <v>0</v>
      </c>
      <c r="H88">
        <v>0</v>
      </c>
      <c r="I88" t="s">
        <v>660</v>
      </c>
      <c r="J88" s="105">
        <v>43556</v>
      </c>
      <c r="K88" s="105">
        <v>43921</v>
      </c>
    </row>
    <row r="89" spans="1:11" x14ac:dyDescent="0.3">
      <c r="A89" t="str">
        <f t="shared" si="1"/>
        <v>222032019/2020</v>
      </c>
      <c r="B89">
        <v>22</v>
      </c>
      <c r="C89" t="s">
        <v>672</v>
      </c>
      <c r="D89" t="s">
        <v>654</v>
      </c>
      <c r="E89" s="106">
        <v>203</v>
      </c>
      <c r="F89">
        <v>0</v>
      </c>
      <c r="G89">
        <v>0</v>
      </c>
      <c r="H89">
        <v>0</v>
      </c>
      <c r="I89" t="s">
        <v>660</v>
      </c>
      <c r="J89" s="105">
        <v>43556</v>
      </c>
      <c r="K89" s="105">
        <v>43921</v>
      </c>
    </row>
    <row r="90" spans="1:11" x14ac:dyDescent="0.3">
      <c r="A90" t="str">
        <f t="shared" si="1"/>
        <v>232992019/2020</v>
      </c>
      <c r="B90">
        <v>23</v>
      </c>
      <c r="C90" t="s">
        <v>672</v>
      </c>
      <c r="D90" t="s">
        <v>654</v>
      </c>
      <c r="E90" s="106">
        <v>299</v>
      </c>
      <c r="F90">
        <v>0</v>
      </c>
      <c r="G90">
        <v>0</v>
      </c>
      <c r="H90">
        <v>0</v>
      </c>
      <c r="I90" t="s">
        <v>660</v>
      </c>
      <c r="J90" s="105">
        <v>43556</v>
      </c>
      <c r="K90" s="105">
        <v>43921</v>
      </c>
    </row>
    <row r="91" spans="1:11" x14ac:dyDescent="0.3">
      <c r="A91" t="str">
        <f t="shared" si="1"/>
        <v>100862019/2020</v>
      </c>
      <c r="B91">
        <v>10</v>
      </c>
      <c r="C91" t="s">
        <v>673</v>
      </c>
      <c r="D91" t="s">
        <v>655</v>
      </c>
      <c r="E91" s="106" t="s">
        <v>634</v>
      </c>
      <c r="F91">
        <v>3.4</v>
      </c>
      <c r="G91">
        <v>0.307</v>
      </c>
      <c r="H91">
        <v>7.26</v>
      </c>
      <c r="I91" t="s">
        <v>660</v>
      </c>
      <c r="J91" s="105">
        <v>43556</v>
      </c>
      <c r="K91" s="105">
        <v>43921</v>
      </c>
    </row>
    <row r="92" spans="1:11" x14ac:dyDescent="0.3">
      <c r="A92" t="str">
        <f t="shared" si="1"/>
        <v>110582019/2020</v>
      </c>
      <c r="B92">
        <v>11</v>
      </c>
      <c r="C92" t="s">
        <v>673</v>
      </c>
      <c r="D92" t="s">
        <v>655</v>
      </c>
      <c r="E92" s="106" t="s">
        <v>629</v>
      </c>
      <c r="F92">
        <v>2.66</v>
      </c>
      <c r="G92">
        <v>0.129</v>
      </c>
      <c r="H92">
        <v>5.75</v>
      </c>
      <c r="I92" t="s">
        <v>660</v>
      </c>
      <c r="J92" s="105">
        <v>43556</v>
      </c>
      <c r="K92" s="105">
        <v>43921</v>
      </c>
    </row>
    <row r="93" spans="1:11" x14ac:dyDescent="0.3">
      <c r="A93" t="str">
        <f t="shared" si="1"/>
        <v>119902019/2020</v>
      </c>
      <c r="B93">
        <v>11</v>
      </c>
      <c r="C93" t="s">
        <v>673</v>
      </c>
      <c r="D93" t="s">
        <v>655</v>
      </c>
      <c r="E93" s="106">
        <v>990</v>
      </c>
      <c r="F93">
        <v>2.66</v>
      </c>
      <c r="G93">
        <v>0.129</v>
      </c>
      <c r="H93">
        <v>5.75</v>
      </c>
      <c r="I93" t="s">
        <v>660</v>
      </c>
      <c r="J93" s="105">
        <v>43556</v>
      </c>
      <c r="K93" s="105">
        <v>43921</v>
      </c>
    </row>
    <row r="94" spans="1:11" x14ac:dyDescent="0.3">
      <c r="A94" t="str">
        <f t="shared" si="1"/>
        <v>120092019/2020</v>
      </c>
      <c r="B94">
        <v>12</v>
      </c>
      <c r="C94" t="s">
        <v>673</v>
      </c>
      <c r="D94" t="s">
        <v>655</v>
      </c>
      <c r="E94" s="106" t="s">
        <v>406</v>
      </c>
      <c r="F94">
        <v>4.17</v>
      </c>
      <c r="G94">
        <v>0.375</v>
      </c>
      <c r="H94">
        <v>6.51</v>
      </c>
      <c r="I94" t="s">
        <v>660</v>
      </c>
      <c r="J94" s="105">
        <v>43556</v>
      </c>
      <c r="K94" s="105">
        <v>43921</v>
      </c>
    </row>
    <row r="95" spans="1:11" x14ac:dyDescent="0.3">
      <c r="A95" t="str">
        <f t="shared" si="1"/>
        <v>135112019/2020</v>
      </c>
      <c r="B95">
        <v>13</v>
      </c>
      <c r="C95" t="s">
        <v>673</v>
      </c>
      <c r="D95" t="s">
        <v>655</v>
      </c>
      <c r="E95" s="106">
        <v>511</v>
      </c>
      <c r="F95">
        <v>2.5099999999999998</v>
      </c>
      <c r="G95">
        <v>0.36699999999999999</v>
      </c>
      <c r="H95">
        <v>4.46</v>
      </c>
      <c r="I95" t="s">
        <v>660</v>
      </c>
      <c r="J95" s="105">
        <v>43556</v>
      </c>
      <c r="K95" s="105">
        <v>43921</v>
      </c>
    </row>
    <row r="96" spans="1:11" x14ac:dyDescent="0.3">
      <c r="A96" t="str">
        <f t="shared" si="1"/>
        <v>135912019/2020</v>
      </c>
      <c r="B96">
        <v>13</v>
      </c>
      <c r="C96" t="s">
        <v>673</v>
      </c>
      <c r="D96" t="s">
        <v>655</v>
      </c>
      <c r="E96" s="106">
        <v>591</v>
      </c>
      <c r="F96">
        <v>2.5099999999999998</v>
      </c>
      <c r="G96">
        <v>0.36699999999999999</v>
      </c>
      <c r="H96">
        <v>4.46</v>
      </c>
      <c r="I96" t="s">
        <v>660</v>
      </c>
      <c r="J96" s="105">
        <v>43556</v>
      </c>
      <c r="K96" s="105">
        <v>43921</v>
      </c>
    </row>
    <row r="97" spans="1:11" x14ac:dyDescent="0.3">
      <c r="A97" t="str">
        <f t="shared" si="1"/>
        <v>141272019/2020</v>
      </c>
      <c r="B97">
        <v>14</v>
      </c>
      <c r="C97" t="s">
        <v>673</v>
      </c>
      <c r="D97" t="s">
        <v>655</v>
      </c>
      <c r="E97" s="106">
        <v>127</v>
      </c>
      <c r="F97">
        <v>3.84</v>
      </c>
      <c r="G97">
        <v>0.16800000000000001</v>
      </c>
      <c r="H97">
        <v>7.58</v>
      </c>
      <c r="I97" t="s">
        <v>660</v>
      </c>
      <c r="J97" s="105">
        <v>43556</v>
      </c>
      <c r="K97" s="105">
        <v>43921</v>
      </c>
    </row>
    <row r="98" spans="1:11" x14ac:dyDescent="0.3">
      <c r="A98" t="str">
        <f t="shared" si="1"/>
        <v>141292019/2020</v>
      </c>
      <c r="B98">
        <v>14</v>
      </c>
      <c r="C98" t="s">
        <v>673</v>
      </c>
      <c r="D98" t="s">
        <v>655</v>
      </c>
      <c r="E98" s="106">
        <v>129</v>
      </c>
      <c r="F98">
        <v>3.84</v>
      </c>
      <c r="G98">
        <v>0.16800000000000001</v>
      </c>
      <c r="H98">
        <v>7.58</v>
      </c>
      <c r="I98" t="s">
        <v>660</v>
      </c>
      <c r="J98" s="105">
        <v>43556</v>
      </c>
      <c r="K98" s="105">
        <v>43921</v>
      </c>
    </row>
    <row r="99" spans="1:11" x14ac:dyDescent="0.3">
      <c r="A99" t="str">
        <f t="shared" si="1"/>
        <v>152512019/2020</v>
      </c>
      <c r="B99">
        <v>15</v>
      </c>
      <c r="C99" t="s">
        <v>673</v>
      </c>
      <c r="D99" t="s">
        <v>655</v>
      </c>
      <c r="E99" s="106">
        <v>251</v>
      </c>
      <c r="F99">
        <v>1.77</v>
      </c>
      <c r="G99">
        <v>0.16600000000000001</v>
      </c>
      <c r="H99">
        <v>4.1399999999999997</v>
      </c>
      <c r="I99" t="s">
        <v>660</v>
      </c>
      <c r="J99" s="105">
        <v>43556</v>
      </c>
      <c r="K99" s="105">
        <v>43921</v>
      </c>
    </row>
    <row r="100" spans="1:11" x14ac:dyDescent="0.3">
      <c r="A100" t="str">
        <f t="shared" si="1"/>
        <v>168012019/2020</v>
      </c>
      <c r="B100">
        <v>16</v>
      </c>
      <c r="C100" t="s">
        <v>673</v>
      </c>
      <c r="D100" t="s">
        <v>655</v>
      </c>
      <c r="E100" s="106">
        <v>801</v>
      </c>
      <c r="F100">
        <v>3.26</v>
      </c>
      <c r="G100">
        <v>0.14799999999999999</v>
      </c>
      <c r="H100">
        <v>5.0599999999999996</v>
      </c>
      <c r="I100" t="s">
        <v>660</v>
      </c>
      <c r="J100" s="105">
        <v>43556</v>
      </c>
      <c r="K100" s="105">
        <v>43921</v>
      </c>
    </row>
    <row r="101" spans="1:11" x14ac:dyDescent="0.3">
      <c r="A101" t="str">
        <f t="shared" si="1"/>
        <v>168412019/2020</v>
      </c>
      <c r="B101">
        <v>16</v>
      </c>
      <c r="C101" t="s">
        <v>673</v>
      </c>
      <c r="D101" t="s">
        <v>655</v>
      </c>
      <c r="E101" s="106">
        <v>841</v>
      </c>
      <c r="F101">
        <v>3.26</v>
      </c>
      <c r="G101">
        <v>0.14799999999999999</v>
      </c>
      <c r="H101">
        <v>5.0599999999999996</v>
      </c>
      <c r="I101" t="s">
        <v>660</v>
      </c>
      <c r="J101" s="105">
        <v>43556</v>
      </c>
      <c r="K101" s="105">
        <v>43921</v>
      </c>
    </row>
    <row r="102" spans="1:11" x14ac:dyDescent="0.3">
      <c r="A102" t="str">
        <f t="shared" si="1"/>
        <v>175002019/2020</v>
      </c>
      <c r="B102">
        <v>17</v>
      </c>
      <c r="C102" t="s">
        <v>673</v>
      </c>
      <c r="D102" t="s">
        <v>655</v>
      </c>
      <c r="E102" s="106">
        <v>500</v>
      </c>
      <c r="F102">
        <v>4.8899999999999997</v>
      </c>
      <c r="G102">
        <v>0.26300000000000001</v>
      </c>
      <c r="H102">
        <v>8.99</v>
      </c>
      <c r="I102" t="s">
        <v>660</v>
      </c>
      <c r="J102" s="105">
        <v>43556</v>
      </c>
      <c r="K102" s="105">
        <v>43921</v>
      </c>
    </row>
    <row r="103" spans="1:11" x14ac:dyDescent="0.3">
      <c r="A103" t="str">
        <f t="shared" si="1"/>
        <v>185002019/2020</v>
      </c>
      <c r="B103">
        <v>18</v>
      </c>
      <c r="C103" t="s">
        <v>673</v>
      </c>
      <c r="D103" t="s">
        <v>655</v>
      </c>
      <c r="E103" s="106">
        <v>500</v>
      </c>
      <c r="F103">
        <v>2.39</v>
      </c>
      <c r="G103">
        <v>0.17199999999999999</v>
      </c>
      <c r="H103">
        <v>3.55</v>
      </c>
      <c r="I103" t="s">
        <v>660</v>
      </c>
      <c r="J103" s="105">
        <v>43556</v>
      </c>
      <c r="K103" s="105">
        <v>43921</v>
      </c>
    </row>
    <row r="104" spans="1:11" x14ac:dyDescent="0.3">
      <c r="A104" t="str">
        <f t="shared" si="1"/>
        <v>185042019/2020</v>
      </c>
      <c r="B104">
        <v>18</v>
      </c>
      <c r="C104" t="s">
        <v>673</v>
      </c>
      <c r="D104" t="s">
        <v>655</v>
      </c>
      <c r="E104" s="106">
        <v>504</v>
      </c>
      <c r="F104">
        <v>2.39</v>
      </c>
      <c r="G104">
        <v>0.17199999999999999</v>
      </c>
      <c r="H104">
        <v>3.55</v>
      </c>
      <c r="I104" t="s">
        <v>660</v>
      </c>
      <c r="J104" s="105">
        <v>43556</v>
      </c>
      <c r="K104" s="105">
        <v>43921</v>
      </c>
    </row>
    <row r="105" spans="1:11" x14ac:dyDescent="0.3">
      <c r="A105" t="str">
        <f t="shared" si="1"/>
        <v>195502019/2020</v>
      </c>
      <c r="B105">
        <v>19</v>
      </c>
      <c r="C105" t="s">
        <v>673</v>
      </c>
      <c r="D105" t="s">
        <v>655</v>
      </c>
      <c r="E105" s="106">
        <v>550</v>
      </c>
      <c r="F105">
        <v>3.47</v>
      </c>
      <c r="G105">
        <v>0.253</v>
      </c>
      <c r="H105">
        <v>6.81</v>
      </c>
      <c r="I105" t="s">
        <v>660</v>
      </c>
      <c r="J105" s="105">
        <v>43556</v>
      </c>
      <c r="K105" s="105">
        <v>43921</v>
      </c>
    </row>
    <row r="106" spans="1:11" x14ac:dyDescent="0.3">
      <c r="A106" t="str">
        <f t="shared" si="1"/>
        <v>204532019/2020</v>
      </c>
      <c r="B106">
        <v>20</v>
      </c>
      <c r="C106" t="s">
        <v>673</v>
      </c>
      <c r="D106" t="s">
        <v>655</v>
      </c>
      <c r="E106" s="106">
        <v>453</v>
      </c>
      <c r="F106">
        <v>2.44</v>
      </c>
      <c r="G106">
        <v>0.2</v>
      </c>
      <c r="H106">
        <v>4.5599999999999996</v>
      </c>
      <c r="I106" t="s">
        <v>660</v>
      </c>
      <c r="J106" s="105">
        <v>43556</v>
      </c>
      <c r="K106" s="105">
        <v>43921</v>
      </c>
    </row>
    <row r="107" spans="1:11" x14ac:dyDescent="0.3">
      <c r="A107" t="str">
        <f t="shared" si="1"/>
        <v>204702019/2020</v>
      </c>
      <c r="B107">
        <v>20</v>
      </c>
      <c r="C107" t="s">
        <v>673</v>
      </c>
      <c r="D107" t="s">
        <v>655</v>
      </c>
      <c r="E107" s="106">
        <v>470</v>
      </c>
      <c r="F107">
        <v>2.44</v>
      </c>
      <c r="G107">
        <v>0.2</v>
      </c>
      <c r="H107">
        <v>4.5599999999999996</v>
      </c>
      <c r="I107" t="s">
        <v>660</v>
      </c>
      <c r="J107" s="105">
        <v>43556</v>
      </c>
      <c r="K107" s="105">
        <v>43921</v>
      </c>
    </row>
    <row r="108" spans="1:11" x14ac:dyDescent="0.3">
      <c r="A108" t="str">
        <f t="shared" si="1"/>
        <v>213002019/2020</v>
      </c>
      <c r="B108">
        <v>21</v>
      </c>
      <c r="C108" t="s">
        <v>673</v>
      </c>
      <c r="D108" t="s">
        <v>655</v>
      </c>
      <c r="E108" s="106">
        <v>300</v>
      </c>
      <c r="F108">
        <v>3.11</v>
      </c>
      <c r="G108">
        <v>0.222</v>
      </c>
      <c r="H108">
        <v>6.61</v>
      </c>
      <c r="I108" t="s">
        <v>660</v>
      </c>
      <c r="J108" s="105">
        <v>43556</v>
      </c>
      <c r="K108" s="105">
        <v>43921</v>
      </c>
    </row>
    <row r="109" spans="1:11" x14ac:dyDescent="0.3">
      <c r="A109" t="str">
        <f t="shared" si="1"/>
        <v>225702019/2020</v>
      </c>
      <c r="B109">
        <v>22</v>
      </c>
      <c r="C109" t="s">
        <v>673</v>
      </c>
      <c r="D109" t="s">
        <v>655</v>
      </c>
      <c r="E109" s="106">
        <v>570</v>
      </c>
      <c r="F109">
        <v>3.29</v>
      </c>
      <c r="G109">
        <v>0.14899999999999999</v>
      </c>
      <c r="H109">
        <v>7.28</v>
      </c>
      <c r="I109" t="s">
        <v>660</v>
      </c>
      <c r="J109" s="105">
        <v>43556</v>
      </c>
      <c r="K109" s="105">
        <v>43921</v>
      </c>
    </row>
    <row r="110" spans="1:11" x14ac:dyDescent="0.3">
      <c r="A110" t="str">
        <f t="shared" si="1"/>
        <v>232812019/2020</v>
      </c>
      <c r="B110">
        <v>23</v>
      </c>
      <c r="C110" t="s">
        <v>673</v>
      </c>
      <c r="D110" t="s">
        <v>655</v>
      </c>
      <c r="E110" s="106">
        <v>281</v>
      </c>
      <c r="F110">
        <v>1.34</v>
      </c>
      <c r="G110">
        <v>0.14899999999999999</v>
      </c>
      <c r="H110">
        <v>2.96</v>
      </c>
      <c r="I110" t="s">
        <v>660</v>
      </c>
      <c r="J110" s="105">
        <v>43556</v>
      </c>
      <c r="K110" s="105">
        <v>43921</v>
      </c>
    </row>
    <row r="111" spans="1:11" x14ac:dyDescent="0.3">
      <c r="A111" t="str">
        <f t="shared" si="1"/>
        <v>100802019/2020</v>
      </c>
      <c r="B111">
        <v>10</v>
      </c>
      <c r="C111" t="s">
        <v>673</v>
      </c>
      <c r="D111" t="s">
        <v>656</v>
      </c>
      <c r="E111" s="106" t="s">
        <v>620</v>
      </c>
      <c r="F111">
        <v>4.9400000000000004</v>
      </c>
      <c r="G111">
        <v>0.2</v>
      </c>
      <c r="H111">
        <v>6.53</v>
      </c>
      <c r="I111" t="s">
        <v>660</v>
      </c>
      <c r="J111" s="105">
        <v>43556</v>
      </c>
      <c r="K111" s="105">
        <v>43921</v>
      </c>
    </row>
    <row r="112" spans="1:11" x14ac:dyDescent="0.3">
      <c r="A112" t="str">
        <f t="shared" si="1"/>
        <v>110592019/2020</v>
      </c>
      <c r="B112">
        <v>11</v>
      </c>
      <c r="C112" t="s">
        <v>673</v>
      </c>
      <c r="D112" t="s">
        <v>656</v>
      </c>
      <c r="E112" s="106" t="s">
        <v>482</v>
      </c>
      <c r="F112">
        <v>3.44</v>
      </c>
      <c r="G112">
        <v>0.09</v>
      </c>
      <c r="H112">
        <v>5.43</v>
      </c>
      <c r="I112" t="s">
        <v>660</v>
      </c>
      <c r="J112" s="105">
        <v>43556</v>
      </c>
      <c r="K112" s="105">
        <v>43921</v>
      </c>
    </row>
    <row r="113" spans="1:11" x14ac:dyDescent="0.3">
      <c r="A113" t="str">
        <f t="shared" si="1"/>
        <v>127562019/2020</v>
      </c>
      <c r="B113">
        <v>12</v>
      </c>
      <c r="C113" t="s">
        <v>673</v>
      </c>
      <c r="D113" t="s">
        <v>656</v>
      </c>
      <c r="E113" s="106">
        <v>756</v>
      </c>
      <c r="F113">
        <v>7.53</v>
      </c>
      <c r="G113">
        <v>0.246</v>
      </c>
      <c r="H113">
        <v>8.6</v>
      </c>
      <c r="I113" t="s">
        <v>660</v>
      </c>
      <c r="J113" s="105">
        <v>43556</v>
      </c>
      <c r="K113" s="105">
        <v>43921</v>
      </c>
    </row>
    <row r="114" spans="1:11" x14ac:dyDescent="0.3">
      <c r="A114" t="str">
        <f t="shared" si="1"/>
        <v>135132019/2020</v>
      </c>
      <c r="B114">
        <v>13</v>
      </c>
      <c r="C114" t="s">
        <v>673</v>
      </c>
      <c r="D114" t="s">
        <v>656</v>
      </c>
      <c r="E114" s="106">
        <v>513</v>
      </c>
      <c r="F114">
        <v>5.15</v>
      </c>
      <c r="G114">
        <v>0.23200000000000001</v>
      </c>
      <c r="H114">
        <v>7.12</v>
      </c>
      <c r="I114" t="s">
        <v>660</v>
      </c>
      <c r="J114" s="105">
        <v>43556</v>
      </c>
      <c r="K114" s="105">
        <v>43921</v>
      </c>
    </row>
    <row r="115" spans="1:11" x14ac:dyDescent="0.3">
      <c r="A115" t="str">
        <f t="shared" si="1"/>
        <v>135922019/2020</v>
      </c>
      <c r="B115">
        <v>13</v>
      </c>
      <c r="C115" t="s">
        <v>673</v>
      </c>
      <c r="D115" t="s">
        <v>656</v>
      </c>
      <c r="E115" s="106">
        <v>592</v>
      </c>
      <c r="F115">
        <v>5.15</v>
      </c>
      <c r="G115">
        <v>0.23200000000000001</v>
      </c>
      <c r="H115">
        <v>7.12</v>
      </c>
      <c r="I115" t="s">
        <v>660</v>
      </c>
      <c r="J115" s="105">
        <v>43556</v>
      </c>
      <c r="K115" s="105">
        <v>43921</v>
      </c>
    </row>
    <row r="116" spans="1:11" x14ac:dyDescent="0.3">
      <c r="A116" t="str">
        <f t="shared" si="1"/>
        <v>141282019/2020</v>
      </c>
      <c r="B116">
        <v>14</v>
      </c>
      <c r="C116" t="s">
        <v>673</v>
      </c>
      <c r="D116" t="s">
        <v>656</v>
      </c>
      <c r="E116" s="106">
        <v>128</v>
      </c>
      <c r="F116">
        <v>4.68</v>
      </c>
      <c r="G116">
        <v>0.114</v>
      </c>
      <c r="H116">
        <v>6.74</v>
      </c>
      <c r="I116" t="s">
        <v>660</v>
      </c>
      <c r="J116" s="105">
        <v>43556</v>
      </c>
      <c r="K116" s="105">
        <v>43921</v>
      </c>
    </row>
    <row r="117" spans="1:11" x14ac:dyDescent="0.3">
      <c r="A117" t="str">
        <f t="shared" si="1"/>
        <v>152932019/2020</v>
      </c>
      <c r="B117">
        <v>15</v>
      </c>
      <c r="C117" t="s">
        <v>673</v>
      </c>
      <c r="D117" t="s">
        <v>656</v>
      </c>
      <c r="E117" s="106">
        <v>293</v>
      </c>
      <c r="F117">
        <v>2.4900000000000002</v>
      </c>
      <c r="G117">
        <v>9.7000000000000003E-2</v>
      </c>
      <c r="H117">
        <v>4.1100000000000003</v>
      </c>
      <c r="I117" t="s">
        <v>660</v>
      </c>
      <c r="J117" s="105">
        <v>43556</v>
      </c>
      <c r="K117" s="105">
        <v>43921</v>
      </c>
    </row>
    <row r="118" spans="1:11" x14ac:dyDescent="0.3">
      <c r="A118" t="str">
        <f t="shared" si="1"/>
        <v>168022019/2020</v>
      </c>
      <c r="B118">
        <v>16</v>
      </c>
      <c r="C118" t="s">
        <v>673</v>
      </c>
      <c r="D118" t="s">
        <v>656</v>
      </c>
      <c r="E118" s="106">
        <v>802</v>
      </c>
      <c r="F118">
        <v>3.25</v>
      </c>
      <c r="G118">
        <v>0.111</v>
      </c>
      <c r="H118">
        <v>5.85</v>
      </c>
      <c r="I118" t="s">
        <v>660</v>
      </c>
      <c r="J118" s="105">
        <v>43556</v>
      </c>
      <c r="K118" s="105">
        <v>43921</v>
      </c>
    </row>
    <row r="119" spans="1:11" x14ac:dyDescent="0.3">
      <c r="A119" t="str">
        <f t="shared" si="1"/>
        <v>168422019/2020</v>
      </c>
      <c r="B119">
        <v>16</v>
      </c>
      <c r="C119" t="s">
        <v>673</v>
      </c>
      <c r="D119" t="s">
        <v>656</v>
      </c>
      <c r="E119" s="106">
        <v>842</v>
      </c>
      <c r="F119">
        <v>3.25</v>
      </c>
      <c r="G119">
        <v>0.111</v>
      </c>
      <c r="H119">
        <v>5.85</v>
      </c>
      <c r="I119" t="s">
        <v>660</v>
      </c>
      <c r="J119" s="105">
        <v>43556</v>
      </c>
      <c r="K119" s="105">
        <v>43921</v>
      </c>
    </row>
    <row r="120" spans="1:11" x14ac:dyDescent="0.3">
      <c r="A120" t="str">
        <f t="shared" si="1"/>
        <v>175052019/2020</v>
      </c>
      <c r="B120">
        <v>17</v>
      </c>
      <c r="C120" t="s">
        <v>673</v>
      </c>
      <c r="D120" t="s">
        <v>656</v>
      </c>
      <c r="E120" s="106">
        <v>505</v>
      </c>
      <c r="F120">
        <v>8.24</v>
      </c>
      <c r="G120">
        <v>0.13500000000000001</v>
      </c>
      <c r="H120">
        <v>11.45</v>
      </c>
      <c r="I120" t="s">
        <v>660</v>
      </c>
      <c r="J120" s="105">
        <v>43556</v>
      </c>
      <c r="K120" s="105">
        <v>43921</v>
      </c>
    </row>
    <row r="121" spans="1:11" x14ac:dyDescent="0.3">
      <c r="A121" t="str">
        <f t="shared" si="1"/>
        <v>185062019/2020</v>
      </c>
      <c r="B121">
        <v>18</v>
      </c>
      <c r="C121" t="s">
        <v>673</v>
      </c>
      <c r="D121" t="s">
        <v>656</v>
      </c>
      <c r="E121" s="106">
        <v>506</v>
      </c>
      <c r="F121">
        <v>4.37</v>
      </c>
      <c r="G121">
        <v>9.7000000000000003E-2</v>
      </c>
      <c r="H121">
        <v>5</v>
      </c>
      <c r="I121" t="s">
        <v>660</v>
      </c>
      <c r="J121" s="105">
        <v>43556</v>
      </c>
      <c r="K121" s="105">
        <v>43921</v>
      </c>
    </row>
    <row r="122" spans="1:11" x14ac:dyDescent="0.3">
      <c r="A122" t="str">
        <f t="shared" si="1"/>
        <v>185072019/2020</v>
      </c>
      <c r="B122">
        <v>18</v>
      </c>
      <c r="C122" t="s">
        <v>673</v>
      </c>
      <c r="D122" t="s">
        <v>656</v>
      </c>
      <c r="E122" s="106">
        <v>507</v>
      </c>
      <c r="F122">
        <v>4.37</v>
      </c>
      <c r="G122">
        <v>9.7000000000000003E-2</v>
      </c>
      <c r="H122">
        <v>5</v>
      </c>
      <c r="I122" t="s">
        <v>660</v>
      </c>
      <c r="J122" s="105">
        <v>43556</v>
      </c>
      <c r="K122" s="105">
        <v>43921</v>
      </c>
    </row>
    <row r="123" spans="1:11" x14ac:dyDescent="0.3">
      <c r="A123" t="str">
        <f t="shared" si="1"/>
        <v>197562019/2020</v>
      </c>
      <c r="B123">
        <v>19</v>
      </c>
      <c r="C123" t="s">
        <v>673</v>
      </c>
      <c r="D123" t="s">
        <v>656</v>
      </c>
      <c r="E123" s="106">
        <v>756</v>
      </c>
      <c r="F123">
        <v>5.57</v>
      </c>
      <c r="G123">
        <v>0.155</v>
      </c>
      <c r="H123">
        <v>7.32</v>
      </c>
      <c r="I123" t="s">
        <v>660</v>
      </c>
      <c r="J123" s="105">
        <v>43556</v>
      </c>
      <c r="K123" s="105">
        <v>43921</v>
      </c>
    </row>
    <row r="124" spans="1:11" x14ac:dyDescent="0.3">
      <c r="A124" t="str">
        <f t="shared" si="1"/>
        <v>204552019/2020</v>
      </c>
      <c r="B124">
        <v>20</v>
      </c>
      <c r="C124" t="s">
        <v>673</v>
      </c>
      <c r="D124" t="s">
        <v>656</v>
      </c>
      <c r="E124" s="106">
        <v>455</v>
      </c>
      <c r="F124">
        <v>4.42</v>
      </c>
      <c r="G124">
        <v>0.14899999999999999</v>
      </c>
      <c r="H124">
        <v>5.96</v>
      </c>
      <c r="I124" t="s">
        <v>660</v>
      </c>
      <c r="J124" s="105">
        <v>43556</v>
      </c>
      <c r="K124" s="105">
        <v>43921</v>
      </c>
    </row>
    <row r="125" spans="1:11" x14ac:dyDescent="0.3">
      <c r="A125" t="str">
        <f t="shared" si="1"/>
        <v>213442019/2020</v>
      </c>
      <c r="B125">
        <v>21</v>
      </c>
      <c r="C125" t="s">
        <v>673</v>
      </c>
      <c r="D125" t="s">
        <v>656</v>
      </c>
      <c r="E125" s="106">
        <v>344</v>
      </c>
      <c r="F125">
        <v>3.48</v>
      </c>
      <c r="G125">
        <v>0.16200000000000001</v>
      </c>
      <c r="H125">
        <v>6.48</v>
      </c>
      <c r="I125" t="s">
        <v>660</v>
      </c>
      <c r="J125" s="105">
        <v>43556</v>
      </c>
      <c r="K125" s="105">
        <v>43921</v>
      </c>
    </row>
    <row r="126" spans="1:11" x14ac:dyDescent="0.3">
      <c r="A126" t="str">
        <f t="shared" si="1"/>
        <v>225402019/2020</v>
      </c>
      <c r="B126">
        <v>22</v>
      </c>
      <c r="C126" t="s">
        <v>673</v>
      </c>
      <c r="D126" t="s">
        <v>656</v>
      </c>
      <c r="E126" s="106">
        <v>540</v>
      </c>
      <c r="F126">
        <v>3.36</v>
      </c>
      <c r="G126">
        <v>0.104</v>
      </c>
      <c r="H126">
        <v>6.73</v>
      </c>
      <c r="I126" t="s">
        <v>660</v>
      </c>
      <c r="J126" s="105">
        <v>43556</v>
      </c>
      <c r="K126" s="105">
        <v>43921</v>
      </c>
    </row>
    <row r="127" spans="1:11" x14ac:dyDescent="0.3">
      <c r="A127" t="str">
        <f t="shared" si="1"/>
        <v>234712019/2020</v>
      </c>
      <c r="B127">
        <v>23</v>
      </c>
      <c r="C127" t="s">
        <v>673</v>
      </c>
      <c r="D127" t="s">
        <v>656</v>
      </c>
      <c r="E127" s="106">
        <v>471</v>
      </c>
      <c r="F127">
        <v>1.64</v>
      </c>
      <c r="G127">
        <v>9.4E-2</v>
      </c>
      <c r="H127">
        <v>2.64</v>
      </c>
      <c r="I127" t="s">
        <v>660</v>
      </c>
      <c r="J127" s="105">
        <v>43556</v>
      </c>
      <c r="K127" s="105">
        <v>43921</v>
      </c>
    </row>
    <row r="128" spans="1:11" x14ac:dyDescent="0.3">
      <c r="A128" t="str">
        <f t="shared" si="1"/>
        <v>100842019/2020</v>
      </c>
      <c r="B128">
        <v>10</v>
      </c>
      <c r="C128" t="s">
        <v>673</v>
      </c>
      <c r="D128" t="s">
        <v>657</v>
      </c>
      <c r="E128" s="106" t="s">
        <v>624</v>
      </c>
      <c r="F128">
        <v>4.08</v>
      </c>
      <c r="G128">
        <v>0.161</v>
      </c>
      <c r="H128">
        <v>5.79</v>
      </c>
      <c r="I128" t="s">
        <v>660</v>
      </c>
      <c r="J128" s="105">
        <v>43556</v>
      </c>
      <c r="K128" s="105">
        <v>43921</v>
      </c>
    </row>
    <row r="129" spans="1:11" x14ac:dyDescent="0.3">
      <c r="A129" t="str">
        <f t="shared" si="1"/>
        <v>110602019/2020</v>
      </c>
      <c r="B129">
        <v>11</v>
      </c>
      <c r="C129" t="s">
        <v>673</v>
      </c>
      <c r="D129" t="s">
        <v>657</v>
      </c>
      <c r="E129" s="106" t="s">
        <v>627</v>
      </c>
      <c r="F129">
        <v>4.13</v>
      </c>
      <c r="G129">
        <v>4.7E-2</v>
      </c>
      <c r="H129">
        <v>6.24</v>
      </c>
      <c r="I129" t="s">
        <v>660</v>
      </c>
      <c r="J129" s="105">
        <v>43556</v>
      </c>
      <c r="K129" s="105">
        <v>43921</v>
      </c>
    </row>
    <row r="130" spans="1:11" x14ac:dyDescent="0.3">
      <c r="A130" t="str">
        <f t="shared" ref="A130:A193" si="2">CONCATENATE(B130,E130,I130)</f>
        <v>119912019/2020</v>
      </c>
      <c r="B130">
        <v>11</v>
      </c>
      <c r="C130" t="s">
        <v>673</v>
      </c>
      <c r="D130" t="s">
        <v>657</v>
      </c>
      <c r="E130" s="106">
        <v>991</v>
      </c>
      <c r="F130">
        <v>4.13</v>
      </c>
      <c r="G130">
        <v>4.7E-2</v>
      </c>
      <c r="H130">
        <v>6.24</v>
      </c>
      <c r="I130" t="s">
        <v>660</v>
      </c>
      <c r="J130" s="105">
        <v>43556</v>
      </c>
      <c r="K130" s="105">
        <v>43921</v>
      </c>
    </row>
    <row r="131" spans="1:11" x14ac:dyDescent="0.3">
      <c r="A131" t="str">
        <f t="shared" si="2"/>
        <v>123592019/2020</v>
      </c>
      <c r="B131">
        <v>12</v>
      </c>
      <c r="C131" t="s">
        <v>673</v>
      </c>
      <c r="D131" t="s">
        <v>657</v>
      </c>
      <c r="E131" s="106">
        <v>359</v>
      </c>
      <c r="F131">
        <v>7.5</v>
      </c>
      <c r="G131">
        <v>0.192</v>
      </c>
      <c r="H131">
        <v>8.4600000000000009</v>
      </c>
      <c r="I131" t="s">
        <v>660</v>
      </c>
      <c r="J131" s="105">
        <v>43556</v>
      </c>
      <c r="K131" s="105">
        <v>43921</v>
      </c>
    </row>
    <row r="132" spans="1:11" x14ac:dyDescent="0.3">
      <c r="A132" t="str">
        <f t="shared" si="2"/>
        <v>135152019/2020</v>
      </c>
      <c r="B132">
        <v>13</v>
      </c>
      <c r="C132" t="s">
        <v>673</v>
      </c>
      <c r="D132" t="s">
        <v>657</v>
      </c>
      <c r="E132" s="106">
        <v>515</v>
      </c>
      <c r="F132">
        <v>4.05</v>
      </c>
      <c r="G132">
        <v>0.161</v>
      </c>
      <c r="H132">
        <v>6.63</v>
      </c>
      <c r="I132" t="s">
        <v>660</v>
      </c>
      <c r="J132" s="105">
        <v>43556</v>
      </c>
      <c r="K132" s="105">
        <v>43921</v>
      </c>
    </row>
    <row r="133" spans="1:11" x14ac:dyDescent="0.3">
      <c r="A133" t="str">
        <f t="shared" si="2"/>
        <v>135932019/2020</v>
      </c>
      <c r="B133">
        <v>13</v>
      </c>
      <c r="C133" t="s">
        <v>673</v>
      </c>
      <c r="D133" t="s">
        <v>657</v>
      </c>
      <c r="E133" s="106">
        <v>593</v>
      </c>
      <c r="F133">
        <v>4.05</v>
      </c>
      <c r="G133">
        <v>0.161</v>
      </c>
      <c r="H133">
        <v>6.63</v>
      </c>
      <c r="I133" t="s">
        <v>660</v>
      </c>
      <c r="J133" s="105">
        <v>43556</v>
      </c>
      <c r="K133" s="105">
        <v>43921</v>
      </c>
    </row>
    <row r="134" spans="1:11" x14ac:dyDescent="0.3">
      <c r="A134" t="str">
        <f t="shared" si="2"/>
        <v>143652019/2020</v>
      </c>
      <c r="B134">
        <v>14</v>
      </c>
      <c r="C134" t="s">
        <v>673</v>
      </c>
      <c r="D134" t="s">
        <v>657</v>
      </c>
      <c r="E134" s="106">
        <v>365</v>
      </c>
      <c r="F134">
        <v>4.95</v>
      </c>
      <c r="G134">
        <v>4.9000000000000002E-2</v>
      </c>
      <c r="H134">
        <v>6.77</v>
      </c>
      <c r="I134" t="s">
        <v>660</v>
      </c>
      <c r="J134" s="105">
        <v>43556</v>
      </c>
      <c r="K134" s="105">
        <v>43921</v>
      </c>
    </row>
    <row r="135" spans="1:11" x14ac:dyDescent="0.3">
      <c r="A135" t="str">
        <f t="shared" si="2"/>
        <v>143672019/2020</v>
      </c>
      <c r="B135">
        <v>14</v>
      </c>
      <c r="C135" t="s">
        <v>673</v>
      </c>
      <c r="D135" t="s">
        <v>657</v>
      </c>
      <c r="E135" s="106">
        <v>367</v>
      </c>
      <c r="F135">
        <v>4.95</v>
      </c>
      <c r="G135">
        <v>4.9000000000000002E-2</v>
      </c>
      <c r="H135">
        <v>6.77</v>
      </c>
      <c r="I135" t="s">
        <v>660</v>
      </c>
      <c r="J135" s="105">
        <v>43556</v>
      </c>
      <c r="K135" s="105">
        <v>43921</v>
      </c>
    </row>
    <row r="136" spans="1:11" x14ac:dyDescent="0.3">
      <c r="A136" t="str">
        <f t="shared" si="2"/>
        <v>153012019/2020</v>
      </c>
      <c r="B136">
        <v>15</v>
      </c>
      <c r="C136" t="s">
        <v>673</v>
      </c>
      <c r="D136" t="s">
        <v>657</v>
      </c>
      <c r="E136" s="106">
        <v>301</v>
      </c>
      <c r="F136">
        <v>2.39</v>
      </c>
      <c r="G136">
        <v>6.7000000000000004E-2</v>
      </c>
      <c r="H136">
        <v>4.32</v>
      </c>
      <c r="I136" t="s">
        <v>660</v>
      </c>
      <c r="J136" s="105">
        <v>43556</v>
      </c>
      <c r="K136" s="105">
        <v>43921</v>
      </c>
    </row>
    <row r="137" spans="1:11" x14ac:dyDescent="0.3">
      <c r="A137" t="str">
        <f t="shared" si="2"/>
        <v>168032019/2020</v>
      </c>
      <c r="B137">
        <v>16</v>
      </c>
      <c r="C137" t="s">
        <v>673</v>
      </c>
      <c r="D137" t="s">
        <v>657</v>
      </c>
      <c r="E137" s="106">
        <v>803</v>
      </c>
      <c r="F137">
        <v>2.93</v>
      </c>
      <c r="G137">
        <v>7.3999999999999996E-2</v>
      </c>
      <c r="H137">
        <v>5.75</v>
      </c>
      <c r="I137" t="s">
        <v>660</v>
      </c>
      <c r="J137" s="105">
        <v>43556</v>
      </c>
      <c r="K137" s="105">
        <v>43921</v>
      </c>
    </row>
    <row r="138" spans="1:11" x14ac:dyDescent="0.3">
      <c r="A138" t="str">
        <f t="shared" si="2"/>
        <v>168432019/2020</v>
      </c>
      <c r="B138">
        <v>16</v>
      </c>
      <c r="C138" t="s">
        <v>673</v>
      </c>
      <c r="D138" t="s">
        <v>657</v>
      </c>
      <c r="E138" s="106">
        <v>843</v>
      </c>
      <c r="F138">
        <v>2.93</v>
      </c>
      <c r="G138">
        <v>7.3999999999999996E-2</v>
      </c>
      <c r="H138">
        <v>5.75</v>
      </c>
      <c r="I138" t="s">
        <v>660</v>
      </c>
      <c r="J138" s="105">
        <v>43556</v>
      </c>
      <c r="K138" s="105">
        <v>43921</v>
      </c>
    </row>
    <row r="139" spans="1:11" x14ac:dyDescent="0.3">
      <c r="A139" t="str">
        <f t="shared" si="2"/>
        <v>176002019/2020</v>
      </c>
      <c r="B139">
        <v>17</v>
      </c>
      <c r="C139" t="s">
        <v>673</v>
      </c>
      <c r="D139" t="s">
        <v>657</v>
      </c>
      <c r="E139" s="106">
        <v>600</v>
      </c>
      <c r="F139">
        <v>10.97</v>
      </c>
      <c r="G139">
        <v>7.8E-2</v>
      </c>
      <c r="H139">
        <v>12.97</v>
      </c>
      <c r="I139" t="s">
        <v>660</v>
      </c>
      <c r="J139" s="105">
        <v>43556</v>
      </c>
      <c r="K139" s="105">
        <v>43921</v>
      </c>
    </row>
    <row r="140" spans="1:11" x14ac:dyDescent="0.3">
      <c r="A140" t="str">
        <f t="shared" si="2"/>
        <v>185012019/2020</v>
      </c>
      <c r="B140">
        <v>18</v>
      </c>
      <c r="C140" t="s">
        <v>673</v>
      </c>
      <c r="D140" t="s">
        <v>657</v>
      </c>
      <c r="E140" s="106">
        <v>501</v>
      </c>
      <c r="F140">
        <v>4.8</v>
      </c>
      <c r="G140">
        <v>6.3E-2</v>
      </c>
      <c r="H140">
        <v>5.95</v>
      </c>
      <c r="I140" t="s">
        <v>660</v>
      </c>
      <c r="J140" s="105">
        <v>43556</v>
      </c>
      <c r="K140" s="105">
        <v>43921</v>
      </c>
    </row>
    <row r="141" spans="1:11" x14ac:dyDescent="0.3">
      <c r="A141" t="str">
        <f t="shared" si="2"/>
        <v>185052019/2020</v>
      </c>
      <c r="B141">
        <v>18</v>
      </c>
      <c r="C141" t="s">
        <v>673</v>
      </c>
      <c r="D141" t="s">
        <v>657</v>
      </c>
      <c r="E141" s="106">
        <v>505</v>
      </c>
      <c r="F141">
        <v>4.8</v>
      </c>
      <c r="G141">
        <v>6.3E-2</v>
      </c>
      <c r="H141">
        <v>5.95</v>
      </c>
      <c r="I141" t="s">
        <v>660</v>
      </c>
      <c r="J141" s="105">
        <v>43556</v>
      </c>
      <c r="K141" s="105">
        <v>43921</v>
      </c>
    </row>
    <row r="142" spans="1:11" x14ac:dyDescent="0.3">
      <c r="A142" t="str">
        <f t="shared" si="2"/>
        <v>196502019/2020</v>
      </c>
      <c r="B142">
        <v>19</v>
      </c>
      <c r="C142" t="s">
        <v>673</v>
      </c>
      <c r="D142" t="s">
        <v>657</v>
      </c>
      <c r="E142" s="106">
        <v>650</v>
      </c>
      <c r="F142">
        <v>4.1500000000000004</v>
      </c>
      <c r="G142">
        <v>0.14699999999999999</v>
      </c>
      <c r="H142">
        <v>6.53</v>
      </c>
      <c r="I142" t="s">
        <v>660</v>
      </c>
      <c r="J142" s="105">
        <v>43556</v>
      </c>
      <c r="K142" s="105">
        <v>43921</v>
      </c>
    </row>
    <row r="143" spans="1:11" x14ac:dyDescent="0.3">
      <c r="A143" t="str">
        <f t="shared" si="2"/>
        <v>204762019/2020</v>
      </c>
      <c r="B143">
        <v>20</v>
      </c>
      <c r="C143" t="s">
        <v>673</v>
      </c>
      <c r="D143" t="s">
        <v>657</v>
      </c>
      <c r="E143" s="106">
        <v>476</v>
      </c>
      <c r="F143">
        <v>5.44</v>
      </c>
      <c r="G143">
        <v>8.5999999999999993E-2</v>
      </c>
      <c r="H143">
        <v>6.75</v>
      </c>
      <c r="I143" t="s">
        <v>660</v>
      </c>
      <c r="J143" s="105">
        <v>43556</v>
      </c>
      <c r="K143" s="105">
        <v>43921</v>
      </c>
    </row>
    <row r="144" spans="1:11" x14ac:dyDescent="0.3">
      <c r="A144" t="str">
        <f t="shared" si="2"/>
        <v>206582019/2020</v>
      </c>
      <c r="B144">
        <v>20</v>
      </c>
      <c r="C144" t="s">
        <v>673</v>
      </c>
      <c r="D144" t="s">
        <v>657</v>
      </c>
      <c r="E144" s="106">
        <v>658</v>
      </c>
      <c r="F144">
        <v>5.44</v>
      </c>
      <c r="G144">
        <v>8.5999999999999993E-2</v>
      </c>
      <c r="H144">
        <v>6.75</v>
      </c>
      <c r="I144" t="s">
        <v>660</v>
      </c>
      <c r="J144" s="105">
        <v>43556</v>
      </c>
      <c r="K144" s="105">
        <v>43921</v>
      </c>
    </row>
    <row r="145" spans="1:11" x14ac:dyDescent="0.3">
      <c r="A145" t="str">
        <f t="shared" si="2"/>
        <v>214002019/2020</v>
      </c>
      <c r="B145">
        <v>21</v>
      </c>
      <c r="C145" t="s">
        <v>673</v>
      </c>
      <c r="D145" t="s">
        <v>657</v>
      </c>
      <c r="E145" s="106">
        <v>400</v>
      </c>
      <c r="F145">
        <v>3.61</v>
      </c>
      <c r="G145">
        <v>0.11600000000000001</v>
      </c>
      <c r="H145">
        <v>6.98</v>
      </c>
      <c r="I145" t="s">
        <v>660</v>
      </c>
      <c r="J145" s="105">
        <v>43556</v>
      </c>
      <c r="K145" s="105">
        <v>43921</v>
      </c>
    </row>
    <row r="146" spans="1:11" x14ac:dyDescent="0.3">
      <c r="A146" t="str">
        <f t="shared" si="2"/>
        <v>225102019/2020</v>
      </c>
      <c r="B146">
        <v>22</v>
      </c>
      <c r="C146" t="s">
        <v>673</v>
      </c>
      <c r="D146" t="s">
        <v>657</v>
      </c>
      <c r="E146" s="106">
        <v>510</v>
      </c>
      <c r="F146">
        <v>2.82</v>
      </c>
      <c r="G146">
        <v>7.1999999999999995E-2</v>
      </c>
      <c r="H146">
        <v>6.7</v>
      </c>
      <c r="I146" t="s">
        <v>660</v>
      </c>
      <c r="J146" s="105">
        <v>43556</v>
      </c>
      <c r="K146" s="105">
        <v>43921</v>
      </c>
    </row>
    <row r="147" spans="1:11" x14ac:dyDescent="0.3">
      <c r="A147" t="str">
        <f t="shared" si="2"/>
        <v>235812019/2020</v>
      </c>
      <c r="B147">
        <v>23</v>
      </c>
      <c r="C147" t="s">
        <v>673</v>
      </c>
      <c r="D147" t="s">
        <v>657</v>
      </c>
      <c r="E147" s="106">
        <v>581</v>
      </c>
      <c r="F147">
        <v>1.88</v>
      </c>
      <c r="G147">
        <v>6.4000000000000001E-2</v>
      </c>
      <c r="H147">
        <v>3.12</v>
      </c>
      <c r="I147" t="s">
        <v>660</v>
      </c>
      <c r="J147" s="105">
        <v>43556</v>
      </c>
      <c r="K147" s="105">
        <v>43921</v>
      </c>
    </row>
    <row r="148" spans="1:11" x14ac:dyDescent="0.3">
      <c r="A148" t="str">
        <f t="shared" si="2"/>
        <v>102002018/2019</v>
      </c>
      <c r="B148">
        <v>10</v>
      </c>
      <c r="C148" t="s">
        <v>672</v>
      </c>
      <c r="D148" t="s">
        <v>654</v>
      </c>
      <c r="E148" s="106">
        <v>200</v>
      </c>
      <c r="F148">
        <v>0</v>
      </c>
      <c r="G148">
        <v>0</v>
      </c>
      <c r="H148">
        <v>0</v>
      </c>
      <c r="I148" t="s">
        <v>659</v>
      </c>
      <c r="J148" s="105">
        <v>43191</v>
      </c>
      <c r="K148" s="105">
        <v>43555</v>
      </c>
    </row>
    <row r="149" spans="1:11" x14ac:dyDescent="0.3">
      <c r="A149" t="str">
        <f t="shared" si="2"/>
        <v>112472018/2019</v>
      </c>
      <c r="B149">
        <v>11</v>
      </c>
      <c r="C149" t="s">
        <v>672</v>
      </c>
      <c r="D149" t="s">
        <v>654</v>
      </c>
      <c r="E149" s="106">
        <v>247</v>
      </c>
      <c r="F149">
        <v>0</v>
      </c>
      <c r="G149">
        <v>0</v>
      </c>
      <c r="H149">
        <v>0</v>
      </c>
      <c r="I149" t="s">
        <v>659</v>
      </c>
      <c r="J149" s="105">
        <v>43191</v>
      </c>
      <c r="K149" s="105">
        <v>43555</v>
      </c>
    </row>
    <row r="150" spans="1:11" x14ac:dyDescent="0.3">
      <c r="A150" t="str">
        <f t="shared" si="2"/>
        <v>122002018/2019</v>
      </c>
      <c r="B150">
        <v>12</v>
      </c>
      <c r="C150" t="s">
        <v>672</v>
      </c>
      <c r="D150" t="s">
        <v>654</v>
      </c>
      <c r="E150" s="106">
        <v>200</v>
      </c>
      <c r="F150">
        <v>0</v>
      </c>
      <c r="G150">
        <v>0</v>
      </c>
      <c r="H150">
        <v>0</v>
      </c>
      <c r="I150" t="s">
        <v>659</v>
      </c>
      <c r="J150" s="105">
        <v>43191</v>
      </c>
      <c r="K150" s="105">
        <v>43555</v>
      </c>
    </row>
    <row r="151" spans="1:11" x14ac:dyDescent="0.3">
      <c r="A151" t="str">
        <f t="shared" si="2"/>
        <v>132802018/2019</v>
      </c>
      <c r="B151">
        <v>13</v>
      </c>
      <c r="C151" t="s">
        <v>672</v>
      </c>
      <c r="D151" t="s">
        <v>654</v>
      </c>
      <c r="E151" s="106">
        <v>280</v>
      </c>
      <c r="F151">
        <v>0</v>
      </c>
      <c r="G151">
        <v>0</v>
      </c>
      <c r="H151">
        <v>0</v>
      </c>
      <c r="I151" t="s">
        <v>659</v>
      </c>
      <c r="J151" s="105">
        <v>43191</v>
      </c>
      <c r="K151" s="105">
        <v>43555</v>
      </c>
    </row>
    <row r="152" spans="1:11" x14ac:dyDescent="0.3">
      <c r="A152" t="str">
        <f t="shared" si="2"/>
        <v>146332018/2019</v>
      </c>
      <c r="B152">
        <v>14</v>
      </c>
      <c r="C152" t="s">
        <v>672</v>
      </c>
      <c r="D152" t="s">
        <v>654</v>
      </c>
      <c r="E152" s="106">
        <v>633</v>
      </c>
      <c r="F152">
        <v>0</v>
      </c>
      <c r="G152">
        <v>0</v>
      </c>
      <c r="H152">
        <v>0</v>
      </c>
      <c r="I152" t="s">
        <v>659</v>
      </c>
      <c r="J152" s="105">
        <v>43191</v>
      </c>
      <c r="K152" s="105">
        <v>43555</v>
      </c>
    </row>
    <row r="153" spans="1:11" x14ac:dyDescent="0.3">
      <c r="A153" t="str">
        <f t="shared" si="2"/>
        <v>152782018/2019</v>
      </c>
      <c r="B153">
        <v>15</v>
      </c>
      <c r="C153" t="s">
        <v>672</v>
      </c>
      <c r="D153" t="s">
        <v>654</v>
      </c>
      <c r="E153" s="106">
        <v>278</v>
      </c>
      <c r="F153">
        <v>0</v>
      </c>
      <c r="G153">
        <v>0</v>
      </c>
      <c r="H153">
        <v>0</v>
      </c>
      <c r="I153" t="s">
        <v>659</v>
      </c>
      <c r="J153" s="105">
        <v>43191</v>
      </c>
      <c r="K153" s="105">
        <v>43555</v>
      </c>
    </row>
    <row r="154" spans="1:11" x14ac:dyDescent="0.3">
      <c r="A154" t="str">
        <f t="shared" si="2"/>
        <v>168312018/2019</v>
      </c>
      <c r="B154">
        <v>16</v>
      </c>
      <c r="C154" t="s">
        <v>672</v>
      </c>
      <c r="D154" t="s">
        <v>654</v>
      </c>
      <c r="E154" s="106">
        <v>831</v>
      </c>
      <c r="F154">
        <v>0</v>
      </c>
      <c r="G154">
        <v>0</v>
      </c>
      <c r="H154">
        <v>0</v>
      </c>
      <c r="I154" t="s">
        <v>659</v>
      </c>
      <c r="J154" s="105">
        <v>43191</v>
      </c>
      <c r="K154" s="105">
        <v>43555</v>
      </c>
    </row>
    <row r="155" spans="1:11" x14ac:dyDescent="0.3">
      <c r="A155" t="str">
        <f t="shared" si="2"/>
        <v>175072018/2019</v>
      </c>
      <c r="B155">
        <v>17</v>
      </c>
      <c r="C155" t="s">
        <v>672</v>
      </c>
      <c r="D155" t="s">
        <v>654</v>
      </c>
      <c r="E155" s="106">
        <v>507</v>
      </c>
      <c r="F155">
        <v>0</v>
      </c>
      <c r="G155">
        <v>0</v>
      </c>
      <c r="H155">
        <v>0</v>
      </c>
      <c r="I155" t="s">
        <v>659</v>
      </c>
      <c r="J155" s="105">
        <v>43191</v>
      </c>
      <c r="K155" s="105">
        <v>43555</v>
      </c>
    </row>
    <row r="156" spans="1:11" x14ac:dyDescent="0.3">
      <c r="A156" t="str">
        <f t="shared" si="2"/>
        <v>182802018/2019</v>
      </c>
      <c r="B156">
        <v>18</v>
      </c>
      <c r="C156" t="s">
        <v>672</v>
      </c>
      <c r="D156" t="s">
        <v>654</v>
      </c>
      <c r="E156" s="106">
        <v>280</v>
      </c>
      <c r="F156">
        <v>0</v>
      </c>
      <c r="G156">
        <v>0</v>
      </c>
      <c r="H156">
        <v>0</v>
      </c>
      <c r="I156" t="s">
        <v>659</v>
      </c>
      <c r="J156" s="105">
        <v>43191</v>
      </c>
      <c r="K156" s="105">
        <v>43555</v>
      </c>
    </row>
    <row r="157" spans="1:11" x14ac:dyDescent="0.3">
      <c r="A157" t="str">
        <f t="shared" si="2"/>
        <v>192002018/2019</v>
      </c>
      <c r="B157">
        <v>19</v>
      </c>
      <c r="C157" t="s">
        <v>672</v>
      </c>
      <c r="D157" t="s">
        <v>654</v>
      </c>
      <c r="E157" s="106">
        <v>200</v>
      </c>
      <c r="F157">
        <v>0</v>
      </c>
      <c r="G157">
        <v>0</v>
      </c>
      <c r="H157">
        <v>0</v>
      </c>
      <c r="I157" t="s">
        <v>659</v>
      </c>
      <c r="J157" s="105">
        <v>43191</v>
      </c>
      <c r="K157" s="105">
        <v>43555</v>
      </c>
    </row>
    <row r="158" spans="1:11" x14ac:dyDescent="0.3">
      <c r="A158" t="str">
        <f t="shared" si="2"/>
        <v>201662018/2019</v>
      </c>
      <c r="B158">
        <v>20</v>
      </c>
      <c r="C158" t="s">
        <v>672</v>
      </c>
      <c r="D158" t="s">
        <v>654</v>
      </c>
      <c r="E158" s="106">
        <v>166</v>
      </c>
      <c r="F158">
        <v>0</v>
      </c>
      <c r="G158">
        <v>0</v>
      </c>
      <c r="H158">
        <v>0</v>
      </c>
      <c r="I158" t="s">
        <v>659</v>
      </c>
      <c r="J158" s="105">
        <v>43191</v>
      </c>
      <c r="K158" s="105">
        <v>43555</v>
      </c>
    </row>
    <row r="159" spans="1:11" x14ac:dyDescent="0.3">
      <c r="A159" t="str">
        <f t="shared" si="2"/>
        <v>204572018/2019</v>
      </c>
      <c r="B159">
        <v>20</v>
      </c>
      <c r="C159" t="s">
        <v>672</v>
      </c>
      <c r="D159" t="s">
        <v>654</v>
      </c>
      <c r="E159" s="106">
        <v>457</v>
      </c>
      <c r="F159">
        <v>0</v>
      </c>
      <c r="G159">
        <v>0</v>
      </c>
      <c r="H159">
        <v>0</v>
      </c>
      <c r="I159" t="s">
        <v>659</v>
      </c>
      <c r="J159" s="105">
        <v>43191</v>
      </c>
      <c r="K159" s="105">
        <v>43555</v>
      </c>
    </row>
    <row r="160" spans="1:11" x14ac:dyDescent="0.3">
      <c r="A160" t="str">
        <f t="shared" si="2"/>
        <v>211172018/2019</v>
      </c>
      <c r="B160">
        <v>21</v>
      </c>
      <c r="C160" t="s">
        <v>672</v>
      </c>
      <c r="D160" t="s">
        <v>654</v>
      </c>
      <c r="E160" s="106">
        <v>117</v>
      </c>
      <c r="F160">
        <v>0</v>
      </c>
      <c r="G160">
        <v>0</v>
      </c>
      <c r="H160">
        <v>0</v>
      </c>
      <c r="I160" t="s">
        <v>659</v>
      </c>
      <c r="J160" s="105">
        <v>43191</v>
      </c>
      <c r="K160" s="105">
        <v>43555</v>
      </c>
    </row>
    <row r="161" spans="1:11" x14ac:dyDescent="0.3">
      <c r="A161" t="str">
        <f t="shared" si="2"/>
        <v>222032018/2019</v>
      </c>
      <c r="B161">
        <v>22</v>
      </c>
      <c r="C161" t="s">
        <v>672</v>
      </c>
      <c r="D161" t="s">
        <v>654</v>
      </c>
      <c r="E161" s="106">
        <v>203</v>
      </c>
      <c r="F161">
        <v>0</v>
      </c>
      <c r="G161">
        <v>0</v>
      </c>
      <c r="H161">
        <v>0</v>
      </c>
      <c r="I161" t="s">
        <v>659</v>
      </c>
      <c r="J161" s="105">
        <v>43191</v>
      </c>
      <c r="K161" s="105">
        <v>43555</v>
      </c>
    </row>
    <row r="162" spans="1:11" x14ac:dyDescent="0.3">
      <c r="A162" t="str">
        <f t="shared" si="2"/>
        <v>232992018/2019</v>
      </c>
      <c r="B162">
        <v>23</v>
      </c>
      <c r="C162" t="s">
        <v>672</v>
      </c>
      <c r="D162" t="s">
        <v>654</v>
      </c>
      <c r="E162" s="106">
        <v>299</v>
      </c>
      <c r="F162">
        <v>0</v>
      </c>
      <c r="G162">
        <v>0</v>
      </c>
      <c r="H162">
        <v>0</v>
      </c>
      <c r="I162" t="s">
        <v>659</v>
      </c>
      <c r="J162" s="105">
        <v>43191</v>
      </c>
      <c r="K162" s="105">
        <v>43555</v>
      </c>
    </row>
    <row r="163" spans="1:11" x14ac:dyDescent="0.3">
      <c r="A163" t="str">
        <f t="shared" si="2"/>
        <v>100862018/2019</v>
      </c>
      <c r="B163">
        <v>10</v>
      </c>
      <c r="C163" t="s">
        <v>673</v>
      </c>
      <c r="D163" t="s">
        <v>655</v>
      </c>
      <c r="E163" s="106" t="s">
        <v>634</v>
      </c>
      <c r="F163">
        <v>3.06</v>
      </c>
      <c r="G163">
        <v>0.29499999999999998</v>
      </c>
      <c r="H163">
        <v>6.96</v>
      </c>
      <c r="I163" t="s">
        <v>659</v>
      </c>
      <c r="J163" s="105">
        <v>43191</v>
      </c>
      <c r="K163" s="105">
        <v>43555</v>
      </c>
    </row>
    <row r="164" spans="1:11" x14ac:dyDescent="0.3">
      <c r="A164" t="str">
        <f t="shared" si="2"/>
        <v>110582018/2019</v>
      </c>
      <c r="B164">
        <v>11</v>
      </c>
      <c r="C164" t="s">
        <v>673</v>
      </c>
      <c r="D164" t="s">
        <v>655</v>
      </c>
      <c r="E164" s="106" t="s">
        <v>629</v>
      </c>
      <c r="F164">
        <v>2.6</v>
      </c>
      <c r="G164">
        <v>0.161</v>
      </c>
      <c r="H164">
        <v>5.79</v>
      </c>
      <c r="I164" t="s">
        <v>659</v>
      </c>
      <c r="J164" s="105">
        <v>43191</v>
      </c>
      <c r="K164" s="105">
        <v>43555</v>
      </c>
    </row>
    <row r="165" spans="1:11" x14ac:dyDescent="0.3">
      <c r="A165" t="str">
        <f t="shared" si="2"/>
        <v>119902018/2019</v>
      </c>
      <c r="B165">
        <v>11</v>
      </c>
      <c r="C165" t="s">
        <v>673</v>
      </c>
      <c r="D165" t="s">
        <v>655</v>
      </c>
      <c r="E165" s="106">
        <v>990</v>
      </c>
      <c r="F165">
        <v>2.6</v>
      </c>
      <c r="G165">
        <v>0.161</v>
      </c>
      <c r="H165">
        <v>5.79</v>
      </c>
      <c r="I165" t="s">
        <v>659</v>
      </c>
      <c r="J165" s="105">
        <v>43191</v>
      </c>
      <c r="K165" s="105">
        <v>43555</v>
      </c>
    </row>
    <row r="166" spans="1:11" x14ac:dyDescent="0.3">
      <c r="A166" t="str">
        <f t="shared" si="2"/>
        <v>120092018/2019</v>
      </c>
      <c r="B166">
        <v>12</v>
      </c>
      <c r="C166" t="s">
        <v>673</v>
      </c>
      <c r="D166" t="s">
        <v>655</v>
      </c>
      <c r="E166" s="106" t="s">
        <v>406</v>
      </c>
      <c r="F166">
        <v>3.96</v>
      </c>
      <c r="G166">
        <v>0.36</v>
      </c>
      <c r="H166">
        <v>6.21</v>
      </c>
      <c r="I166" t="s">
        <v>659</v>
      </c>
      <c r="J166" s="105">
        <v>43191</v>
      </c>
      <c r="K166" s="105">
        <v>43555</v>
      </c>
    </row>
    <row r="167" spans="1:11" x14ac:dyDescent="0.3">
      <c r="A167" t="str">
        <f t="shared" si="2"/>
        <v>135112018/2019</v>
      </c>
      <c r="B167">
        <v>13</v>
      </c>
      <c r="C167" t="s">
        <v>673</v>
      </c>
      <c r="D167" t="s">
        <v>655</v>
      </c>
      <c r="E167" s="106">
        <v>511</v>
      </c>
      <c r="F167">
        <v>2.41</v>
      </c>
      <c r="G167">
        <v>0.371</v>
      </c>
      <c r="H167">
        <v>4.28</v>
      </c>
      <c r="I167" t="s">
        <v>659</v>
      </c>
      <c r="J167" s="105">
        <v>43191</v>
      </c>
      <c r="K167" s="105">
        <v>43555</v>
      </c>
    </row>
    <row r="168" spans="1:11" x14ac:dyDescent="0.3">
      <c r="A168" t="str">
        <f t="shared" si="2"/>
        <v>135912018/2019</v>
      </c>
      <c r="B168">
        <v>13</v>
      </c>
      <c r="C168" t="s">
        <v>673</v>
      </c>
      <c r="D168" t="s">
        <v>655</v>
      </c>
      <c r="E168" s="106">
        <v>591</v>
      </c>
      <c r="F168">
        <v>2.41</v>
      </c>
      <c r="G168">
        <v>0.371</v>
      </c>
      <c r="H168">
        <v>4.28</v>
      </c>
      <c r="I168" t="s">
        <v>659</v>
      </c>
      <c r="J168" s="105">
        <v>43191</v>
      </c>
      <c r="K168" s="105">
        <v>43555</v>
      </c>
    </row>
    <row r="169" spans="1:11" x14ac:dyDescent="0.3">
      <c r="A169" t="str">
        <f t="shared" si="2"/>
        <v>141272018/2019</v>
      </c>
      <c r="B169">
        <v>14</v>
      </c>
      <c r="C169" t="s">
        <v>673</v>
      </c>
      <c r="D169" t="s">
        <v>655</v>
      </c>
      <c r="E169" s="106">
        <v>127</v>
      </c>
      <c r="F169">
        <v>3.68</v>
      </c>
      <c r="G169">
        <v>0.17</v>
      </c>
      <c r="H169">
        <v>7.58</v>
      </c>
      <c r="I169" t="s">
        <v>659</v>
      </c>
      <c r="J169" s="105">
        <v>43191</v>
      </c>
      <c r="K169" s="105">
        <v>43555</v>
      </c>
    </row>
    <row r="170" spans="1:11" x14ac:dyDescent="0.3">
      <c r="A170" t="str">
        <f t="shared" si="2"/>
        <v>141292018/2019</v>
      </c>
      <c r="B170">
        <v>14</v>
      </c>
      <c r="C170" t="s">
        <v>673</v>
      </c>
      <c r="D170" t="s">
        <v>655</v>
      </c>
      <c r="E170" s="106">
        <v>129</v>
      </c>
      <c r="F170">
        <v>3.68</v>
      </c>
      <c r="G170">
        <v>0.17</v>
      </c>
      <c r="H170">
        <v>7.58</v>
      </c>
      <c r="I170" t="s">
        <v>659</v>
      </c>
      <c r="J170" s="105">
        <v>43191</v>
      </c>
      <c r="K170" s="105">
        <v>43555</v>
      </c>
    </row>
    <row r="171" spans="1:11" x14ac:dyDescent="0.3">
      <c r="A171" t="str">
        <f t="shared" si="2"/>
        <v>152512018/2019</v>
      </c>
      <c r="B171">
        <v>15</v>
      </c>
      <c r="C171" t="s">
        <v>673</v>
      </c>
      <c r="D171" t="s">
        <v>655</v>
      </c>
      <c r="E171" s="106">
        <v>251</v>
      </c>
      <c r="F171">
        <v>2.1</v>
      </c>
      <c r="G171">
        <v>0.16800000000000001</v>
      </c>
      <c r="H171">
        <v>4.87</v>
      </c>
      <c r="I171" t="s">
        <v>659</v>
      </c>
      <c r="J171" s="105">
        <v>43191</v>
      </c>
      <c r="K171" s="105">
        <v>43555</v>
      </c>
    </row>
    <row r="172" spans="1:11" x14ac:dyDescent="0.3">
      <c r="A172" t="str">
        <f t="shared" si="2"/>
        <v>168012018/2019</v>
      </c>
      <c r="B172">
        <v>16</v>
      </c>
      <c r="C172" t="s">
        <v>673</v>
      </c>
      <c r="D172" t="s">
        <v>655</v>
      </c>
      <c r="E172" s="106">
        <v>801</v>
      </c>
      <c r="F172">
        <v>3.41</v>
      </c>
      <c r="G172">
        <v>0.16400000000000001</v>
      </c>
      <c r="H172">
        <v>5.19</v>
      </c>
      <c r="I172" t="s">
        <v>659</v>
      </c>
      <c r="J172" s="105">
        <v>43191</v>
      </c>
      <c r="K172" s="105">
        <v>43555</v>
      </c>
    </row>
    <row r="173" spans="1:11" x14ac:dyDescent="0.3">
      <c r="A173" t="str">
        <f t="shared" si="2"/>
        <v>175002018/2019</v>
      </c>
      <c r="B173">
        <v>17</v>
      </c>
      <c r="C173" t="s">
        <v>673</v>
      </c>
      <c r="D173" t="s">
        <v>655</v>
      </c>
      <c r="E173" s="106">
        <v>500</v>
      </c>
      <c r="F173">
        <v>5.4</v>
      </c>
      <c r="G173">
        <v>0.23499999999999999</v>
      </c>
      <c r="H173">
        <v>9.02</v>
      </c>
      <c r="I173" t="s">
        <v>659</v>
      </c>
      <c r="J173" s="105">
        <v>43191</v>
      </c>
      <c r="K173" s="105">
        <v>43555</v>
      </c>
    </row>
    <row r="174" spans="1:11" x14ac:dyDescent="0.3">
      <c r="A174" t="str">
        <f t="shared" si="2"/>
        <v>185002018/2019</v>
      </c>
      <c r="B174">
        <v>18</v>
      </c>
      <c r="C174" t="s">
        <v>673</v>
      </c>
      <c r="D174" t="s">
        <v>655</v>
      </c>
      <c r="E174" s="106">
        <v>500</v>
      </c>
      <c r="F174">
        <v>2.4500000000000002</v>
      </c>
      <c r="G174">
        <v>0.186</v>
      </c>
      <c r="H174">
        <v>3.59</v>
      </c>
      <c r="I174" t="s">
        <v>659</v>
      </c>
      <c r="J174" s="105">
        <v>43191</v>
      </c>
      <c r="K174" s="105">
        <v>43555</v>
      </c>
    </row>
    <row r="175" spans="1:11" x14ac:dyDescent="0.3">
      <c r="A175" t="str">
        <f t="shared" si="2"/>
        <v>185042018/2019</v>
      </c>
      <c r="B175">
        <v>18</v>
      </c>
      <c r="C175" t="s">
        <v>673</v>
      </c>
      <c r="D175" t="s">
        <v>655</v>
      </c>
      <c r="E175" s="106">
        <v>504</v>
      </c>
      <c r="F175">
        <v>2.4500000000000002</v>
      </c>
      <c r="G175">
        <v>0.186</v>
      </c>
      <c r="H175">
        <v>3.59</v>
      </c>
      <c r="I175" t="s">
        <v>659</v>
      </c>
      <c r="J175" s="105">
        <v>43191</v>
      </c>
      <c r="K175" s="105">
        <v>43555</v>
      </c>
    </row>
    <row r="176" spans="1:11" x14ac:dyDescent="0.3">
      <c r="A176" t="str">
        <f t="shared" si="2"/>
        <v>195502018/2019</v>
      </c>
      <c r="B176">
        <v>19</v>
      </c>
      <c r="C176" t="s">
        <v>673</v>
      </c>
      <c r="D176" t="s">
        <v>655</v>
      </c>
      <c r="E176" s="106">
        <v>550</v>
      </c>
      <c r="F176">
        <v>3.12</v>
      </c>
      <c r="G176">
        <v>0.23799999999999999</v>
      </c>
      <c r="H176">
        <v>6.38</v>
      </c>
      <c r="I176" t="s">
        <v>659</v>
      </c>
      <c r="J176" s="105">
        <v>43191</v>
      </c>
      <c r="K176" s="105">
        <v>43555</v>
      </c>
    </row>
    <row r="177" spans="1:11" x14ac:dyDescent="0.3">
      <c r="A177" t="str">
        <f t="shared" si="2"/>
        <v>204532018/2019</v>
      </c>
      <c r="B177">
        <v>20</v>
      </c>
      <c r="C177" t="s">
        <v>673</v>
      </c>
      <c r="D177" t="s">
        <v>655</v>
      </c>
      <c r="E177" s="106">
        <v>453</v>
      </c>
      <c r="F177">
        <v>2.38</v>
      </c>
      <c r="G177">
        <v>0.193</v>
      </c>
      <c r="H177">
        <v>4.29</v>
      </c>
      <c r="I177" t="s">
        <v>659</v>
      </c>
      <c r="J177" s="105">
        <v>43191</v>
      </c>
      <c r="K177" s="105">
        <v>43555</v>
      </c>
    </row>
    <row r="178" spans="1:11" x14ac:dyDescent="0.3">
      <c r="A178" t="str">
        <f t="shared" si="2"/>
        <v>204702018/2019</v>
      </c>
      <c r="B178">
        <v>20</v>
      </c>
      <c r="C178" t="s">
        <v>673</v>
      </c>
      <c r="D178" t="s">
        <v>655</v>
      </c>
      <c r="E178" s="106">
        <v>470</v>
      </c>
      <c r="F178">
        <v>2.38</v>
      </c>
      <c r="G178">
        <v>0.193</v>
      </c>
      <c r="H178">
        <v>4.29</v>
      </c>
      <c r="I178" t="s">
        <v>659</v>
      </c>
      <c r="J178" s="105">
        <v>43191</v>
      </c>
      <c r="K178" s="105">
        <v>43555</v>
      </c>
    </row>
    <row r="179" spans="1:11" x14ac:dyDescent="0.3">
      <c r="A179" t="str">
        <f t="shared" si="2"/>
        <v>213002018/2019</v>
      </c>
      <c r="B179">
        <v>21</v>
      </c>
      <c r="C179" t="s">
        <v>673</v>
      </c>
      <c r="D179" t="s">
        <v>655</v>
      </c>
      <c r="E179" s="106">
        <v>300</v>
      </c>
      <c r="F179">
        <v>2.88</v>
      </c>
      <c r="G179">
        <v>0.22</v>
      </c>
      <c r="H179">
        <v>6.36</v>
      </c>
      <c r="I179" t="s">
        <v>659</v>
      </c>
      <c r="J179" s="105">
        <v>43191</v>
      </c>
      <c r="K179" s="105">
        <v>43555</v>
      </c>
    </row>
    <row r="180" spans="1:11" x14ac:dyDescent="0.3">
      <c r="A180" t="str">
        <f t="shared" si="2"/>
        <v>225702018/2019</v>
      </c>
      <c r="B180">
        <v>22</v>
      </c>
      <c r="C180" t="s">
        <v>673</v>
      </c>
      <c r="D180" t="s">
        <v>655</v>
      </c>
      <c r="E180" s="106">
        <v>570</v>
      </c>
      <c r="F180">
        <v>3.05</v>
      </c>
      <c r="G180">
        <v>0.151</v>
      </c>
      <c r="H180">
        <v>6.95</v>
      </c>
      <c r="I180" t="s">
        <v>659</v>
      </c>
      <c r="J180" s="105">
        <v>43191</v>
      </c>
      <c r="K180" s="105">
        <v>43555</v>
      </c>
    </row>
    <row r="181" spans="1:11" x14ac:dyDescent="0.3">
      <c r="A181" t="str">
        <f t="shared" si="2"/>
        <v>232812018/2019</v>
      </c>
      <c r="B181">
        <v>23</v>
      </c>
      <c r="C181" t="s">
        <v>673</v>
      </c>
      <c r="D181" t="s">
        <v>655</v>
      </c>
      <c r="E181" s="106">
        <v>281</v>
      </c>
      <c r="F181">
        <v>1.25</v>
      </c>
      <c r="G181">
        <v>0.16200000000000001</v>
      </c>
      <c r="H181">
        <v>2.9</v>
      </c>
      <c r="I181" t="s">
        <v>659</v>
      </c>
      <c r="J181" s="105">
        <v>43191</v>
      </c>
      <c r="K181" s="105">
        <v>43555</v>
      </c>
    </row>
    <row r="182" spans="1:11" x14ac:dyDescent="0.3">
      <c r="A182" t="str">
        <f t="shared" si="2"/>
        <v>100802018/2019</v>
      </c>
      <c r="B182">
        <v>10</v>
      </c>
      <c r="C182" t="s">
        <v>673</v>
      </c>
      <c r="D182" t="s">
        <v>656</v>
      </c>
      <c r="E182" s="106" t="s">
        <v>620</v>
      </c>
      <c r="F182">
        <v>4.5999999999999996</v>
      </c>
      <c r="G182">
        <v>0.191</v>
      </c>
      <c r="H182">
        <v>6.18</v>
      </c>
      <c r="I182" t="s">
        <v>659</v>
      </c>
      <c r="J182" s="105">
        <v>43191</v>
      </c>
      <c r="K182" s="105">
        <v>43555</v>
      </c>
    </row>
    <row r="183" spans="1:11" x14ac:dyDescent="0.3">
      <c r="A183" t="str">
        <f t="shared" si="2"/>
        <v>110592018/2019</v>
      </c>
      <c r="B183">
        <v>11</v>
      </c>
      <c r="C183" t="s">
        <v>673</v>
      </c>
      <c r="D183" t="s">
        <v>656</v>
      </c>
      <c r="E183" s="106" t="s">
        <v>482</v>
      </c>
      <c r="F183">
        <v>3.52</v>
      </c>
      <c r="G183">
        <v>0.11</v>
      </c>
      <c r="H183">
        <v>5.63</v>
      </c>
      <c r="I183" t="s">
        <v>659</v>
      </c>
      <c r="J183" s="105">
        <v>43191</v>
      </c>
      <c r="K183" s="105">
        <v>43555</v>
      </c>
    </row>
    <row r="184" spans="1:11" x14ac:dyDescent="0.3">
      <c r="A184" t="str">
        <f t="shared" si="2"/>
        <v>127562018/2019</v>
      </c>
      <c r="B184">
        <v>12</v>
      </c>
      <c r="C184" t="s">
        <v>673</v>
      </c>
      <c r="D184" t="s">
        <v>656</v>
      </c>
      <c r="E184" s="106">
        <v>756</v>
      </c>
      <c r="F184">
        <v>7.24</v>
      </c>
      <c r="G184">
        <v>0.22900000000000001</v>
      </c>
      <c r="H184">
        <v>8.2799999999999994</v>
      </c>
      <c r="I184" t="s">
        <v>659</v>
      </c>
      <c r="J184" s="105">
        <v>43191</v>
      </c>
      <c r="K184" s="105">
        <v>43555</v>
      </c>
    </row>
    <row r="185" spans="1:11" x14ac:dyDescent="0.3">
      <c r="A185" t="str">
        <f t="shared" si="2"/>
        <v>135132018/2019</v>
      </c>
      <c r="B185">
        <v>13</v>
      </c>
      <c r="C185" t="s">
        <v>673</v>
      </c>
      <c r="D185" t="s">
        <v>656</v>
      </c>
      <c r="E185" s="106">
        <v>513</v>
      </c>
      <c r="F185">
        <v>5.03</v>
      </c>
      <c r="G185">
        <v>0.26400000000000001</v>
      </c>
      <c r="H185">
        <v>6.96</v>
      </c>
      <c r="I185" t="s">
        <v>659</v>
      </c>
      <c r="J185" s="105">
        <v>43191</v>
      </c>
      <c r="K185" s="105">
        <v>43555</v>
      </c>
    </row>
    <row r="186" spans="1:11" x14ac:dyDescent="0.3">
      <c r="A186" t="str">
        <f t="shared" si="2"/>
        <v>135922018/2019</v>
      </c>
      <c r="B186">
        <v>13</v>
      </c>
      <c r="C186" t="s">
        <v>673</v>
      </c>
      <c r="D186" t="s">
        <v>656</v>
      </c>
      <c r="E186" s="106">
        <v>592</v>
      </c>
      <c r="F186">
        <v>5.03</v>
      </c>
      <c r="G186">
        <v>0.26400000000000001</v>
      </c>
      <c r="H186">
        <v>6.96</v>
      </c>
      <c r="I186" t="s">
        <v>659</v>
      </c>
      <c r="J186" s="105">
        <v>43191</v>
      </c>
      <c r="K186" s="105">
        <v>43555</v>
      </c>
    </row>
    <row r="187" spans="1:11" x14ac:dyDescent="0.3">
      <c r="A187" t="str">
        <f t="shared" si="2"/>
        <v>141282018/2019</v>
      </c>
      <c r="B187">
        <v>14</v>
      </c>
      <c r="C187" t="s">
        <v>673</v>
      </c>
      <c r="D187" t="s">
        <v>656</v>
      </c>
      <c r="E187" s="106">
        <v>128</v>
      </c>
      <c r="F187">
        <v>4.71</v>
      </c>
      <c r="G187">
        <v>0.109</v>
      </c>
      <c r="H187">
        <v>6.89</v>
      </c>
      <c r="I187" t="s">
        <v>659</v>
      </c>
      <c r="J187" s="105">
        <v>43191</v>
      </c>
      <c r="K187" s="105">
        <v>43555</v>
      </c>
    </row>
    <row r="188" spans="1:11" x14ac:dyDescent="0.3">
      <c r="A188" t="str">
        <f t="shared" si="2"/>
        <v>152932018/2019</v>
      </c>
      <c r="B188">
        <v>15</v>
      </c>
      <c r="C188" t="s">
        <v>673</v>
      </c>
      <c r="D188" t="s">
        <v>656</v>
      </c>
      <c r="E188" s="106">
        <v>293</v>
      </c>
      <c r="F188">
        <v>2.62</v>
      </c>
      <c r="G188">
        <v>0.104</v>
      </c>
      <c r="H188">
        <v>4.49</v>
      </c>
      <c r="I188" t="s">
        <v>659</v>
      </c>
      <c r="J188" s="105">
        <v>43191</v>
      </c>
      <c r="K188" s="105">
        <v>43555</v>
      </c>
    </row>
    <row r="189" spans="1:11" x14ac:dyDescent="0.3">
      <c r="A189" t="str">
        <f t="shared" si="2"/>
        <v>168022018/2019</v>
      </c>
      <c r="B189">
        <v>16</v>
      </c>
      <c r="C189" t="s">
        <v>673</v>
      </c>
      <c r="D189" t="s">
        <v>656</v>
      </c>
      <c r="E189" s="106">
        <v>802</v>
      </c>
      <c r="F189">
        <v>3.5</v>
      </c>
      <c r="G189">
        <v>0.127</v>
      </c>
      <c r="H189">
        <v>6.36</v>
      </c>
      <c r="I189" t="s">
        <v>659</v>
      </c>
      <c r="J189" s="105">
        <v>43191</v>
      </c>
      <c r="K189" s="105">
        <v>43555</v>
      </c>
    </row>
    <row r="190" spans="1:11" x14ac:dyDescent="0.3">
      <c r="A190" t="str">
        <f t="shared" si="2"/>
        <v>175052018/2019</v>
      </c>
      <c r="B190">
        <v>17</v>
      </c>
      <c r="C190" t="s">
        <v>673</v>
      </c>
      <c r="D190" t="s">
        <v>656</v>
      </c>
      <c r="E190" s="106">
        <v>505</v>
      </c>
      <c r="F190">
        <v>8.64</v>
      </c>
      <c r="G190">
        <v>0.127</v>
      </c>
      <c r="H190">
        <v>11.59</v>
      </c>
      <c r="I190" t="s">
        <v>659</v>
      </c>
      <c r="J190" s="105">
        <v>43191</v>
      </c>
      <c r="K190" s="105">
        <v>43555</v>
      </c>
    </row>
    <row r="191" spans="1:11" x14ac:dyDescent="0.3">
      <c r="A191" t="str">
        <f t="shared" si="2"/>
        <v>185062018/2019</v>
      </c>
      <c r="B191">
        <v>18</v>
      </c>
      <c r="C191" t="s">
        <v>673</v>
      </c>
      <c r="D191" t="s">
        <v>656</v>
      </c>
      <c r="E191" s="106">
        <v>506</v>
      </c>
      <c r="F191">
        <v>4.46</v>
      </c>
      <c r="G191">
        <v>9.8000000000000004E-2</v>
      </c>
      <c r="H191">
        <v>5.08</v>
      </c>
      <c r="I191" t="s">
        <v>659</v>
      </c>
      <c r="J191" s="105">
        <v>43191</v>
      </c>
      <c r="K191" s="105">
        <v>43555</v>
      </c>
    </row>
    <row r="192" spans="1:11" x14ac:dyDescent="0.3">
      <c r="A192" t="str">
        <f t="shared" si="2"/>
        <v>185072018/2019</v>
      </c>
      <c r="B192">
        <v>18</v>
      </c>
      <c r="C192" t="s">
        <v>673</v>
      </c>
      <c r="D192" t="s">
        <v>656</v>
      </c>
      <c r="E192" s="106">
        <v>507</v>
      </c>
      <c r="F192">
        <v>4.46</v>
      </c>
      <c r="G192">
        <v>9.8000000000000004E-2</v>
      </c>
      <c r="H192">
        <v>5.08</v>
      </c>
      <c r="I192" t="s">
        <v>659</v>
      </c>
      <c r="J192" s="105">
        <v>43191</v>
      </c>
      <c r="K192" s="105">
        <v>43555</v>
      </c>
    </row>
    <row r="193" spans="1:11" x14ac:dyDescent="0.3">
      <c r="A193" t="str">
        <f t="shared" si="2"/>
        <v>197562018/2019</v>
      </c>
      <c r="B193">
        <v>19</v>
      </c>
      <c r="C193" t="s">
        <v>673</v>
      </c>
      <c r="D193" t="s">
        <v>656</v>
      </c>
      <c r="E193" s="106">
        <v>756</v>
      </c>
      <c r="F193">
        <v>5.13</v>
      </c>
      <c r="G193">
        <v>0.14899999999999999</v>
      </c>
      <c r="H193">
        <v>6.83</v>
      </c>
      <c r="I193" t="s">
        <v>659</v>
      </c>
      <c r="J193" s="105">
        <v>43191</v>
      </c>
      <c r="K193" s="105">
        <v>43555</v>
      </c>
    </row>
    <row r="194" spans="1:11" x14ac:dyDescent="0.3">
      <c r="A194" t="str">
        <f t="shared" ref="A194:A257" si="3">CONCATENATE(B194,E194,I194)</f>
        <v>204552018/2019</v>
      </c>
      <c r="B194">
        <v>20</v>
      </c>
      <c r="C194" t="s">
        <v>673</v>
      </c>
      <c r="D194" t="s">
        <v>656</v>
      </c>
      <c r="E194" s="106">
        <v>455</v>
      </c>
      <c r="F194">
        <v>4.24</v>
      </c>
      <c r="G194">
        <v>0.158</v>
      </c>
      <c r="H194">
        <v>5.69</v>
      </c>
      <c r="I194" t="s">
        <v>659</v>
      </c>
      <c r="J194" s="105">
        <v>43191</v>
      </c>
      <c r="K194" s="105">
        <v>43555</v>
      </c>
    </row>
    <row r="195" spans="1:11" x14ac:dyDescent="0.3">
      <c r="A195" t="str">
        <f t="shared" si="3"/>
        <v>213442018/2019</v>
      </c>
      <c r="B195">
        <v>21</v>
      </c>
      <c r="C195" t="s">
        <v>673</v>
      </c>
      <c r="D195" t="s">
        <v>656</v>
      </c>
      <c r="E195" s="106">
        <v>344</v>
      </c>
      <c r="F195">
        <v>3.36</v>
      </c>
      <c r="G195">
        <v>0.17</v>
      </c>
      <c r="H195">
        <v>6.44</v>
      </c>
      <c r="I195" t="s">
        <v>659</v>
      </c>
      <c r="J195" s="105">
        <v>43191</v>
      </c>
      <c r="K195" s="105">
        <v>43555</v>
      </c>
    </row>
    <row r="196" spans="1:11" x14ac:dyDescent="0.3">
      <c r="A196" t="str">
        <f t="shared" si="3"/>
        <v>225402018/2019</v>
      </c>
      <c r="B196">
        <v>22</v>
      </c>
      <c r="C196" t="s">
        <v>673</v>
      </c>
      <c r="D196" t="s">
        <v>656</v>
      </c>
      <c r="E196" s="106">
        <v>540</v>
      </c>
      <c r="F196">
        <v>3.27</v>
      </c>
      <c r="G196">
        <v>0.107</v>
      </c>
      <c r="H196">
        <v>6.72</v>
      </c>
      <c r="I196" t="s">
        <v>659</v>
      </c>
      <c r="J196" s="105">
        <v>43191</v>
      </c>
      <c r="K196" s="105">
        <v>43555</v>
      </c>
    </row>
    <row r="197" spans="1:11" x14ac:dyDescent="0.3">
      <c r="A197" t="str">
        <f t="shared" si="3"/>
        <v>234712018/2019</v>
      </c>
      <c r="B197">
        <v>23</v>
      </c>
      <c r="C197" t="s">
        <v>673</v>
      </c>
      <c r="D197" t="s">
        <v>656</v>
      </c>
      <c r="E197" s="106">
        <v>471</v>
      </c>
      <c r="F197">
        <v>1.5</v>
      </c>
      <c r="G197">
        <v>0.10199999999999999</v>
      </c>
      <c r="H197">
        <v>2.4900000000000002</v>
      </c>
      <c r="I197" t="s">
        <v>659</v>
      </c>
      <c r="J197" s="105">
        <v>43191</v>
      </c>
      <c r="K197" s="105">
        <v>43555</v>
      </c>
    </row>
    <row r="198" spans="1:11" x14ac:dyDescent="0.3">
      <c r="A198" t="str">
        <f t="shared" si="3"/>
        <v>100842018/2019</v>
      </c>
      <c r="B198">
        <v>10</v>
      </c>
      <c r="C198" t="s">
        <v>673</v>
      </c>
      <c r="D198" t="s">
        <v>657</v>
      </c>
      <c r="E198" s="106" t="s">
        <v>624</v>
      </c>
      <c r="F198">
        <v>3.76</v>
      </c>
      <c r="G198">
        <v>0.155</v>
      </c>
      <c r="H198">
        <v>5.46</v>
      </c>
      <c r="I198" t="s">
        <v>659</v>
      </c>
      <c r="J198" s="105">
        <v>43191</v>
      </c>
      <c r="K198" s="105">
        <v>43555</v>
      </c>
    </row>
    <row r="199" spans="1:11" x14ac:dyDescent="0.3">
      <c r="A199" t="str">
        <f t="shared" si="3"/>
        <v>110602018/2019</v>
      </c>
      <c r="B199">
        <v>11</v>
      </c>
      <c r="C199" t="s">
        <v>673</v>
      </c>
      <c r="D199" t="s">
        <v>657</v>
      </c>
      <c r="E199" s="106" t="s">
        <v>627</v>
      </c>
      <c r="F199">
        <v>4.2</v>
      </c>
      <c r="G199">
        <v>5.8000000000000003E-2</v>
      </c>
      <c r="H199">
        <v>6.46</v>
      </c>
      <c r="I199" t="s">
        <v>659</v>
      </c>
      <c r="J199" s="105">
        <v>43191</v>
      </c>
      <c r="K199" s="105">
        <v>43555</v>
      </c>
    </row>
    <row r="200" spans="1:11" x14ac:dyDescent="0.3">
      <c r="A200" t="str">
        <f t="shared" si="3"/>
        <v>119912018/2019</v>
      </c>
      <c r="B200">
        <v>11</v>
      </c>
      <c r="C200" t="s">
        <v>673</v>
      </c>
      <c r="D200" t="s">
        <v>657</v>
      </c>
      <c r="E200" s="106">
        <v>991</v>
      </c>
      <c r="F200">
        <v>4.2</v>
      </c>
      <c r="G200">
        <v>5.8000000000000003E-2</v>
      </c>
      <c r="H200">
        <v>6.46</v>
      </c>
      <c r="I200" t="s">
        <v>659</v>
      </c>
      <c r="J200" s="105">
        <v>43191</v>
      </c>
      <c r="K200" s="105">
        <v>43555</v>
      </c>
    </row>
    <row r="201" spans="1:11" x14ac:dyDescent="0.3">
      <c r="A201" t="str">
        <f t="shared" si="3"/>
        <v>123592018/2019</v>
      </c>
      <c r="B201">
        <v>12</v>
      </c>
      <c r="C201" t="s">
        <v>673</v>
      </c>
      <c r="D201" t="s">
        <v>657</v>
      </c>
      <c r="E201" s="106">
        <v>359</v>
      </c>
      <c r="F201">
        <v>7.24</v>
      </c>
      <c r="G201">
        <v>0.184</v>
      </c>
      <c r="H201">
        <v>8.18</v>
      </c>
      <c r="I201" t="s">
        <v>659</v>
      </c>
      <c r="J201" s="105">
        <v>43191</v>
      </c>
      <c r="K201" s="105">
        <v>43555</v>
      </c>
    </row>
    <row r="202" spans="1:11" x14ac:dyDescent="0.3">
      <c r="A202" t="str">
        <f t="shared" si="3"/>
        <v>135152018/2019</v>
      </c>
      <c r="B202">
        <v>13</v>
      </c>
      <c r="C202" t="s">
        <v>673</v>
      </c>
      <c r="D202" t="s">
        <v>657</v>
      </c>
      <c r="E202" s="106">
        <v>515</v>
      </c>
      <c r="F202">
        <v>3.95</v>
      </c>
      <c r="G202">
        <v>0.17199999999999999</v>
      </c>
      <c r="H202">
        <v>6.48</v>
      </c>
      <c r="I202" t="s">
        <v>659</v>
      </c>
      <c r="J202" s="105">
        <v>43191</v>
      </c>
      <c r="K202" s="105">
        <v>43555</v>
      </c>
    </row>
    <row r="203" spans="1:11" x14ac:dyDescent="0.3">
      <c r="A203" t="str">
        <f t="shared" si="3"/>
        <v>135932018/2019</v>
      </c>
      <c r="B203">
        <v>13</v>
      </c>
      <c r="C203" t="s">
        <v>673</v>
      </c>
      <c r="D203" t="s">
        <v>657</v>
      </c>
      <c r="E203" s="106">
        <v>593</v>
      </c>
      <c r="F203">
        <v>3.95</v>
      </c>
      <c r="G203">
        <v>0.17199999999999999</v>
      </c>
      <c r="H203">
        <v>6.48</v>
      </c>
      <c r="I203" t="s">
        <v>659</v>
      </c>
      <c r="J203" s="105">
        <v>43191</v>
      </c>
      <c r="K203" s="105">
        <v>43555</v>
      </c>
    </row>
    <row r="204" spans="1:11" x14ac:dyDescent="0.3">
      <c r="A204" t="str">
        <f t="shared" si="3"/>
        <v>143652018/2019</v>
      </c>
      <c r="B204">
        <v>14</v>
      </c>
      <c r="C204" t="s">
        <v>673</v>
      </c>
      <c r="D204" t="s">
        <v>657</v>
      </c>
      <c r="E204" s="106">
        <v>365</v>
      </c>
      <c r="F204">
        <v>4.97</v>
      </c>
      <c r="G204">
        <v>4.9000000000000002E-2</v>
      </c>
      <c r="H204">
        <v>6.93</v>
      </c>
      <c r="I204" t="s">
        <v>659</v>
      </c>
      <c r="J204" s="105">
        <v>43191</v>
      </c>
      <c r="K204" s="105">
        <v>43555</v>
      </c>
    </row>
    <row r="205" spans="1:11" x14ac:dyDescent="0.3">
      <c r="A205" t="str">
        <f t="shared" si="3"/>
        <v>143672018/2019</v>
      </c>
      <c r="B205">
        <v>14</v>
      </c>
      <c r="C205" t="s">
        <v>673</v>
      </c>
      <c r="D205" t="s">
        <v>657</v>
      </c>
      <c r="E205" s="106">
        <v>367</v>
      </c>
      <c r="F205">
        <v>4.97</v>
      </c>
      <c r="G205">
        <v>4.9000000000000002E-2</v>
      </c>
      <c r="H205">
        <v>6.93</v>
      </c>
      <c r="I205" t="s">
        <v>659</v>
      </c>
      <c r="J205" s="105">
        <v>43191</v>
      </c>
      <c r="K205" s="105">
        <v>43555</v>
      </c>
    </row>
    <row r="206" spans="1:11" x14ac:dyDescent="0.3">
      <c r="A206" t="str">
        <f t="shared" si="3"/>
        <v>153012018/2019</v>
      </c>
      <c r="B206">
        <v>15</v>
      </c>
      <c r="C206" t="s">
        <v>673</v>
      </c>
      <c r="D206" t="s">
        <v>657</v>
      </c>
      <c r="E206" s="106">
        <v>301</v>
      </c>
      <c r="F206">
        <v>2.4</v>
      </c>
      <c r="G206">
        <v>6.8000000000000005E-2</v>
      </c>
      <c r="H206">
        <v>4.21</v>
      </c>
      <c r="I206" t="s">
        <v>659</v>
      </c>
      <c r="J206" s="105">
        <v>43191</v>
      </c>
      <c r="K206" s="105">
        <v>43555</v>
      </c>
    </row>
    <row r="207" spans="1:11" x14ac:dyDescent="0.3">
      <c r="A207" t="str">
        <f t="shared" si="3"/>
        <v>168032018/2019</v>
      </c>
      <c r="B207">
        <v>16</v>
      </c>
      <c r="C207" t="s">
        <v>673</v>
      </c>
      <c r="D207" t="s">
        <v>657</v>
      </c>
      <c r="E207" s="106">
        <v>803</v>
      </c>
      <c r="F207">
        <v>2.94</v>
      </c>
      <c r="G207">
        <v>8.5999999999999993E-2</v>
      </c>
      <c r="H207">
        <v>5.96</v>
      </c>
      <c r="I207" t="s">
        <v>659</v>
      </c>
      <c r="J207" s="105">
        <v>43191</v>
      </c>
      <c r="K207" s="105">
        <v>43555</v>
      </c>
    </row>
    <row r="208" spans="1:11" x14ac:dyDescent="0.3">
      <c r="A208" t="str">
        <f t="shared" si="3"/>
        <v>176002018/2019</v>
      </c>
      <c r="B208">
        <v>17</v>
      </c>
      <c r="C208" t="s">
        <v>673</v>
      </c>
      <c r="D208" t="s">
        <v>657</v>
      </c>
      <c r="E208" s="106">
        <v>600</v>
      </c>
      <c r="F208">
        <v>11.11</v>
      </c>
      <c r="G208">
        <v>7.3999999999999996E-2</v>
      </c>
      <c r="H208">
        <v>12.83</v>
      </c>
      <c r="I208" t="s">
        <v>659</v>
      </c>
      <c r="J208" s="105">
        <v>43191</v>
      </c>
      <c r="K208" s="105">
        <v>43555</v>
      </c>
    </row>
    <row r="209" spans="1:11" x14ac:dyDescent="0.3">
      <c r="A209" t="str">
        <f t="shared" si="3"/>
        <v>185012018/2019</v>
      </c>
      <c r="B209">
        <v>18</v>
      </c>
      <c r="C209" t="s">
        <v>673</v>
      </c>
      <c r="D209" t="s">
        <v>657</v>
      </c>
      <c r="E209" s="106">
        <v>501</v>
      </c>
      <c r="F209">
        <v>4.92</v>
      </c>
      <c r="G209">
        <v>5.7000000000000002E-2</v>
      </c>
      <c r="H209">
        <v>6.05</v>
      </c>
      <c r="I209" t="s">
        <v>659</v>
      </c>
      <c r="J209" s="105">
        <v>43191</v>
      </c>
      <c r="K209" s="105">
        <v>43555</v>
      </c>
    </row>
    <row r="210" spans="1:11" x14ac:dyDescent="0.3">
      <c r="A210" t="str">
        <f t="shared" si="3"/>
        <v>185052018/2019</v>
      </c>
      <c r="B210">
        <v>18</v>
      </c>
      <c r="C210" t="s">
        <v>673</v>
      </c>
      <c r="D210" t="s">
        <v>657</v>
      </c>
      <c r="E210" s="106">
        <v>505</v>
      </c>
      <c r="F210">
        <v>4.92</v>
      </c>
      <c r="G210">
        <v>5.7000000000000002E-2</v>
      </c>
      <c r="H210">
        <v>6.05</v>
      </c>
      <c r="I210" t="s">
        <v>659</v>
      </c>
      <c r="J210" s="105">
        <v>43191</v>
      </c>
      <c r="K210" s="105">
        <v>43555</v>
      </c>
    </row>
    <row r="211" spans="1:11" x14ac:dyDescent="0.3">
      <c r="A211" t="str">
        <f t="shared" si="3"/>
        <v>196502018/2019</v>
      </c>
      <c r="B211">
        <v>19</v>
      </c>
      <c r="C211" t="s">
        <v>673</v>
      </c>
      <c r="D211" t="s">
        <v>657</v>
      </c>
      <c r="E211" s="106">
        <v>650</v>
      </c>
      <c r="F211">
        <v>3.77</v>
      </c>
      <c r="G211">
        <v>0.13800000000000001</v>
      </c>
      <c r="H211">
        <v>6.08</v>
      </c>
      <c r="I211" t="s">
        <v>659</v>
      </c>
      <c r="J211" s="105">
        <v>43191</v>
      </c>
      <c r="K211" s="105">
        <v>43555</v>
      </c>
    </row>
    <row r="212" spans="1:11" x14ac:dyDescent="0.3">
      <c r="A212" t="str">
        <f t="shared" si="3"/>
        <v>204762018/2019</v>
      </c>
      <c r="B212">
        <v>20</v>
      </c>
      <c r="C212" t="s">
        <v>673</v>
      </c>
      <c r="D212" t="s">
        <v>657</v>
      </c>
      <c r="E212" s="106">
        <v>476</v>
      </c>
      <c r="F212">
        <v>5.01</v>
      </c>
      <c r="G212">
        <v>8.8999999999999996E-2</v>
      </c>
      <c r="H212">
        <v>6.19</v>
      </c>
      <c r="I212" t="s">
        <v>659</v>
      </c>
      <c r="J212" s="105">
        <v>43191</v>
      </c>
      <c r="K212" s="105">
        <v>43555</v>
      </c>
    </row>
    <row r="213" spans="1:11" x14ac:dyDescent="0.3">
      <c r="A213" t="str">
        <f t="shared" si="3"/>
        <v>206582018/2019</v>
      </c>
      <c r="B213">
        <v>20</v>
      </c>
      <c r="C213" t="s">
        <v>673</v>
      </c>
      <c r="D213" t="s">
        <v>657</v>
      </c>
      <c r="E213" s="106">
        <v>658</v>
      </c>
      <c r="F213">
        <v>5.01</v>
      </c>
      <c r="G213">
        <v>8.8999999999999996E-2</v>
      </c>
      <c r="H213">
        <v>6.19</v>
      </c>
      <c r="I213" t="s">
        <v>659</v>
      </c>
      <c r="J213" s="105">
        <v>43191</v>
      </c>
      <c r="K213" s="105">
        <v>43555</v>
      </c>
    </row>
    <row r="214" spans="1:11" x14ac:dyDescent="0.3">
      <c r="A214" t="str">
        <f t="shared" si="3"/>
        <v>214002018/2019</v>
      </c>
      <c r="B214">
        <v>21</v>
      </c>
      <c r="C214" t="s">
        <v>673</v>
      </c>
      <c r="D214" t="s">
        <v>657</v>
      </c>
      <c r="E214" s="106">
        <v>400</v>
      </c>
      <c r="F214">
        <v>3.51</v>
      </c>
      <c r="G214">
        <v>0.12</v>
      </c>
      <c r="H214">
        <v>6.98</v>
      </c>
      <c r="I214" t="s">
        <v>659</v>
      </c>
      <c r="J214" s="105">
        <v>43191</v>
      </c>
      <c r="K214" s="105">
        <v>43555</v>
      </c>
    </row>
    <row r="215" spans="1:11" x14ac:dyDescent="0.3">
      <c r="A215" t="str">
        <f t="shared" si="3"/>
        <v>225102018/2019</v>
      </c>
      <c r="B215">
        <v>22</v>
      </c>
      <c r="C215" t="s">
        <v>673</v>
      </c>
      <c r="D215" t="s">
        <v>657</v>
      </c>
      <c r="E215" s="106">
        <v>510</v>
      </c>
      <c r="F215">
        <v>2.78</v>
      </c>
      <c r="G215">
        <v>7.1999999999999995E-2</v>
      </c>
      <c r="H215">
        <v>6.82</v>
      </c>
      <c r="I215" t="s">
        <v>659</v>
      </c>
      <c r="J215" s="105">
        <v>43191</v>
      </c>
      <c r="K215" s="105">
        <v>43555</v>
      </c>
    </row>
    <row r="216" spans="1:11" x14ac:dyDescent="0.3">
      <c r="A216" t="str">
        <f t="shared" si="3"/>
        <v>235812018/2019</v>
      </c>
      <c r="B216">
        <v>23</v>
      </c>
      <c r="C216" t="s">
        <v>673</v>
      </c>
      <c r="D216" t="s">
        <v>657</v>
      </c>
      <c r="E216" s="106">
        <v>581</v>
      </c>
      <c r="F216">
        <v>1.8</v>
      </c>
      <c r="G216">
        <v>6.7000000000000004E-2</v>
      </c>
      <c r="H216">
        <v>2.99</v>
      </c>
      <c r="I216" t="s">
        <v>659</v>
      </c>
      <c r="J216" s="105">
        <v>43191</v>
      </c>
      <c r="K216" s="105">
        <v>43555</v>
      </c>
    </row>
    <row r="217" spans="1:11" x14ac:dyDescent="0.3">
      <c r="A217" t="str">
        <f t="shared" si="3"/>
        <v>102002017/2018</v>
      </c>
      <c r="B217">
        <v>10</v>
      </c>
      <c r="C217" t="s">
        <v>672</v>
      </c>
      <c r="D217" t="s">
        <v>654</v>
      </c>
      <c r="E217" s="106">
        <v>200</v>
      </c>
      <c r="F217">
        <v>0</v>
      </c>
      <c r="G217">
        <v>0</v>
      </c>
      <c r="H217">
        <v>0</v>
      </c>
      <c r="I217" t="s">
        <v>658</v>
      </c>
      <c r="J217" s="105">
        <v>42826</v>
      </c>
      <c r="K217" s="105">
        <v>43190</v>
      </c>
    </row>
    <row r="218" spans="1:11" x14ac:dyDescent="0.3">
      <c r="A218" t="str">
        <f t="shared" si="3"/>
        <v>112472017/2018</v>
      </c>
      <c r="B218">
        <v>11</v>
      </c>
      <c r="C218" t="s">
        <v>672</v>
      </c>
      <c r="D218" t="s">
        <v>654</v>
      </c>
      <c r="E218" s="106">
        <v>247</v>
      </c>
      <c r="F218">
        <v>0</v>
      </c>
      <c r="G218">
        <v>0</v>
      </c>
      <c r="H218">
        <v>0</v>
      </c>
      <c r="I218" t="s">
        <v>658</v>
      </c>
      <c r="J218" s="105">
        <v>42826</v>
      </c>
      <c r="K218" s="105">
        <v>43190</v>
      </c>
    </row>
    <row r="219" spans="1:11" x14ac:dyDescent="0.3">
      <c r="A219" t="str">
        <f t="shared" si="3"/>
        <v>122002017/2018</v>
      </c>
      <c r="B219">
        <v>12</v>
      </c>
      <c r="C219" t="s">
        <v>672</v>
      </c>
      <c r="D219" t="s">
        <v>654</v>
      </c>
      <c r="E219" s="106">
        <v>200</v>
      </c>
      <c r="F219">
        <v>0</v>
      </c>
      <c r="G219">
        <v>0</v>
      </c>
      <c r="H219">
        <v>0</v>
      </c>
      <c r="I219" t="s">
        <v>658</v>
      </c>
      <c r="J219" s="105">
        <v>42826</v>
      </c>
      <c r="K219" s="105">
        <v>43190</v>
      </c>
    </row>
    <row r="220" spans="1:11" x14ac:dyDescent="0.3">
      <c r="A220" t="str">
        <f t="shared" si="3"/>
        <v>132802017/2018</v>
      </c>
      <c r="B220">
        <v>13</v>
      </c>
      <c r="C220" t="s">
        <v>672</v>
      </c>
      <c r="D220" t="s">
        <v>654</v>
      </c>
      <c r="E220" s="106">
        <v>280</v>
      </c>
      <c r="F220">
        <v>0</v>
      </c>
      <c r="G220">
        <v>0</v>
      </c>
      <c r="H220">
        <v>0</v>
      </c>
      <c r="I220" t="s">
        <v>658</v>
      </c>
      <c r="J220" s="105">
        <v>42826</v>
      </c>
      <c r="K220" s="105">
        <v>43190</v>
      </c>
    </row>
    <row r="221" spans="1:11" x14ac:dyDescent="0.3">
      <c r="A221" t="str">
        <f t="shared" si="3"/>
        <v>146332017/2018</v>
      </c>
      <c r="B221">
        <v>14</v>
      </c>
      <c r="C221" t="s">
        <v>672</v>
      </c>
      <c r="D221" t="s">
        <v>654</v>
      </c>
      <c r="E221" s="106">
        <v>633</v>
      </c>
      <c r="F221">
        <v>0</v>
      </c>
      <c r="G221">
        <v>0</v>
      </c>
      <c r="H221">
        <v>0</v>
      </c>
      <c r="I221" t="s">
        <v>658</v>
      </c>
      <c r="J221" s="105">
        <v>42826</v>
      </c>
      <c r="K221" s="105">
        <v>43190</v>
      </c>
    </row>
    <row r="222" spans="1:11" x14ac:dyDescent="0.3">
      <c r="A222" t="str">
        <f t="shared" si="3"/>
        <v>152782017/2018</v>
      </c>
      <c r="B222">
        <v>15</v>
      </c>
      <c r="C222" t="s">
        <v>672</v>
      </c>
      <c r="D222" t="s">
        <v>654</v>
      </c>
      <c r="E222" s="106">
        <v>278</v>
      </c>
      <c r="F222">
        <v>0</v>
      </c>
      <c r="G222">
        <v>0</v>
      </c>
      <c r="H222">
        <v>0</v>
      </c>
      <c r="I222" t="s">
        <v>658</v>
      </c>
      <c r="J222" s="105">
        <v>42826</v>
      </c>
      <c r="K222" s="105">
        <v>43190</v>
      </c>
    </row>
    <row r="223" spans="1:11" x14ac:dyDescent="0.3">
      <c r="A223" t="str">
        <f t="shared" si="3"/>
        <v>168312017/2018</v>
      </c>
      <c r="B223">
        <v>16</v>
      </c>
      <c r="C223" t="s">
        <v>672</v>
      </c>
      <c r="D223" t="s">
        <v>654</v>
      </c>
      <c r="E223" s="106">
        <v>831</v>
      </c>
      <c r="F223">
        <v>0</v>
      </c>
      <c r="G223">
        <v>0</v>
      </c>
      <c r="H223">
        <v>0</v>
      </c>
      <c r="I223" t="s">
        <v>658</v>
      </c>
      <c r="J223" s="105">
        <v>42826</v>
      </c>
      <c r="K223" s="105">
        <v>43190</v>
      </c>
    </row>
    <row r="224" spans="1:11" x14ac:dyDescent="0.3">
      <c r="A224" t="str">
        <f t="shared" si="3"/>
        <v>175072017/2018</v>
      </c>
      <c r="B224">
        <v>17</v>
      </c>
      <c r="C224" t="s">
        <v>672</v>
      </c>
      <c r="D224" t="s">
        <v>654</v>
      </c>
      <c r="E224" s="106">
        <v>507</v>
      </c>
      <c r="F224">
        <v>0</v>
      </c>
      <c r="G224">
        <v>0</v>
      </c>
      <c r="H224">
        <v>0</v>
      </c>
      <c r="I224" t="s">
        <v>658</v>
      </c>
      <c r="J224" s="105">
        <v>42826</v>
      </c>
      <c r="K224" s="105">
        <v>43190</v>
      </c>
    </row>
    <row r="225" spans="1:11" x14ac:dyDescent="0.3">
      <c r="A225" t="str">
        <f t="shared" si="3"/>
        <v>182802017/2018</v>
      </c>
      <c r="B225">
        <v>18</v>
      </c>
      <c r="C225" t="s">
        <v>672</v>
      </c>
      <c r="D225" t="s">
        <v>654</v>
      </c>
      <c r="E225" s="106">
        <v>280</v>
      </c>
      <c r="F225">
        <v>0</v>
      </c>
      <c r="G225">
        <v>0</v>
      </c>
      <c r="H225">
        <v>0</v>
      </c>
      <c r="I225" t="s">
        <v>658</v>
      </c>
      <c r="J225" s="105">
        <v>42826</v>
      </c>
      <c r="K225" s="105">
        <v>43190</v>
      </c>
    </row>
    <row r="226" spans="1:11" x14ac:dyDescent="0.3">
      <c r="A226" t="str">
        <f t="shared" si="3"/>
        <v>192002017/2018</v>
      </c>
      <c r="B226">
        <v>19</v>
      </c>
      <c r="C226" t="s">
        <v>672</v>
      </c>
      <c r="D226" t="s">
        <v>654</v>
      </c>
      <c r="E226" s="106">
        <v>200</v>
      </c>
      <c r="F226">
        <v>0</v>
      </c>
      <c r="G226">
        <v>0</v>
      </c>
      <c r="H226">
        <v>0</v>
      </c>
      <c r="I226" t="s">
        <v>658</v>
      </c>
      <c r="J226" s="105">
        <v>42826</v>
      </c>
      <c r="K226" s="105">
        <v>43190</v>
      </c>
    </row>
    <row r="227" spans="1:11" x14ac:dyDescent="0.3">
      <c r="A227" t="str">
        <f t="shared" si="3"/>
        <v>204572017/2018</v>
      </c>
      <c r="B227">
        <v>20</v>
      </c>
      <c r="C227" t="s">
        <v>672</v>
      </c>
      <c r="D227" t="s">
        <v>654</v>
      </c>
      <c r="E227" s="106">
        <v>457</v>
      </c>
      <c r="F227">
        <v>0</v>
      </c>
      <c r="G227">
        <v>0</v>
      </c>
      <c r="H227">
        <v>0</v>
      </c>
      <c r="I227" t="s">
        <v>658</v>
      </c>
      <c r="J227" s="105">
        <v>42826</v>
      </c>
      <c r="K227" s="105">
        <v>43190</v>
      </c>
    </row>
    <row r="228" spans="1:11" x14ac:dyDescent="0.3">
      <c r="A228" t="str">
        <f t="shared" si="3"/>
        <v>211172017/2018</v>
      </c>
      <c r="B228">
        <v>21</v>
      </c>
      <c r="C228" t="s">
        <v>672</v>
      </c>
      <c r="D228" t="s">
        <v>654</v>
      </c>
      <c r="E228" s="106">
        <v>117</v>
      </c>
      <c r="F228">
        <v>0</v>
      </c>
      <c r="G228">
        <v>0</v>
      </c>
      <c r="H228">
        <v>0</v>
      </c>
      <c r="I228" t="s">
        <v>658</v>
      </c>
      <c r="J228" s="105">
        <v>42826</v>
      </c>
      <c r="K228" s="105">
        <v>43190</v>
      </c>
    </row>
    <row r="229" spans="1:11" x14ac:dyDescent="0.3">
      <c r="A229" t="str">
        <f t="shared" si="3"/>
        <v>222032017/2018</v>
      </c>
      <c r="B229">
        <v>22</v>
      </c>
      <c r="C229" t="s">
        <v>672</v>
      </c>
      <c r="D229" t="s">
        <v>654</v>
      </c>
      <c r="E229" s="106">
        <v>203</v>
      </c>
      <c r="F229">
        <v>0</v>
      </c>
      <c r="G229">
        <v>0</v>
      </c>
      <c r="H229">
        <v>0</v>
      </c>
      <c r="I229" t="s">
        <v>658</v>
      </c>
      <c r="J229" s="105">
        <v>42826</v>
      </c>
      <c r="K229" s="105">
        <v>43190</v>
      </c>
    </row>
    <row r="230" spans="1:11" x14ac:dyDescent="0.3">
      <c r="A230" t="str">
        <f t="shared" si="3"/>
        <v>232992017/2018</v>
      </c>
      <c r="B230">
        <v>23</v>
      </c>
      <c r="C230" t="s">
        <v>672</v>
      </c>
      <c r="D230" t="s">
        <v>654</v>
      </c>
      <c r="E230" s="106">
        <v>299</v>
      </c>
      <c r="F230">
        <v>0</v>
      </c>
      <c r="G230">
        <v>0</v>
      </c>
      <c r="H230">
        <v>0</v>
      </c>
      <c r="I230" t="s">
        <v>658</v>
      </c>
      <c r="J230" s="105">
        <v>42826</v>
      </c>
      <c r="K230" s="105">
        <v>43190</v>
      </c>
    </row>
    <row r="231" spans="1:11" x14ac:dyDescent="0.3">
      <c r="A231" t="str">
        <f t="shared" si="3"/>
        <v>100862017/2018</v>
      </c>
      <c r="B231">
        <v>10</v>
      </c>
      <c r="C231" t="s">
        <v>673</v>
      </c>
      <c r="D231" t="s">
        <v>655</v>
      </c>
      <c r="E231" s="106" t="s">
        <v>634</v>
      </c>
      <c r="F231">
        <v>3.15</v>
      </c>
      <c r="G231">
        <v>0.33200000000000002</v>
      </c>
      <c r="H231">
        <v>3.15</v>
      </c>
      <c r="I231" t="s">
        <v>658</v>
      </c>
      <c r="J231" s="105">
        <v>42826</v>
      </c>
      <c r="K231" s="105">
        <v>43190</v>
      </c>
    </row>
    <row r="232" spans="1:11" x14ac:dyDescent="0.3">
      <c r="A232" t="str">
        <f t="shared" si="3"/>
        <v>119902017/2018</v>
      </c>
      <c r="B232">
        <v>11</v>
      </c>
      <c r="C232" t="s">
        <v>673</v>
      </c>
      <c r="D232" t="s">
        <v>655</v>
      </c>
      <c r="E232" s="106">
        <v>990</v>
      </c>
      <c r="F232">
        <v>2.5499999999999998</v>
      </c>
      <c r="G232">
        <v>0.39500000000000002</v>
      </c>
      <c r="H232">
        <v>2.5499999999999998</v>
      </c>
      <c r="I232" t="s">
        <v>658</v>
      </c>
      <c r="J232" s="105">
        <v>42826</v>
      </c>
      <c r="K232" s="105">
        <v>43190</v>
      </c>
    </row>
    <row r="233" spans="1:11" x14ac:dyDescent="0.3">
      <c r="A233" t="str">
        <f t="shared" si="3"/>
        <v>110582017/2018</v>
      </c>
      <c r="B233">
        <v>11</v>
      </c>
      <c r="C233" t="s">
        <v>673</v>
      </c>
      <c r="D233" t="s">
        <v>655</v>
      </c>
      <c r="E233" s="106" t="s">
        <v>629</v>
      </c>
      <c r="F233">
        <v>2.5499999999999998</v>
      </c>
      <c r="G233">
        <v>0.39500000000000002</v>
      </c>
      <c r="H233">
        <v>2.5499999999999998</v>
      </c>
      <c r="I233" t="s">
        <v>658</v>
      </c>
      <c r="J233" s="105">
        <v>42826</v>
      </c>
      <c r="K233" s="105">
        <v>43190</v>
      </c>
    </row>
    <row r="234" spans="1:11" x14ac:dyDescent="0.3">
      <c r="A234" t="str">
        <f t="shared" si="3"/>
        <v>120092017/2018</v>
      </c>
      <c r="B234">
        <v>12</v>
      </c>
      <c r="C234" t="s">
        <v>673</v>
      </c>
      <c r="D234" t="s">
        <v>655</v>
      </c>
      <c r="E234" s="106" t="s">
        <v>406</v>
      </c>
      <c r="F234">
        <v>3.87</v>
      </c>
      <c r="G234">
        <v>0.29499999999999998</v>
      </c>
      <c r="H234">
        <v>3.87</v>
      </c>
      <c r="I234" t="s">
        <v>658</v>
      </c>
      <c r="J234" s="105">
        <v>42826</v>
      </c>
      <c r="K234" s="105">
        <v>43190</v>
      </c>
    </row>
    <row r="235" spans="1:11" x14ac:dyDescent="0.3">
      <c r="A235" t="str">
        <f t="shared" si="3"/>
        <v>135112017/2018</v>
      </c>
      <c r="B235">
        <v>13</v>
      </c>
      <c r="C235" t="s">
        <v>673</v>
      </c>
      <c r="D235" t="s">
        <v>655</v>
      </c>
      <c r="E235" s="106">
        <v>511</v>
      </c>
      <c r="F235">
        <v>2.6</v>
      </c>
      <c r="G235">
        <v>0.59599999999999997</v>
      </c>
      <c r="H235">
        <v>2.6</v>
      </c>
      <c r="I235" t="s">
        <v>658</v>
      </c>
      <c r="J235" s="105">
        <v>42826</v>
      </c>
      <c r="K235" s="105">
        <v>43190</v>
      </c>
    </row>
    <row r="236" spans="1:11" x14ac:dyDescent="0.3">
      <c r="A236" t="str">
        <f t="shared" si="3"/>
        <v>135912017/2018</v>
      </c>
      <c r="B236">
        <v>13</v>
      </c>
      <c r="C236" t="s">
        <v>673</v>
      </c>
      <c r="D236" t="s">
        <v>655</v>
      </c>
      <c r="E236" s="106">
        <v>591</v>
      </c>
      <c r="F236">
        <v>2.6</v>
      </c>
      <c r="G236">
        <v>0.59599999999999997</v>
      </c>
      <c r="H236">
        <v>2.6</v>
      </c>
      <c r="I236" t="s">
        <v>658</v>
      </c>
      <c r="J236" s="105">
        <v>42826</v>
      </c>
      <c r="K236" s="105">
        <v>43190</v>
      </c>
    </row>
    <row r="237" spans="1:11" x14ac:dyDescent="0.3">
      <c r="A237" t="str">
        <f t="shared" si="3"/>
        <v>141272017/2018</v>
      </c>
      <c r="B237">
        <v>14</v>
      </c>
      <c r="C237" t="s">
        <v>673</v>
      </c>
      <c r="D237" t="s">
        <v>655</v>
      </c>
      <c r="E237" s="106">
        <v>127</v>
      </c>
      <c r="F237">
        <v>3.44</v>
      </c>
      <c r="G237">
        <v>0.4</v>
      </c>
      <c r="H237">
        <v>3.44</v>
      </c>
      <c r="I237" t="s">
        <v>658</v>
      </c>
      <c r="J237" s="105">
        <v>42826</v>
      </c>
      <c r="K237" s="105">
        <v>43190</v>
      </c>
    </row>
    <row r="238" spans="1:11" x14ac:dyDescent="0.3">
      <c r="A238" t="str">
        <f t="shared" si="3"/>
        <v>141292017/2018</v>
      </c>
      <c r="B238">
        <v>14</v>
      </c>
      <c r="C238" t="s">
        <v>673</v>
      </c>
      <c r="D238" t="s">
        <v>655</v>
      </c>
      <c r="E238" s="106">
        <v>129</v>
      </c>
      <c r="F238">
        <v>3.44</v>
      </c>
      <c r="G238">
        <v>0.4</v>
      </c>
      <c r="H238">
        <v>3.44</v>
      </c>
      <c r="I238" t="s">
        <v>658</v>
      </c>
      <c r="J238" s="105">
        <v>42826</v>
      </c>
      <c r="K238" s="105">
        <v>43190</v>
      </c>
    </row>
    <row r="239" spans="1:11" x14ac:dyDescent="0.3">
      <c r="A239" t="str">
        <f t="shared" si="3"/>
        <v>152512017/2018</v>
      </c>
      <c r="B239">
        <v>15</v>
      </c>
      <c r="C239" t="s">
        <v>673</v>
      </c>
      <c r="D239" t="s">
        <v>655</v>
      </c>
      <c r="E239" s="106">
        <v>251</v>
      </c>
      <c r="F239">
        <v>1.76</v>
      </c>
      <c r="G239">
        <v>0.23699999999999999</v>
      </c>
      <c r="H239">
        <v>1.76</v>
      </c>
      <c r="I239" t="s">
        <v>658</v>
      </c>
      <c r="J239" s="105">
        <v>42826</v>
      </c>
      <c r="K239" s="105">
        <v>43190</v>
      </c>
    </row>
    <row r="240" spans="1:11" x14ac:dyDescent="0.3">
      <c r="A240" t="str">
        <f t="shared" si="3"/>
        <v>168012017/2018</v>
      </c>
      <c r="B240">
        <v>16</v>
      </c>
      <c r="C240" t="s">
        <v>673</v>
      </c>
      <c r="D240" t="s">
        <v>655</v>
      </c>
      <c r="E240" s="106">
        <v>801</v>
      </c>
      <c r="F240">
        <v>2.91</v>
      </c>
      <c r="G240">
        <v>0.26900000000000002</v>
      </c>
      <c r="H240">
        <v>2.91</v>
      </c>
      <c r="I240" t="s">
        <v>658</v>
      </c>
      <c r="J240" s="105">
        <v>42826</v>
      </c>
      <c r="K240" s="105">
        <v>43190</v>
      </c>
    </row>
    <row r="241" spans="1:11" x14ac:dyDescent="0.3">
      <c r="A241" t="str">
        <f t="shared" si="3"/>
        <v>175002017/2018</v>
      </c>
      <c r="B241">
        <v>17</v>
      </c>
      <c r="C241" t="s">
        <v>673</v>
      </c>
      <c r="D241" t="s">
        <v>655</v>
      </c>
      <c r="E241" s="106">
        <v>500</v>
      </c>
      <c r="F241">
        <v>5.55</v>
      </c>
      <c r="G241">
        <v>0.46700000000000003</v>
      </c>
      <c r="H241">
        <v>5.55</v>
      </c>
      <c r="I241" t="s">
        <v>658</v>
      </c>
      <c r="J241" s="105">
        <v>42826</v>
      </c>
      <c r="K241" s="105">
        <v>43190</v>
      </c>
    </row>
    <row r="242" spans="1:11" x14ac:dyDescent="0.3">
      <c r="A242" t="str">
        <f t="shared" si="3"/>
        <v>185002017/2018</v>
      </c>
      <c r="B242">
        <v>18</v>
      </c>
      <c r="C242" t="s">
        <v>673</v>
      </c>
      <c r="D242" t="s">
        <v>655</v>
      </c>
      <c r="E242" s="106">
        <v>500</v>
      </c>
      <c r="F242">
        <v>2.41</v>
      </c>
      <c r="G242">
        <v>0.309</v>
      </c>
      <c r="H242">
        <v>2.41</v>
      </c>
      <c r="I242" t="s">
        <v>658</v>
      </c>
      <c r="J242" s="105">
        <v>42826</v>
      </c>
      <c r="K242" s="105">
        <v>43190</v>
      </c>
    </row>
    <row r="243" spans="1:11" x14ac:dyDescent="0.3">
      <c r="A243" t="str">
        <f t="shared" si="3"/>
        <v>185042017/2018</v>
      </c>
      <c r="B243">
        <v>18</v>
      </c>
      <c r="C243" t="s">
        <v>673</v>
      </c>
      <c r="D243" t="s">
        <v>655</v>
      </c>
      <c r="E243" s="106">
        <v>504</v>
      </c>
      <c r="F243">
        <v>2.41</v>
      </c>
      <c r="G243">
        <v>0.309</v>
      </c>
      <c r="H243">
        <v>2.41</v>
      </c>
      <c r="I243" t="s">
        <v>658</v>
      </c>
      <c r="J243" s="105">
        <v>42826</v>
      </c>
      <c r="K243" s="105">
        <v>43190</v>
      </c>
    </row>
    <row r="244" spans="1:11" x14ac:dyDescent="0.3">
      <c r="A244" t="str">
        <f t="shared" si="3"/>
        <v>195502017/2018</v>
      </c>
      <c r="B244">
        <v>19</v>
      </c>
      <c r="C244" t="s">
        <v>673</v>
      </c>
      <c r="D244" t="s">
        <v>655</v>
      </c>
      <c r="E244" s="106">
        <v>550</v>
      </c>
      <c r="F244">
        <v>3.12</v>
      </c>
      <c r="G244">
        <v>0.33700000000000002</v>
      </c>
      <c r="H244">
        <v>3.12</v>
      </c>
      <c r="I244" t="s">
        <v>658</v>
      </c>
      <c r="J244" s="105">
        <v>42826</v>
      </c>
      <c r="K244" s="105">
        <v>43190</v>
      </c>
    </row>
    <row r="245" spans="1:11" x14ac:dyDescent="0.3">
      <c r="A245" t="str">
        <f t="shared" si="3"/>
        <v>204532017/2018</v>
      </c>
      <c r="B245">
        <v>20</v>
      </c>
      <c r="C245" t="s">
        <v>673</v>
      </c>
      <c r="D245" t="s">
        <v>655</v>
      </c>
      <c r="E245" s="106">
        <v>453</v>
      </c>
      <c r="F245">
        <v>2.41</v>
      </c>
      <c r="G245">
        <v>0.29299999999999998</v>
      </c>
      <c r="H245">
        <v>2.41</v>
      </c>
      <c r="I245" t="s">
        <v>658</v>
      </c>
      <c r="J245" s="105">
        <v>42826</v>
      </c>
      <c r="K245" s="105">
        <v>43190</v>
      </c>
    </row>
    <row r="246" spans="1:11" x14ac:dyDescent="0.3">
      <c r="A246" t="str">
        <f t="shared" si="3"/>
        <v>204702017/2018</v>
      </c>
      <c r="B246">
        <v>20</v>
      </c>
      <c r="C246" t="s">
        <v>673</v>
      </c>
      <c r="D246" t="s">
        <v>655</v>
      </c>
      <c r="E246" s="106">
        <v>470</v>
      </c>
      <c r="F246">
        <v>2.41</v>
      </c>
      <c r="G246">
        <v>0.29299999999999998</v>
      </c>
      <c r="H246">
        <v>2.41</v>
      </c>
      <c r="I246" t="s">
        <v>658</v>
      </c>
      <c r="J246" s="105">
        <v>42826</v>
      </c>
      <c r="K246" s="105">
        <v>43190</v>
      </c>
    </row>
    <row r="247" spans="1:11" x14ac:dyDescent="0.3">
      <c r="A247" t="str">
        <f t="shared" si="3"/>
        <v>213002017/2018</v>
      </c>
      <c r="B247">
        <v>21</v>
      </c>
      <c r="C247" t="s">
        <v>673</v>
      </c>
      <c r="D247" t="s">
        <v>655</v>
      </c>
      <c r="E247" s="106">
        <v>300</v>
      </c>
      <c r="F247">
        <v>2.82</v>
      </c>
      <c r="G247">
        <v>0.49299999999999999</v>
      </c>
      <c r="H247">
        <v>2.82</v>
      </c>
      <c r="I247" t="s">
        <v>658</v>
      </c>
      <c r="J247" s="105">
        <v>42826</v>
      </c>
      <c r="K247" s="105">
        <v>43190</v>
      </c>
    </row>
    <row r="248" spans="1:11" x14ac:dyDescent="0.3">
      <c r="A248" t="str">
        <f t="shared" si="3"/>
        <v>225702017/2018</v>
      </c>
      <c r="B248">
        <v>22</v>
      </c>
      <c r="C248" t="s">
        <v>673</v>
      </c>
      <c r="D248" t="s">
        <v>655</v>
      </c>
      <c r="E248" s="106">
        <v>570</v>
      </c>
      <c r="F248">
        <v>2.8</v>
      </c>
      <c r="G248">
        <v>0.38200000000000001</v>
      </c>
      <c r="H248">
        <v>2.8</v>
      </c>
      <c r="I248" t="s">
        <v>658</v>
      </c>
      <c r="J248" s="105">
        <v>42826</v>
      </c>
      <c r="K248" s="105">
        <v>43190</v>
      </c>
    </row>
    <row r="249" spans="1:11" x14ac:dyDescent="0.3">
      <c r="A249" t="str">
        <f t="shared" si="3"/>
        <v>232812017/2018</v>
      </c>
      <c r="B249">
        <v>23</v>
      </c>
      <c r="C249" t="s">
        <v>673</v>
      </c>
      <c r="D249" t="s">
        <v>655</v>
      </c>
      <c r="E249" s="106">
        <v>281</v>
      </c>
      <c r="F249">
        <v>1.49</v>
      </c>
      <c r="G249">
        <v>0.32200000000000001</v>
      </c>
      <c r="H249">
        <v>1.49</v>
      </c>
      <c r="I249" t="s">
        <v>658</v>
      </c>
      <c r="J249" s="105">
        <v>42826</v>
      </c>
      <c r="K249" s="105">
        <v>43190</v>
      </c>
    </row>
    <row r="250" spans="1:11" x14ac:dyDescent="0.3">
      <c r="A250" t="str">
        <f t="shared" si="3"/>
        <v>100802017/2018</v>
      </c>
      <c r="B250">
        <v>10</v>
      </c>
      <c r="C250" t="s">
        <v>673</v>
      </c>
      <c r="D250" t="s">
        <v>656</v>
      </c>
      <c r="E250" s="106" t="s">
        <v>620</v>
      </c>
      <c r="F250">
        <v>4.67</v>
      </c>
      <c r="G250">
        <v>0.215</v>
      </c>
      <c r="H250">
        <v>4.67</v>
      </c>
      <c r="I250" t="s">
        <v>658</v>
      </c>
      <c r="J250" s="105">
        <v>42826</v>
      </c>
      <c r="K250" s="105">
        <v>43190</v>
      </c>
    </row>
    <row r="251" spans="1:11" x14ac:dyDescent="0.3">
      <c r="A251" t="str">
        <f t="shared" si="3"/>
        <v>110592017/2018</v>
      </c>
      <c r="B251">
        <v>11</v>
      </c>
      <c r="C251" t="s">
        <v>673</v>
      </c>
      <c r="D251" t="s">
        <v>656</v>
      </c>
      <c r="E251" s="106" t="s">
        <v>482</v>
      </c>
      <c r="F251">
        <v>3.44</v>
      </c>
      <c r="G251">
        <v>0.318</v>
      </c>
      <c r="H251">
        <v>3.44</v>
      </c>
      <c r="I251" t="s">
        <v>658</v>
      </c>
      <c r="J251" s="105">
        <v>42826</v>
      </c>
      <c r="K251" s="105">
        <v>43190</v>
      </c>
    </row>
    <row r="252" spans="1:11" x14ac:dyDescent="0.3">
      <c r="A252" t="str">
        <f t="shared" si="3"/>
        <v>127562017/2018</v>
      </c>
      <c r="B252">
        <v>12</v>
      </c>
      <c r="C252" t="s">
        <v>673</v>
      </c>
      <c r="D252" t="s">
        <v>656</v>
      </c>
      <c r="E252" s="106">
        <v>756</v>
      </c>
      <c r="F252">
        <v>7.11</v>
      </c>
      <c r="G252">
        <v>0.17</v>
      </c>
      <c r="H252">
        <v>7.11</v>
      </c>
      <c r="I252" t="s">
        <v>658</v>
      </c>
      <c r="J252" s="105">
        <v>42826</v>
      </c>
      <c r="K252" s="105">
        <v>43190</v>
      </c>
    </row>
    <row r="253" spans="1:11" x14ac:dyDescent="0.3">
      <c r="A253" t="str">
        <f t="shared" si="3"/>
        <v>135132017/2018</v>
      </c>
      <c r="B253">
        <v>13</v>
      </c>
      <c r="C253" t="s">
        <v>673</v>
      </c>
      <c r="D253" t="s">
        <v>656</v>
      </c>
      <c r="E253" s="106">
        <v>513</v>
      </c>
      <c r="F253">
        <v>5.29</v>
      </c>
      <c r="G253">
        <v>0.47099999999999997</v>
      </c>
      <c r="H253">
        <v>5.29</v>
      </c>
      <c r="I253" t="s">
        <v>658</v>
      </c>
      <c r="J253" s="105">
        <v>42826</v>
      </c>
      <c r="K253" s="105">
        <v>43190</v>
      </c>
    </row>
    <row r="254" spans="1:11" x14ac:dyDescent="0.3">
      <c r="A254" t="str">
        <f t="shared" si="3"/>
        <v>135922017/2018</v>
      </c>
      <c r="B254">
        <v>13</v>
      </c>
      <c r="C254" t="s">
        <v>673</v>
      </c>
      <c r="D254" t="s">
        <v>656</v>
      </c>
      <c r="E254" s="106">
        <v>592</v>
      </c>
      <c r="F254">
        <v>5.29</v>
      </c>
      <c r="G254">
        <v>0.47099999999999997</v>
      </c>
      <c r="H254">
        <v>5.29</v>
      </c>
      <c r="I254" t="s">
        <v>658</v>
      </c>
      <c r="J254" s="105">
        <v>42826</v>
      </c>
      <c r="K254" s="105">
        <v>43190</v>
      </c>
    </row>
    <row r="255" spans="1:11" x14ac:dyDescent="0.3">
      <c r="A255" t="str">
        <f t="shared" si="3"/>
        <v>141282017/2018</v>
      </c>
      <c r="B255">
        <v>14</v>
      </c>
      <c r="C255" t="s">
        <v>673</v>
      </c>
      <c r="D255" t="s">
        <v>656</v>
      </c>
      <c r="E255" s="106">
        <v>128</v>
      </c>
      <c r="F255">
        <v>4.4800000000000004</v>
      </c>
      <c r="G255">
        <v>0.33700000000000002</v>
      </c>
      <c r="H255">
        <v>4.4800000000000004</v>
      </c>
      <c r="I255" t="s">
        <v>658</v>
      </c>
      <c r="J255" s="105">
        <v>42826</v>
      </c>
      <c r="K255" s="105">
        <v>43190</v>
      </c>
    </row>
    <row r="256" spans="1:11" x14ac:dyDescent="0.3">
      <c r="A256" t="str">
        <f t="shared" si="3"/>
        <v>152932017/2018</v>
      </c>
      <c r="B256">
        <v>15</v>
      </c>
      <c r="C256" t="s">
        <v>673</v>
      </c>
      <c r="D256" t="s">
        <v>656</v>
      </c>
      <c r="E256" s="106">
        <v>293</v>
      </c>
      <c r="F256">
        <v>2.25</v>
      </c>
      <c r="G256">
        <v>0.17499999999999999</v>
      </c>
      <c r="H256">
        <v>2.25</v>
      </c>
      <c r="I256" t="s">
        <v>658</v>
      </c>
      <c r="J256" s="105">
        <v>42826</v>
      </c>
      <c r="K256" s="105">
        <v>43190</v>
      </c>
    </row>
    <row r="257" spans="1:11" x14ac:dyDescent="0.3">
      <c r="A257" t="str">
        <f t="shared" si="3"/>
        <v>168022017/2018</v>
      </c>
      <c r="B257">
        <v>16</v>
      </c>
      <c r="C257" t="s">
        <v>673</v>
      </c>
      <c r="D257" t="s">
        <v>656</v>
      </c>
      <c r="E257" s="106">
        <v>802</v>
      </c>
      <c r="F257">
        <v>2.92</v>
      </c>
      <c r="G257">
        <v>0.21199999999999999</v>
      </c>
      <c r="H257">
        <v>2.92</v>
      </c>
      <c r="I257" t="s">
        <v>658</v>
      </c>
      <c r="J257" s="105">
        <v>42826</v>
      </c>
      <c r="K257" s="105">
        <v>43190</v>
      </c>
    </row>
    <row r="258" spans="1:11" x14ac:dyDescent="0.3">
      <c r="A258" t="str">
        <f t="shared" ref="A258:A317" si="4">CONCATENATE(B258,E258,I258)</f>
        <v>175052017/2018</v>
      </c>
      <c r="B258">
        <v>17</v>
      </c>
      <c r="C258" t="s">
        <v>673</v>
      </c>
      <c r="D258" t="s">
        <v>656</v>
      </c>
      <c r="E258" s="106">
        <v>505</v>
      </c>
      <c r="F258">
        <v>8.86</v>
      </c>
      <c r="G258">
        <v>0.314</v>
      </c>
      <c r="H258">
        <v>8.86</v>
      </c>
      <c r="I258" t="s">
        <v>658</v>
      </c>
      <c r="J258" s="105">
        <v>42826</v>
      </c>
      <c r="K258" s="105">
        <v>43190</v>
      </c>
    </row>
    <row r="259" spans="1:11" x14ac:dyDescent="0.3">
      <c r="A259" t="str">
        <f t="shared" si="4"/>
        <v>185062017/2018</v>
      </c>
      <c r="B259">
        <v>18</v>
      </c>
      <c r="C259" t="s">
        <v>673</v>
      </c>
      <c r="D259" t="s">
        <v>656</v>
      </c>
      <c r="E259" s="106">
        <v>506</v>
      </c>
      <c r="F259">
        <v>4.43</v>
      </c>
      <c r="G259">
        <v>0.217</v>
      </c>
      <c r="H259">
        <v>4.43</v>
      </c>
      <c r="I259" t="s">
        <v>658</v>
      </c>
      <c r="J259" s="105">
        <v>42826</v>
      </c>
      <c r="K259" s="105">
        <v>43190</v>
      </c>
    </row>
    <row r="260" spans="1:11" x14ac:dyDescent="0.3">
      <c r="A260" t="str">
        <f t="shared" si="4"/>
        <v>185072017/2018</v>
      </c>
      <c r="B260">
        <v>18</v>
      </c>
      <c r="C260" t="s">
        <v>673</v>
      </c>
      <c r="D260" t="s">
        <v>656</v>
      </c>
      <c r="E260" s="106">
        <v>507</v>
      </c>
      <c r="F260">
        <v>4.43</v>
      </c>
      <c r="G260">
        <v>0.217</v>
      </c>
      <c r="H260">
        <v>4.43</v>
      </c>
      <c r="I260" t="s">
        <v>658</v>
      </c>
      <c r="J260" s="105">
        <v>42826</v>
      </c>
      <c r="K260" s="105">
        <v>43190</v>
      </c>
    </row>
    <row r="261" spans="1:11" x14ac:dyDescent="0.3">
      <c r="A261" t="str">
        <f t="shared" si="4"/>
        <v>197562017/2018</v>
      </c>
      <c r="B261">
        <v>19</v>
      </c>
      <c r="C261" t="s">
        <v>673</v>
      </c>
      <c r="D261" t="s">
        <v>656</v>
      </c>
      <c r="E261" s="106">
        <v>756</v>
      </c>
      <c r="F261">
        <v>5.17</v>
      </c>
      <c r="G261">
        <v>0.249</v>
      </c>
      <c r="H261">
        <v>5.17</v>
      </c>
      <c r="I261" t="s">
        <v>658</v>
      </c>
      <c r="J261" s="105">
        <v>42826</v>
      </c>
      <c r="K261" s="105">
        <v>43190</v>
      </c>
    </row>
    <row r="262" spans="1:11" x14ac:dyDescent="0.3">
      <c r="A262" t="str">
        <f t="shared" si="4"/>
        <v>204552017/2018</v>
      </c>
      <c r="B262">
        <v>20</v>
      </c>
      <c r="C262" t="s">
        <v>673</v>
      </c>
      <c r="D262" t="s">
        <v>656</v>
      </c>
      <c r="E262" s="106">
        <v>455</v>
      </c>
      <c r="F262">
        <v>4.26</v>
      </c>
      <c r="G262">
        <v>0.25</v>
      </c>
      <c r="H262">
        <v>4.26</v>
      </c>
      <c r="I262" t="s">
        <v>658</v>
      </c>
      <c r="J262" s="105">
        <v>42826</v>
      </c>
      <c r="K262" s="105">
        <v>43190</v>
      </c>
    </row>
    <row r="263" spans="1:11" x14ac:dyDescent="0.3">
      <c r="A263" t="str">
        <f t="shared" si="4"/>
        <v>213442017/2018</v>
      </c>
      <c r="B263">
        <v>21</v>
      </c>
      <c r="C263" t="s">
        <v>673</v>
      </c>
      <c r="D263" t="s">
        <v>656</v>
      </c>
      <c r="E263" s="106">
        <v>344</v>
      </c>
      <c r="F263">
        <v>3.28</v>
      </c>
      <c r="G263">
        <v>0.434</v>
      </c>
      <c r="H263">
        <v>3.28</v>
      </c>
      <c r="I263" t="s">
        <v>658</v>
      </c>
      <c r="J263" s="105">
        <v>42826</v>
      </c>
      <c r="K263" s="105">
        <v>43190</v>
      </c>
    </row>
    <row r="264" spans="1:11" x14ac:dyDescent="0.3">
      <c r="A264" t="str">
        <f t="shared" si="4"/>
        <v>225402017/2018</v>
      </c>
      <c r="B264">
        <v>22</v>
      </c>
      <c r="C264" t="s">
        <v>673</v>
      </c>
      <c r="D264" t="s">
        <v>656</v>
      </c>
      <c r="E264" s="106">
        <v>540</v>
      </c>
      <c r="F264">
        <v>3.07</v>
      </c>
      <c r="G264">
        <v>0.314</v>
      </c>
      <c r="H264">
        <v>3.07</v>
      </c>
      <c r="I264" t="s">
        <v>658</v>
      </c>
      <c r="J264" s="105">
        <v>42826</v>
      </c>
      <c r="K264" s="105">
        <v>43190</v>
      </c>
    </row>
    <row r="265" spans="1:11" x14ac:dyDescent="0.3">
      <c r="A265" t="str">
        <f t="shared" si="4"/>
        <v>234712017/2018</v>
      </c>
      <c r="B265">
        <v>23</v>
      </c>
      <c r="C265" t="s">
        <v>673</v>
      </c>
      <c r="D265" t="s">
        <v>656</v>
      </c>
      <c r="E265" s="106">
        <v>471</v>
      </c>
      <c r="F265">
        <v>1.79</v>
      </c>
      <c r="G265">
        <v>0.24099999999999999</v>
      </c>
      <c r="H265">
        <v>1.79</v>
      </c>
      <c r="I265" t="s">
        <v>658</v>
      </c>
      <c r="J265" s="105">
        <v>42826</v>
      </c>
      <c r="K265" s="105">
        <v>43190</v>
      </c>
    </row>
    <row r="266" spans="1:11" x14ac:dyDescent="0.3">
      <c r="A266" t="str">
        <f t="shared" si="4"/>
        <v>100842017/2018</v>
      </c>
      <c r="B266">
        <v>10</v>
      </c>
      <c r="C266" t="s">
        <v>673</v>
      </c>
      <c r="D266" t="s">
        <v>657</v>
      </c>
      <c r="E266" s="106" t="s">
        <v>624</v>
      </c>
      <c r="F266">
        <v>3.87</v>
      </c>
      <c r="G266">
        <v>0.17899999999999999</v>
      </c>
      <c r="H266">
        <v>3.87</v>
      </c>
      <c r="I266" t="s">
        <v>658</v>
      </c>
      <c r="J266" s="105">
        <v>42826</v>
      </c>
      <c r="K266" s="105">
        <v>43190</v>
      </c>
    </row>
    <row r="267" spans="1:11" x14ac:dyDescent="0.3">
      <c r="A267" t="str">
        <f t="shared" si="4"/>
        <v>110602017/2018</v>
      </c>
      <c r="B267">
        <v>11</v>
      </c>
      <c r="C267" t="s">
        <v>673</v>
      </c>
      <c r="D267" t="s">
        <v>657</v>
      </c>
      <c r="E267" s="106" t="s">
        <v>627</v>
      </c>
      <c r="F267">
        <v>4.09</v>
      </c>
      <c r="G267">
        <v>0.216</v>
      </c>
      <c r="H267">
        <v>4.09</v>
      </c>
      <c r="I267" t="s">
        <v>658</v>
      </c>
      <c r="J267" s="105">
        <v>42826</v>
      </c>
      <c r="K267" s="105">
        <v>43190</v>
      </c>
    </row>
    <row r="268" spans="1:11" x14ac:dyDescent="0.3">
      <c r="A268" t="str">
        <f t="shared" si="4"/>
        <v>119912017/2018</v>
      </c>
      <c r="B268">
        <v>11</v>
      </c>
      <c r="C268" t="s">
        <v>673</v>
      </c>
      <c r="D268" t="s">
        <v>657</v>
      </c>
      <c r="E268" s="106">
        <v>991</v>
      </c>
      <c r="F268">
        <v>4.09</v>
      </c>
      <c r="G268">
        <v>0.216</v>
      </c>
      <c r="H268">
        <v>4.09</v>
      </c>
      <c r="I268" t="s">
        <v>658</v>
      </c>
      <c r="J268" s="105">
        <v>42826</v>
      </c>
      <c r="K268" s="105">
        <v>43190</v>
      </c>
    </row>
    <row r="269" spans="1:11" x14ac:dyDescent="0.3">
      <c r="A269" t="str">
        <f t="shared" si="4"/>
        <v>123592017/2018</v>
      </c>
      <c r="B269">
        <v>12</v>
      </c>
      <c r="C269" t="s">
        <v>673</v>
      </c>
      <c r="D269" t="s">
        <v>657</v>
      </c>
      <c r="E269" s="106">
        <v>359</v>
      </c>
      <c r="F269">
        <v>7.22</v>
      </c>
      <c r="G269">
        <v>0.125</v>
      </c>
      <c r="H269">
        <v>7.22</v>
      </c>
      <c r="I269" t="s">
        <v>658</v>
      </c>
      <c r="J269" s="105">
        <v>42826</v>
      </c>
      <c r="K269" s="105">
        <v>43190</v>
      </c>
    </row>
    <row r="270" spans="1:11" x14ac:dyDescent="0.3">
      <c r="A270" t="str">
        <f t="shared" si="4"/>
        <v>135152017/2018</v>
      </c>
      <c r="B270">
        <v>13</v>
      </c>
      <c r="C270" t="s">
        <v>673</v>
      </c>
      <c r="D270" t="s">
        <v>657</v>
      </c>
      <c r="E270" s="106">
        <v>515</v>
      </c>
      <c r="F270">
        <v>4.2</v>
      </c>
      <c r="G270">
        <v>0.34</v>
      </c>
      <c r="H270">
        <v>4.2</v>
      </c>
      <c r="I270" t="s">
        <v>658</v>
      </c>
      <c r="J270" s="105">
        <v>42826</v>
      </c>
      <c r="K270" s="105">
        <v>43190</v>
      </c>
    </row>
    <row r="271" spans="1:11" x14ac:dyDescent="0.3">
      <c r="A271" t="str">
        <f t="shared" si="4"/>
        <v>135932017/2018</v>
      </c>
      <c r="B271">
        <v>13</v>
      </c>
      <c r="C271" t="s">
        <v>673</v>
      </c>
      <c r="D271" t="s">
        <v>657</v>
      </c>
      <c r="E271" s="106">
        <v>593</v>
      </c>
      <c r="F271">
        <v>4.2</v>
      </c>
      <c r="G271">
        <v>0.34</v>
      </c>
      <c r="H271">
        <v>4.2</v>
      </c>
      <c r="I271" t="s">
        <v>658</v>
      </c>
      <c r="J271" s="105">
        <v>42826</v>
      </c>
      <c r="K271" s="105">
        <v>43190</v>
      </c>
    </row>
    <row r="272" spans="1:11" x14ac:dyDescent="0.3">
      <c r="A272" t="str">
        <f t="shared" si="4"/>
        <v>143652017/2018</v>
      </c>
      <c r="B272">
        <v>14</v>
      </c>
      <c r="C272" t="s">
        <v>673</v>
      </c>
      <c r="D272" t="s">
        <v>657</v>
      </c>
      <c r="E272" s="106">
        <v>365</v>
      </c>
      <c r="F272">
        <v>4.7300000000000004</v>
      </c>
      <c r="G272">
        <v>0.224</v>
      </c>
      <c r="H272">
        <v>4.7300000000000004</v>
      </c>
      <c r="I272" t="s">
        <v>658</v>
      </c>
      <c r="J272" s="105">
        <v>42826</v>
      </c>
      <c r="K272" s="105">
        <v>43190</v>
      </c>
    </row>
    <row r="273" spans="1:11" x14ac:dyDescent="0.3">
      <c r="A273" t="str">
        <f t="shared" si="4"/>
        <v>143672017/2018</v>
      </c>
      <c r="B273">
        <v>14</v>
      </c>
      <c r="C273" t="s">
        <v>673</v>
      </c>
      <c r="D273" t="s">
        <v>657</v>
      </c>
      <c r="E273" s="106">
        <v>367</v>
      </c>
      <c r="F273">
        <v>4.7300000000000004</v>
      </c>
      <c r="G273">
        <v>0.224</v>
      </c>
      <c r="H273">
        <v>4.7300000000000004</v>
      </c>
      <c r="I273" t="s">
        <v>658</v>
      </c>
      <c r="J273" s="105">
        <v>42826</v>
      </c>
      <c r="K273" s="105">
        <v>43190</v>
      </c>
    </row>
    <row r="274" spans="1:11" x14ac:dyDescent="0.3">
      <c r="A274" t="str">
        <f t="shared" si="4"/>
        <v>153012017/2018</v>
      </c>
      <c r="B274">
        <v>15</v>
      </c>
      <c r="C274" t="s">
        <v>673</v>
      </c>
      <c r="D274" t="s">
        <v>657</v>
      </c>
      <c r="E274" s="106">
        <v>301</v>
      </c>
      <c r="F274">
        <v>2.12</v>
      </c>
      <c r="G274">
        <v>0.13200000000000001</v>
      </c>
      <c r="H274">
        <v>2.12</v>
      </c>
      <c r="I274" t="s">
        <v>658</v>
      </c>
      <c r="J274" s="105">
        <v>42826</v>
      </c>
      <c r="K274" s="105">
        <v>43190</v>
      </c>
    </row>
    <row r="275" spans="1:11" x14ac:dyDescent="0.3">
      <c r="A275" t="str">
        <f t="shared" si="4"/>
        <v>168032017/2018</v>
      </c>
      <c r="B275">
        <v>16</v>
      </c>
      <c r="C275" t="s">
        <v>673</v>
      </c>
      <c r="D275" t="s">
        <v>657</v>
      </c>
      <c r="E275" s="106">
        <v>803</v>
      </c>
      <c r="F275">
        <v>2.7</v>
      </c>
      <c r="G275">
        <v>0.14699999999999999</v>
      </c>
      <c r="H275">
        <v>2.7</v>
      </c>
      <c r="I275" t="s">
        <v>658</v>
      </c>
      <c r="J275" s="105">
        <v>42826</v>
      </c>
      <c r="K275" s="105">
        <v>43190</v>
      </c>
    </row>
    <row r="276" spans="1:11" x14ac:dyDescent="0.3">
      <c r="A276" t="str">
        <f t="shared" si="4"/>
        <v>176002017/2018</v>
      </c>
      <c r="B276">
        <v>17</v>
      </c>
      <c r="C276" t="s">
        <v>673</v>
      </c>
      <c r="D276" t="s">
        <v>657</v>
      </c>
      <c r="E276" s="106">
        <v>600</v>
      </c>
      <c r="F276">
        <v>11.28</v>
      </c>
      <c r="G276">
        <v>0.24199999999999999</v>
      </c>
      <c r="H276">
        <v>11.28</v>
      </c>
      <c r="I276" t="s">
        <v>658</v>
      </c>
      <c r="J276" s="105">
        <v>42826</v>
      </c>
      <c r="K276" s="105">
        <v>43190</v>
      </c>
    </row>
    <row r="277" spans="1:11" x14ac:dyDescent="0.3">
      <c r="A277" t="str">
        <f t="shared" si="4"/>
        <v>185012017/2018</v>
      </c>
      <c r="B277">
        <v>18</v>
      </c>
      <c r="C277" t="s">
        <v>673</v>
      </c>
      <c r="D277" t="s">
        <v>657</v>
      </c>
      <c r="E277" s="106">
        <v>501</v>
      </c>
      <c r="F277">
        <v>4.8899999999999997</v>
      </c>
      <c r="G277">
        <v>0.16</v>
      </c>
      <c r="H277">
        <v>4.8899999999999997</v>
      </c>
      <c r="I277" t="s">
        <v>658</v>
      </c>
      <c r="J277" s="105">
        <v>42826</v>
      </c>
      <c r="K277" s="105">
        <v>43190</v>
      </c>
    </row>
    <row r="278" spans="1:11" x14ac:dyDescent="0.3">
      <c r="A278" t="str">
        <f t="shared" si="4"/>
        <v>185052017/2018</v>
      </c>
      <c r="B278">
        <v>18</v>
      </c>
      <c r="C278" t="s">
        <v>673</v>
      </c>
      <c r="D278" t="s">
        <v>657</v>
      </c>
      <c r="E278" s="106">
        <v>505</v>
      </c>
      <c r="F278">
        <v>4.8899999999999997</v>
      </c>
      <c r="G278">
        <v>0.16</v>
      </c>
      <c r="H278">
        <v>4.8899999999999997</v>
      </c>
      <c r="I278" t="s">
        <v>658</v>
      </c>
      <c r="J278" s="105">
        <v>42826</v>
      </c>
      <c r="K278" s="105">
        <v>43190</v>
      </c>
    </row>
    <row r="279" spans="1:11" x14ac:dyDescent="0.3">
      <c r="A279" t="str">
        <f t="shared" si="4"/>
        <v>196502017/2018</v>
      </c>
      <c r="B279">
        <v>19</v>
      </c>
      <c r="C279" t="s">
        <v>673</v>
      </c>
      <c r="D279" t="s">
        <v>657</v>
      </c>
      <c r="E279" s="106">
        <v>650</v>
      </c>
      <c r="F279">
        <v>3.84</v>
      </c>
      <c r="G279">
        <v>0.219</v>
      </c>
      <c r="H279">
        <v>3.84</v>
      </c>
      <c r="I279" t="s">
        <v>658</v>
      </c>
      <c r="J279" s="105">
        <v>42826</v>
      </c>
      <c r="K279" s="105">
        <v>43190</v>
      </c>
    </row>
    <row r="280" spans="1:11" x14ac:dyDescent="0.3">
      <c r="A280" t="str">
        <f t="shared" si="4"/>
        <v>204762017/2018</v>
      </c>
      <c r="B280">
        <v>20</v>
      </c>
      <c r="C280" t="s">
        <v>673</v>
      </c>
      <c r="D280" t="s">
        <v>657</v>
      </c>
      <c r="E280" s="106">
        <v>476</v>
      </c>
      <c r="F280">
        <v>5.03</v>
      </c>
      <c r="G280">
        <v>0.16800000000000001</v>
      </c>
      <c r="H280">
        <v>5.03</v>
      </c>
      <c r="I280" t="s">
        <v>658</v>
      </c>
      <c r="J280" s="105">
        <v>42826</v>
      </c>
      <c r="K280" s="105">
        <v>43190</v>
      </c>
    </row>
    <row r="281" spans="1:11" x14ac:dyDescent="0.3">
      <c r="A281" t="str">
        <f t="shared" si="4"/>
        <v>206582017/2018</v>
      </c>
      <c r="B281">
        <v>20</v>
      </c>
      <c r="C281" t="s">
        <v>673</v>
      </c>
      <c r="D281" t="s">
        <v>657</v>
      </c>
      <c r="E281" s="106">
        <v>658</v>
      </c>
      <c r="F281">
        <v>5.03</v>
      </c>
      <c r="G281">
        <v>0.16800000000000001</v>
      </c>
      <c r="H281">
        <v>5.03</v>
      </c>
      <c r="I281" t="s">
        <v>658</v>
      </c>
      <c r="J281" s="105">
        <v>42826</v>
      </c>
      <c r="K281" s="105">
        <v>43190</v>
      </c>
    </row>
    <row r="282" spans="1:11" x14ac:dyDescent="0.3">
      <c r="A282" t="str">
        <f t="shared" si="4"/>
        <v>214002017/2018</v>
      </c>
      <c r="B282">
        <v>21</v>
      </c>
      <c r="C282" t="s">
        <v>673</v>
      </c>
      <c r="D282" t="s">
        <v>657</v>
      </c>
      <c r="E282" s="106">
        <v>400</v>
      </c>
      <c r="F282">
        <v>3.42</v>
      </c>
      <c r="G282">
        <v>0.34599999999999997</v>
      </c>
      <c r="H282">
        <v>3.42</v>
      </c>
      <c r="I282" t="s">
        <v>658</v>
      </c>
      <c r="J282" s="105">
        <v>42826</v>
      </c>
      <c r="K282" s="105">
        <v>43190</v>
      </c>
    </row>
    <row r="283" spans="1:11" x14ac:dyDescent="0.3">
      <c r="A283" t="str">
        <f t="shared" si="4"/>
        <v>225102017/2018</v>
      </c>
      <c r="B283">
        <v>22</v>
      </c>
      <c r="C283" t="s">
        <v>673</v>
      </c>
      <c r="D283" t="s">
        <v>657</v>
      </c>
      <c r="E283" s="106">
        <v>510</v>
      </c>
      <c r="F283">
        <v>2.57</v>
      </c>
      <c r="G283">
        <v>0.252</v>
      </c>
      <c r="H283">
        <v>2.57</v>
      </c>
      <c r="I283" t="s">
        <v>658</v>
      </c>
      <c r="J283" s="105">
        <v>42826</v>
      </c>
      <c r="K283" s="105">
        <v>43190</v>
      </c>
    </row>
    <row r="284" spans="1:11" x14ac:dyDescent="0.3">
      <c r="A284" t="str">
        <f t="shared" si="4"/>
        <v>235812017/2018</v>
      </c>
      <c r="B284">
        <v>23</v>
      </c>
      <c r="C284" t="s">
        <v>673</v>
      </c>
      <c r="D284" t="s">
        <v>657</v>
      </c>
      <c r="E284" s="106">
        <v>581</v>
      </c>
      <c r="F284">
        <v>2.0299999999999998</v>
      </c>
      <c r="G284">
        <v>0.188</v>
      </c>
      <c r="H284">
        <v>2.0299999999999998</v>
      </c>
      <c r="I284" t="s">
        <v>658</v>
      </c>
      <c r="J284" s="105">
        <v>42826</v>
      </c>
      <c r="K284" s="105">
        <v>43190</v>
      </c>
    </row>
    <row r="285" spans="1:11" x14ac:dyDescent="0.3">
      <c r="A285" t="str">
        <f t="shared" si="4"/>
        <v>102002016/2017</v>
      </c>
      <c r="B285">
        <v>10</v>
      </c>
      <c r="C285" t="s">
        <v>672</v>
      </c>
      <c r="D285" t="s">
        <v>654</v>
      </c>
      <c r="E285" s="106">
        <v>200</v>
      </c>
      <c r="F285">
        <v>0</v>
      </c>
      <c r="G285">
        <v>0</v>
      </c>
      <c r="H285">
        <v>0</v>
      </c>
      <c r="I285" t="s">
        <v>661</v>
      </c>
      <c r="J285" s="105">
        <v>42461</v>
      </c>
      <c r="K285" s="105">
        <v>42825</v>
      </c>
    </row>
    <row r="286" spans="1:11" x14ac:dyDescent="0.3">
      <c r="A286" t="str">
        <f t="shared" si="4"/>
        <v>112472016/2017</v>
      </c>
      <c r="B286">
        <v>11</v>
      </c>
      <c r="C286" t="s">
        <v>672</v>
      </c>
      <c r="D286" t="s">
        <v>654</v>
      </c>
      <c r="E286" s="106">
        <v>247</v>
      </c>
      <c r="F286">
        <v>0</v>
      </c>
      <c r="G286">
        <v>0</v>
      </c>
      <c r="H286">
        <v>0</v>
      </c>
      <c r="I286" t="s">
        <v>661</v>
      </c>
      <c r="J286" s="105">
        <v>42461</v>
      </c>
      <c r="K286" s="105">
        <v>42825</v>
      </c>
    </row>
    <row r="287" spans="1:11" x14ac:dyDescent="0.3">
      <c r="A287" t="str">
        <f t="shared" si="4"/>
        <v>122002016/2017</v>
      </c>
      <c r="B287">
        <v>12</v>
      </c>
      <c r="C287" t="s">
        <v>672</v>
      </c>
      <c r="D287" t="s">
        <v>654</v>
      </c>
      <c r="E287" s="106">
        <v>200</v>
      </c>
      <c r="F287">
        <v>0</v>
      </c>
      <c r="G287">
        <v>0</v>
      </c>
      <c r="H287">
        <v>0</v>
      </c>
      <c r="I287" t="s">
        <v>661</v>
      </c>
      <c r="J287" s="105">
        <v>42461</v>
      </c>
      <c r="K287" s="105">
        <v>42825</v>
      </c>
    </row>
    <row r="288" spans="1:11" x14ac:dyDescent="0.3">
      <c r="A288" t="str">
        <f t="shared" si="4"/>
        <v>132802016/2017</v>
      </c>
      <c r="B288">
        <v>13</v>
      </c>
      <c r="C288" t="s">
        <v>672</v>
      </c>
      <c r="D288" t="s">
        <v>654</v>
      </c>
      <c r="E288" s="106">
        <v>280</v>
      </c>
      <c r="F288">
        <v>0</v>
      </c>
      <c r="G288">
        <v>0</v>
      </c>
      <c r="H288">
        <v>0</v>
      </c>
      <c r="I288" t="s">
        <v>661</v>
      </c>
      <c r="J288" s="105">
        <v>42461</v>
      </c>
      <c r="K288" s="105">
        <v>42825</v>
      </c>
    </row>
    <row r="289" spans="1:11" x14ac:dyDescent="0.3">
      <c r="A289" t="str">
        <f t="shared" si="4"/>
        <v>146332016/2017</v>
      </c>
      <c r="B289">
        <v>14</v>
      </c>
      <c r="C289" t="s">
        <v>672</v>
      </c>
      <c r="D289" t="s">
        <v>654</v>
      </c>
      <c r="E289" s="106">
        <v>633</v>
      </c>
      <c r="F289">
        <v>0</v>
      </c>
      <c r="G289">
        <v>0</v>
      </c>
      <c r="H289">
        <v>0</v>
      </c>
      <c r="I289" t="s">
        <v>661</v>
      </c>
      <c r="J289" s="105">
        <v>42461</v>
      </c>
      <c r="K289" s="105">
        <v>42825</v>
      </c>
    </row>
    <row r="290" spans="1:11" x14ac:dyDescent="0.3">
      <c r="A290" t="str">
        <f t="shared" si="4"/>
        <v>152782016/2017</v>
      </c>
      <c r="B290">
        <v>15</v>
      </c>
      <c r="C290" t="s">
        <v>672</v>
      </c>
      <c r="D290" t="s">
        <v>654</v>
      </c>
      <c r="E290" s="106">
        <v>278</v>
      </c>
      <c r="F290">
        <v>0</v>
      </c>
      <c r="G290">
        <v>0</v>
      </c>
      <c r="H290">
        <v>0</v>
      </c>
      <c r="I290" t="s">
        <v>661</v>
      </c>
      <c r="J290" s="105">
        <v>42461</v>
      </c>
      <c r="K290" s="105">
        <v>42825</v>
      </c>
    </row>
    <row r="291" spans="1:11" x14ac:dyDescent="0.3">
      <c r="A291" t="str">
        <f t="shared" si="4"/>
        <v>168312016/2017</v>
      </c>
      <c r="B291">
        <v>16</v>
      </c>
      <c r="C291" t="s">
        <v>672</v>
      </c>
      <c r="D291" t="s">
        <v>654</v>
      </c>
      <c r="E291" s="106">
        <v>831</v>
      </c>
      <c r="F291">
        <v>0</v>
      </c>
      <c r="G291">
        <v>0</v>
      </c>
      <c r="H291">
        <v>0</v>
      </c>
      <c r="I291" t="s">
        <v>661</v>
      </c>
      <c r="J291" s="105">
        <v>42461</v>
      </c>
      <c r="K291" s="105">
        <v>42825</v>
      </c>
    </row>
    <row r="292" spans="1:11" x14ac:dyDescent="0.3">
      <c r="A292" t="str">
        <f t="shared" si="4"/>
        <v>175072016/2017</v>
      </c>
      <c r="B292">
        <v>17</v>
      </c>
      <c r="C292" t="s">
        <v>672</v>
      </c>
      <c r="D292" t="s">
        <v>654</v>
      </c>
      <c r="E292" s="106">
        <v>507</v>
      </c>
      <c r="F292">
        <v>0</v>
      </c>
      <c r="G292">
        <v>0</v>
      </c>
      <c r="H292">
        <v>0</v>
      </c>
      <c r="I292" t="s">
        <v>661</v>
      </c>
      <c r="J292" s="105">
        <v>42461</v>
      </c>
      <c r="K292" s="105">
        <v>42825</v>
      </c>
    </row>
    <row r="293" spans="1:11" x14ac:dyDescent="0.3">
      <c r="A293" t="str">
        <f t="shared" si="4"/>
        <v>182802016/2017</v>
      </c>
      <c r="B293">
        <v>18</v>
      </c>
      <c r="C293" t="s">
        <v>672</v>
      </c>
      <c r="D293" t="s">
        <v>654</v>
      </c>
      <c r="E293" s="106">
        <v>280</v>
      </c>
      <c r="F293">
        <v>0</v>
      </c>
      <c r="G293">
        <v>0</v>
      </c>
      <c r="H293">
        <v>0</v>
      </c>
      <c r="I293" t="s">
        <v>661</v>
      </c>
      <c r="J293" s="105">
        <v>42461</v>
      </c>
      <c r="K293" s="105">
        <v>42825</v>
      </c>
    </row>
    <row r="294" spans="1:11" x14ac:dyDescent="0.3">
      <c r="A294" t="str">
        <f t="shared" si="4"/>
        <v>192002016/2017</v>
      </c>
      <c r="B294">
        <v>19</v>
      </c>
      <c r="C294" t="s">
        <v>672</v>
      </c>
      <c r="D294" t="s">
        <v>654</v>
      </c>
      <c r="E294" s="106">
        <v>200</v>
      </c>
      <c r="F294">
        <v>0</v>
      </c>
      <c r="G294">
        <v>0</v>
      </c>
      <c r="H294">
        <v>0</v>
      </c>
      <c r="I294" t="s">
        <v>661</v>
      </c>
      <c r="J294" s="105">
        <v>42461</v>
      </c>
      <c r="K294" s="105">
        <v>42825</v>
      </c>
    </row>
    <row r="295" spans="1:11" x14ac:dyDescent="0.3">
      <c r="A295" t="str">
        <f t="shared" si="4"/>
        <v>204572016/2017</v>
      </c>
      <c r="B295">
        <v>20</v>
      </c>
      <c r="C295" t="s">
        <v>672</v>
      </c>
      <c r="D295" t="s">
        <v>654</v>
      </c>
      <c r="E295" s="106">
        <v>457</v>
      </c>
      <c r="F295">
        <v>0</v>
      </c>
      <c r="G295">
        <v>0</v>
      </c>
      <c r="H295">
        <v>0</v>
      </c>
      <c r="I295" t="s">
        <v>661</v>
      </c>
      <c r="J295" s="105">
        <v>42461</v>
      </c>
      <c r="K295" s="105">
        <v>42825</v>
      </c>
    </row>
    <row r="296" spans="1:11" x14ac:dyDescent="0.3">
      <c r="A296" t="str">
        <f t="shared" si="4"/>
        <v>211172016/2017</v>
      </c>
      <c r="B296">
        <v>21</v>
      </c>
      <c r="C296" t="s">
        <v>672</v>
      </c>
      <c r="D296" t="s">
        <v>654</v>
      </c>
      <c r="E296" s="106">
        <v>117</v>
      </c>
      <c r="F296">
        <v>0</v>
      </c>
      <c r="G296">
        <v>0</v>
      </c>
      <c r="H296">
        <v>0</v>
      </c>
      <c r="I296" t="s">
        <v>661</v>
      </c>
      <c r="J296" s="105">
        <v>42461</v>
      </c>
      <c r="K296" s="105">
        <v>42825</v>
      </c>
    </row>
    <row r="297" spans="1:11" x14ac:dyDescent="0.3">
      <c r="A297" t="str">
        <f t="shared" si="4"/>
        <v>222032016/2017</v>
      </c>
      <c r="B297">
        <v>22</v>
      </c>
      <c r="C297" t="s">
        <v>672</v>
      </c>
      <c r="D297" t="s">
        <v>654</v>
      </c>
      <c r="E297" s="106">
        <v>203</v>
      </c>
      <c r="F297">
        <v>0</v>
      </c>
      <c r="G297">
        <v>0</v>
      </c>
      <c r="H297">
        <v>0</v>
      </c>
      <c r="I297" t="s">
        <v>661</v>
      </c>
      <c r="J297" s="105">
        <v>42461</v>
      </c>
      <c r="K297" s="105">
        <v>42825</v>
      </c>
    </row>
    <row r="298" spans="1:11" x14ac:dyDescent="0.3">
      <c r="A298" t="str">
        <f t="shared" si="4"/>
        <v>232992016/2017</v>
      </c>
      <c r="B298">
        <v>23</v>
      </c>
      <c r="C298" t="s">
        <v>672</v>
      </c>
      <c r="D298" t="s">
        <v>654</v>
      </c>
      <c r="E298" s="106">
        <v>299</v>
      </c>
      <c r="F298">
        <v>0</v>
      </c>
      <c r="G298">
        <v>0</v>
      </c>
      <c r="H298">
        <v>0</v>
      </c>
      <c r="I298" t="s">
        <v>661</v>
      </c>
      <c r="J298" s="105">
        <v>42461</v>
      </c>
      <c r="K298" s="105">
        <v>42825</v>
      </c>
    </row>
    <row r="299" spans="1:11" x14ac:dyDescent="0.3">
      <c r="A299" t="str">
        <f t="shared" si="4"/>
        <v>100842016/2017</v>
      </c>
      <c r="B299">
        <v>10</v>
      </c>
      <c r="C299" t="s">
        <v>673</v>
      </c>
      <c r="D299" t="s">
        <v>657</v>
      </c>
      <c r="E299" s="106" t="s">
        <v>624</v>
      </c>
      <c r="F299">
        <v>3.84</v>
      </c>
      <c r="G299">
        <v>0.17899999999999999</v>
      </c>
      <c r="H299">
        <v>3.84</v>
      </c>
      <c r="I299" t="s">
        <v>661</v>
      </c>
      <c r="J299" s="105">
        <v>42461</v>
      </c>
      <c r="K299" s="105">
        <v>42825</v>
      </c>
    </row>
    <row r="300" spans="1:11" x14ac:dyDescent="0.3">
      <c r="A300" t="str">
        <f t="shared" si="4"/>
        <v>110602016/2017</v>
      </c>
      <c r="B300">
        <v>11</v>
      </c>
      <c r="C300" t="s">
        <v>673</v>
      </c>
      <c r="D300" t="s">
        <v>657</v>
      </c>
      <c r="E300" s="106" t="s">
        <v>627</v>
      </c>
      <c r="F300">
        <v>3.92</v>
      </c>
      <c r="G300">
        <v>0.218</v>
      </c>
      <c r="H300">
        <v>3.92</v>
      </c>
      <c r="I300" t="s">
        <v>661</v>
      </c>
      <c r="J300" s="105">
        <v>42461</v>
      </c>
      <c r="K300" s="105">
        <v>42825</v>
      </c>
    </row>
    <row r="301" spans="1:11" x14ac:dyDescent="0.3">
      <c r="A301" t="str">
        <f t="shared" si="4"/>
        <v>119912016/2017</v>
      </c>
      <c r="B301">
        <v>11</v>
      </c>
      <c r="C301" t="s">
        <v>673</v>
      </c>
      <c r="D301" t="s">
        <v>657</v>
      </c>
      <c r="E301" s="106">
        <v>991</v>
      </c>
      <c r="F301">
        <v>3.92</v>
      </c>
      <c r="G301">
        <v>0.218</v>
      </c>
      <c r="H301">
        <v>3.92</v>
      </c>
      <c r="I301" t="s">
        <v>661</v>
      </c>
      <c r="J301" s="105">
        <v>42461</v>
      </c>
      <c r="K301" s="105">
        <v>42825</v>
      </c>
    </row>
    <row r="302" spans="1:11" x14ac:dyDescent="0.3">
      <c r="A302" t="str">
        <f t="shared" si="4"/>
        <v>123592016/2017</v>
      </c>
      <c r="B302">
        <v>12</v>
      </c>
      <c r="C302" t="s">
        <v>673</v>
      </c>
      <c r="D302" t="s">
        <v>657</v>
      </c>
      <c r="E302" s="106">
        <v>359</v>
      </c>
      <c r="F302">
        <v>7.13</v>
      </c>
      <c r="G302">
        <v>0.128</v>
      </c>
      <c r="H302">
        <v>7.13</v>
      </c>
      <c r="I302" t="s">
        <v>661</v>
      </c>
      <c r="J302" s="105">
        <v>42461</v>
      </c>
      <c r="K302" s="105">
        <v>42825</v>
      </c>
    </row>
    <row r="303" spans="1:11" x14ac:dyDescent="0.3">
      <c r="A303" t="str">
        <f t="shared" si="4"/>
        <v>135152016/2017</v>
      </c>
      <c r="B303">
        <v>13</v>
      </c>
      <c r="C303" t="s">
        <v>673</v>
      </c>
      <c r="D303" t="s">
        <v>657</v>
      </c>
      <c r="E303" s="106">
        <v>515</v>
      </c>
      <c r="F303">
        <v>3.99</v>
      </c>
      <c r="G303">
        <v>0.34200000000000003</v>
      </c>
      <c r="H303">
        <v>3.99</v>
      </c>
      <c r="I303" t="s">
        <v>661</v>
      </c>
      <c r="J303" s="105">
        <v>42461</v>
      </c>
      <c r="K303" s="105">
        <v>42825</v>
      </c>
    </row>
    <row r="304" spans="1:11" x14ac:dyDescent="0.3">
      <c r="A304" t="str">
        <f t="shared" si="4"/>
        <v>135932016/2017</v>
      </c>
      <c r="B304">
        <v>13</v>
      </c>
      <c r="C304" t="s">
        <v>673</v>
      </c>
      <c r="D304" t="s">
        <v>657</v>
      </c>
      <c r="E304" s="106">
        <v>593</v>
      </c>
      <c r="F304">
        <v>3.99</v>
      </c>
      <c r="G304">
        <v>0.34200000000000003</v>
      </c>
      <c r="H304">
        <v>3.99</v>
      </c>
      <c r="I304" t="s">
        <v>661</v>
      </c>
      <c r="J304" s="105">
        <v>42461</v>
      </c>
      <c r="K304" s="105">
        <v>42825</v>
      </c>
    </row>
    <row r="305" spans="1:11" x14ac:dyDescent="0.3">
      <c r="A305" t="str">
        <f t="shared" si="4"/>
        <v>143652016/2017</v>
      </c>
      <c r="B305">
        <v>14</v>
      </c>
      <c r="C305" t="s">
        <v>673</v>
      </c>
      <c r="D305" t="s">
        <v>657</v>
      </c>
      <c r="E305" s="106">
        <v>365</v>
      </c>
      <c r="F305">
        <v>4.58</v>
      </c>
      <c r="G305">
        <v>0.23100000000000001</v>
      </c>
      <c r="H305">
        <v>4.58</v>
      </c>
      <c r="I305" t="s">
        <v>661</v>
      </c>
      <c r="J305" s="105">
        <v>42461</v>
      </c>
      <c r="K305" s="105">
        <v>42825</v>
      </c>
    </row>
    <row r="306" spans="1:11" x14ac:dyDescent="0.3">
      <c r="A306" t="str">
        <f t="shared" si="4"/>
        <v>143672016/2017</v>
      </c>
      <c r="B306">
        <v>14</v>
      </c>
      <c r="C306" t="s">
        <v>673</v>
      </c>
      <c r="D306" t="s">
        <v>657</v>
      </c>
      <c r="E306" s="106">
        <v>367</v>
      </c>
      <c r="F306">
        <v>4.58</v>
      </c>
      <c r="G306">
        <v>0.23100000000000001</v>
      </c>
      <c r="H306">
        <v>4.58</v>
      </c>
      <c r="I306" t="s">
        <v>661</v>
      </c>
      <c r="J306" s="105">
        <v>42461</v>
      </c>
      <c r="K306" s="105">
        <v>42825</v>
      </c>
    </row>
    <row r="307" spans="1:11" x14ac:dyDescent="0.3">
      <c r="A307" t="str">
        <f t="shared" si="4"/>
        <v>153012016/2017</v>
      </c>
      <c r="B307">
        <v>15</v>
      </c>
      <c r="C307" t="s">
        <v>673</v>
      </c>
      <c r="D307" t="s">
        <v>657</v>
      </c>
      <c r="E307" s="106">
        <v>301</v>
      </c>
      <c r="F307">
        <v>1.92</v>
      </c>
      <c r="G307">
        <v>0.127</v>
      </c>
      <c r="H307">
        <v>1.92</v>
      </c>
      <c r="I307" t="s">
        <v>661</v>
      </c>
      <c r="J307" s="105">
        <v>42461</v>
      </c>
      <c r="K307" s="105">
        <v>42825</v>
      </c>
    </row>
    <row r="308" spans="1:11" x14ac:dyDescent="0.3">
      <c r="A308" t="str">
        <f t="shared" si="4"/>
        <v>168032016/2017</v>
      </c>
      <c r="B308">
        <v>16</v>
      </c>
      <c r="C308" t="s">
        <v>673</v>
      </c>
      <c r="D308" t="s">
        <v>657</v>
      </c>
      <c r="E308" s="106">
        <v>803</v>
      </c>
      <c r="F308">
        <v>2.62</v>
      </c>
      <c r="G308">
        <v>0.192</v>
      </c>
      <c r="H308">
        <v>2.62</v>
      </c>
      <c r="I308" t="s">
        <v>661</v>
      </c>
      <c r="J308" s="105">
        <v>42461</v>
      </c>
      <c r="K308" s="105">
        <v>42825</v>
      </c>
    </row>
    <row r="309" spans="1:11" x14ac:dyDescent="0.3">
      <c r="A309" t="str">
        <f t="shared" si="4"/>
        <v>176002016/2017</v>
      </c>
      <c r="B309">
        <v>17</v>
      </c>
      <c r="C309" t="s">
        <v>673</v>
      </c>
      <c r="D309" t="s">
        <v>657</v>
      </c>
      <c r="E309" s="106">
        <v>600</v>
      </c>
      <c r="F309">
        <v>10.98</v>
      </c>
      <c r="G309">
        <v>0.246</v>
      </c>
      <c r="H309">
        <v>10.98</v>
      </c>
      <c r="I309" t="s">
        <v>661</v>
      </c>
      <c r="J309" s="105">
        <v>42461</v>
      </c>
      <c r="K309" s="105">
        <v>42825</v>
      </c>
    </row>
    <row r="310" spans="1:11" x14ac:dyDescent="0.3">
      <c r="A310" t="str">
        <f t="shared" si="4"/>
        <v>185012016/2017</v>
      </c>
      <c r="B310">
        <v>18</v>
      </c>
      <c r="C310" t="s">
        <v>673</v>
      </c>
      <c r="D310" t="s">
        <v>657</v>
      </c>
      <c r="E310" s="106">
        <v>501</v>
      </c>
      <c r="F310">
        <v>4.63</v>
      </c>
      <c r="G310">
        <v>0.17399999999999999</v>
      </c>
      <c r="H310">
        <v>4.63</v>
      </c>
      <c r="I310" t="s">
        <v>661</v>
      </c>
      <c r="J310" s="105">
        <v>42461</v>
      </c>
      <c r="K310" s="105">
        <v>42825</v>
      </c>
    </row>
    <row r="311" spans="1:11" x14ac:dyDescent="0.3">
      <c r="A311" t="str">
        <f t="shared" si="4"/>
        <v>185052016/2017</v>
      </c>
      <c r="B311">
        <v>18</v>
      </c>
      <c r="C311" t="s">
        <v>673</v>
      </c>
      <c r="D311" t="s">
        <v>657</v>
      </c>
      <c r="E311" s="106">
        <v>505</v>
      </c>
      <c r="F311">
        <v>4.63</v>
      </c>
      <c r="G311">
        <v>0.17399999999999999</v>
      </c>
      <c r="H311">
        <v>4.63</v>
      </c>
      <c r="I311" t="s">
        <v>661</v>
      </c>
      <c r="J311" s="105">
        <v>42461</v>
      </c>
      <c r="K311" s="105">
        <v>42825</v>
      </c>
    </row>
    <row r="312" spans="1:11" x14ac:dyDescent="0.3">
      <c r="A312" t="str">
        <f t="shared" si="4"/>
        <v>196502016/2017</v>
      </c>
      <c r="B312">
        <v>19</v>
      </c>
      <c r="C312" t="s">
        <v>673</v>
      </c>
      <c r="D312" t="s">
        <v>657</v>
      </c>
      <c r="E312" s="106">
        <v>650</v>
      </c>
      <c r="F312">
        <v>3.77</v>
      </c>
      <c r="G312">
        <v>0.23100000000000001</v>
      </c>
      <c r="H312">
        <v>3.77</v>
      </c>
      <c r="I312" t="s">
        <v>661</v>
      </c>
      <c r="J312" s="105">
        <v>42461</v>
      </c>
      <c r="K312" s="105">
        <v>42825</v>
      </c>
    </row>
    <row r="313" spans="1:11" x14ac:dyDescent="0.3">
      <c r="A313" t="str">
        <f t="shared" si="4"/>
        <v>204762016/2017</v>
      </c>
      <c r="B313">
        <v>20</v>
      </c>
      <c r="C313" t="s">
        <v>673</v>
      </c>
      <c r="D313" t="s">
        <v>657</v>
      </c>
      <c r="E313" s="106">
        <v>476</v>
      </c>
      <c r="F313">
        <v>4.6399999999999997</v>
      </c>
      <c r="G313">
        <v>0.17499999999999999</v>
      </c>
      <c r="H313">
        <v>4.6399999999999997</v>
      </c>
      <c r="I313" t="s">
        <v>661</v>
      </c>
      <c r="J313" s="105">
        <v>42461</v>
      </c>
      <c r="K313" s="105">
        <v>42825</v>
      </c>
    </row>
    <row r="314" spans="1:11" x14ac:dyDescent="0.3">
      <c r="A314" t="str">
        <f t="shared" si="4"/>
        <v>206582016/2017</v>
      </c>
      <c r="B314">
        <v>20</v>
      </c>
      <c r="C314" t="s">
        <v>673</v>
      </c>
      <c r="D314" t="s">
        <v>657</v>
      </c>
      <c r="E314" s="106">
        <v>658</v>
      </c>
      <c r="F314">
        <v>4.6399999999999997</v>
      </c>
      <c r="G314">
        <v>0.17499999999999999</v>
      </c>
      <c r="H314">
        <v>4.6399999999999997</v>
      </c>
      <c r="I314" t="s">
        <v>661</v>
      </c>
      <c r="J314" s="105">
        <v>42461</v>
      </c>
      <c r="K314" s="105">
        <v>42825</v>
      </c>
    </row>
    <row r="315" spans="1:11" x14ac:dyDescent="0.3">
      <c r="A315" t="str">
        <f t="shared" si="4"/>
        <v>214002016/2017</v>
      </c>
      <c r="B315">
        <v>21</v>
      </c>
      <c r="C315" t="s">
        <v>673</v>
      </c>
      <c r="D315" t="s">
        <v>657</v>
      </c>
      <c r="E315" s="106">
        <v>400</v>
      </c>
      <c r="F315">
        <v>3.11</v>
      </c>
      <c r="G315">
        <v>0.33300000000000002</v>
      </c>
      <c r="H315">
        <v>3.11</v>
      </c>
      <c r="I315" t="s">
        <v>661</v>
      </c>
      <c r="J315" s="105">
        <v>42461</v>
      </c>
      <c r="K315" s="105">
        <v>42825</v>
      </c>
    </row>
    <row r="316" spans="1:11" x14ac:dyDescent="0.3">
      <c r="A316" t="str">
        <f t="shared" si="4"/>
        <v>225102016/2017</v>
      </c>
      <c r="B316">
        <v>22</v>
      </c>
      <c r="C316" t="s">
        <v>673</v>
      </c>
      <c r="D316" t="s">
        <v>657</v>
      </c>
      <c r="E316" s="106">
        <v>510</v>
      </c>
      <c r="F316">
        <v>2.4300000000000002</v>
      </c>
      <c r="G316">
        <v>0.254</v>
      </c>
      <c r="H316">
        <v>2.4300000000000002</v>
      </c>
      <c r="I316" t="s">
        <v>661</v>
      </c>
      <c r="J316" s="105">
        <v>42461</v>
      </c>
      <c r="K316" s="105">
        <v>42825</v>
      </c>
    </row>
    <row r="317" spans="1:11" x14ac:dyDescent="0.3">
      <c r="A317" t="str">
        <f t="shared" si="4"/>
        <v>235812016/2017</v>
      </c>
      <c r="B317">
        <v>23</v>
      </c>
      <c r="C317" t="s">
        <v>673</v>
      </c>
      <c r="D317" t="s">
        <v>657</v>
      </c>
      <c r="E317" s="106">
        <v>581</v>
      </c>
      <c r="F317">
        <v>1.85</v>
      </c>
      <c r="G317">
        <v>0.17399999999999999</v>
      </c>
      <c r="H317">
        <v>1.85</v>
      </c>
      <c r="I317" t="s">
        <v>661</v>
      </c>
      <c r="J317" s="105">
        <v>42461</v>
      </c>
      <c r="K317" s="105">
        <v>42825</v>
      </c>
    </row>
    <row r="318" spans="1:11" x14ac:dyDescent="0.3">
      <c r="A318" t="s">
        <v>750</v>
      </c>
      <c r="B318">
        <v>10</v>
      </c>
      <c r="C318" t="s">
        <v>672</v>
      </c>
      <c r="D318" t="s">
        <v>654</v>
      </c>
      <c r="E318" s="106">
        <v>200</v>
      </c>
      <c r="F318">
        <v>0</v>
      </c>
      <c r="G318">
        <v>0</v>
      </c>
      <c r="H318">
        <v>0</v>
      </c>
      <c r="I318" t="s">
        <v>663</v>
      </c>
      <c r="J318" s="105">
        <v>44287</v>
      </c>
      <c r="K318" s="105">
        <v>44650</v>
      </c>
    </row>
    <row r="319" spans="1:11" x14ac:dyDescent="0.3">
      <c r="A319" t="s">
        <v>751</v>
      </c>
      <c r="B319">
        <v>11</v>
      </c>
      <c r="C319" t="s">
        <v>672</v>
      </c>
      <c r="D319" t="s">
        <v>654</v>
      </c>
      <c r="E319" s="106">
        <v>247</v>
      </c>
      <c r="F319">
        <v>0</v>
      </c>
      <c r="G319">
        <v>0</v>
      </c>
      <c r="H319">
        <v>0</v>
      </c>
      <c r="I319" t="s">
        <v>663</v>
      </c>
      <c r="J319" s="105">
        <v>44287</v>
      </c>
      <c r="K319" s="105">
        <v>44650</v>
      </c>
    </row>
    <row r="320" spans="1:11" x14ac:dyDescent="0.3">
      <c r="A320" t="s">
        <v>752</v>
      </c>
      <c r="B320">
        <v>12</v>
      </c>
      <c r="C320" t="s">
        <v>672</v>
      </c>
      <c r="D320" t="s">
        <v>654</v>
      </c>
      <c r="E320" s="106">
        <v>200</v>
      </c>
      <c r="F320">
        <v>0</v>
      </c>
      <c r="G320">
        <v>0</v>
      </c>
      <c r="H320">
        <v>0</v>
      </c>
      <c r="I320" t="s">
        <v>663</v>
      </c>
      <c r="J320" s="105">
        <v>44287</v>
      </c>
      <c r="K320" s="105">
        <v>44650</v>
      </c>
    </row>
    <row r="321" spans="1:11" x14ac:dyDescent="0.3">
      <c r="A321" t="s">
        <v>753</v>
      </c>
      <c r="B321">
        <v>13</v>
      </c>
      <c r="C321" t="s">
        <v>672</v>
      </c>
      <c r="D321" t="s">
        <v>654</v>
      </c>
      <c r="E321" s="106">
        <v>280</v>
      </c>
      <c r="F321">
        <v>0</v>
      </c>
      <c r="G321">
        <v>0</v>
      </c>
      <c r="H321">
        <v>0</v>
      </c>
      <c r="I321" t="s">
        <v>663</v>
      </c>
      <c r="J321" s="105">
        <v>44287</v>
      </c>
      <c r="K321" s="105">
        <v>44650</v>
      </c>
    </row>
    <row r="322" spans="1:11" x14ac:dyDescent="0.3">
      <c r="A322" t="s">
        <v>754</v>
      </c>
      <c r="B322">
        <v>14</v>
      </c>
      <c r="C322" t="s">
        <v>672</v>
      </c>
      <c r="D322" t="s">
        <v>654</v>
      </c>
      <c r="E322" s="106">
        <v>633</v>
      </c>
      <c r="F322">
        <v>0</v>
      </c>
      <c r="G322">
        <v>0</v>
      </c>
      <c r="H322">
        <v>0</v>
      </c>
      <c r="I322" t="s">
        <v>663</v>
      </c>
      <c r="J322" s="105">
        <v>44287</v>
      </c>
      <c r="K322" s="105">
        <v>44650</v>
      </c>
    </row>
    <row r="323" spans="1:11" x14ac:dyDescent="0.3">
      <c r="A323" t="s">
        <v>755</v>
      </c>
      <c r="B323">
        <v>15</v>
      </c>
      <c r="C323" t="s">
        <v>672</v>
      </c>
      <c r="D323" t="s">
        <v>654</v>
      </c>
      <c r="E323" s="106">
        <v>278</v>
      </c>
      <c r="F323">
        <v>0</v>
      </c>
      <c r="G323">
        <v>0</v>
      </c>
      <c r="H323">
        <v>0</v>
      </c>
      <c r="I323" t="s">
        <v>663</v>
      </c>
      <c r="J323" s="105">
        <v>44287</v>
      </c>
      <c r="K323" s="105">
        <v>44650</v>
      </c>
    </row>
    <row r="324" spans="1:11" x14ac:dyDescent="0.3">
      <c r="A324" t="s">
        <v>756</v>
      </c>
      <c r="B324">
        <v>16</v>
      </c>
      <c r="C324" t="s">
        <v>672</v>
      </c>
      <c r="D324" t="s">
        <v>654</v>
      </c>
      <c r="E324" s="106">
        <v>831</v>
      </c>
      <c r="F324">
        <v>0</v>
      </c>
      <c r="G324">
        <v>0</v>
      </c>
      <c r="H324">
        <v>0</v>
      </c>
      <c r="I324" t="s">
        <v>663</v>
      </c>
      <c r="J324" s="105">
        <v>44287</v>
      </c>
      <c r="K324" s="105">
        <v>44650</v>
      </c>
    </row>
    <row r="325" spans="1:11" x14ac:dyDescent="0.3">
      <c r="A325" t="s">
        <v>757</v>
      </c>
      <c r="B325">
        <v>16</v>
      </c>
      <c r="C325" t="s">
        <v>672</v>
      </c>
      <c r="D325" t="s">
        <v>654</v>
      </c>
      <c r="E325" s="106">
        <v>861</v>
      </c>
      <c r="F325">
        <v>0</v>
      </c>
      <c r="G325">
        <v>0</v>
      </c>
      <c r="H325">
        <v>0</v>
      </c>
      <c r="I325" t="s">
        <v>663</v>
      </c>
      <c r="J325" s="105">
        <v>44287</v>
      </c>
      <c r="K325" s="105">
        <v>44650</v>
      </c>
    </row>
    <row r="326" spans="1:11" x14ac:dyDescent="0.3">
      <c r="A326" t="s">
        <v>758</v>
      </c>
      <c r="B326">
        <v>17</v>
      </c>
      <c r="C326" t="s">
        <v>672</v>
      </c>
      <c r="D326" t="s">
        <v>654</v>
      </c>
      <c r="E326" s="106">
        <v>507</v>
      </c>
      <c r="F326">
        <v>0</v>
      </c>
      <c r="G326">
        <v>0</v>
      </c>
      <c r="H326">
        <v>0</v>
      </c>
      <c r="I326" t="s">
        <v>663</v>
      </c>
      <c r="J326" s="105">
        <v>44287</v>
      </c>
      <c r="K326" s="105">
        <v>44650</v>
      </c>
    </row>
    <row r="327" spans="1:11" x14ac:dyDescent="0.3">
      <c r="A327" t="s">
        <v>759</v>
      </c>
      <c r="B327">
        <v>18</v>
      </c>
      <c r="C327" t="s">
        <v>672</v>
      </c>
      <c r="D327" t="s">
        <v>654</v>
      </c>
      <c r="E327" s="106">
        <v>280</v>
      </c>
      <c r="F327">
        <v>0</v>
      </c>
      <c r="G327">
        <v>0</v>
      </c>
      <c r="H327">
        <v>0</v>
      </c>
      <c r="I327" t="s">
        <v>663</v>
      </c>
      <c r="J327" s="105">
        <v>44287</v>
      </c>
      <c r="K327" s="105">
        <v>44650</v>
      </c>
    </row>
    <row r="328" spans="1:11" x14ac:dyDescent="0.3">
      <c r="A328" t="s">
        <v>760</v>
      </c>
      <c r="B328">
        <v>19</v>
      </c>
      <c r="C328" t="s">
        <v>672</v>
      </c>
      <c r="D328" t="s">
        <v>654</v>
      </c>
      <c r="E328" s="106">
        <v>200</v>
      </c>
      <c r="F328">
        <v>0</v>
      </c>
      <c r="G328">
        <v>0</v>
      </c>
      <c r="H328">
        <v>0</v>
      </c>
      <c r="I328" t="s">
        <v>663</v>
      </c>
      <c r="J328" s="105">
        <v>44287</v>
      </c>
      <c r="K328" s="105">
        <v>44650</v>
      </c>
    </row>
    <row r="329" spans="1:11" x14ac:dyDescent="0.3">
      <c r="A329" t="s">
        <v>761</v>
      </c>
      <c r="B329">
        <v>20</v>
      </c>
      <c r="C329" t="s">
        <v>672</v>
      </c>
      <c r="D329" t="s">
        <v>654</v>
      </c>
      <c r="E329" s="106">
        <v>166</v>
      </c>
      <c r="F329">
        <v>0</v>
      </c>
      <c r="G329">
        <v>0</v>
      </c>
      <c r="H329">
        <v>0</v>
      </c>
      <c r="I329" t="s">
        <v>663</v>
      </c>
      <c r="J329" s="105">
        <v>44287</v>
      </c>
      <c r="K329" s="105">
        <v>44650</v>
      </c>
    </row>
    <row r="330" spans="1:11" x14ac:dyDescent="0.3">
      <c r="A330" t="s">
        <v>762</v>
      </c>
      <c r="B330">
        <v>20</v>
      </c>
      <c r="C330" t="s">
        <v>672</v>
      </c>
      <c r="D330" t="s">
        <v>654</v>
      </c>
      <c r="E330" s="106">
        <v>457</v>
      </c>
      <c r="F330">
        <v>0</v>
      </c>
      <c r="G330">
        <v>0</v>
      </c>
      <c r="H330">
        <v>0</v>
      </c>
      <c r="I330" t="s">
        <v>663</v>
      </c>
      <c r="J330" s="105">
        <v>44287</v>
      </c>
      <c r="K330" s="105">
        <v>44650</v>
      </c>
    </row>
    <row r="331" spans="1:11" x14ac:dyDescent="0.3">
      <c r="A331" t="s">
        <v>763</v>
      </c>
      <c r="B331">
        <v>21</v>
      </c>
      <c r="C331" t="s">
        <v>672</v>
      </c>
      <c r="D331" t="s">
        <v>654</v>
      </c>
      <c r="E331" s="106">
        <v>117</v>
      </c>
      <c r="F331">
        <v>0</v>
      </c>
      <c r="G331">
        <v>0</v>
      </c>
      <c r="H331">
        <v>0</v>
      </c>
      <c r="I331" t="s">
        <v>663</v>
      </c>
      <c r="J331" s="105">
        <v>44287</v>
      </c>
      <c r="K331" s="105">
        <v>44650</v>
      </c>
    </row>
    <row r="332" spans="1:11" x14ac:dyDescent="0.3">
      <c r="A332" t="s">
        <v>764</v>
      </c>
      <c r="B332">
        <v>22</v>
      </c>
      <c r="C332" t="s">
        <v>672</v>
      </c>
      <c r="D332" t="s">
        <v>654</v>
      </c>
      <c r="E332" s="106">
        <v>203</v>
      </c>
      <c r="F332">
        <v>0</v>
      </c>
      <c r="G332">
        <v>0</v>
      </c>
      <c r="H332">
        <v>0</v>
      </c>
      <c r="I332" t="s">
        <v>663</v>
      </c>
      <c r="J332" s="105">
        <v>44287</v>
      </c>
      <c r="K332" s="105">
        <v>44650</v>
      </c>
    </row>
    <row r="333" spans="1:11" x14ac:dyDescent="0.3">
      <c r="A333" t="s">
        <v>765</v>
      </c>
      <c r="B333">
        <v>23</v>
      </c>
      <c r="C333" t="s">
        <v>672</v>
      </c>
      <c r="D333" t="s">
        <v>654</v>
      </c>
      <c r="E333" s="106">
        <v>299</v>
      </c>
      <c r="F333">
        <v>0</v>
      </c>
      <c r="G333">
        <v>0</v>
      </c>
      <c r="H333">
        <v>0</v>
      </c>
      <c r="I333" t="s">
        <v>663</v>
      </c>
      <c r="J333" s="105">
        <v>44287</v>
      </c>
      <c r="K333" s="105">
        <v>44650</v>
      </c>
    </row>
    <row r="334" spans="1:11" x14ac:dyDescent="0.3">
      <c r="A334" t="s">
        <v>766</v>
      </c>
      <c r="B334">
        <v>10</v>
      </c>
      <c r="C334" t="s">
        <v>673</v>
      </c>
      <c r="D334" t="s">
        <v>655</v>
      </c>
      <c r="E334" s="106" t="s">
        <v>634</v>
      </c>
      <c r="F334">
        <v>3.64</v>
      </c>
      <c r="G334">
        <v>0.315</v>
      </c>
      <c r="H334">
        <v>7.56</v>
      </c>
      <c r="I334" t="s">
        <v>663</v>
      </c>
      <c r="J334" s="105">
        <v>44287</v>
      </c>
      <c r="K334" s="105">
        <v>44650</v>
      </c>
    </row>
    <row r="335" spans="1:11" x14ac:dyDescent="0.3">
      <c r="A335" t="s">
        <v>767</v>
      </c>
      <c r="B335">
        <v>11</v>
      </c>
      <c r="C335" t="s">
        <v>673</v>
      </c>
      <c r="D335" t="s">
        <v>655</v>
      </c>
      <c r="E335" s="106" t="s">
        <v>629</v>
      </c>
      <c r="F335">
        <v>2.76</v>
      </c>
      <c r="G335">
        <v>0.14599999999999999</v>
      </c>
      <c r="H335">
        <v>5.79</v>
      </c>
      <c r="I335" t="s">
        <v>663</v>
      </c>
      <c r="J335" s="105">
        <v>44287</v>
      </c>
      <c r="K335" s="105">
        <v>44650</v>
      </c>
    </row>
    <row r="336" spans="1:11" x14ac:dyDescent="0.3">
      <c r="A336" t="s">
        <v>768</v>
      </c>
      <c r="B336">
        <v>11</v>
      </c>
      <c r="C336" t="s">
        <v>673</v>
      </c>
      <c r="D336" t="s">
        <v>655</v>
      </c>
      <c r="E336" s="106">
        <v>990</v>
      </c>
      <c r="F336">
        <v>2.76</v>
      </c>
      <c r="G336">
        <v>0.14599999999999999</v>
      </c>
      <c r="H336">
        <v>5.79</v>
      </c>
      <c r="I336" t="s">
        <v>663</v>
      </c>
      <c r="J336" s="105">
        <v>44287</v>
      </c>
      <c r="K336" s="105">
        <v>44650</v>
      </c>
    </row>
    <row r="337" spans="1:11" x14ac:dyDescent="0.3">
      <c r="A337" t="s">
        <v>769</v>
      </c>
      <c r="B337">
        <v>12</v>
      </c>
      <c r="C337" t="s">
        <v>673</v>
      </c>
      <c r="D337" t="s">
        <v>655</v>
      </c>
      <c r="E337" s="106" t="s">
        <v>406</v>
      </c>
      <c r="F337">
        <v>4.38</v>
      </c>
      <c r="G337">
        <v>0.38700000000000001</v>
      </c>
      <c r="H337">
        <v>6.75</v>
      </c>
      <c r="I337" t="s">
        <v>663</v>
      </c>
      <c r="J337" s="105">
        <v>44287</v>
      </c>
      <c r="K337" s="105">
        <v>44650</v>
      </c>
    </row>
    <row r="338" spans="1:11" x14ac:dyDescent="0.3">
      <c r="A338" t="s">
        <v>770</v>
      </c>
      <c r="B338">
        <v>13</v>
      </c>
      <c r="C338" t="s">
        <v>673</v>
      </c>
      <c r="D338" t="s">
        <v>655</v>
      </c>
      <c r="E338" s="106">
        <v>511</v>
      </c>
      <c r="F338">
        <v>2.3199999999999998</v>
      </c>
      <c r="G338">
        <v>0.33900000000000002</v>
      </c>
      <c r="H338">
        <v>4.2699999999999996</v>
      </c>
      <c r="I338" t="s">
        <v>663</v>
      </c>
      <c r="J338" s="105">
        <v>44287</v>
      </c>
      <c r="K338" s="105">
        <v>44650</v>
      </c>
    </row>
    <row r="339" spans="1:11" x14ac:dyDescent="0.3">
      <c r="A339" t="s">
        <v>771</v>
      </c>
      <c r="B339">
        <v>13</v>
      </c>
      <c r="C339" t="s">
        <v>673</v>
      </c>
      <c r="D339" t="s">
        <v>655</v>
      </c>
      <c r="E339" s="106">
        <v>591</v>
      </c>
      <c r="F339">
        <v>2.3199999999999998</v>
      </c>
      <c r="G339">
        <v>0.33900000000000002</v>
      </c>
      <c r="H339">
        <v>4.2699999999999996</v>
      </c>
      <c r="I339" t="s">
        <v>663</v>
      </c>
      <c r="J339" s="105">
        <v>44287</v>
      </c>
      <c r="K339" s="105">
        <v>44650</v>
      </c>
    </row>
    <row r="340" spans="1:11" x14ac:dyDescent="0.3">
      <c r="A340" t="s">
        <v>772</v>
      </c>
      <c r="B340">
        <v>14</v>
      </c>
      <c r="C340" t="s">
        <v>673</v>
      </c>
      <c r="D340" t="s">
        <v>655</v>
      </c>
      <c r="E340" s="106">
        <v>127</v>
      </c>
      <c r="F340">
        <v>4.09</v>
      </c>
      <c r="G340">
        <v>0.19900000000000001</v>
      </c>
      <c r="H340">
        <v>7.69</v>
      </c>
      <c r="I340" t="s">
        <v>663</v>
      </c>
      <c r="J340" s="105">
        <v>44287</v>
      </c>
      <c r="K340" s="105">
        <v>44650</v>
      </c>
    </row>
    <row r="341" spans="1:11" x14ac:dyDescent="0.3">
      <c r="A341" t="s">
        <v>773</v>
      </c>
      <c r="B341">
        <v>14</v>
      </c>
      <c r="C341" t="s">
        <v>673</v>
      </c>
      <c r="D341" t="s">
        <v>655</v>
      </c>
      <c r="E341" s="106">
        <v>129</v>
      </c>
      <c r="F341">
        <v>4.09</v>
      </c>
      <c r="G341">
        <v>0.19900000000000001</v>
      </c>
      <c r="H341">
        <v>7.69</v>
      </c>
      <c r="I341" t="s">
        <v>663</v>
      </c>
      <c r="J341" s="105">
        <v>44287</v>
      </c>
      <c r="K341" s="105">
        <v>44650</v>
      </c>
    </row>
    <row r="342" spans="1:11" x14ac:dyDescent="0.3">
      <c r="A342" t="s">
        <v>774</v>
      </c>
      <c r="B342">
        <v>15</v>
      </c>
      <c r="C342" t="s">
        <v>673</v>
      </c>
      <c r="D342" t="s">
        <v>655</v>
      </c>
      <c r="E342" s="106">
        <v>251</v>
      </c>
      <c r="F342">
        <v>2.08</v>
      </c>
      <c r="G342">
        <v>0.14499999999999999</v>
      </c>
      <c r="H342">
        <v>4.58</v>
      </c>
      <c r="I342" t="s">
        <v>663</v>
      </c>
      <c r="J342" s="105">
        <v>44287</v>
      </c>
      <c r="K342" s="105">
        <v>44650</v>
      </c>
    </row>
    <row r="343" spans="1:11" x14ac:dyDescent="0.3">
      <c r="A343" t="s">
        <v>775</v>
      </c>
      <c r="B343">
        <v>16</v>
      </c>
      <c r="C343" t="s">
        <v>673</v>
      </c>
      <c r="D343" t="s">
        <v>655</v>
      </c>
      <c r="E343" s="106">
        <v>801</v>
      </c>
      <c r="F343">
        <v>3.41</v>
      </c>
      <c r="G343">
        <v>0.161</v>
      </c>
      <c r="H343">
        <v>5.17</v>
      </c>
      <c r="I343" t="s">
        <v>663</v>
      </c>
      <c r="J343" s="105">
        <v>44287</v>
      </c>
      <c r="K343" s="105">
        <v>44650</v>
      </c>
    </row>
    <row r="344" spans="1:11" x14ac:dyDescent="0.3">
      <c r="A344" t="s">
        <v>776</v>
      </c>
      <c r="B344">
        <v>16</v>
      </c>
      <c r="C344" t="s">
        <v>673</v>
      </c>
      <c r="D344" t="s">
        <v>655</v>
      </c>
      <c r="E344" s="106">
        <v>841</v>
      </c>
      <c r="F344">
        <v>3.41</v>
      </c>
      <c r="G344">
        <v>0.161</v>
      </c>
      <c r="H344">
        <v>5.17</v>
      </c>
      <c r="I344" t="s">
        <v>663</v>
      </c>
      <c r="J344" s="105">
        <v>44287</v>
      </c>
      <c r="K344" s="105">
        <v>44650</v>
      </c>
    </row>
    <row r="345" spans="1:11" x14ac:dyDescent="0.3">
      <c r="A345" t="s">
        <v>777</v>
      </c>
      <c r="B345">
        <v>17</v>
      </c>
      <c r="C345" t="s">
        <v>673</v>
      </c>
      <c r="D345" t="s">
        <v>655</v>
      </c>
      <c r="E345" s="106">
        <v>500</v>
      </c>
      <c r="F345">
        <v>4.76</v>
      </c>
      <c r="G345">
        <v>0.27300000000000002</v>
      </c>
      <c r="H345">
        <v>8.74</v>
      </c>
      <c r="I345" t="s">
        <v>663</v>
      </c>
      <c r="J345" s="105">
        <v>44287</v>
      </c>
      <c r="K345" s="105">
        <v>44650</v>
      </c>
    </row>
    <row r="346" spans="1:11" x14ac:dyDescent="0.3">
      <c r="A346" t="s">
        <v>778</v>
      </c>
      <c r="B346">
        <v>18</v>
      </c>
      <c r="C346" t="s">
        <v>673</v>
      </c>
      <c r="D346" t="s">
        <v>655</v>
      </c>
      <c r="E346" s="106">
        <v>500</v>
      </c>
      <c r="F346">
        <v>2.34</v>
      </c>
      <c r="G346">
        <v>0.184</v>
      </c>
      <c r="H346">
        <v>3.51</v>
      </c>
      <c r="I346" t="s">
        <v>663</v>
      </c>
      <c r="J346" s="105">
        <v>44287</v>
      </c>
      <c r="K346" s="105">
        <v>44650</v>
      </c>
    </row>
    <row r="347" spans="1:11" x14ac:dyDescent="0.3">
      <c r="A347" t="s">
        <v>779</v>
      </c>
      <c r="B347">
        <v>18</v>
      </c>
      <c r="C347" t="s">
        <v>673</v>
      </c>
      <c r="D347" t="s">
        <v>655</v>
      </c>
      <c r="E347" s="106">
        <v>504</v>
      </c>
      <c r="F347">
        <v>2.34</v>
      </c>
      <c r="G347">
        <v>0.184</v>
      </c>
      <c r="H347">
        <v>3.51</v>
      </c>
      <c r="I347" t="s">
        <v>663</v>
      </c>
      <c r="J347" s="105">
        <v>44287</v>
      </c>
      <c r="K347" s="105">
        <v>44650</v>
      </c>
    </row>
    <row r="348" spans="1:11" x14ac:dyDescent="0.3">
      <c r="A348" t="s">
        <v>780</v>
      </c>
      <c r="B348">
        <v>19</v>
      </c>
      <c r="C348" t="s">
        <v>673</v>
      </c>
      <c r="D348" t="s">
        <v>655</v>
      </c>
      <c r="E348" s="106">
        <v>550</v>
      </c>
      <c r="F348">
        <v>3.69</v>
      </c>
      <c r="G348">
        <v>0.26400000000000001</v>
      </c>
      <c r="H348">
        <v>7.07</v>
      </c>
      <c r="I348" t="s">
        <v>663</v>
      </c>
      <c r="J348" s="105">
        <v>44287</v>
      </c>
      <c r="K348" s="105">
        <v>44650</v>
      </c>
    </row>
    <row r="349" spans="1:11" x14ac:dyDescent="0.3">
      <c r="A349" t="s">
        <v>781</v>
      </c>
      <c r="B349">
        <v>20</v>
      </c>
      <c r="C349" t="s">
        <v>673</v>
      </c>
      <c r="D349" t="s">
        <v>655</v>
      </c>
      <c r="E349" s="106">
        <v>453</v>
      </c>
      <c r="F349">
        <v>2.42</v>
      </c>
      <c r="G349">
        <v>0.20399999999999999</v>
      </c>
      <c r="H349">
        <v>4.58</v>
      </c>
      <c r="I349" t="s">
        <v>663</v>
      </c>
      <c r="J349" s="105">
        <v>44287</v>
      </c>
      <c r="K349" s="105">
        <v>44650</v>
      </c>
    </row>
    <row r="350" spans="1:11" x14ac:dyDescent="0.3">
      <c r="A350" t="s">
        <v>782</v>
      </c>
      <c r="B350">
        <v>20</v>
      </c>
      <c r="C350" t="s">
        <v>673</v>
      </c>
      <c r="D350" t="s">
        <v>655</v>
      </c>
      <c r="E350" s="106">
        <v>470</v>
      </c>
      <c r="F350">
        <v>2.42</v>
      </c>
      <c r="G350">
        <v>0.20399999999999999</v>
      </c>
      <c r="H350">
        <v>4.58</v>
      </c>
      <c r="I350" t="s">
        <v>663</v>
      </c>
      <c r="J350" s="105">
        <v>44287</v>
      </c>
      <c r="K350" s="105">
        <v>44650</v>
      </c>
    </row>
    <row r="351" spans="1:11" x14ac:dyDescent="0.3">
      <c r="A351" t="s">
        <v>783</v>
      </c>
      <c r="B351">
        <v>21</v>
      </c>
      <c r="C351" t="s">
        <v>673</v>
      </c>
      <c r="D351" t="s">
        <v>655</v>
      </c>
      <c r="E351" s="106">
        <v>300</v>
      </c>
      <c r="F351">
        <v>3.18</v>
      </c>
      <c r="G351">
        <v>0.28000000000000003</v>
      </c>
      <c r="H351">
        <v>6.81</v>
      </c>
      <c r="I351" t="s">
        <v>663</v>
      </c>
      <c r="J351" s="105">
        <v>44287</v>
      </c>
      <c r="K351" s="105">
        <v>44650</v>
      </c>
    </row>
    <row r="352" spans="1:11" x14ac:dyDescent="0.3">
      <c r="A352" t="s">
        <v>784</v>
      </c>
      <c r="B352">
        <v>22</v>
      </c>
      <c r="C352" t="s">
        <v>673</v>
      </c>
      <c r="D352" t="s">
        <v>655</v>
      </c>
      <c r="E352" s="106">
        <v>570</v>
      </c>
      <c r="F352">
        <v>3.27</v>
      </c>
      <c r="G352">
        <v>0.13100000000000001</v>
      </c>
      <c r="H352">
        <v>7.45</v>
      </c>
      <c r="I352" t="s">
        <v>663</v>
      </c>
      <c r="J352" s="105">
        <v>44287</v>
      </c>
      <c r="K352" s="105">
        <v>44650</v>
      </c>
    </row>
    <row r="353" spans="1:11" x14ac:dyDescent="0.3">
      <c r="A353" t="s">
        <v>785</v>
      </c>
      <c r="B353">
        <v>23</v>
      </c>
      <c r="C353" t="s">
        <v>673</v>
      </c>
      <c r="D353" t="s">
        <v>655</v>
      </c>
      <c r="E353" s="106">
        <v>281</v>
      </c>
      <c r="F353">
        <v>1.4</v>
      </c>
      <c r="G353">
        <v>0.14000000000000001</v>
      </c>
      <c r="H353">
        <v>2.95</v>
      </c>
      <c r="I353" t="s">
        <v>663</v>
      </c>
      <c r="J353" s="105">
        <v>44287</v>
      </c>
      <c r="K353" s="105">
        <v>44650</v>
      </c>
    </row>
    <row r="354" spans="1:11" x14ac:dyDescent="0.3">
      <c r="A354" t="s">
        <v>786</v>
      </c>
      <c r="B354">
        <v>10</v>
      </c>
      <c r="C354" t="s">
        <v>673</v>
      </c>
      <c r="D354" t="s">
        <v>656</v>
      </c>
      <c r="E354" s="106" t="s">
        <v>620</v>
      </c>
      <c r="F354">
        <v>5.18</v>
      </c>
      <c r="G354">
        <v>0.20799999999999999</v>
      </c>
      <c r="H354">
        <v>6.8</v>
      </c>
      <c r="I354" t="s">
        <v>663</v>
      </c>
      <c r="J354" s="105">
        <v>44287</v>
      </c>
      <c r="K354" s="105">
        <v>44650</v>
      </c>
    </row>
    <row r="355" spans="1:11" x14ac:dyDescent="0.3">
      <c r="A355" t="s">
        <v>787</v>
      </c>
      <c r="B355">
        <v>11</v>
      </c>
      <c r="C355" t="s">
        <v>673</v>
      </c>
      <c r="D355" t="s">
        <v>656</v>
      </c>
      <c r="E355" s="106" t="s">
        <v>482</v>
      </c>
      <c r="F355">
        <v>3.44</v>
      </c>
      <c r="G355">
        <v>0.10100000000000001</v>
      </c>
      <c r="H355">
        <v>5.34</v>
      </c>
      <c r="I355" t="s">
        <v>663</v>
      </c>
      <c r="J355" s="105">
        <v>44287</v>
      </c>
      <c r="K355" s="105">
        <v>44650</v>
      </c>
    </row>
    <row r="356" spans="1:11" x14ac:dyDescent="0.3">
      <c r="A356" t="s">
        <v>788</v>
      </c>
      <c r="B356">
        <v>12</v>
      </c>
      <c r="C356" t="s">
        <v>673</v>
      </c>
      <c r="D356" t="s">
        <v>656</v>
      </c>
      <c r="E356" s="106">
        <v>756</v>
      </c>
      <c r="F356">
        <v>7.79</v>
      </c>
      <c r="G356">
        <v>0.23400000000000001</v>
      </c>
      <c r="H356">
        <v>8.85</v>
      </c>
      <c r="I356" t="s">
        <v>663</v>
      </c>
      <c r="J356" s="105">
        <v>44287</v>
      </c>
      <c r="K356" s="105">
        <v>44650</v>
      </c>
    </row>
    <row r="357" spans="1:11" x14ac:dyDescent="0.3">
      <c r="A357" t="s">
        <v>789</v>
      </c>
      <c r="B357">
        <v>13</v>
      </c>
      <c r="C357" t="s">
        <v>673</v>
      </c>
      <c r="D357" t="s">
        <v>656</v>
      </c>
      <c r="E357" s="106">
        <v>513</v>
      </c>
      <c r="F357">
        <v>4.8099999999999996</v>
      </c>
      <c r="G357">
        <v>0.217</v>
      </c>
      <c r="H357">
        <v>6.78</v>
      </c>
      <c r="I357" t="s">
        <v>663</v>
      </c>
      <c r="J357" s="105">
        <v>44287</v>
      </c>
      <c r="K357" s="105">
        <v>44650</v>
      </c>
    </row>
    <row r="358" spans="1:11" x14ac:dyDescent="0.3">
      <c r="A358" t="s">
        <v>790</v>
      </c>
      <c r="B358">
        <v>13</v>
      </c>
      <c r="C358" t="s">
        <v>673</v>
      </c>
      <c r="D358" t="s">
        <v>656</v>
      </c>
      <c r="E358" s="106">
        <v>592</v>
      </c>
      <c r="F358">
        <v>4.8099999999999996</v>
      </c>
      <c r="G358">
        <v>0.217</v>
      </c>
      <c r="H358">
        <v>6.78</v>
      </c>
      <c r="I358" t="s">
        <v>663</v>
      </c>
      <c r="J358" s="105">
        <v>44287</v>
      </c>
      <c r="K358" s="105">
        <v>44650</v>
      </c>
    </row>
    <row r="359" spans="1:11" x14ac:dyDescent="0.3">
      <c r="A359" t="s">
        <v>791</v>
      </c>
      <c r="B359">
        <v>14</v>
      </c>
      <c r="C359" t="s">
        <v>673</v>
      </c>
      <c r="D359" t="s">
        <v>656</v>
      </c>
      <c r="E359" s="106">
        <v>128</v>
      </c>
      <c r="F359">
        <v>4.83</v>
      </c>
      <c r="G359">
        <v>0.13</v>
      </c>
      <c r="H359">
        <v>6.8</v>
      </c>
      <c r="I359" t="s">
        <v>663</v>
      </c>
      <c r="J359" s="105">
        <v>44287</v>
      </c>
      <c r="K359" s="105">
        <v>44650</v>
      </c>
    </row>
    <row r="360" spans="1:11" x14ac:dyDescent="0.3">
      <c r="A360" t="s">
        <v>792</v>
      </c>
      <c r="B360">
        <v>15</v>
      </c>
      <c r="C360" t="s">
        <v>673</v>
      </c>
      <c r="D360" t="s">
        <v>656</v>
      </c>
      <c r="E360" s="106">
        <v>293</v>
      </c>
      <c r="F360">
        <v>2.77</v>
      </c>
      <c r="G360">
        <v>8.7999999999999995E-2</v>
      </c>
      <c r="H360">
        <v>4.41</v>
      </c>
      <c r="I360" t="s">
        <v>663</v>
      </c>
      <c r="J360" s="105">
        <v>44287</v>
      </c>
      <c r="K360" s="105">
        <v>44650</v>
      </c>
    </row>
    <row r="361" spans="1:11" x14ac:dyDescent="0.3">
      <c r="A361" t="s">
        <v>793</v>
      </c>
      <c r="B361">
        <v>16</v>
      </c>
      <c r="C361" t="s">
        <v>673</v>
      </c>
      <c r="D361" t="s">
        <v>656</v>
      </c>
      <c r="E361" s="106">
        <v>802</v>
      </c>
      <c r="F361">
        <v>3.46</v>
      </c>
      <c r="G361">
        <v>0.121</v>
      </c>
      <c r="H361">
        <v>6.08</v>
      </c>
      <c r="I361" t="s">
        <v>663</v>
      </c>
      <c r="J361" s="105">
        <v>44287</v>
      </c>
      <c r="K361" s="105">
        <v>44650</v>
      </c>
    </row>
    <row r="362" spans="1:11" x14ac:dyDescent="0.3">
      <c r="A362" t="s">
        <v>794</v>
      </c>
      <c r="B362">
        <v>16</v>
      </c>
      <c r="C362" t="s">
        <v>673</v>
      </c>
      <c r="D362" t="s">
        <v>656</v>
      </c>
      <c r="E362" s="106">
        <v>842</v>
      </c>
      <c r="F362">
        <v>3.46</v>
      </c>
      <c r="G362">
        <v>0.121</v>
      </c>
      <c r="H362">
        <v>6.08</v>
      </c>
      <c r="I362" t="s">
        <v>663</v>
      </c>
      <c r="J362" s="105">
        <v>44287</v>
      </c>
      <c r="K362" s="105">
        <v>44650</v>
      </c>
    </row>
    <row r="363" spans="1:11" x14ac:dyDescent="0.3">
      <c r="A363" t="s">
        <v>795</v>
      </c>
      <c r="B363">
        <v>17</v>
      </c>
      <c r="C363" t="s">
        <v>673</v>
      </c>
      <c r="D363" t="s">
        <v>656</v>
      </c>
      <c r="E363" s="106">
        <v>505</v>
      </c>
      <c r="F363">
        <v>7.79</v>
      </c>
      <c r="G363">
        <v>0.13700000000000001</v>
      </c>
      <c r="H363">
        <v>10.79</v>
      </c>
      <c r="I363" t="s">
        <v>663</v>
      </c>
      <c r="J363" s="105">
        <v>44287</v>
      </c>
      <c r="K363" s="105">
        <v>44650</v>
      </c>
    </row>
    <row r="364" spans="1:11" x14ac:dyDescent="0.3">
      <c r="A364" t="s">
        <v>796</v>
      </c>
      <c r="B364">
        <v>18</v>
      </c>
      <c r="C364" t="s">
        <v>673</v>
      </c>
      <c r="D364" t="s">
        <v>656</v>
      </c>
      <c r="E364" s="106">
        <v>506</v>
      </c>
      <c r="F364">
        <v>4.28</v>
      </c>
      <c r="G364">
        <v>0.10299999999999999</v>
      </c>
      <c r="H364">
        <v>4.9000000000000004</v>
      </c>
      <c r="I364" t="s">
        <v>663</v>
      </c>
      <c r="J364" s="105">
        <v>44287</v>
      </c>
      <c r="K364" s="105">
        <v>44650</v>
      </c>
    </row>
    <row r="365" spans="1:11" x14ac:dyDescent="0.3">
      <c r="A365" t="s">
        <v>797</v>
      </c>
      <c r="B365">
        <v>18</v>
      </c>
      <c r="C365" t="s">
        <v>673</v>
      </c>
      <c r="D365" t="s">
        <v>656</v>
      </c>
      <c r="E365" s="106">
        <v>507</v>
      </c>
      <c r="F365">
        <v>4.28</v>
      </c>
      <c r="G365">
        <v>0.10299999999999999</v>
      </c>
      <c r="H365">
        <v>4.9000000000000004</v>
      </c>
      <c r="I365" t="s">
        <v>663</v>
      </c>
      <c r="J365" s="105">
        <v>44287</v>
      </c>
      <c r="K365" s="105">
        <v>44650</v>
      </c>
    </row>
    <row r="366" spans="1:11" x14ac:dyDescent="0.3">
      <c r="A366" t="s">
        <v>798</v>
      </c>
      <c r="B366">
        <v>19</v>
      </c>
      <c r="C366" t="s">
        <v>673</v>
      </c>
      <c r="D366" t="s">
        <v>656</v>
      </c>
      <c r="E366" s="106">
        <v>756</v>
      </c>
      <c r="F366">
        <v>5.79</v>
      </c>
      <c r="G366">
        <v>0.14899999999999999</v>
      </c>
      <c r="H366">
        <v>7.55</v>
      </c>
      <c r="I366" t="s">
        <v>663</v>
      </c>
      <c r="J366" s="105">
        <v>44287</v>
      </c>
      <c r="K366" s="105">
        <v>44650</v>
      </c>
    </row>
    <row r="367" spans="1:11" x14ac:dyDescent="0.3">
      <c r="A367" t="s">
        <v>799</v>
      </c>
      <c r="B367">
        <v>20</v>
      </c>
      <c r="C367" t="s">
        <v>673</v>
      </c>
      <c r="D367" t="s">
        <v>656</v>
      </c>
      <c r="E367" s="106">
        <v>455</v>
      </c>
      <c r="F367">
        <v>4.28</v>
      </c>
      <c r="G367">
        <v>0.129</v>
      </c>
      <c r="H367">
        <v>5.77</v>
      </c>
      <c r="I367" t="s">
        <v>663</v>
      </c>
      <c r="J367" s="105">
        <v>44287</v>
      </c>
      <c r="K367" s="105">
        <v>44650</v>
      </c>
    </row>
    <row r="368" spans="1:11" x14ac:dyDescent="0.3">
      <c r="A368" t="s">
        <v>800</v>
      </c>
      <c r="B368">
        <v>21</v>
      </c>
      <c r="C368" t="s">
        <v>673</v>
      </c>
      <c r="D368" t="s">
        <v>656</v>
      </c>
      <c r="E368" s="106">
        <v>344</v>
      </c>
      <c r="F368">
        <v>3.58</v>
      </c>
      <c r="G368">
        <v>0.20100000000000001</v>
      </c>
      <c r="H368">
        <v>6.7</v>
      </c>
      <c r="I368" t="s">
        <v>663</v>
      </c>
      <c r="J368" s="105">
        <v>44287</v>
      </c>
      <c r="K368" s="105">
        <v>44650</v>
      </c>
    </row>
    <row r="369" spans="1:11" x14ac:dyDescent="0.3">
      <c r="A369" t="s">
        <v>801</v>
      </c>
      <c r="B369">
        <v>22</v>
      </c>
      <c r="C369" t="s">
        <v>673</v>
      </c>
      <c r="D369" t="s">
        <v>656</v>
      </c>
      <c r="E369" s="106">
        <v>540</v>
      </c>
      <c r="F369">
        <v>3.35</v>
      </c>
      <c r="G369">
        <v>9.0999999999999998E-2</v>
      </c>
      <c r="H369">
        <v>6.89</v>
      </c>
      <c r="I369" t="s">
        <v>663</v>
      </c>
      <c r="J369" s="105">
        <v>44287</v>
      </c>
      <c r="K369" s="105">
        <v>44650</v>
      </c>
    </row>
    <row r="370" spans="1:11" x14ac:dyDescent="0.3">
      <c r="A370" t="s">
        <v>802</v>
      </c>
      <c r="B370">
        <v>23</v>
      </c>
      <c r="C370" t="s">
        <v>673</v>
      </c>
      <c r="D370" t="s">
        <v>656</v>
      </c>
      <c r="E370" s="106">
        <v>471</v>
      </c>
      <c r="F370">
        <v>1.58</v>
      </c>
      <c r="G370">
        <v>8.8999999999999996E-2</v>
      </c>
      <c r="H370">
        <v>2.46</v>
      </c>
      <c r="I370" t="s">
        <v>663</v>
      </c>
      <c r="J370" s="105">
        <v>44287</v>
      </c>
      <c r="K370" s="105">
        <v>44650</v>
      </c>
    </row>
    <row r="371" spans="1:11" x14ac:dyDescent="0.3">
      <c r="A371" t="s">
        <v>803</v>
      </c>
      <c r="B371">
        <v>10</v>
      </c>
      <c r="C371" t="s">
        <v>673</v>
      </c>
      <c r="D371" t="s">
        <v>657</v>
      </c>
      <c r="E371" s="106" t="s">
        <v>624</v>
      </c>
      <c r="F371">
        <v>4.28</v>
      </c>
      <c r="G371">
        <v>0.16700000000000001</v>
      </c>
      <c r="H371">
        <v>6.02</v>
      </c>
      <c r="I371" t="s">
        <v>663</v>
      </c>
      <c r="J371" s="105">
        <v>44287</v>
      </c>
      <c r="K371" s="105">
        <v>44650</v>
      </c>
    </row>
    <row r="372" spans="1:11" x14ac:dyDescent="0.3">
      <c r="A372" t="s">
        <v>804</v>
      </c>
      <c r="B372">
        <v>11</v>
      </c>
      <c r="C372" t="s">
        <v>673</v>
      </c>
      <c r="D372" t="s">
        <v>657</v>
      </c>
      <c r="E372" s="106" t="s">
        <v>627</v>
      </c>
      <c r="F372">
        <v>4.2</v>
      </c>
      <c r="G372">
        <v>5.2999999999999999E-2</v>
      </c>
      <c r="H372">
        <v>6.22</v>
      </c>
      <c r="I372" t="s">
        <v>663</v>
      </c>
      <c r="J372" s="105">
        <v>44287</v>
      </c>
      <c r="K372" s="105">
        <v>44650</v>
      </c>
    </row>
    <row r="373" spans="1:11" x14ac:dyDescent="0.3">
      <c r="A373" t="s">
        <v>805</v>
      </c>
      <c r="B373">
        <v>11</v>
      </c>
      <c r="C373" t="s">
        <v>673</v>
      </c>
      <c r="D373" t="s">
        <v>657</v>
      </c>
      <c r="E373" s="106">
        <v>991</v>
      </c>
      <c r="F373">
        <v>4.2</v>
      </c>
      <c r="G373">
        <v>5.2999999999999999E-2</v>
      </c>
      <c r="H373">
        <v>6.22</v>
      </c>
      <c r="I373" t="s">
        <v>663</v>
      </c>
      <c r="J373" s="105">
        <v>44287</v>
      </c>
      <c r="K373" s="105">
        <v>44650</v>
      </c>
    </row>
    <row r="374" spans="1:11" x14ac:dyDescent="0.3">
      <c r="A374" t="s">
        <v>806</v>
      </c>
      <c r="B374">
        <v>12</v>
      </c>
      <c r="C374" t="s">
        <v>673</v>
      </c>
      <c r="D374" t="s">
        <v>657</v>
      </c>
      <c r="E374" s="106">
        <v>359</v>
      </c>
      <c r="F374">
        <v>7.79</v>
      </c>
      <c r="G374">
        <v>0.20100000000000001</v>
      </c>
      <c r="H374">
        <v>8.75</v>
      </c>
      <c r="I374" t="s">
        <v>663</v>
      </c>
      <c r="J374" s="105">
        <v>44287</v>
      </c>
      <c r="K374" s="105">
        <v>44650</v>
      </c>
    </row>
    <row r="375" spans="1:11" x14ac:dyDescent="0.3">
      <c r="A375" t="s">
        <v>807</v>
      </c>
      <c r="B375">
        <v>13</v>
      </c>
      <c r="C375" t="s">
        <v>673</v>
      </c>
      <c r="D375" t="s">
        <v>657</v>
      </c>
      <c r="E375" s="106">
        <v>515</v>
      </c>
      <c r="F375">
        <v>3.74</v>
      </c>
      <c r="G375">
        <v>0.152</v>
      </c>
      <c r="H375">
        <v>6.31</v>
      </c>
      <c r="I375" t="s">
        <v>663</v>
      </c>
      <c r="J375" s="105">
        <v>44287</v>
      </c>
      <c r="K375" s="105">
        <v>44650</v>
      </c>
    </row>
    <row r="376" spans="1:11" x14ac:dyDescent="0.3">
      <c r="A376" t="s">
        <v>808</v>
      </c>
      <c r="B376">
        <v>13</v>
      </c>
      <c r="C376" t="s">
        <v>673</v>
      </c>
      <c r="D376" t="s">
        <v>657</v>
      </c>
      <c r="E376" s="106">
        <v>593</v>
      </c>
      <c r="F376">
        <v>3.74</v>
      </c>
      <c r="G376">
        <v>0.152</v>
      </c>
      <c r="H376">
        <v>6.31</v>
      </c>
      <c r="I376" t="s">
        <v>663</v>
      </c>
      <c r="J376" s="105">
        <v>44287</v>
      </c>
      <c r="K376" s="105">
        <v>44650</v>
      </c>
    </row>
    <row r="377" spans="1:11" x14ac:dyDescent="0.3">
      <c r="A377" t="s">
        <v>809</v>
      </c>
      <c r="B377">
        <v>14</v>
      </c>
      <c r="C377" t="s">
        <v>673</v>
      </c>
      <c r="D377" t="s">
        <v>657</v>
      </c>
      <c r="E377" s="106">
        <v>365</v>
      </c>
      <c r="F377">
        <v>5.12</v>
      </c>
      <c r="G377">
        <v>5.6000000000000001E-2</v>
      </c>
      <c r="H377">
        <v>6.86</v>
      </c>
      <c r="I377" t="s">
        <v>663</v>
      </c>
      <c r="J377" s="105">
        <v>44287</v>
      </c>
      <c r="K377" s="105">
        <v>44650</v>
      </c>
    </row>
    <row r="378" spans="1:11" x14ac:dyDescent="0.3">
      <c r="A378" t="s">
        <v>810</v>
      </c>
      <c r="B378">
        <v>14</v>
      </c>
      <c r="C378" t="s">
        <v>673</v>
      </c>
      <c r="D378" t="s">
        <v>657</v>
      </c>
      <c r="E378" s="106">
        <v>367</v>
      </c>
      <c r="F378">
        <v>5.12</v>
      </c>
      <c r="G378">
        <v>5.6000000000000001E-2</v>
      </c>
      <c r="H378">
        <v>6.86</v>
      </c>
      <c r="I378" t="s">
        <v>663</v>
      </c>
      <c r="J378" s="105">
        <v>44287</v>
      </c>
      <c r="K378" s="105">
        <v>44650</v>
      </c>
    </row>
    <row r="379" spans="1:11" x14ac:dyDescent="0.3">
      <c r="A379" t="s">
        <v>811</v>
      </c>
      <c r="B379">
        <v>15</v>
      </c>
      <c r="C379" t="s">
        <v>673</v>
      </c>
      <c r="D379" t="s">
        <v>657</v>
      </c>
      <c r="E379" s="106">
        <v>301</v>
      </c>
      <c r="F379">
        <v>2.74</v>
      </c>
      <c r="G379">
        <v>6.2E-2</v>
      </c>
      <c r="H379">
        <v>4.76</v>
      </c>
      <c r="I379" t="s">
        <v>663</v>
      </c>
      <c r="J379" s="105">
        <v>44287</v>
      </c>
      <c r="K379" s="105">
        <v>44650</v>
      </c>
    </row>
    <row r="380" spans="1:11" x14ac:dyDescent="0.3">
      <c r="A380" t="s">
        <v>812</v>
      </c>
      <c r="B380">
        <v>16</v>
      </c>
      <c r="C380" t="s">
        <v>673</v>
      </c>
      <c r="D380" t="s">
        <v>657</v>
      </c>
      <c r="E380" s="106">
        <v>803</v>
      </c>
      <c r="F380">
        <v>3.13</v>
      </c>
      <c r="G380">
        <v>8.1000000000000003E-2</v>
      </c>
      <c r="H380">
        <v>5.97</v>
      </c>
      <c r="I380" t="s">
        <v>663</v>
      </c>
      <c r="J380" s="105">
        <v>44287</v>
      </c>
      <c r="K380" s="105">
        <v>44650</v>
      </c>
    </row>
    <row r="381" spans="1:11" x14ac:dyDescent="0.3">
      <c r="A381" t="s">
        <v>813</v>
      </c>
      <c r="B381">
        <v>16</v>
      </c>
      <c r="C381" t="s">
        <v>673</v>
      </c>
      <c r="D381" t="s">
        <v>657</v>
      </c>
      <c r="E381" s="106">
        <v>843</v>
      </c>
      <c r="F381">
        <v>3.13</v>
      </c>
      <c r="G381">
        <v>8.1000000000000003E-2</v>
      </c>
      <c r="H381">
        <v>5.97</v>
      </c>
      <c r="I381" t="s">
        <v>663</v>
      </c>
      <c r="J381" s="105">
        <v>44287</v>
      </c>
      <c r="K381" s="105">
        <v>44650</v>
      </c>
    </row>
    <row r="382" spans="1:11" x14ac:dyDescent="0.3">
      <c r="A382" t="s">
        <v>814</v>
      </c>
      <c r="B382">
        <v>17</v>
      </c>
      <c r="C382" t="s">
        <v>673</v>
      </c>
      <c r="D382" t="s">
        <v>657</v>
      </c>
      <c r="E382" s="106">
        <v>600</v>
      </c>
      <c r="F382">
        <v>10.49</v>
      </c>
      <c r="G382">
        <v>9.0999999999999998E-2</v>
      </c>
      <c r="H382">
        <v>12.37</v>
      </c>
      <c r="I382" t="s">
        <v>663</v>
      </c>
      <c r="J382" s="105">
        <v>44287</v>
      </c>
      <c r="K382" s="105">
        <v>44650</v>
      </c>
    </row>
    <row r="383" spans="1:11" x14ac:dyDescent="0.3">
      <c r="A383" t="s">
        <v>815</v>
      </c>
      <c r="B383">
        <v>18</v>
      </c>
      <c r="C383" t="s">
        <v>673</v>
      </c>
      <c r="D383" t="s">
        <v>657</v>
      </c>
      <c r="E383" s="106">
        <v>501</v>
      </c>
      <c r="F383">
        <v>4.7</v>
      </c>
      <c r="G383">
        <v>6.8000000000000005E-2</v>
      </c>
      <c r="H383">
        <v>5.84</v>
      </c>
      <c r="I383" t="s">
        <v>663</v>
      </c>
      <c r="J383" s="105">
        <v>44287</v>
      </c>
      <c r="K383" s="105">
        <v>44650</v>
      </c>
    </row>
    <row r="384" spans="1:11" x14ac:dyDescent="0.3">
      <c r="A384" t="s">
        <v>816</v>
      </c>
      <c r="B384">
        <v>18</v>
      </c>
      <c r="C384" t="s">
        <v>673</v>
      </c>
      <c r="D384" t="s">
        <v>657</v>
      </c>
      <c r="E384" s="106">
        <v>505</v>
      </c>
      <c r="F384">
        <v>4.7</v>
      </c>
      <c r="G384">
        <v>6.8000000000000005E-2</v>
      </c>
      <c r="H384">
        <v>5.84</v>
      </c>
      <c r="I384" t="s">
        <v>663</v>
      </c>
      <c r="J384" s="105">
        <v>44287</v>
      </c>
      <c r="K384" s="105">
        <v>44650</v>
      </c>
    </row>
    <row r="385" spans="1:11" x14ac:dyDescent="0.3">
      <c r="A385" t="s">
        <v>817</v>
      </c>
      <c r="B385">
        <v>19</v>
      </c>
      <c r="C385" t="s">
        <v>673</v>
      </c>
      <c r="D385" t="s">
        <v>657</v>
      </c>
      <c r="E385" s="106">
        <v>650</v>
      </c>
      <c r="F385">
        <v>4.3499999999999996</v>
      </c>
      <c r="G385">
        <v>0.14899999999999999</v>
      </c>
      <c r="H385">
        <v>6.73</v>
      </c>
      <c r="I385" t="s">
        <v>663</v>
      </c>
      <c r="J385" s="105">
        <v>44287</v>
      </c>
      <c r="K385" s="105">
        <v>44650</v>
      </c>
    </row>
    <row r="386" spans="1:11" x14ac:dyDescent="0.3">
      <c r="A386" t="s">
        <v>818</v>
      </c>
      <c r="B386">
        <v>20</v>
      </c>
      <c r="C386" t="s">
        <v>673</v>
      </c>
      <c r="D386" t="s">
        <v>657</v>
      </c>
      <c r="E386" s="106">
        <v>476</v>
      </c>
      <c r="F386">
        <v>5.28</v>
      </c>
      <c r="G386">
        <v>8.5999999999999993E-2</v>
      </c>
      <c r="H386">
        <v>6.55</v>
      </c>
      <c r="I386" t="s">
        <v>663</v>
      </c>
      <c r="J386" s="105">
        <v>44287</v>
      </c>
      <c r="K386" s="105">
        <v>44650</v>
      </c>
    </row>
    <row r="387" spans="1:11" x14ac:dyDescent="0.3">
      <c r="A387" t="s">
        <v>819</v>
      </c>
      <c r="B387">
        <v>20</v>
      </c>
      <c r="C387" t="s">
        <v>673</v>
      </c>
      <c r="D387" t="s">
        <v>657</v>
      </c>
      <c r="E387" s="106">
        <v>658</v>
      </c>
      <c r="F387">
        <v>5.28</v>
      </c>
      <c r="G387">
        <v>8.5999999999999993E-2</v>
      </c>
      <c r="H387">
        <v>6.55</v>
      </c>
      <c r="I387" t="s">
        <v>663</v>
      </c>
      <c r="J387" s="105">
        <v>44287</v>
      </c>
      <c r="K387" s="105">
        <v>44650</v>
      </c>
    </row>
    <row r="388" spans="1:11" x14ac:dyDescent="0.3">
      <c r="A388" t="s">
        <v>820</v>
      </c>
      <c r="B388">
        <v>21</v>
      </c>
      <c r="C388" t="s">
        <v>673</v>
      </c>
      <c r="D388" t="s">
        <v>657</v>
      </c>
      <c r="E388" s="106">
        <v>400</v>
      </c>
      <c r="F388">
        <v>3.65</v>
      </c>
      <c r="G388">
        <v>0.14799999999999999</v>
      </c>
      <c r="H388">
        <v>7.1</v>
      </c>
      <c r="I388" t="s">
        <v>663</v>
      </c>
      <c r="J388" s="105">
        <v>44287</v>
      </c>
      <c r="K388" s="105">
        <v>44650</v>
      </c>
    </row>
    <row r="389" spans="1:11" x14ac:dyDescent="0.3">
      <c r="A389" t="s">
        <v>821</v>
      </c>
      <c r="B389">
        <v>22</v>
      </c>
      <c r="C389" t="s">
        <v>673</v>
      </c>
      <c r="D389" t="s">
        <v>657</v>
      </c>
      <c r="E389" s="106">
        <v>510</v>
      </c>
      <c r="F389">
        <v>2.72</v>
      </c>
      <c r="G389">
        <v>6.3E-2</v>
      </c>
      <c r="H389">
        <v>6.66</v>
      </c>
      <c r="I389" t="s">
        <v>663</v>
      </c>
      <c r="J389" s="105">
        <v>44287</v>
      </c>
      <c r="K389" s="105">
        <v>44650</v>
      </c>
    </row>
    <row r="390" spans="1:11" x14ac:dyDescent="0.3">
      <c r="A390" t="s">
        <v>822</v>
      </c>
      <c r="B390">
        <v>23</v>
      </c>
      <c r="C390" t="s">
        <v>673</v>
      </c>
      <c r="D390" t="s">
        <v>657</v>
      </c>
      <c r="E390" s="106">
        <v>581</v>
      </c>
      <c r="F390">
        <v>1.91</v>
      </c>
      <c r="G390">
        <v>0.06</v>
      </c>
      <c r="H390">
        <v>3.05</v>
      </c>
      <c r="I390" t="s">
        <v>663</v>
      </c>
      <c r="J390" s="105">
        <v>44287</v>
      </c>
      <c r="K390" s="105">
        <v>44650</v>
      </c>
    </row>
  </sheetData>
  <autoFilter ref="A1:K282" xr:uid="{00000000-0009-0000-0000-000007000000}">
    <sortState xmlns:xlrd2="http://schemas.microsoft.com/office/spreadsheetml/2017/richdata2" ref="A2:K317">
      <sortCondition descending="1" ref="J1:J282"/>
    </sortState>
  </autoFilter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/>
  <dimension ref="A1:U3422"/>
  <sheetViews>
    <sheetView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:P3361"/>
    </sheetView>
  </sheetViews>
  <sheetFormatPr defaultRowHeight="15" customHeight="1" x14ac:dyDescent="0.3"/>
  <cols>
    <col min="1" max="1" width="52" bestFit="1" customWidth="1"/>
    <col min="2" max="2" width="15.88671875" bestFit="1" customWidth="1"/>
    <col min="4" max="4" width="9.109375" style="100"/>
    <col min="5" max="5" width="15.6640625" bestFit="1" customWidth="1"/>
    <col min="7" max="7" width="32.88671875" bestFit="1" customWidth="1"/>
    <col min="8" max="8" width="6.88671875" style="128" customWidth="1"/>
    <col min="9" max="11" width="9.109375" style="110"/>
    <col min="14" max="15" width="10.88671875" style="105" bestFit="1" customWidth="1"/>
    <col min="18" max="18" width="10.88671875" bestFit="1" customWidth="1"/>
  </cols>
  <sheetData>
    <row r="1" spans="1:18" ht="96.75" customHeight="1" x14ac:dyDescent="0.3">
      <c r="B1" s="44" t="s">
        <v>6</v>
      </c>
      <c r="C1" s="44" t="s">
        <v>7</v>
      </c>
      <c r="D1" s="47" t="s">
        <v>0</v>
      </c>
      <c r="E1" s="45" t="s">
        <v>8</v>
      </c>
      <c r="F1" s="44" t="s">
        <v>9</v>
      </c>
      <c r="G1" s="44" t="s">
        <v>10</v>
      </c>
      <c r="H1" s="46" t="s">
        <v>34</v>
      </c>
      <c r="I1" s="46" t="s">
        <v>714</v>
      </c>
      <c r="J1" s="46" t="s">
        <v>715</v>
      </c>
      <c r="K1" s="46" t="s">
        <v>35</v>
      </c>
      <c r="L1" s="44" t="s">
        <v>11</v>
      </c>
      <c r="M1" s="44" t="s">
        <v>12</v>
      </c>
      <c r="N1" s="105" t="s">
        <v>712</v>
      </c>
      <c r="O1" s="105" t="s">
        <v>713</v>
      </c>
    </row>
    <row r="2" spans="1:18" ht="15" customHeight="1" x14ac:dyDescent="0.3">
      <c r="A2" t="str">
        <f t="shared" ref="A2:A11" si="0">IF(E2="OP","",CONCATENATE(C2,"-",RIGHT(F2,1),"-",IF(OR(E2="1 Rate MD",E2="DAY"),"U",IF(OR(E2="2 Rate MD",E2="E7"),"E7",IF(OR(E2="3 Rate MD (EW)",E2="EW"),"EW",IF(OR(E2="3 Rate MD",E2="EWN"),"3RATE",IF(E2="HH 2RATE (CT)","HH 2RATE (CT)",IF(E2="HH 2RATE (WC)","HH 2RATE (WC)",IF(E2="HH 1RATE (CT)","HH 1RATE (CT)",IF(E2="HH 1RATE (WC)","HH 1RATE (WC)")))))))),"-",G2))</f>
        <v>10-3-U-SmartTRACKER</v>
      </c>
      <c r="B2" s="119" t="s">
        <v>13</v>
      </c>
      <c r="C2" s="119">
        <v>10</v>
      </c>
      <c r="D2" s="120" t="s">
        <v>14</v>
      </c>
      <c r="E2" s="120" t="s">
        <v>716</v>
      </c>
      <c r="F2" s="121" t="s">
        <v>16</v>
      </c>
      <c r="G2" s="121" t="s">
        <v>127</v>
      </c>
      <c r="H2" s="126">
        <v>0.29909999999999998</v>
      </c>
      <c r="I2" s="122">
        <v>0.14449999999999999</v>
      </c>
      <c r="J2" s="122" t="s">
        <v>717</v>
      </c>
      <c r="K2" s="122" t="s">
        <v>717</v>
      </c>
      <c r="L2" s="121">
        <v>5000</v>
      </c>
      <c r="M2" s="121">
        <v>500000</v>
      </c>
      <c r="N2" s="105">
        <v>44197</v>
      </c>
      <c r="O2" s="105">
        <v>44377</v>
      </c>
      <c r="P2" t="s">
        <v>718</v>
      </c>
      <c r="R2" s="105">
        <f>EOMONTH(N2,5)</f>
        <v>44377</v>
      </c>
    </row>
    <row r="3" spans="1:18" ht="15" customHeight="1" x14ac:dyDescent="0.3">
      <c r="A3" t="str">
        <f t="shared" si="0"/>
        <v>10-4-E7-SmartTRACKER</v>
      </c>
      <c r="B3" s="119" t="s">
        <v>13</v>
      </c>
      <c r="C3" s="119">
        <v>10</v>
      </c>
      <c r="D3" s="120" t="s">
        <v>14</v>
      </c>
      <c r="E3" s="120" t="s">
        <v>17</v>
      </c>
      <c r="F3" s="121" t="s">
        <v>18</v>
      </c>
      <c r="G3" s="121" t="s">
        <v>127</v>
      </c>
      <c r="H3" s="126">
        <v>0.29909999999999998</v>
      </c>
      <c r="I3" s="122">
        <v>0.15379999999999999</v>
      </c>
      <c r="J3" s="122">
        <v>0.105</v>
      </c>
      <c r="K3" s="122" t="s">
        <v>717</v>
      </c>
      <c r="L3" s="121">
        <v>5000</v>
      </c>
      <c r="M3" s="121">
        <v>500000</v>
      </c>
      <c r="N3" s="105">
        <v>44197</v>
      </c>
      <c r="O3" s="105">
        <v>44377</v>
      </c>
      <c r="P3" t="s">
        <v>718</v>
      </c>
      <c r="R3" s="105">
        <f>EOMONTH(R2,6)</f>
        <v>44561</v>
      </c>
    </row>
    <row r="4" spans="1:18" ht="15" customHeight="1" x14ac:dyDescent="0.3">
      <c r="A4" t="str">
        <f t="shared" si="0"/>
        <v>10-3-EW-SmartTRACKER</v>
      </c>
      <c r="B4" s="119" t="s">
        <v>13</v>
      </c>
      <c r="C4" s="119">
        <v>10</v>
      </c>
      <c r="D4" s="120" t="s">
        <v>14</v>
      </c>
      <c r="E4" s="120" t="s">
        <v>19</v>
      </c>
      <c r="F4" s="121" t="s">
        <v>16</v>
      </c>
      <c r="G4" s="121" t="s">
        <v>127</v>
      </c>
      <c r="H4" s="126">
        <v>0.29909999999999998</v>
      </c>
      <c r="I4" s="122">
        <v>0.1535</v>
      </c>
      <c r="J4" s="122" t="s">
        <v>717</v>
      </c>
      <c r="K4" s="122">
        <v>0.13100000000000001</v>
      </c>
      <c r="L4" s="121">
        <v>5000</v>
      </c>
      <c r="M4" s="121">
        <v>500000</v>
      </c>
      <c r="N4" s="105">
        <v>44197</v>
      </c>
      <c r="O4" s="105">
        <v>44377</v>
      </c>
      <c r="P4" t="s">
        <v>718</v>
      </c>
    </row>
    <row r="5" spans="1:18" ht="15" customHeight="1" x14ac:dyDescent="0.3">
      <c r="A5" t="str">
        <f t="shared" si="0"/>
        <v>10-4-3RATE-SmartTRACKER</v>
      </c>
      <c r="B5" s="119" t="s">
        <v>13</v>
      </c>
      <c r="C5" s="119">
        <v>10</v>
      </c>
      <c r="D5" s="120" t="s">
        <v>14</v>
      </c>
      <c r="E5" s="120" t="s">
        <v>719</v>
      </c>
      <c r="F5" s="121" t="s">
        <v>18</v>
      </c>
      <c r="G5" s="121" t="s">
        <v>127</v>
      </c>
      <c r="H5" s="126">
        <v>0.29909999999999998</v>
      </c>
      <c r="I5" s="122">
        <v>0.1641</v>
      </c>
      <c r="J5" s="122">
        <v>0.10440000000000001</v>
      </c>
      <c r="K5" s="122">
        <v>0.14699999999999999</v>
      </c>
      <c r="L5" s="121">
        <v>5000</v>
      </c>
      <c r="M5" s="121">
        <v>500000</v>
      </c>
      <c r="N5" s="105">
        <v>44197</v>
      </c>
      <c r="O5" s="105">
        <v>44377</v>
      </c>
      <c r="P5" t="s">
        <v>718</v>
      </c>
    </row>
    <row r="6" spans="1:18" ht="15" customHeight="1" x14ac:dyDescent="0.3">
      <c r="A6" t="str">
        <f t="shared" si="0"/>
        <v/>
      </c>
      <c r="B6" s="119" t="s">
        <v>13</v>
      </c>
      <c r="C6" s="119">
        <v>10</v>
      </c>
      <c r="D6" s="120" t="s">
        <v>14</v>
      </c>
      <c r="E6" s="120" t="s">
        <v>720</v>
      </c>
      <c r="F6" s="121" t="s">
        <v>18</v>
      </c>
      <c r="G6" s="121" t="s">
        <v>127</v>
      </c>
      <c r="H6" s="126">
        <v>0.29909999999999998</v>
      </c>
      <c r="I6" s="122" t="s">
        <v>717</v>
      </c>
      <c r="J6" s="122">
        <v>0.13100000000000001</v>
      </c>
      <c r="K6" s="122" t="s">
        <v>717</v>
      </c>
      <c r="L6" s="121">
        <v>5000</v>
      </c>
      <c r="M6" s="121">
        <v>500000</v>
      </c>
      <c r="N6" s="105">
        <v>44197</v>
      </c>
      <c r="O6" s="105">
        <v>44377</v>
      </c>
      <c r="P6" t="s">
        <v>718</v>
      </c>
    </row>
    <row r="7" spans="1:18" ht="15" customHeight="1" x14ac:dyDescent="0.3">
      <c r="A7" t="str">
        <f t="shared" si="0"/>
        <v>11-3-U-SmartTRACKER</v>
      </c>
      <c r="B7" s="119" t="s">
        <v>13</v>
      </c>
      <c r="C7" s="119">
        <v>11</v>
      </c>
      <c r="D7" s="120" t="s">
        <v>20</v>
      </c>
      <c r="E7" s="120" t="s">
        <v>716</v>
      </c>
      <c r="F7" s="121" t="s">
        <v>16</v>
      </c>
      <c r="G7" s="121" t="s">
        <v>127</v>
      </c>
      <c r="H7" s="126">
        <v>0.30819999999999997</v>
      </c>
      <c r="I7" s="122">
        <v>0.14399999999999999</v>
      </c>
      <c r="J7" s="122" t="s">
        <v>717</v>
      </c>
      <c r="K7" s="122" t="s">
        <v>717</v>
      </c>
      <c r="L7" s="121">
        <v>5000</v>
      </c>
      <c r="M7" s="121">
        <v>500000</v>
      </c>
      <c r="N7" s="105">
        <v>44197</v>
      </c>
      <c r="O7" s="105">
        <v>44377</v>
      </c>
      <c r="P7" t="s">
        <v>718</v>
      </c>
    </row>
    <row r="8" spans="1:18" ht="15" customHeight="1" x14ac:dyDescent="0.3">
      <c r="A8" t="str">
        <f t="shared" si="0"/>
        <v>11-4-E7-SmartTRACKER</v>
      </c>
      <c r="B8" s="119" t="s">
        <v>13</v>
      </c>
      <c r="C8" s="119">
        <v>11</v>
      </c>
      <c r="D8" s="120" t="s">
        <v>20</v>
      </c>
      <c r="E8" s="120" t="s">
        <v>17</v>
      </c>
      <c r="F8" s="121" t="s">
        <v>18</v>
      </c>
      <c r="G8" s="121" t="s">
        <v>127</v>
      </c>
      <c r="H8" s="126">
        <v>0.30819999999999997</v>
      </c>
      <c r="I8" s="122">
        <v>0.15240000000000001</v>
      </c>
      <c r="J8" s="122">
        <v>0.11070000000000001</v>
      </c>
      <c r="K8" s="122" t="s">
        <v>717</v>
      </c>
      <c r="L8" s="121">
        <v>5000</v>
      </c>
      <c r="M8" s="121">
        <v>500000</v>
      </c>
      <c r="N8" s="105">
        <v>44197</v>
      </c>
      <c r="O8" s="105">
        <v>44377</v>
      </c>
      <c r="P8" t="s">
        <v>718</v>
      </c>
    </row>
    <row r="9" spans="1:18" ht="15" customHeight="1" x14ac:dyDescent="0.3">
      <c r="A9" t="str">
        <f t="shared" si="0"/>
        <v>11-3-EW-SmartTRACKER</v>
      </c>
      <c r="B9" s="119" t="s">
        <v>13</v>
      </c>
      <c r="C9" s="119">
        <v>11</v>
      </c>
      <c r="D9" s="120" t="s">
        <v>20</v>
      </c>
      <c r="E9" s="120" t="s">
        <v>19</v>
      </c>
      <c r="F9" s="121" t="s">
        <v>16</v>
      </c>
      <c r="G9" s="121" t="s">
        <v>127</v>
      </c>
      <c r="H9" s="126">
        <v>0.30819999999999997</v>
      </c>
      <c r="I9" s="122">
        <v>0.15240000000000001</v>
      </c>
      <c r="J9" s="122" t="s">
        <v>717</v>
      </c>
      <c r="K9" s="122">
        <v>0.13089999999999999</v>
      </c>
      <c r="L9" s="121">
        <v>5000</v>
      </c>
      <c r="M9" s="121">
        <v>500000</v>
      </c>
      <c r="N9" s="105">
        <v>44197</v>
      </c>
      <c r="O9" s="105">
        <v>44377</v>
      </c>
      <c r="P9" t="s">
        <v>718</v>
      </c>
    </row>
    <row r="10" spans="1:18" ht="15" customHeight="1" x14ac:dyDescent="0.3">
      <c r="A10" t="str">
        <f t="shared" si="0"/>
        <v>11-4-3RATE-SmartTRACKER</v>
      </c>
      <c r="B10" s="119" t="s">
        <v>13</v>
      </c>
      <c r="C10" s="119">
        <v>11</v>
      </c>
      <c r="D10" s="120" t="s">
        <v>20</v>
      </c>
      <c r="E10" s="120" t="s">
        <v>719</v>
      </c>
      <c r="F10" s="121" t="s">
        <v>18</v>
      </c>
      <c r="G10" s="121" t="s">
        <v>127</v>
      </c>
      <c r="H10" s="126">
        <v>0.30819999999999997</v>
      </c>
      <c r="I10" s="122">
        <v>0.15970000000000001</v>
      </c>
      <c r="J10" s="122">
        <v>0.1052</v>
      </c>
      <c r="K10" s="122">
        <v>0.13919999999999999</v>
      </c>
      <c r="L10" s="121">
        <v>5000</v>
      </c>
      <c r="M10" s="121">
        <v>500000</v>
      </c>
      <c r="N10" s="105">
        <v>44197</v>
      </c>
      <c r="O10" s="105">
        <v>44377</v>
      </c>
      <c r="P10" t="s">
        <v>718</v>
      </c>
    </row>
    <row r="11" spans="1:18" ht="15" customHeight="1" x14ac:dyDescent="0.3">
      <c r="A11" t="str">
        <f t="shared" si="0"/>
        <v/>
      </c>
      <c r="B11" s="119" t="s">
        <v>13</v>
      </c>
      <c r="C11" s="119">
        <v>11</v>
      </c>
      <c r="D11" s="120" t="s">
        <v>20</v>
      </c>
      <c r="E11" s="120" t="s">
        <v>720</v>
      </c>
      <c r="F11" s="121" t="s">
        <v>18</v>
      </c>
      <c r="G11" s="121" t="s">
        <v>127</v>
      </c>
      <c r="H11" s="126">
        <v>0.30819999999999997</v>
      </c>
      <c r="I11" s="122" t="s">
        <v>717</v>
      </c>
      <c r="J11" s="122">
        <v>0.13089999999999999</v>
      </c>
      <c r="K11" s="122" t="s">
        <v>717</v>
      </c>
      <c r="L11" s="121">
        <v>5000</v>
      </c>
      <c r="M11" s="121">
        <v>500000</v>
      </c>
      <c r="N11" s="105">
        <v>44197</v>
      </c>
      <c r="O11" s="105">
        <v>44377</v>
      </c>
      <c r="P11" t="s">
        <v>718</v>
      </c>
    </row>
    <row r="12" spans="1:18" ht="15" customHeight="1" x14ac:dyDescent="0.3">
      <c r="A12" t="str">
        <f t="shared" ref="A12:A75" si="1">IF(E12="OP","",CONCATENATE(C12,"-",RIGHT(F12,1),"-",IF(OR(E12="1 Rate MD",E12="DAY"),"U",IF(OR(E12="2 Rate MD",E12="E7"),"E7",IF(OR(E12="3 Rate MD (EW)",E12="EW"),"EW",IF(OR(E12="3 Rate MD",E12="EWN"),"3RATE",IF(E12="HH 2RATE (CT)","HH 2RATE (CT)",IF(E12="HH 2RATE (WC)","HH 2RATE (WC)",IF(E12="HH 1RATE (CT)","HH 1RATE (CT)",IF(E12="HH 1RATE (WC)","HH 1RATE (WC)")))))))),"-",G12))</f>
        <v>12-3-U-SmartTRACKER</v>
      </c>
      <c r="B12" s="119" t="s">
        <v>13</v>
      </c>
      <c r="C12" s="119">
        <v>12</v>
      </c>
      <c r="D12" s="120" t="s">
        <v>21</v>
      </c>
      <c r="E12" s="120" t="s">
        <v>716</v>
      </c>
      <c r="F12" s="121" t="s">
        <v>16</v>
      </c>
      <c r="G12" s="121" t="s">
        <v>127</v>
      </c>
      <c r="H12" s="126">
        <v>0.2326</v>
      </c>
      <c r="I12" s="122">
        <v>0.13689999999999999</v>
      </c>
      <c r="J12" s="122" t="s">
        <v>717</v>
      </c>
      <c r="K12" s="122" t="s">
        <v>717</v>
      </c>
      <c r="L12" s="121">
        <v>5000</v>
      </c>
      <c r="M12" s="121">
        <v>500000</v>
      </c>
      <c r="N12" s="105">
        <v>44197</v>
      </c>
      <c r="O12" s="105">
        <v>44377</v>
      </c>
      <c r="P12" t="s">
        <v>718</v>
      </c>
    </row>
    <row r="13" spans="1:18" ht="15" customHeight="1" x14ac:dyDescent="0.3">
      <c r="A13" t="str">
        <f t="shared" si="1"/>
        <v>12-4-E7-SmartTRACKER</v>
      </c>
      <c r="B13" s="119" t="s">
        <v>13</v>
      </c>
      <c r="C13" s="119">
        <v>12</v>
      </c>
      <c r="D13" s="120" t="s">
        <v>21</v>
      </c>
      <c r="E13" s="120" t="s">
        <v>17</v>
      </c>
      <c r="F13" s="121" t="s">
        <v>18</v>
      </c>
      <c r="G13" s="121" t="s">
        <v>127</v>
      </c>
      <c r="H13" s="126">
        <v>0.2326</v>
      </c>
      <c r="I13" s="122">
        <v>0.14699999999999999</v>
      </c>
      <c r="J13" s="122">
        <v>0.10440000000000001</v>
      </c>
      <c r="K13" s="122" t="s">
        <v>717</v>
      </c>
      <c r="L13" s="121">
        <v>5000</v>
      </c>
      <c r="M13" s="121">
        <v>500000</v>
      </c>
      <c r="N13" s="105">
        <v>44197</v>
      </c>
      <c r="O13" s="105">
        <v>44377</v>
      </c>
      <c r="P13" t="s">
        <v>718</v>
      </c>
    </row>
    <row r="14" spans="1:18" ht="15" customHeight="1" x14ac:dyDescent="0.3">
      <c r="A14" t="str">
        <f t="shared" si="1"/>
        <v>12-3-EW-SmartTRACKER</v>
      </c>
      <c r="B14" s="119" t="s">
        <v>13</v>
      </c>
      <c r="C14" s="119">
        <v>12</v>
      </c>
      <c r="D14" s="120" t="s">
        <v>21</v>
      </c>
      <c r="E14" s="120" t="s">
        <v>19</v>
      </c>
      <c r="F14" s="121" t="s">
        <v>16</v>
      </c>
      <c r="G14" s="121" t="s">
        <v>127</v>
      </c>
      <c r="H14" s="126">
        <v>0.2326</v>
      </c>
      <c r="I14" s="122">
        <v>0.1452</v>
      </c>
      <c r="J14" s="122" t="s">
        <v>717</v>
      </c>
      <c r="K14" s="122">
        <v>0.12529999999999999</v>
      </c>
      <c r="L14" s="121">
        <v>5000</v>
      </c>
      <c r="M14" s="121">
        <v>500000</v>
      </c>
      <c r="N14" s="105">
        <v>44197</v>
      </c>
      <c r="O14" s="105">
        <v>44377</v>
      </c>
      <c r="P14" t="s">
        <v>718</v>
      </c>
    </row>
    <row r="15" spans="1:18" ht="15" customHeight="1" x14ac:dyDescent="0.3">
      <c r="A15" t="str">
        <f t="shared" si="1"/>
        <v>12-4-3RATE-SmartTRACKER</v>
      </c>
      <c r="B15" s="119" t="s">
        <v>13</v>
      </c>
      <c r="C15" s="119">
        <v>12</v>
      </c>
      <c r="D15" s="120" t="s">
        <v>21</v>
      </c>
      <c r="E15" s="120" t="s">
        <v>719</v>
      </c>
      <c r="F15" s="121" t="s">
        <v>18</v>
      </c>
      <c r="G15" s="121" t="s">
        <v>127</v>
      </c>
      <c r="H15" s="126">
        <v>0.2326</v>
      </c>
      <c r="I15" s="122">
        <v>0.24399999999999999</v>
      </c>
      <c r="J15" s="122">
        <v>0.24399999999999999</v>
      </c>
      <c r="K15" s="122">
        <v>0.24399999999999999</v>
      </c>
      <c r="L15" s="121">
        <v>5000</v>
      </c>
      <c r="M15" s="121">
        <v>500000</v>
      </c>
      <c r="N15" s="105">
        <v>44197</v>
      </c>
      <c r="O15" s="105">
        <v>44377</v>
      </c>
      <c r="P15" t="s">
        <v>718</v>
      </c>
    </row>
    <row r="16" spans="1:18" ht="15" customHeight="1" x14ac:dyDescent="0.3">
      <c r="A16" t="str">
        <f t="shared" si="1"/>
        <v/>
      </c>
      <c r="B16" s="119" t="s">
        <v>13</v>
      </c>
      <c r="C16" s="119">
        <v>12</v>
      </c>
      <c r="D16" s="120" t="s">
        <v>21</v>
      </c>
      <c r="E16" s="120" t="s">
        <v>720</v>
      </c>
      <c r="F16" s="121" t="s">
        <v>18</v>
      </c>
      <c r="G16" s="121" t="s">
        <v>127</v>
      </c>
      <c r="H16" s="126">
        <v>0.2326</v>
      </c>
      <c r="I16" s="122" t="s">
        <v>717</v>
      </c>
      <c r="J16" s="122">
        <v>0.12529999999999999</v>
      </c>
      <c r="K16" s="122" t="s">
        <v>717</v>
      </c>
      <c r="L16" s="121">
        <v>5000</v>
      </c>
      <c r="M16" s="121">
        <v>500000</v>
      </c>
      <c r="N16" s="105">
        <v>44197</v>
      </c>
      <c r="O16" s="105">
        <v>44377</v>
      </c>
      <c r="P16" t="s">
        <v>718</v>
      </c>
    </row>
    <row r="17" spans="1:16" ht="15" customHeight="1" x14ac:dyDescent="0.3">
      <c r="A17" t="str">
        <f t="shared" si="1"/>
        <v>13-3-U-SmartTRACKER</v>
      </c>
      <c r="B17" s="119" t="s">
        <v>13</v>
      </c>
      <c r="C17" s="119">
        <v>13</v>
      </c>
      <c r="D17" s="120" t="s">
        <v>22</v>
      </c>
      <c r="E17" s="120" t="s">
        <v>716</v>
      </c>
      <c r="F17" s="121" t="s">
        <v>16</v>
      </c>
      <c r="G17" s="121" t="s">
        <v>127</v>
      </c>
      <c r="H17" s="126">
        <v>0.2737</v>
      </c>
      <c r="I17" s="122">
        <v>0.16189999999999999</v>
      </c>
      <c r="J17" s="122" t="s">
        <v>717</v>
      </c>
      <c r="K17" s="122" t="s">
        <v>717</v>
      </c>
      <c r="L17" s="121">
        <v>5000</v>
      </c>
      <c r="M17" s="121">
        <v>500000</v>
      </c>
      <c r="N17" s="105">
        <v>44197</v>
      </c>
      <c r="O17" s="105">
        <v>44377</v>
      </c>
      <c r="P17" t="s">
        <v>718</v>
      </c>
    </row>
    <row r="18" spans="1:16" ht="15" customHeight="1" x14ac:dyDescent="0.3">
      <c r="A18" t="str">
        <f t="shared" si="1"/>
        <v>13-4-E7-SmartTRACKER</v>
      </c>
      <c r="B18" s="119" t="s">
        <v>13</v>
      </c>
      <c r="C18" s="119">
        <v>13</v>
      </c>
      <c r="D18" s="120" t="s">
        <v>22</v>
      </c>
      <c r="E18" s="120" t="s">
        <v>17</v>
      </c>
      <c r="F18" s="121" t="s">
        <v>18</v>
      </c>
      <c r="G18" s="121" t="s">
        <v>127</v>
      </c>
      <c r="H18" s="126">
        <v>0.2737</v>
      </c>
      <c r="I18" s="122">
        <v>0.1711</v>
      </c>
      <c r="J18" s="122">
        <v>0.1217</v>
      </c>
      <c r="K18" s="122" t="s">
        <v>717</v>
      </c>
      <c r="L18" s="121">
        <v>5000</v>
      </c>
      <c r="M18" s="121">
        <v>500000</v>
      </c>
      <c r="N18" s="105">
        <v>44197</v>
      </c>
      <c r="O18" s="105">
        <v>44377</v>
      </c>
      <c r="P18" t="s">
        <v>718</v>
      </c>
    </row>
    <row r="19" spans="1:16" ht="15" customHeight="1" x14ac:dyDescent="0.3">
      <c r="A19" t="str">
        <f t="shared" si="1"/>
        <v>13-3-EW-SmartTRACKER</v>
      </c>
      <c r="B19" s="119" t="s">
        <v>13</v>
      </c>
      <c r="C19" s="119">
        <v>13</v>
      </c>
      <c r="D19" s="120" t="s">
        <v>22</v>
      </c>
      <c r="E19" s="120" t="s">
        <v>19</v>
      </c>
      <c r="F19" s="121" t="s">
        <v>16</v>
      </c>
      <c r="G19" s="121" t="s">
        <v>127</v>
      </c>
      <c r="H19" s="126">
        <v>0.2737</v>
      </c>
      <c r="I19" s="122">
        <v>0.24399999999999999</v>
      </c>
      <c r="J19" s="122" t="s">
        <v>717</v>
      </c>
      <c r="K19" s="122">
        <v>0.24399999999999999</v>
      </c>
      <c r="L19" s="121">
        <v>5000</v>
      </c>
      <c r="M19" s="121">
        <v>500000</v>
      </c>
      <c r="N19" s="105">
        <v>44197</v>
      </c>
      <c r="O19" s="105">
        <v>44377</v>
      </c>
      <c r="P19" t="s">
        <v>718</v>
      </c>
    </row>
    <row r="20" spans="1:16" ht="15" customHeight="1" x14ac:dyDescent="0.3">
      <c r="A20" t="str">
        <f t="shared" si="1"/>
        <v>13-4-3RATE-SmartTRACKER</v>
      </c>
      <c r="B20" s="119" t="s">
        <v>13</v>
      </c>
      <c r="C20" s="119">
        <v>13</v>
      </c>
      <c r="D20" s="120" t="s">
        <v>22</v>
      </c>
      <c r="E20" s="120" t="s">
        <v>719</v>
      </c>
      <c r="F20" s="121" t="s">
        <v>18</v>
      </c>
      <c r="G20" s="121" t="s">
        <v>127</v>
      </c>
      <c r="H20" s="126">
        <v>0.2737</v>
      </c>
      <c r="I20" s="122">
        <v>0.1757</v>
      </c>
      <c r="J20" s="122">
        <v>0.1183</v>
      </c>
      <c r="K20" s="122">
        <v>0.16170000000000001</v>
      </c>
      <c r="L20" s="121">
        <v>5000</v>
      </c>
      <c r="M20" s="121">
        <v>500000</v>
      </c>
      <c r="N20" s="105">
        <v>44197</v>
      </c>
      <c r="O20" s="105">
        <v>44377</v>
      </c>
      <c r="P20" t="s">
        <v>718</v>
      </c>
    </row>
    <row r="21" spans="1:16" ht="15" customHeight="1" x14ac:dyDescent="0.3">
      <c r="A21" t="str">
        <f t="shared" si="1"/>
        <v/>
      </c>
      <c r="B21" s="119" t="s">
        <v>13</v>
      </c>
      <c r="C21" s="119">
        <v>13</v>
      </c>
      <c r="D21" s="120" t="s">
        <v>22</v>
      </c>
      <c r="E21" s="120" t="s">
        <v>720</v>
      </c>
      <c r="F21" s="121" t="s">
        <v>18</v>
      </c>
      <c r="G21" s="121" t="s">
        <v>127</v>
      </c>
      <c r="H21" s="126">
        <v>0.2737</v>
      </c>
      <c r="I21" s="122" t="s">
        <v>717</v>
      </c>
      <c r="J21" s="122">
        <v>0.1217</v>
      </c>
      <c r="K21" s="122" t="s">
        <v>717</v>
      </c>
      <c r="L21" s="121">
        <v>5000</v>
      </c>
      <c r="M21" s="121">
        <v>500000</v>
      </c>
      <c r="N21" s="105">
        <v>44197</v>
      </c>
      <c r="O21" s="105">
        <v>44377</v>
      </c>
      <c r="P21" t="s">
        <v>718</v>
      </c>
    </row>
    <row r="22" spans="1:16" ht="15" customHeight="1" x14ac:dyDescent="0.3">
      <c r="A22" t="str">
        <f t="shared" si="1"/>
        <v>14-3-U-SmartTRACKER</v>
      </c>
      <c r="B22" s="119" t="s">
        <v>13</v>
      </c>
      <c r="C22" s="119">
        <v>14</v>
      </c>
      <c r="D22" s="120" t="s">
        <v>23</v>
      </c>
      <c r="E22" s="120" t="s">
        <v>716</v>
      </c>
      <c r="F22" s="121" t="s">
        <v>16</v>
      </c>
      <c r="G22" s="121" t="s">
        <v>127</v>
      </c>
      <c r="H22" s="126">
        <v>0.33779999999999999</v>
      </c>
      <c r="I22" s="122">
        <v>0.14699999999999999</v>
      </c>
      <c r="J22" s="122" t="s">
        <v>717</v>
      </c>
      <c r="K22" s="122" t="s">
        <v>717</v>
      </c>
      <c r="L22" s="121">
        <v>5000</v>
      </c>
      <c r="M22" s="121">
        <v>500000</v>
      </c>
      <c r="N22" s="105">
        <v>44197</v>
      </c>
      <c r="O22" s="105">
        <v>44377</v>
      </c>
      <c r="P22" t="s">
        <v>718</v>
      </c>
    </row>
    <row r="23" spans="1:16" ht="15" customHeight="1" x14ac:dyDescent="0.3">
      <c r="A23" t="str">
        <f t="shared" si="1"/>
        <v>14-4-E7-SmartTRACKER</v>
      </c>
      <c r="B23" s="119" t="s">
        <v>13</v>
      </c>
      <c r="C23" s="119">
        <v>14</v>
      </c>
      <c r="D23" s="120" t="s">
        <v>23</v>
      </c>
      <c r="E23" s="120" t="s">
        <v>17</v>
      </c>
      <c r="F23" s="121" t="s">
        <v>18</v>
      </c>
      <c r="G23" s="121" t="s">
        <v>127</v>
      </c>
      <c r="H23" s="126">
        <v>0.33779999999999999</v>
      </c>
      <c r="I23" s="122">
        <v>0.15429999999999999</v>
      </c>
      <c r="J23" s="122">
        <v>0.1111</v>
      </c>
      <c r="K23" s="122" t="s">
        <v>717</v>
      </c>
      <c r="L23" s="121">
        <v>5000</v>
      </c>
      <c r="M23" s="121">
        <v>500000</v>
      </c>
      <c r="N23" s="105">
        <v>44197</v>
      </c>
      <c r="O23" s="105">
        <v>44377</v>
      </c>
      <c r="P23" t="s">
        <v>718</v>
      </c>
    </row>
    <row r="24" spans="1:16" ht="15" customHeight="1" x14ac:dyDescent="0.3">
      <c r="A24" t="str">
        <f t="shared" si="1"/>
        <v>14-3-EW-SmartTRACKER</v>
      </c>
      <c r="B24" s="119" t="s">
        <v>13</v>
      </c>
      <c r="C24" s="119">
        <v>14</v>
      </c>
      <c r="D24" s="120" t="s">
        <v>23</v>
      </c>
      <c r="E24" s="120" t="s">
        <v>19</v>
      </c>
      <c r="F24" s="121" t="s">
        <v>16</v>
      </c>
      <c r="G24" s="121" t="s">
        <v>127</v>
      </c>
      <c r="H24" s="126">
        <v>0.33779999999999999</v>
      </c>
      <c r="I24" s="122">
        <v>0.15429999999999999</v>
      </c>
      <c r="J24" s="122" t="s">
        <v>717</v>
      </c>
      <c r="K24" s="122">
        <v>0.13619999999999999</v>
      </c>
      <c r="L24" s="121">
        <v>5000</v>
      </c>
      <c r="M24" s="121">
        <v>500000</v>
      </c>
      <c r="N24" s="105">
        <v>44197</v>
      </c>
      <c r="O24" s="105">
        <v>44377</v>
      </c>
      <c r="P24" t="s">
        <v>718</v>
      </c>
    </row>
    <row r="25" spans="1:16" ht="15" customHeight="1" x14ac:dyDescent="0.3">
      <c r="A25" t="str">
        <f t="shared" si="1"/>
        <v>14-4-3RATE-SmartTRACKER</v>
      </c>
      <c r="B25" s="119" t="s">
        <v>13</v>
      </c>
      <c r="C25" s="119">
        <v>14</v>
      </c>
      <c r="D25" s="120" t="s">
        <v>23</v>
      </c>
      <c r="E25" s="120" t="s">
        <v>719</v>
      </c>
      <c r="F25" s="121" t="s">
        <v>18</v>
      </c>
      <c r="G25" s="121" t="s">
        <v>127</v>
      </c>
      <c r="H25" s="126">
        <v>0.33779999999999999</v>
      </c>
      <c r="I25" s="122">
        <v>0.24399999999999999</v>
      </c>
      <c r="J25" s="122">
        <v>0.24399999999999999</v>
      </c>
      <c r="K25" s="122">
        <v>0.24399999999999999</v>
      </c>
      <c r="L25" s="121">
        <v>5000</v>
      </c>
      <c r="M25" s="121">
        <v>500000</v>
      </c>
      <c r="N25" s="105">
        <v>44197</v>
      </c>
      <c r="O25" s="105">
        <v>44377</v>
      </c>
      <c r="P25" t="s">
        <v>718</v>
      </c>
    </row>
    <row r="26" spans="1:16" ht="15" customHeight="1" x14ac:dyDescent="0.3">
      <c r="A26" t="str">
        <f t="shared" si="1"/>
        <v/>
      </c>
      <c r="B26" s="119" t="s">
        <v>13</v>
      </c>
      <c r="C26" s="119">
        <v>14</v>
      </c>
      <c r="D26" s="120" t="s">
        <v>23</v>
      </c>
      <c r="E26" s="120" t="s">
        <v>720</v>
      </c>
      <c r="F26" s="121" t="s">
        <v>18</v>
      </c>
      <c r="G26" s="121" t="s">
        <v>127</v>
      </c>
      <c r="H26" s="126">
        <v>0.33779999999999999</v>
      </c>
      <c r="I26" s="122" t="s">
        <v>717</v>
      </c>
      <c r="J26" s="122">
        <v>0.13619999999999999</v>
      </c>
      <c r="K26" s="122" t="s">
        <v>717</v>
      </c>
      <c r="L26" s="121">
        <v>5000</v>
      </c>
      <c r="M26" s="121">
        <v>500000</v>
      </c>
      <c r="N26" s="105">
        <v>44197</v>
      </c>
      <c r="O26" s="105">
        <v>44377</v>
      </c>
      <c r="P26" t="s">
        <v>718</v>
      </c>
    </row>
    <row r="27" spans="1:16" ht="15" customHeight="1" x14ac:dyDescent="0.3">
      <c r="A27" t="str">
        <f t="shared" si="1"/>
        <v>15-3-U-SmartTRACKER</v>
      </c>
      <c r="B27" s="119" t="s">
        <v>13</v>
      </c>
      <c r="C27" s="119">
        <v>15</v>
      </c>
      <c r="D27" s="120" t="s">
        <v>24</v>
      </c>
      <c r="E27" s="120" t="s">
        <v>716</v>
      </c>
      <c r="F27" s="121" t="s">
        <v>16</v>
      </c>
      <c r="G27" s="121" t="s">
        <v>127</v>
      </c>
      <c r="H27" s="126">
        <v>0.3135</v>
      </c>
      <c r="I27" s="122">
        <v>0.1459</v>
      </c>
      <c r="J27" s="122" t="s">
        <v>717</v>
      </c>
      <c r="K27" s="122" t="s">
        <v>717</v>
      </c>
      <c r="L27" s="121">
        <v>5000</v>
      </c>
      <c r="M27" s="121">
        <v>500000</v>
      </c>
      <c r="N27" s="105">
        <v>44197</v>
      </c>
      <c r="O27" s="105">
        <v>44377</v>
      </c>
      <c r="P27" t="s">
        <v>718</v>
      </c>
    </row>
    <row r="28" spans="1:16" ht="15" customHeight="1" x14ac:dyDescent="0.3">
      <c r="A28" t="str">
        <f t="shared" si="1"/>
        <v>15-4-E7-SmartTRACKER</v>
      </c>
      <c r="B28" s="119" t="s">
        <v>13</v>
      </c>
      <c r="C28" s="119">
        <v>15</v>
      </c>
      <c r="D28" s="120" t="s">
        <v>24</v>
      </c>
      <c r="E28" s="120" t="s">
        <v>17</v>
      </c>
      <c r="F28" s="121" t="s">
        <v>18</v>
      </c>
      <c r="G28" s="121" t="s">
        <v>127</v>
      </c>
      <c r="H28" s="126">
        <v>0.3135</v>
      </c>
      <c r="I28" s="122">
        <v>0.1517</v>
      </c>
      <c r="J28" s="122">
        <v>0.1106</v>
      </c>
      <c r="K28" s="122" t="s">
        <v>717</v>
      </c>
      <c r="L28" s="121">
        <v>5000</v>
      </c>
      <c r="M28" s="121">
        <v>500000</v>
      </c>
      <c r="N28" s="105">
        <v>44197</v>
      </c>
      <c r="O28" s="105">
        <v>44377</v>
      </c>
      <c r="P28" t="s">
        <v>718</v>
      </c>
    </row>
    <row r="29" spans="1:16" ht="15" customHeight="1" x14ac:dyDescent="0.3">
      <c r="A29" t="str">
        <f t="shared" si="1"/>
        <v>15-3-EW-SmartTRACKER</v>
      </c>
      <c r="B29" s="119" t="s">
        <v>13</v>
      </c>
      <c r="C29" s="119">
        <v>15</v>
      </c>
      <c r="D29" s="120" t="s">
        <v>24</v>
      </c>
      <c r="E29" s="120" t="s">
        <v>19</v>
      </c>
      <c r="F29" s="121" t="s">
        <v>16</v>
      </c>
      <c r="G29" s="121" t="s">
        <v>127</v>
      </c>
      <c r="H29" s="126">
        <v>0.3135</v>
      </c>
      <c r="I29" s="122">
        <v>0.156</v>
      </c>
      <c r="J29" s="122" t="s">
        <v>717</v>
      </c>
      <c r="K29" s="122">
        <v>0.1346</v>
      </c>
      <c r="L29" s="121">
        <v>5000</v>
      </c>
      <c r="M29" s="121">
        <v>500000</v>
      </c>
      <c r="N29" s="105">
        <v>44197</v>
      </c>
      <c r="O29" s="105">
        <v>44377</v>
      </c>
      <c r="P29" t="s">
        <v>718</v>
      </c>
    </row>
    <row r="30" spans="1:16" ht="15" customHeight="1" x14ac:dyDescent="0.3">
      <c r="A30" t="str">
        <f t="shared" si="1"/>
        <v>15-4-3RATE-SmartTRACKER</v>
      </c>
      <c r="B30" s="119" t="s">
        <v>13</v>
      </c>
      <c r="C30" s="119">
        <v>15</v>
      </c>
      <c r="D30" s="120" t="s">
        <v>24</v>
      </c>
      <c r="E30" s="120" t="s">
        <v>719</v>
      </c>
      <c r="F30" s="121" t="s">
        <v>18</v>
      </c>
      <c r="G30" s="121" t="s">
        <v>127</v>
      </c>
      <c r="H30" s="126">
        <v>0.3135</v>
      </c>
      <c r="I30" s="122">
        <v>0.24399999999999999</v>
      </c>
      <c r="J30" s="122">
        <v>0.24399999999999999</v>
      </c>
      <c r="K30" s="122">
        <v>0.24399999999999999</v>
      </c>
      <c r="L30" s="121">
        <v>5000</v>
      </c>
      <c r="M30" s="121">
        <v>500000</v>
      </c>
      <c r="N30" s="105">
        <v>44197</v>
      </c>
      <c r="O30" s="105">
        <v>44377</v>
      </c>
      <c r="P30" t="s">
        <v>718</v>
      </c>
    </row>
    <row r="31" spans="1:16" ht="15" customHeight="1" x14ac:dyDescent="0.3">
      <c r="A31" t="str">
        <f t="shared" si="1"/>
        <v/>
      </c>
      <c r="B31" s="119" t="s">
        <v>13</v>
      </c>
      <c r="C31" s="119">
        <v>15</v>
      </c>
      <c r="D31" s="120" t="s">
        <v>24</v>
      </c>
      <c r="E31" s="120" t="s">
        <v>720</v>
      </c>
      <c r="F31" s="121" t="s">
        <v>18</v>
      </c>
      <c r="G31" s="121" t="s">
        <v>127</v>
      </c>
      <c r="H31" s="126">
        <v>0.3135</v>
      </c>
      <c r="I31" s="122" t="s">
        <v>717</v>
      </c>
      <c r="J31" s="122">
        <v>0.1346</v>
      </c>
      <c r="K31" s="122" t="s">
        <v>717</v>
      </c>
      <c r="L31" s="121">
        <v>5000</v>
      </c>
      <c r="M31" s="121">
        <v>500000</v>
      </c>
      <c r="N31" s="105">
        <v>44197</v>
      </c>
      <c r="O31" s="105">
        <v>44377</v>
      </c>
      <c r="P31" t="s">
        <v>718</v>
      </c>
    </row>
    <row r="32" spans="1:16" ht="15" customHeight="1" x14ac:dyDescent="0.3">
      <c r="A32" t="str">
        <f t="shared" si="1"/>
        <v>16-3-U-SmartTRACKER</v>
      </c>
      <c r="B32" s="119" t="s">
        <v>13</v>
      </c>
      <c r="C32" s="119">
        <v>16</v>
      </c>
      <c r="D32" s="120" t="s">
        <v>25</v>
      </c>
      <c r="E32" s="120" t="s">
        <v>716</v>
      </c>
      <c r="F32" s="121" t="s">
        <v>16</v>
      </c>
      <c r="G32" s="121" t="s">
        <v>127</v>
      </c>
      <c r="H32" s="126">
        <v>0.26540000000000002</v>
      </c>
      <c r="I32" s="122">
        <v>0.14829999999999999</v>
      </c>
      <c r="J32" s="122" t="s">
        <v>717</v>
      </c>
      <c r="K32" s="122" t="s">
        <v>717</v>
      </c>
      <c r="L32" s="121">
        <v>5000</v>
      </c>
      <c r="M32" s="121">
        <v>500000</v>
      </c>
      <c r="N32" s="105">
        <v>44197</v>
      </c>
      <c r="O32" s="105">
        <v>44377</v>
      </c>
      <c r="P32" t="s">
        <v>718</v>
      </c>
    </row>
    <row r="33" spans="1:16" ht="15" customHeight="1" x14ac:dyDescent="0.3">
      <c r="A33" t="str">
        <f t="shared" si="1"/>
        <v>16-4-E7-SmartTRACKER</v>
      </c>
      <c r="B33" s="119" t="s">
        <v>13</v>
      </c>
      <c r="C33" s="119">
        <v>16</v>
      </c>
      <c r="D33" s="120" t="s">
        <v>25</v>
      </c>
      <c r="E33" s="120" t="s">
        <v>17</v>
      </c>
      <c r="F33" s="121" t="s">
        <v>18</v>
      </c>
      <c r="G33" s="121" t="s">
        <v>127</v>
      </c>
      <c r="H33" s="126">
        <v>0.26540000000000002</v>
      </c>
      <c r="I33" s="122">
        <v>0.1552</v>
      </c>
      <c r="J33" s="122">
        <v>0.112</v>
      </c>
      <c r="K33" s="122" t="s">
        <v>717</v>
      </c>
      <c r="L33" s="121">
        <v>5000</v>
      </c>
      <c r="M33" s="121">
        <v>500000</v>
      </c>
      <c r="N33" s="105">
        <v>44197</v>
      </c>
      <c r="O33" s="105">
        <v>44377</v>
      </c>
      <c r="P33" t="s">
        <v>718</v>
      </c>
    </row>
    <row r="34" spans="1:16" ht="15" customHeight="1" x14ac:dyDescent="0.3">
      <c r="A34" t="str">
        <f t="shared" si="1"/>
        <v>16-3-EW-SmartTRACKER</v>
      </c>
      <c r="B34" s="119" t="s">
        <v>13</v>
      </c>
      <c r="C34" s="119">
        <v>16</v>
      </c>
      <c r="D34" s="120" t="s">
        <v>25</v>
      </c>
      <c r="E34" s="120" t="s">
        <v>19</v>
      </c>
      <c r="F34" s="121" t="s">
        <v>16</v>
      </c>
      <c r="G34" s="121" t="s">
        <v>127</v>
      </c>
      <c r="H34" s="126">
        <v>0.26540000000000002</v>
      </c>
      <c r="I34" s="122">
        <v>0.1583</v>
      </c>
      <c r="J34" s="122" t="s">
        <v>717</v>
      </c>
      <c r="K34" s="122">
        <v>0.1363</v>
      </c>
      <c r="L34" s="121">
        <v>5000</v>
      </c>
      <c r="M34" s="121">
        <v>500000</v>
      </c>
      <c r="N34" s="105">
        <v>44197</v>
      </c>
      <c r="O34" s="105">
        <v>44377</v>
      </c>
      <c r="P34" t="s">
        <v>718</v>
      </c>
    </row>
    <row r="35" spans="1:16" ht="15" customHeight="1" x14ac:dyDescent="0.3">
      <c r="A35" t="str">
        <f t="shared" si="1"/>
        <v>16-4-3RATE-SmartTRACKER</v>
      </c>
      <c r="B35" s="119" t="s">
        <v>13</v>
      </c>
      <c r="C35" s="119">
        <v>16</v>
      </c>
      <c r="D35" s="120" t="s">
        <v>25</v>
      </c>
      <c r="E35" s="120" t="s">
        <v>719</v>
      </c>
      <c r="F35" s="121" t="s">
        <v>18</v>
      </c>
      <c r="G35" s="121" t="s">
        <v>127</v>
      </c>
      <c r="H35" s="126">
        <v>0.26540000000000002</v>
      </c>
      <c r="I35" s="122">
        <v>0.16389999999999999</v>
      </c>
      <c r="J35" s="122">
        <v>0.1089</v>
      </c>
      <c r="K35" s="122">
        <v>0.1386</v>
      </c>
      <c r="L35" s="121">
        <v>5000</v>
      </c>
      <c r="M35" s="121">
        <v>500000</v>
      </c>
      <c r="N35" s="105">
        <v>44197</v>
      </c>
      <c r="O35" s="105">
        <v>44377</v>
      </c>
      <c r="P35" t="s">
        <v>718</v>
      </c>
    </row>
    <row r="36" spans="1:16" ht="15" customHeight="1" x14ac:dyDescent="0.3">
      <c r="A36" t="str">
        <f t="shared" si="1"/>
        <v/>
      </c>
      <c r="B36" s="119" t="s">
        <v>13</v>
      </c>
      <c r="C36" s="119">
        <v>16</v>
      </c>
      <c r="D36" s="120" t="s">
        <v>25</v>
      </c>
      <c r="E36" s="120" t="s">
        <v>720</v>
      </c>
      <c r="F36" s="121" t="s">
        <v>18</v>
      </c>
      <c r="G36" s="121" t="s">
        <v>127</v>
      </c>
      <c r="H36" s="126">
        <v>0.26540000000000002</v>
      </c>
      <c r="I36" s="122" t="s">
        <v>717</v>
      </c>
      <c r="J36" s="122">
        <v>0.1363</v>
      </c>
      <c r="K36" s="122" t="s">
        <v>717</v>
      </c>
      <c r="L36" s="121">
        <v>5000</v>
      </c>
      <c r="M36" s="121">
        <v>500000</v>
      </c>
      <c r="N36" s="105">
        <v>44197</v>
      </c>
      <c r="O36" s="105">
        <v>44377</v>
      </c>
      <c r="P36" t="s">
        <v>718</v>
      </c>
    </row>
    <row r="37" spans="1:16" ht="15" customHeight="1" x14ac:dyDescent="0.3">
      <c r="A37" t="str">
        <f t="shared" si="1"/>
        <v>17-3-U-SmartTRACKER</v>
      </c>
      <c r="B37" s="119" t="s">
        <v>13</v>
      </c>
      <c r="C37" s="119">
        <v>17</v>
      </c>
      <c r="D37" s="120" t="s">
        <v>26</v>
      </c>
      <c r="E37" s="120" t="s">
        <v>716</v>
      </c>
      <c r="F37" s="121" t="s">
        <v>16</v>
      </c>
      <c r="G37" s="121" t="s">
        <v>127</v>
      </c>
      <c r="H37" s="126">
        <v>0.34960000000000002</v>
      </c>
      <c r="I37" s="122">
        <v>0.151</v>
      </c>
      <c r="J37" s="122" t="s">
        <v>717</v>
      </c>
      <c r="K37" s="122" t="s">
        <v>717</v>
      </c>
      <c r="L37" s="121">
        <v>5000</v>
      </c>
      <c r="M37" s="121">
        <v>500000</v>
      </c>
      <c r="N37" s="105">
        <v>44197</v>
      </c>
      <c r="O37" s="105">
        <v>44377</v>
      </c>
      <c r="P37" t="s">
        <v>718</v>
      </c>
    </row>
    <row r="38" spans="1:16" ht="15" customHeight="1" x14ac:dyDescent="0.3">
      <c r="A38" t="str">
        <f t="shared" si="1"/>
        <v>17-4-E7-SmartTRACKER</v>
      </c>
      <c r="B38" s="119" t="s">
        <v>13</v>
      </c>
      <c r="C38" s="119">
        <v>17</v>
      </c>
      <c r="D38" s="120" t="s">
        <v>26</v>
      </c>
      <c r="E38" s="120" t="s">
        <v>17</v>
      </c>
      <c r="F38" s="121" t="s">
        <v>18</v>
      </c>
      <c r="G38" s="121" t="s">
        <v>127</v>
      </c>
      <c r="H38" s="126">
        <v>0.34960000000000002</v>
      </c>
      <c r="I38" s="122">
        <v>0.1666</v>
      </c>
      <c r="J38" s="122">
        <v>0.1216</v>
      </c>
      <c r="K38" s="122" t="s">
        <v>717</v>
      </c>
      <c r="L38" s="121">
        <v>5000</v>
      </c>
      <c r="M38" s="121">
        <v>500000</v>
      </c>
      <c r="N38" s="105">
        <v>44197</v>
      </c>
      <c r="O38" s="105">
        <v>44377</v>
      </c>
      <c r="P38" t="s">
        <v>718</v>
      </c>
    </row>
    <row r="39" spans="1:16" ht="15" customHeight="1" x14ac:dyDescent="0.3">
      <c r="A39" t="str">
        <f t="shared" si="1"/>
        <v>17-3-EW-SmartTRACKER</v>
      </c>
      <c r="B39" s="119" t="s">
        <v>13</v>
      </c>
      <c r="C39" s="119">
        <v>17</v>
      </c>
      <c r="D39" s="120" t="s">
        <v>26</v>
      </c>
      <c r="E39" s="120" t="s">
        <v>19</v>
      </c>
      <c r="F39" s="121" t="s">
        <v>16</v>
      </c>
      <c r="G39" s="121" t="s">
        <v>127</v>
      </c>
      <c r="H39" s="126">
        <v>0.34960000000000002</v>
      </c>
      <c r="I39" s="122">
        <v>0.1585</v>
      </c>
      <c r="J39" s="122" t="s">
        <v>717</v>
      </c>
      <c r="K39" s="122">
        <v>0.14119999999999999</v>
      </c>
      <c r="L39" s="121">
        <v>5000</v>
      </c>
      <c r="M39" s="121">
        <v>500000</v>
      </c>
      <c r="N39" s="105">
        <v>44197</v>
      </c>
      <c r="O39" s="105">
        <v>44377</v>
      </c>
      <c r="P39" t="s">
        <v>718</v>
      </c>
    </row>
    <row r="40" spans="1:16" ht="15" customHeight="1" x14ac:dyDescent="0.3">
      <c r="A40" t="str">
        <f t="shared" si="1"/>
        <v>17-4-3RATE-SmartTRACKER</v>
      </c>
      <c r="B40" s="119" t="s">
        <v>13</v>
      </c>
      <c r="C40" s="119">
        <v>17</v>
      </c>
      <c r="D40" s="120" t="s">
        <v>26</v>
      </c>
      <c r="E40" s="120" t="s">
        <v>719</v>
      </c>
      <c r="F40" s="121" t="s">
        <v>18</v>
      </c>
      <c r="G40" s="121" t="s">
        <v>127</v>
      </c>
      <c r="H40" s="126">
        <v>0.34960000000000002</v>
      </c>
      <c r="I40" s="122">
        <v>0.24399999999999999</v>
      </c>
      <c r="J40" s="122">
        <v>0.24399999999999999</v>
      </c>
      <c r="K40" s="122">
        <v>0.24399999999999999</v>
      </c>
      <c r="L40" s="121">
        <v>5000</v>
      </c>
      <c r="M40" s="121">
        <v>500000</v>
      </c>
      <c r="N40" s="105">
        <v>44197</v>
      </c>
      <c r="O40" s="105">
        <v>44377</v>
      </c>
      <c r="P40" t="s">
        <v>718</v>
      </c>
    </row>
    <row r="41" spans="1:16" ht="15" customHeight="1" x14ac:dyDescent="0.3">
      <c r="A41" t="str">
        <f t="shared" si="1"/>
        <v/>
      </c>
      <c r="B41" s="119" t="s">
        <v>13</v>
      </c>
      <c r="C41" s="119">
        <v>17</v>
      </c>
      <c r="D41" s="120" t="s">
        <v>26</v>
      </c>
      <c r="E41" s="120" t="s">
        <v>720</v>
      </c>
      <c r="F41" s="121" t="s">
        <v>18</v>
      </c>
      <c r="G41" s="121" t="s">
        <v>127</v>
      </c>
      <c r="H41" s="126">
        <v>0.34960000000000002</v>
      </c>
      <c r="I41" s="122" t="s">
        <v>717</v>
      </c>
      <c r="J41" s="122">
        <v>0.14119999999999999</v>
      </c>
      <c r="K41" s="122" t="s">
        <v>717</v>
      </c>
      <c r="L41" s="121">
        <v>5000</v>
      </c>
      <c r="M41" s="121">
        <v>500000</v>
      </c>
      <c r="N41" s="105">
        <v>44197</v>
      </c>
      <c r="O41" s="105">
        <v>44377</v>
      </c>
      <c r="P41" t="s">
        <v>718</v>
      </c>
    </row>
    <row r="42" spans="1:16" ht="15" customHeight="1" x14ac:dyDescent="0.3">
      <c r="A42" t="str">
        <f t="shared" si="1"/>
        <v>18-3-U-SmartTRACKER</v>
      </c>
      <c r="B42" s="119" t="s">
        <v>13</v>
      </c>
      <c r="C42" s="119">
        <v>18</v>
      </c>
      <c r="D42" s="120" t="s">
        <v>27</v>
      </c>
      <c r="E42" s="120" t="s">
        <v>716</v>
      </c>
      <c r="F42" s="121" t="s">
        <v>16</v>
      </c>
      <c r="G42" s="121" t="s">
        <v>127</v>
      </c>
      <c r="H42" s="126">
        <v>0.30499999999999999</v>
      </c>
      <c r="I42" s="122">
        <v>0.14630000000000001</v>
      </c>
      <c r="J42" s="122" t="s">
        <v>717</v>
      </c>
      <c r="K42" s="122" t="s">
        <v>717</v>
      </c>
      <c r="L42" s="121">
        <v>5000</v>
      </c>
      <c r="M42" s="121">
        <v>500000</v>
      </c>
      <c r="N42" s="105">
        <v>44197</v>
      </c>
      <c r="O42" s="105">
        <v>44377</v>
      </c>
      <c r="P42" t="s">
        <v>718</v>
      </c>
    </row>
    <row r="43" spans="1:16" ht="15" customHeight="1" x14ac:dyDescent="0.3">
      <c r="A43" t="str">
        <f t="shared" si="1"/>
        <v>18-4-E7-SmartTRACKER</v>
      </c>
      <c r="B43" s="119" t="s">
        <v>13</v>
      </c>
      <c r="C43" s="119">
        <v>18</v>
      </c>
      <c r="D43" s="120" t="s">
        <v>27</v>
      </c>
      <c r="E43" s="120" t="s">
        <v>17</v>
      </c>
      <c r="F43" s="121" t="s">
        <v>18</v>
      </c>
      <c r="G43" s="121" t="s">
        <v>127</v>
      </c>
      <c r="H43" s="126">
        <v>0.30499999999999999</v>
      </c>
      <c r="I43" s="122">
        <v>0.15920000000000001</v>
      </c>
      <c r="J43" s="122">
        <v>0.1167</v>
      </c>
      <c r="K43" s="122" t="s">
        <v>717</v>
      </c>
      <c r="L43" s="121">
        <v>5000</v>
      </c>
      <c r="M43" s="121">
        <v>500000</v>
      </c>
      <c r="N43" s="105">
        <v>44197</v>
      </c>
      <c r="O43" s="105">
        <v>44377</v>
      </c>
      <c r="P43" t="s">
        <v>718</v>
      </c>
    </row>
    <row r="44" spans="1:16" ht="15" customHeight="1" x14ac:dyDescent="0.3">
      <c r="A44" t="str">
        <f t="shared" si="1"/>
        <v>18-3-EW-SmartTRACKER</v>
      </c>
      <c r="B44" s="119" t="s">
        <v>13</v>
      </c>
      <c r="C44" s="119">
        <v>18</v>
      </c>
      <c r="D44" s="120" t="s">
        <v>27</v>
      </c>
      <c r="E44" s="120" t="s">
        <v>19</v>
      </c>
      <c r="F44" s="121" t="s">
        <v>16</v>
      </c>
      <c r="G44" s="121" t="s">
        <v>127</v>
      </c>
      <c r="H44" s="126">
        <v>0.30499999999999999</v>
      </c>
      <c r="I44" s="122">
        <v>0.15390000000000001</v>
      </c>
      <c r="J44" s="122" t="s">
        <v>717</v>
      </c>
      <c r="K44" s="122">
        <v>0.1353</v>
      </c>
      <c r="L44" s="121">
        <v>5000</v>
      </c>
      <c r="M44" s="121">
        <v>500000</v>
      </c>
      <c r="N44" s="105">
        <v>44197</v>
      </c>
      <c r="O44" s="105">
        <v>44377</v>
      </c>
      <c r="P44" t="s">
        <v>718</v>
      </c>
    </row>
    <row r="45" spans="1:16" ht="15" customHeight="1" x14ac:dyDescent="0.3">
      <c r="A45" t="str">
        <f t="shared" si="1"/>
        <v>18-4-3RATE-SmartTRACKER</v>
      </c>
      <c r="B45" s="119" t="s">
        <v>13</v>
      </c>
      <c r="C45" s="119">
        <v>18</v>
      </c>
      <c r="D45" s="120" t="s">
        <v>27</v>
      </c>
      <c r="E45" s="120" t="s">
        <v>719</v>
      </c>
      <c r="F45" s="121" t="s">
        <v>18</v>
      </c>
      <c r="G45" s="121" t="s">
        <v>127</v>
      </c>
      <c r="H45" s="126">
        <v>0.30499999999999999</v>
      </c>
      <c r="I45" s="122">
        <v>0.24399999999999999</v>
      </c>
      <c r="J45" s="122">
        <v>0.24399999999999999</v>
      </c>
      <c r="K45" s="122">
        <v>0.24399999999999999</v>
      </c>
      <c r="L45" s="121">
        <v>5000</v>
      </c>
      <c r="M45" s="121">
        <v>500000</v>
      </c>
      <c r="N45" s="105">
        <v>44197</v>
      </c>
      <c r="O45" s="105">
        <v>44377</v>
      </c>
      <c r="P45" t="s">
        <v>718</v>
      </c>
    </row>
    <row r="46" spans="1:16" ht="15" customHeight="1" x14ac:dyDescent="0.3">
      <c r="A46" t="str">
        <f t="shared" si="1"/>
        <v/>
      </c>
      <c r="B46" s="119" t="s">
        <v>13</v>
      </c>
      <c r="C46" s="119">
        <v>18</v>
      </c>
      <c r="D46" s="120" t="s">
        <v>27</v>
      </c>
      <c r="E46" s="120" t="s">
        <v>720</v>
      </c>
      <c r="F46" s="121" t="s">
        <v>18</v>
      </c>
      <c r="G46" s="121" t="s">
        <v>127</v>
      </c>
      <c r="H46" s="126">
        <v>0.30499999999999999</v>
      </c>
      <c r="I46" s="122" t="s">
        <v>717</v>
      </c>
      <c r="J46" s="122">
        <v>0.1353</v>
      </c>
      <c r="K46" s="122" t="s">
        <v>717</v>
      </c>
      <c r="L46" s="121">
        <v>5000</v>
      </c>
      <c r="M46" s="121">
        <v>500000</v>
      </c>
      <c r="N46" s="105">
        <v>44197</v>
      </c>
      <c r="O46" s="105">
        <v>44377</v>
      </c>
      <c r="P46" t="s">
        <v>718</v>
      </c>
    </row>
    <row r="47" spans="1:16" ht="15" customHeight="1" x14ac:dyDescent="0.3">
      <c r="A47" t="str">
        <f t="shared" si="1"/>
        <v>19-3-U-SmartTRACKER</v>
      </c>
      <c r="B47" s="119" t="s">
        <v>13</v>
      </c>
      <c r="C47" s="119">
        <v>19</v>
      </c>
      <c r="D47" s="120" t="s">
        <v>28</v>
      </c>
      <c r="E47" s="120" t="s">
        <v>716</v>
      </c>
      <c r="F47" s="121" t="s">
        <v>16</v>
      </c>
      <c r="G47" s="121" t="s">
        <v>127</v>
      </c>
      <c r="H47" s="126">
        <v>0.28989999999999999</v>
      </c>
      <c r="I47" s="122">
        <v>0.14680000000000001</v>
      </c>
      <c r="J47" s="122" t="s">
        <v>717</v>
      </c>
      <c r="K47" s="122" t="s">
        <v>717</v>
      </c>
      <c r="L47" s="121">
        <v>5000</v>
      </c>
      <c r="M47" s="121">
        <v>500000</v>
      </c>
      <c r="N47" s="105">
        <v>44197</v>
      </c>
      <c r="O47" s="105">
        <v>44377</v>
      </c>
      <c r="P47" t="s">
        <v>718</v>
      </c>
    </row>
    <row r="48" spans="1:16" ht="15" customHeight="1" x14ac:dyDescent="0.3">
      <c r="A48" t="str">
        <f t="shared" si="1"/>
        <v>19-4-E7-SmartTRACKER</v>
      </c>
      <c r="B48" s="119" t="s">
        <v>13</v>
      </c>
      <c r="C48" s="119">
        <v>19</v>
      </c>
      <c r="D48" s="120" t="s">
        <v>28</v>
      </c>
      <c r="E48" s="120" t="s">
        <v>17</v>
      </c>
      <c r="F48" s="121" t="s">
        <v>18</v>
      </c>
      <c r="G48" s="121" t="s">
        <v>127</v>
      </c>
      <c r="H48" s="126">
        <v>0.28989999999999999</v>
      </c>
      <c r="I48" s="122">
        <v>0.15529999999999999</v>
      </c>
      <c r="J48" s="122">
        <v>0.10780000000000001</v>
      </c>
      <c r="K48" s="122" t="s">
        <v>717</v>
      </c>
      <c r="L48" s="121">
        <v>5000</v>
      </c>
      <c r="M48" s="121">
        <v>500000</v>
      </c>
      <c r="N48" s="105">
        <v>44197</v>
      </c>
      <c r="O48" s="105">
        <v>44377</v>
      </c>
      <c r="P48" t="s">
        <v>718</v>
      </c>
    </row>
    <row r="49" spans="1:16" ht="15" customHeight="1" x14ac:dyDescent="0.3">
      <c r="A49" t="str">
        <f t="shared" si="1"/>
        <v>19-3-EW-SmartTRACKER</v>
      </c>
      <c r="B49" s="119" t="s">
        <v>13</v>
      </c>
      <c r="C49" s="119">
        <v>19</v>
      </c>
      <c r="D49" s="120" t="s">
        <v>28</v>
      </c>
      <c r="E49" s="120" t="s">
        <v>19</v>
      </c>
      <c r="F49" s="121" t="s">
        <v>16</v>
      </c>
      <c r="G49" s="121" t="s">
        <v>127</v>
      </c>
      <c r="H49" s="126">
        <v>0.28989999999999999</v>
      </c>
      <c r="I49" s="122">
        <v>0.24399999999999999</v>
      </c>
      <c r="J49" s="122" t="s">
        <v>717</v>
      </c>
      <c r="K49" s="122">
        <v>0.24399999999999999</v>
      </c>
      <c r="L49" s="121">
        <v>5000</v>
      </c>
      <c r="M49" s="121">
        <v>500000</v>
      </c>
      <c r="N49" s="105">
        <v>44197</v>
      </c>
      <c r="O49" s="105">
        <v>44377</v>
      </c>
      <c r="P49" t="s">
        <v>718</v>
      </c>
    </row>
    <row r="50" spans="1:16" ht="15" customHeight="1" x14ac:dyDescent="0.3">
      <c r="A50" t="str">
        <f t="shared" si="1"/>
        <v>19-4-3RATE-SmartTRACKER</v>
      </c>
      <c r="B50" s="119" t="s">
        <v>13</v>
      </c>
      <c r="C50" s="119">
        <v>19</v>
      </c>
      <c r="D50" s="120" t="s">
        <v>28</v>
      </c>
      <c r="E50" s="120" t="s">
        <v>719</v>
      </c>
      <c r="F50" s="121" t="s">
        <v>18</v>
      </c>
      <c r="G50" s="121" t="s">
        <v>127</v>
      </c>
      <c r="H50" s="126">
        <v>0.28989999999999999</v>
      </c>
      <c r="I50" s="122">
        <v>0.16550000000000001</v>
      </c>
      <c r="J50" s="122">
        <v>0.1091</v>
      </c>
      <c r="K50" s="122">
        <v>0.1532</v>
      </c>
      <c r="L50" s="121">
        <v>5000</v>
      </c>
      <c r="M50" s="121">
        <v>500000</v>
      </c>
      <c r="N50" s="105">
        <v>44197</v>
      </c>
      <c r="O50" s="105">
        <v>44377</v>
      </c>
      <c r="P50" t="s">
        <v>718</v>
      </c>
    </row>
    <row r="51" spans="1:16" ht="15" customHeight="1" x14ac:dyDescent="0.3">
      <c r="A51" t="str">
        <f t="shared" si="1"/>
        <v/>
      </c>
      <c r="B51" s="119" t="s">
        <v>13</v>
      </c>
      <c r="C51" s="119">
        <v>19</v>
      </c>
      <c r="D51" s="120" t="s">
        <v>28</v>
      </c>
      <c r="E51" s="120" t="s">
        <v>720</v>
      </c>
      <c r="F51" s="121" t="s">
        <v>18</v>
      </c>
      <c r="G51" s="121" t="s">
        <v>127</v>
      </c>
      <c r="H51" s="126">
        <v>0.28989999999999999</v>
      </c>
      <c r="I51" s="122" t="s">
        <v>717</v>
      </c>
      <c r="J51" s="122">
        <v>0.10780000000000001</v>
      </c>
      <c r="K51" s="122" t="s">
        <v>717</v>
      </c>
      <c r="L51" s="121">
        <v>5000</v>
      </c>
      <c r="M51" s="121">
        <v>500000</v>
      </c>
      <c r="N51" s="105">
        <v>44197</v>
      </c>
      <c r="O51" s="105">
        <v>44377</v>
      </c>
      <c r="P51" t="s">
        <v>718</v>
      </c>
    </row>
    <row r="52" spans="1:16" ht="15" customHeight="1" x14ac:dyDescent="0.3">
      <c r="A52" t="str">
        <f t="shared" si="1"/>
        <v>20-3-U-SmartTRACKER</v>
      </c>
      <c r="B52" s="119" t="s">
        <v>13</v>
      </c>
      <c r="C52" s="119">
        <v>20</v>
      </c>
      <c r="D52" s="120" t="s">
        <v>29</v>
      </c>
      <c r="E52" s="120" t="s">
        <v>716</v>
      </c>
      <c r="F52" s="121" t="s">
        <v>16</v>
      </c>
      <c r="G52" s="121" t="s">
        <v>127</v>
      </c>
      <c r="H52" s="126">
        <v>0.2873</v>
      </c>
      <c r="I52" s="122">
        <v>0.14249999999999999</v>
      </c>
      <c r="J52" s="122" t="s">
        <v>717</v>
      </c>
      <c r="K52" s="122" t="s">
        <v>717</v>
      </c>
      <c r="L52" s="121">
        <v>5000</v>
      </c>
      <c r="M52" s="121">
        <v>500000</v>
      </c>
      <c r="N52" s="105">
        <v>44197</v>
      </c>
      <c r="O52" s="105">
        <v>44377</v>
      </c>
      <c r="P52" t="s">
        <v>718</v>
      </c>
    </row>
    <row r="53" spans="1:16" ht="15" customHeight="1" x14ac:dyDescent="0.3">
      <c r="A53" t="str">
        <f t="shared" si="1"/>
        <v>20-4-E7-SmartTRACKER</v>
      </c>
      <c r="B53" s="119" t="s">
        <v>13</v>
      </c>
      <c r="C53" s="119">
        <v>20</v>
      </c>
      <c r="D53" s="120" t="s">
        <v>29</v>
      </c>
      <c r="E53" s="120" t="s">
        <v>17</v>
      </c>
      <c r="F53" s="121" t="s">
        <v>18</v>
      </c>
      <c r="G53" s="121" t="s">
        <v>127</v>
      </c>
      <c r="H53" s="126">
        <v>0.2873</v>
      </c>
      <c r="I53" s="122">
        <v>0.15359999999999999</v>
      </c>
      <c r="J53" s="122">
        <v>0.10970000000000001</v>
      </c>
      <c r="K53" s="122" t="s">
        <v>717</v>
      </c>
      <c r="L53" s="121">
        <v>5000</v>
      </c>
      <c r="M53" s="121">
        <v>500000</v>
      </c>
      <c r="N53" s="105">
        <v>44197</v>
      </c>
      <c r="O53" s="105">
        <v>44377</v>
      </c>
      <c r="P53" t="s">
        <v>718</v>
      </c>
    </row>
    <row r="54" spans="1:16" ht="15" customHeight="1" x14ac:dyDescent="0.3">
      <c r="A54" t="str">
        <f t="shared" si="1"/>
        <v>20-3-EW-SmartTRACKER</v>
      </c>
      <c r="B54" s="119" t="s">
        <v>13</v>
      </c>
      <c r="C54" s="119">
        <v>20</v>
      </c>
      <c r="D54" s="120" t="s">
        <v>29</v>
      </c>
      <c r="E54" s="120" t="s">
        <v>19</v>
      </c>
      <c r="F54" s="121" t="s">
        <v>16</v>
      </c>
      <c r="G54" s="121" t="s">
        <v>127</v>
      </c>
      <c r="H54" s="126">
        <v>0.2873</v>
      </c>
      <c r="I54" s="122">
        <v>0.15160000000000001</v>
      </c>
      <c r="J54" s="122" t="s">
        <v>717</v>
      </c>
      <c r="K54" s="122">
        <v>0.13020000000000001</v>
      </c>
      <c r="L54" s="121">
        <v>5000</v>
      </c>
      <c r="M54" s="121">
        <v>500000</v>
      </c>
      <c r="N54" s="105">
        <v>44197</v>
      </c>
      <c r="O54" s="105">
        <v>44377</v>
      </c>
      <c r="P54" t="s">
        <v>718</v>
      </c>
    </row>
    <row r="55" spans="1:16" ht="15" customHeight="1" x14ac:dyDescent="0.3">
      <c r="A55" t="str">
        <f t="shared" si="1"/>
        <v>20-4-3RATE-SmartTRACKER</v>
      </c>
      <c r="B55" s="119" t="s">
        <v>13</v>
      </c>
      <c r="C55" s="119">
        <v>20</v>
      </c>
      <c r="D55" s="120" t="s">
        <v>29</v>
      </c>
      <c r="E55" s="120" t="s">
        <v>719</v>
      </c>
      <c r="F55" s="121" t="s">
        <v>18</v>
      </c>
      <c r="G55" s="121" t="s">
        <v>127</v>
      </c>
      <c r="H55" s="126">
        <v>0.2873</v>
      </c>
      <c r="I55" s="122">
        <v>0.16270000000000001</v>
      </c>
      <c r="J55" s="122">
        <v>0.1109</v>
      </c>
      <c r="K55" s="122">
        <v>0.14399999999999999</v>
      </c>
      <c r="L55" s="121">
        <v>5000</v>
      </c>
      <c r="M55" s="121">
        <v>500000</v>
      </c>
      <c r="N55" s="105">
        <v>44197</v>
      </c>
      <c r="O55" s="105">
        <v>44377</v>
      </c>
      <c r="P55" t="s">
        <v>718</v>
      </c>
    </row>
    <row r="56" spans="1:16" ht="15" customHeight="1" x14ac:dyDescent="0.3">
      <c r="A56" t="str">
        <f t="shared" si="1"/>
        <v/>
      </c>
      <c r="B56" s="119" t="s">
        <v>13</v>
      </c>
      <c r="C56" s="119">
        <v>20</v>
      </c>
      <c r="D56" s="120" t="s">
        <v>29</v>
      </c>
      <c r="E56" s="120" t="s">
        <v>720</v>
      </c>
      <c r="F56" s="121" t="s">
        <v>18</v>
      </c>
      <c r="G56" s="121" t="s">
        <v>127</v>
      </c>
      <c r="H56" s="126">
        <v>0.2873</v>
      </c>
      <c r="I56" s="122" t="s">
        <v>717</v>
      </c>
      <c r="J56" s="122">
        <v>0.13020000000000001</v>
      </c>
      <c r="K56" s="122" t="s">
        <v>717</v>
      </c>
      <c r="L56" s="121">
        <v>5000</v>
      </c>
      <c r="M56" s="121">
        <v>500000</v>
      </c>
      <c r="N56" s="105">
        <v>44197</v>
      </c>
      <c r="O56" s="105">
        <v>44377</v>
      </c>
      <c r="P56" t="s">
        <v>718</v>
      </c>
    </row>
    <row r="57" spans="1:16" ht="15" customHeight="1" x14ac:dyDescent="0.3">
      <c r="A57" t="str">
        <f t="shared" si="1"/>
        <v>21-3-U-SmartTRACKER</v>
      </c>
      <c r="B57" s="119" t="s">
        <v>13</v>
      </c>
      <c r="C57" s="119">
        <v>21</v>
      </c>
      <c r="D57" s="120" t="s">
        <v>30</v>
      </c>
      <c r="E57" s="120" t="s">
        <v>716</v>
      </c>
      <c r="F57" s="121" t="s">
        <v>16</v>
      </c>
      <c r="G57" s="121" t="s">
        <v>127</v>
      </c>
      <c r="H57" s="126">
        <v>0.39760000000000001</v>
      </c>
      <c r="I57" s="122">
        <v>0.14430000000000001</v>
      </c>
      <c r="J57" s="122" t="s">
        <v>717</v>
      </c>
      <c r="K57" s="122" t="s">
        <v>717</v>
      </c>
      <c r="L57" s="121">
        <v>5000</v>
      </c>
      <c r="M57" s="121">
        <v>500000</v>
      </c>
      <c r="N57" s="105">
        <v>44197</v>
      </c>
      <c r="O57" s="105">
        <v>44377</v>
      </c>
      <c r="P57" t="s">
        <v>718</v>
      </c>
    </row>
    <row r="58" spans="1:16" ht="15" customHeight="1" x14ac:dyDescent="0.3">
      <c r="A58" t="str">
        <f t="shared" si="1"/>
        <v>21-4-E7-SmartTRACKER</v>
      </c>
      <c r="B58" s="119" t="s">
        <v>13</v>
      </c>
      <c r="C58" s="119">
        <v>21</v>
      </c>
      <c r="D58" s="120" t="s">
        <v>30</v>
      </c>
      <c r="E58" s="120" t="s">
        <v>17</v>
      </c>
      <c r="F58" s="121" t="s">
        <v>18</v>
      </c>
      <c r="G58" s="121" t="s">
        <v>127</v>
      </c>
      <c r="H58" s="126">
        <v>0.39760000000000001</v>
      </c>
      <c r="I58" s="122">
        <v>0.15359999999999999</v>
      </c>
      <c r="J58" s="122">
        <v>0.1128</v>
      </c>
      <c r="K58" s="122" t="s">
        <v>717</v>
      </c>
      <c r="L58" s="121">
        <v>5000</v>
      </c>
      <c r="M58" s="121">
        <v>500000</v>
      </c>
      <c r="N58" s="105">
        <v>44197</v>
      </c>
      <c r="O58" s="105">
        <v>44377</v>
      </c>
      <c r="P58" t="s">
        <v>718</v>
      </c>
    </row>
    <row r="59" spans="1:16" ht="15" customHeight="1" x14ac:dyDescent="0.3">
      <c r="A59" t="str">
        <f t="shared" si="1"/>
        <v>21-3-EW-SmartTRACKER</v>
      </c>
      <c r="B59" s="119" t="s">
        <v>13</v>
      </c>
      <c r="C59" s="119">
        <v>21</v>
      </c>
      <c r="D59" s="120" t="s">
        <v>30</v>
      </c>
      <c r="E59" s="120" t="s">
        <v>19</v>
      </c>
      <c r="F59" s="121" t="s">
        <v>16</v>
      </c>
      <c r="G59" s="121" t="s">
        <v>127</v>
      </c>
      <c r="H59" s="126">
        <v>0.39760000000000001</v>
      </c>
      <c r="I59" s="122">
        <v>0.15190000000000001</v>
      </c>
      <c r="J59" s="122" t="s">
        <v>717</v>
      </c>
      <c r="K59" s="122">
        <v>0.13370000000000001</v>
      </c>
      <c r="L59" s="121">
        <v>5000</v>
      </c>
      <c r="M59" s="121">
        <v>500000</v>
      </c>
      <c r="N59" s="105">
        <v>44197</v>
      </c>
      <c r="O59" s="105">
        <v>44377</v>
      </c>
      <c r="P59" t="s">
        <v>718</v>
      </c>
    </row>
    <row r="60" spans="1:16" ht="15" customHeight="1" x14ac:dyDescent="0.3">
      <c r="A60" t="str">
        <f t="shared" si="1"/>
        <v>21-4-3RATE-SmartTRACKER</v>
      </c>
      <c r="B60" s="119" t="s">
        <v>13</v>
      </c>
      <c r="C60" s="119">
        <v>21</v>
      </c>
      <c r="D60" s="120" t="s">
        <v>30</v>
      </c>
      <c r="E60" s="120" t="s">
        <v>719</v>
      </c>
      <c r="F60" s="121" t="s">
        <v>18</v>
      </c>
      <c r="G60" s="121" t="s">
        <v>127</v>
      </c>
      <c r="H60" s="126">
        <v>0.39760000000000001</v>
      </c>
      <c r="I60" s="122">
        <v>0.16339999999999999</v>
      </c>
      <c r="J60" s="122">
        <v>0.112</v>
      </c>
      <c r="K60" s="122">
        <v>0.1477</v>
      </c>
      <c r="L60" s="121">
        <v>5000</v>
      </c>
      <c r="M60" s="121">
        <v>500000</v>
      </c>
      <c r="N60" s="105">
        <v>44197</v>
      </c>
      <c r="O60" s="105">
        <v>44377</v>
      </c>
      <c r="P60" t="s">
        <v>718</v>
      </c>
    </row>
    <row r="61" spans="1:16" ht="15" customHeight="1" x14ac:dyDescent="0.3">
      <c r="A61" t="str">
        <f t="shared" si="1"/>
        <v/>
      </c>
      <c r="B61" s="119" t="s">
        <v>13</v>
      </c>
      <c r="C61" s="119">
        <v>21</v>
      </c>
      <c r="D61" s="120" t="s">
        <v>30</v>
      </c>
      <c r="E61" s="120" t="s">
        <v>720</v>
      </c>
      <c r="F61" s="121" t="s">
        <v>18</v>
      </c>
      <c r="G61" s="121" t="s">
        <v>127</v>
      </c>
      <c r="H61" s="126">
        <v>0.39760000000000001</v>
      </c>
      <c r="I61" s="122" t="s">
        <v>717</v>
      </c>
      <c r="J61" s="122">
        <v>0.13370000000000001</v>
      </c>
      <c r="K61" s="122" t="s">
        <v>717</v>
      </c>
      <c r="L61" s="121">
        <v>5000</v>
      </c>
      <c r="M61" s="121">
        <v>500000</v>
      </c>
      <c r="N61" s="105">
        <v>44197</v>
      </c>
      <c r="O61" s="105">
        <v>44377</v>
      </c>
      <c r="P61" t="s">
        <v>718</v>
      </c>
    </row>
    <row r="62" spans="1:16" ht="15" customHeight="1" x14ac:dyDescent="0.3">
      <c r="A62" t="str">
        <f t="shared" si="1"/>
        <v>22-3-U-SmartTRACKER</v>
      </c>
      <c r="B62" s="119" t="s">
        <v>13</v>
      </c>
      <c r="C62" s="119">
        <v>22</v>
      </c>
      <c r="D62" s="120" t="s">
        <v>31</v>
      </c>
      <c r="E62" s="120" t="s">
        <v>716</v>
      </c>
      <c r="F62" s="121" t="s">
        <v>16</v>
      </c>
      <c r="G62" s="121" t="s">
        <v>127</v>
      </c>
      <c r="H62" s="126">
        <v>0.34279999999999999</v>
      </c>
      <c r="I62" s="122">
        <v>0.1507</v>
      </c>
      <c r="J62" s="122" t="s">
        <v>717</v>
      </c>
      <c r="K62" s="122" t="s">
        <v>717</v>
      </c>
      <c r="L62" s="121">
        <v>5000</v>
      </c>
      <c r="M62" s="121">
        <v>500000</v>
      </c>
      <c r="N62" s="105">
        <v>44197</v>
      </c>
      <c r="O62" s="105">
        <v>44377</v>
      </c>
      <c r="P62" t="s">
        <v>718</v>
      </c>
    </row>
    <row r="63" spans="1:16" ht="15" customHeight="1" x14ac:dyDescent="0.3">
      <c r="A63" t="str">
        <f t="shared" si="1"/>
        <v>22-4-E7-SmartTRACKER</v>
      </c>
      <c r="B63" s="119" t="s">
        <v>13</v>
      </c>
      <c r="C63" s="119">
        <v>22</v>
      </c>
      <c r="D63" s="120" t="s">
        <v>31</v>
      </c>
      <c r="E63" s="120" t="s">
        <v>17</v>
      </c>
      <c r="F63" s="121" t="s">
        <v>18</v>
      </c>
      <c r="G63" s="121" t="s">
        <v>127</v>
      </c>
      <c r="H63" s="126">
        <v>0.34279999999999999</v>
      </c>
      <c r="I63" s="122">
        <v>0.15890000000000001</v>
      </c>
      <c r="J63" s="122">
        <v>0.1186</v>
      </c>
      <c r="K63" s="122" t="s">
        <v>717</v>
      </c>
      <c r="L63" s="121">
        <v>5000</v>
      </c>
      <c r="M63" s="121">
        <v>500000</v>
      </c>
      <c r="N63" s="105">
        <v>44197</v>
      </c>
      <c r="O63" s="105">
        <v>44377</v>
      </c>
      <c r="P63" t="s">
        <v>718</v>
      </c>
    </row>
    <row r="64" spans="1:16" ht="15" customHeight="1" x14ac:dyDescent="0.3">
      <c r="A64" t="str">
        <f t="shared" si="1"/>
        <v>22-3-EW-SmartTRACKER</v>
      </c>
      <c r="B64" s="119" t="s">
        <v>13</v>
      </c>
      <c r="C64" s="119">
        <v>22</v>
      </c>
      <c r="D64" s="120" t="s">
        <v>31</v>
      </c>
      <c r="E64" s="120" t="s">
        <v>19</v>
      </c>
      <c r="F64" s="121" t="s">
        <v>16</v>
      </c>
      <c r="G64" s="121" t="s">
        <v>127</v>
      </c>
      <c r="H64" s="126">
        <v>0.34279999999999999</v>
      </c>
      <c r="I64" s="122">
        <v>0.16</v>
      </c>
      <c r="J64" s="122" t="s">
        <v>717</v>
      </c>
      <c r="K64" s="122">
        <v>0.13919999999999999</v>
      </c>
      <c r="L64" s="121">
        <v>5000</v>
      </c>
      <c r="M64" s="121">
        <v>500000</v>
      </c>
      <c r="N64" s="105">
        <v>44197</v>
      </c>
      <c r="O64" s="105">
        <v>44377</v>
      </c>
      <c r="P64" t="s">
        <v>718</v>
      </c>
    </row>
    <row r="65" spans="1:16" ht="15" customHeight="1" x14ac:dyDescent="0.3">
      <c r="A65" t="str">
        <f t="shared" si="1"/>
        <v>22-4-3RATE-SmartTRACKER</v>
      </c>
      <c r="B65" s="119" t="s">
        <v>13</v>
      </c>
      <c r="C65" s="119">
        <v>22</v>
      </c>
      <c r="D65" s="120" t="s">
        <v>31</v>
      </c>
      <c r="E65" s="120" t="s">
        <v>719</v>
      </c>
      <c r="F65" s="121" t="s">
        <v>18</v>
      </c>
      <c r="G65" s="121" t="s">
        <v>127</v>
      </c>
      <c r="H65" s="126">
        <v>0.34279999999999999</v>
      </c>
      <c r="I65" s="122">
        <v>0.1678</v>
      </c>
      <c r="J65" s="122">
        <v>0.1133</v>
      </c>
      <c r="K65" s="122">
        <v>0.15409999999999999</v>
      </c>
      <c r="L65" s="121">
        <v>5000</v>
      </c>
      <c r="M65" s="121">
        <v>500000</v>
      </c>
      <c r="N65" s="105">
        <v>44197</v>
      </c>
      <c r="O65" s="105">
        <v>44377</v>
      </c>
      <c r="P65" t="s">
        <v>718</v>
      </c>
    </row>
    <row r="66" spans="1:16" ht="15" customHeight="1" x14ac:dyDescent="0.3">
      <c r="A66" t="str">
        <f t="shared" si="1"/>
        <v/>
      </c>
      <c r="B66" s="119" t="s">
        <v>13</v>
      </c>
      <c r="C66" s="119">
        <v>22</v>
      </c>
      <c r="D66" s="120" t="s">
        <v>31</v>
      </c>
      <c r="E66" s="120" t="s">
        <v>720</v>
      </c>
      <c r="F66" s="121" t="s">
        <v>18</v>
      </c>
      <c r="G66" s="121" t="s">
        <v>127</v>
      </c>
      <c r="H66" s="126">
        <v>0.34279999999999999</v>
      </c>
      <c r="I66" s="122" t="s">
        <v>717</v>
      </c>
      <c r="J66" s="122">
        <v>0.13919999999999999</v>
      </c>
      <c r="K66" s="122" t="s">
        <v>717</v>
      </c>
      <c r="L66" s="121">
        <v>5000</v>
      </c>
      <c r="M66" s="121">
        <v>500000</v>
      </c>
      <c r="N66" s="105">
        <v>44197</v>
      </c>
      <c r="O66" s="105">
        <v>44377</v>
      </c>
      <c r="P66" t="s">
        <v>718</v>
      </c>
    </row>
    <row r="67" spans="1:16" ht="15" customHeight="1" x14ac:dyDescent="0.3">
      <c r="A67" t="str">
        <f t="shared" si="1"/>
        <v>23-3-U-SmartTRACKER</v>
      </c>
      <c r="B67" s="119" t="s">
        <v>13</v>
      </c>
      <c r="C67" s="119">
        <v>23</v>
      </c>
      <c r="D67" s="120" t="s">
        <v>32</v>
      </c>
      <c r="E67" s="120" t="s">
        <v>716</v>
      </c>
      <c r="F67" s="121" t="s">
        <v>16</v>
      </c>
      <c r="G67" s="121" t="s">
        <v>127</v>
      </c>
      <c r="H67" s="126">
        <v>0.30120000000000002</v>
      </c>
      <c r="I67" s="122">
        <v>0.14410000000000001</v>
      </c>
      <c r="J67" s="122" t="s">
        <v>717</v>
      </c>
      <c r="K67" s="122" t="s">
        <v>717</v>
      </c>
      <c r="L67" s="121">
        <v>5000</v>
      </c>
      <c r="M67" s="121">
        <v>500000</v>
      </c>
      <c r="N67" s="105">
        <v>44197</v>
      </c>
      <c r="O67" s="105">
        <v>44377</v>
      </c>
      <c r="P67" t="s">
        <v>718</v>
      </c>
    </row>
    <row r="68" spans="1:16" ht="15" customHeight="1" x14ac:dyDescent="0.3">
      <c r="A68" t="str">
        <f t="shared" si="1"/>
        <v>23-4-E7-SmartTRACKER</v>
      </c>
      <c r="B68" s="119" t="s">
        <v>13</v>
      </c>
      <c r="C68" s="119">
        <v>23</v>
      </c>
      <c r="D68" s="120" t="s">
        <v>32</v>
      </c>
      <c r="E68" s="120" t="s">
        <v>17</v>
      </c>
      <c r="F68" s="121" t="s">
        <v>18</v>
      </c>
      <c r="G68" s="121" t="s">
        <v>127</v>
      </c>
      <c r="H68" s="126">
        <v>0.30120000000000002</v>
      </c>
      <c r="I68" s="122">
        <v>0.15010000000000001</v>
      </c>
      <c r="J68" s="122">
        <v>0.10879999999999999</v>
      </c>
      <c r="K68" s="122" t="s">
        <v>717</v>
      </c>
      <c r="L68" s="121">
        <v>5000</v>
      </c>
      <c r="M68" s="121">
        <v>500000</v>
      </c>
      <c r="N68" s="105">
        <v>44197</v>
      </c>
      <c r="O68" s="105">
        <v>44377</v>
      </c>
      <c r="P68" t="s">
        <v>718</v>
      </c>
    </row>
    <row r="69" spans="1:16" ht="15" customHeight="1" x14ac:dyDescent="0.3">
      <c r="A69" t="str">
        <f t="shared" si="1"/>
        <v>23-3-EW-SmartTRACKER</v>
      </c>
      <c r="B69" s="119" t="s">
        <v>13</v>
      </c>
      <c r="C69" s="119">
        <v>23</v>
      </c>
      <c r="D69" s="120" t="s">
        <v>32</v>
      </c>
      <c r="E69" s="120" t="s">
        <v>19</v>
      </c>
      <c r="F69" s="121" t="s">
        <v>16</v>
      </c>
      <c r="G69" s="121" t="s">
        <v>127</v>
      </c>
      <c r="H69" s="126">
        <v>0.30120000000000002</v>
      </c>
      <c r="I69" s="122">
        <v>0.15279999999999999</v>
      </c>
      <c r="J69" s="122" t="s">
        <v>717</v>
      </c>
      <c r="K69" s="122">
        <v>0.1323</v>
      </c>
      <c r="L69" s="121">
        <v>5000</v>
      </c>
      <c r="M69" s="121">
        <v>500000</v>
      </c>
      <c r="N69" s="105">
        <v>44197</v>
      </c>
      <c r="O69" s="105">
        <v>44377</v>
      </c>
      <c r="P69" t="s">
        <v>718</v>
      </c>
    </row>
    <row r="70" spans="1:16" ht="15" customHeight="1" x14ac:dyDescent="0.3">
      <c r="A70" t="str">
        <f t="shared" si="1"/>
        <v>23-4-3RATE-SmartTRACKER</v>
      </c>
      <c r="B70" s="119" t="s">
        <v>13</v>
      </c>
      <c r="C70" s="119">
        <v>23</v>
      </c>
      <c r="D70" s="120" t="s">
        <v>32</v>
      </c>
      <c r="E70" s="120" t="s">
        <v>719</v>
      </c>
      <c r="F70" s="121" t="s">
        <v>18</v>
      </c>
      <c r="G70" s="121" t="s">
        <v>127</v>
      </c>
      <c r="H70" s="126">
        <v>0.30120000000000002</v>
      </c>
      <c r="I70" s="122">
        <v>0.16189999999999999</v>
      </c>
      <c r="J70" s="122">
        <v>0.1116</v>
      </c>
      <c r="K70" s="122">
        <v>0.1431</v>
      </c>
      <c r="L70" s="121">
        <v>5000</v>
      </c>
      <c r="M70" s="121">
        <v>500000</v>
      </c>
      <c r="N70" s="105">
        <v>44197</v>
      </c>
      <c r="O70" s="105">
        <v>44377</v>
      </c>
      <c r="P70" t="s">
        <v>718</v>
      </c>
    </row>
    <row r="71" spans="1:16" ht="15" customHeight="1" x14ac:dyDescent="0.3">
      <c r="A71" t="str">
        <f t="shared" si="1"/>
        <v/>
      </c>
      <c r="B71" s="119" t="s">
        <v>13</v>
      </c>
      <c r="C71" s="119">
        <v>23</v>
      </c>
      <c r="D71" s="120" t="s">
        <v>32</v>
      </c>
      <c r="E71" s="120" t="s">
        <v>720</v>
      </c>
      <c r="F71" s="121" t="s">
        <v>18</v>
      </c>
      <c r="G71" s="121" t="s">
        <v>127</v>
      </c>
      <c r="H71" s="126">
        <v>0.30120000000000002</v>
      </c>
      <c r="I71" s="122" t="s">
        <v>717</v>
      </c>
      <c r="J71" s="122">
        <v>0.1323</v>
      </c>
      <c r="K71" s="122" t="s">
        <v>717</v>
      </c>
      <c r="L71" s="121">
        <v>5000</v>
      </c>
      <c r="M71" s="121">
        <v>500000</v>
      </c>
      <c r="N71" s="105">
        <v>44197</v>
      </c>
      <c r="O71" s="105">
        <v>44377</v>
      </c>
      <c r="P71" t="s">
        <v>718</v>
      </c>
    </row>
    <row r="72" spans="1:16" ht="15" customHeight="1" x14ac:dyDescent="0.3">
      <c r="A72" t="str">
        <f t="shared" si="1"/>
        <v>10-3-U-SmartFIX – 1 Year</v>
      </c>
      <c r="B72" s="119" t="s">
        <v>13</v>
      </c>
      <c r="C72" s="119">
        <v>10</v>
      </c>
      <c r="D72" s="120" t="s">
        <v>14</v>
      </c>
      <c r="E72" s="120" t="s">
        <v>716</v>
      </c>
      <c r="F72" s="121" t="s">
        <v>16</v>
      </c>
      <c r="G72" s="121" t="s">
        <v>686</v>
      </c>
      <c r="H72" s="126">
        <v>0.29909999999999998</v>
      </c>
      <c r="I72" s="122">
        <v>0.14449999999999999</v>
      </c>
      <c r="J72" s="122" t="s">
        <v>717</v>
      </c>
      <c r="K72" s="122" t="s">
        <v>717</v>
      </c>
      <c r="L72" s="121">
        <v>5000</v>
      </c>
      <c r="M72" s="121">
        <v>500000</v>
      </c>
      <c r="N72" s="105">
        <v>44197</v>
      </c>
      <c r="O72" s="105">
        <v>44377</v>
      </c>
      <c r="P72" t="s">
        <v>718</v>
      </c>
    </row>
    <row r="73" spans="1:16" ht="15" customHeight="1" x14ac:dyDescent="0.3">
      <c r="A73" t="str">
        <f t="shared" si="1"/>
        <v>10-4-E7-SmartFIX – 1 Year</v>
      </c>
      <c r="B73" s="119" t="s">
        <v>13</v>
      </c>
      <c r="C73" s="119">
        <v>10</v>
      </c>
      <c r="D73" s="120" t="s">
        <v>14</v>
      </c>
      <c r="E73" s="120" t="s">
        <v>17</v>
      </c>
      <c r="F73" s="121" t="s">
        <v>18</v>
      </c>
      <c r="G73" s="121" t="s">
        <v>686</v>
      </c>
      <c r="H73" s="126">
        <v>0.29909999999999998</v>
      </c>
      <c r="I73" s="122">
        <v>0.15379999999999999</v>
      </c>
      <c r="J73" s="122">
        <v>0.105</v>
      </c>
      <c r="K73" s="122" t="s">
        <v>717</v>
      </c>
      <c r="L73" s="121">
        <v>5000</v>
      </c>
      <c r="M73" s="121">
        <v>500000</v>
      </c>
      <c r="N73" s="105">
        <v>44197</v>
      </c>
      <c r="O73" s="105">
        <v>44377</v>
      </c>
      <c r="P73" t="s">
        <v>718</v>
      </c>
    </row>
    <row r="74" spans="1:16" ht="15" customHeight="1" x14ac:dyDescent="0.3">
      <c r="A74" t="str">
        <f t="shared" si="1"/>
        <v>10-3-EW-SmartFIX – 1 Year</v>
      </c>
      <c r="B74" s="119" t="s">
        <v>13</v>
      </c>
      <c r="C74" s="119">
        <v>10</v>
      </c>
      <c r="D74" s="120" t="s">
        <v>14</v>
      </c>
      <c r="E74" s="120" t="s">
        <v>19</v>
      </c>
      <c r="F74" s="121" t="s">
        <v>16</v>
      </c>
      <c r="G74" s="121" t="s">
        <v>686</v>
      </c>
      <c r="H74" s="126">
        <v>0.29909999999999998</v>
      </c>
      <c r="I74" s="122">
        <v>0.1535</v>
      </c>
      <c r="J74" s="122" t="s">
        <v>717</v>
      </c>
      <c r="K74" s="122">
        <v>0.13100000000000001</v>
      </c>
      <c r="L74" s="121">
        <v>5000</v>
      </c>
      <c r="M74" s="121">
        <v>500000</v>
      </c>
      <c r="N74" s="105">
        <v>44197</v>
      </c>
      <c r="O74" s="105">
        <v>44377</v>
      </c>
      <c r="P74" t="s">
        <v>718</v>
      </c>
    </row>
    <row r="75" spans="1:16" ht="15" customHeight="1" x14ac:dyDescent="0.3">
      <c r="A75" t="str">
        <f t="shared" si="1"/>
        <v>10-4-3RATE-SmartFIX – 1 Year</v>
      </c>
      <c r="B75" s="119" t="s">
        <v>13</v>
      </c>
      <c r="C75" s="119">
        <v>10</v>
      </c>
      <c r="D75" s="120" t="s">
        <v>14</v>
      </c>
      <c r="E75" s="120" t="s">
        <v>719</v>
      </c>
      <c r="F75" s="121" t="s">
        <v>18</v>
      </c>
      <c r="G75" s="121" t="s">
        <v>686</v>
      </c>
      <c r="H75" s="126">
        <v>0.29909999999999998</v>
      </c>
      <c r="I75" s="122">
        <v>0.1641</v>
      </c>
      <c r="J75" s="122">
        <v>0.10440000000000001</v>
      </c>
      <c r="K75" s="122">
        <v>0.14699999999999999</v>
      </c>
      <c r="L75" s="121">
        <v>5000</v>
      </c>
      <c r="M75" s="121">
        <v>500000</v>
      </c>
      <c r="N75" s="105">
        <v>44197</v>
      </c>
      <c r="O75" s="105">
        <v>44377</v>
      </c>
      <c r="P75" t="s">
        <v>718</v>
      </c>
    </row>
    <row r="76" spans="1:16" ht="15" customHeight="1" x14ac:dyDescent="0.3">
      <c r="A76" t="str">
        <f t="shared" ref="A76:A139" si="2">IF(E76="OP","",CONCATENATE(C76,"-",RIGHT(F76,1),"-",IF(OR(E76="1 Rate MD",E76="DAY"),"U",IF(OR(E76="2 Rate MD",E76="E7"),"E7",IF(OR(E76="3 Rate MD (EW)",E76="EW"),"EW",IF(OR(E76="3 Rate MD",E76="EWN"),"3RATE",IF(E76="HH 2RATE (CT)","HH 2RATE (CT)",IF(E76="HH 2RATE (WC)","HH 2RATE (WC)",IF(E76="HH 1RATE (CT)","HH 1RATE (CT)",IF(E76="HH 1RATE (WC)","HH 1RATE (WC)")))))))),"-",G76))</f>
        <v/>
      </c>
      <c r="B76" s="119" t="s">
        <v>13</v>
      </c>
      <c r="C76" s="119">
        <v>10</v>
      </c>
      <c r="D76" s="120" t="s">
        <v>14</v>
      </c>
      <c r="E76" s="120" t="s">
        <v>720</v>
      </c>
      <c r="F76" s="121" t="s">
        <v>18</v>
      </c>
      <c r="G76" s="121" t="s">
        <v>686</v>
      </c>
      <c r="H76" s="126">
        <v>0.29909999999999998</v>
      </c>
      <c r="I76" s="122" t="s">
        <v>717</v>
      </c>
      <c r="J76" s="122">
        <v>0.13100000000000001</v>
      </c>
      <c r="K76" s="122" t="s">
        <v>717</v>
      </c>
      <c r="L76" s="121">
        <v>5000</v>
      </c>
      <c r="M76" s="121">
        <v>500000</v>
      </c>
      <c r="N76" s="105">
        <v>44197</v>
      </c>
      <c r="O76" s="105">
        <v>44377</v>
      </c>
      <c r="P76" t="s">
        <v>718</v>
      </c>
    </row>
    <row r="77" spans="1:16" ht="15" customHeight="1" x14ac:dyDescent="0.3">
      <c r="A77" t="str">
        <f t="shared" si="2"/>
        <v>11-3-U-SmartFIX – 1 Year</v>
      </c>
      <c r="B77" s="119" t="s">
        <v>13</v>
      </c>
      <c r="C77" s="119">
        <v>11</v>
      </c>
      <c r="D77" s="120" t="s">
        <v>20</v>
      </c>
      <c r="E77" s="120" t="s">
        <v>716</v>
      </c>
      <c r="F77" s="121" t="s">
        <v>16</v>
      </c>
      <c r="G77" s="121" t="s">
        <v>686</v>
      </c>
      <c r="H77" s="126">
        <v>0.30819999999999997</v>
      </c>
      <c r="I77" s="122">
        <v>0.14399999999999999</v>
      </c>
      <c r="J77" s="122" t="s">
        <v>717</v>
      </c>
      <c r="K77" s="122" t="s">
        <v>717</v>
      </c>
      <c r="L77" s="121">
        <v>5000</v>
      </c>
      <c r="M77" s="121">
        <v>500000</v>
      </c>
      <c r="N77" s="105">
        <v>44197</v>
      </c>
      <c r="O77" s="105">
        <v>44377</v>
      </c>
      <c r="P77" t="s">
        <v>718</v>
      </c>
    </row>
    <row r="78" spans="1:16" ht="15" customHeight="1" x14ac:dyDescent="0.3">
      <c r="A78" t="str">
        <f t="shared" si="2"/>
        <v>11-4-E7-SmartFIX – 1 Year</v>
      </c>
      <c r="B78" s="119" t="s">
        <v>13</v>
      </c>
      <c r="C78" s="119">
        <v>11</v>
      </c>
      <c r="D78" s="120" t="s">
        <v>20</v>
      </c>
      <c r="E78" s="120" t="s">
        <v>17</v>
      </c>
      <c r="F78" s="121" t="s">
        <v>18</v>
      </c>
      <c r="G78" s="121" t="s">
        <v>686</v>
      </c>
      <c r="H78" s="126">
        <v>0.30819999999999997</v>
      </c>
      <c r="I78" s="122">
        <v>0.15240000000000001</v>
      </c>
      <c r="J78" s="122">
        <v>0.11070000000000001</v>
      </c>
      <c r="K78" s="122" t="s">
        <v>717</v>
      </c>
      <c r="L78" s="121">
        <v>5000</v>
      </c>
      <c r="M78" s="121">
        <v>500000</v>
      </c>
      <c r="N78" s="105">
        <v>44197</v>
      </c>
      <c r="O78" s="105">
        <v>44377</v>
      </c>
      <c r="P78" t="s">
        <v>718</v>
      </c>
    </row>
    <row r="79" spans="1:16" ht="15" customHeight="1" x14ac:dyDescent="0.3">
      <c r="A79" t="str">
        <f t="shared" si="2"/>
        <v>11-3-EW-SmartFIX – 1 Year</v>
      </c>
      <c r="B79" s="119" t="s">
        <v>13</v>
      </c>
      <c r="C79" s="119">
        <v>11</v>
      </c>
      <c r="D79" s="120" t="s">
        <v>20</v>
      </c>
      <c r="E79" s="120" t="s">
        <v>19</v>
      </c>
      <c r="F79" s="121" t="s">
        <v>16</v>
      </c>
      <c r="G79" s="121" t="s">
        <v>686</v>
      </c>
      <c r="H79" s="126">
        <v>0.30819999999999997</v>
      </c>
      <c r="I79" s="122">
        <v>0.15240000000000001</v>
      </c>
      <c r="J79" s="122" t="s">
        <v>717</v>
      </c>
      <c r="K79" s="122">
        <v>0.13089999999999999</v>
      </c>
      <c r="L79" s="121">
        <v>5000</v>
      </c>
      <c r="M79" s="121">
        <v>500000</v>
      </c>
      <c r="N79" s="105">
        <v>44197</v>
      </c>
      <c r="O79" s="105">
        <v>44377</v>
      </c>
      <c r="P79" t="s">
        <v>718</v>
      </c>
    </row>
    <row r="80" spans="1:16" ht="15" customHeight="1" x14ac:dyDescent="0.3">
      <c r="A80" t="str">
        <f t="shared" si="2"/>
        <v>11-4-3RATE-SmartFIX – 1 Year</v>
      </c>
      <c r="B80" s="119" t="s">
        <v>13</v>
      </c>
      <c r="C80" s="119">
        <v>11</v>
      </c>
      <c r="D80" s="120" t="s">
        <v>20</v>
      </c>
      <c r="E80" s="120" t="s">
        <v>719</v>
      </c>
      <c r="F80" s="121" t="s">
        <v>18</v>
      </c>
      <c r="G80" s="121" t="s">
        <v>686</v>
      </c>
      <c r="H80" s="126">
        <v>0.30819999999999997</v>
      </c>
      <c r="I80" s="122">
        <v>0.15970000000000001</v>
      </c>
      <c r="J80" s="122">
        <v>0.1052</v>
      </c>
      <c r="K80" s="122">
        <v>0.13919999999999999</v>
      </c>
      <c r="L80" s="121">
        <v>5000</v>
      </c>
      <c r="M80" s="121">
        <v>500000</v>
      </c>
      <c r="N80" s="105">
        <v>44197</v>
      </c>
      <c r="O80" s="105">
        <v>44377</v>
      </c>
      <c r="P80" t="s">
        <v>718</v>
      </c>
    </row>
    <row r="81" spans="1:16" ht="15" customHeight="1" x14ac:dyDescent="0.3">
      <c r="A81" t="str">
        <f t="shared" si="2"/>
        <v/>
      </c>
      <c r="B81" s="119" t="s">
        <v>13</v>
      </c>
      <c r="C81" s="119">
        <v>11</v>
      </c>
      <c r="D81" s="120" t="s">
        <v>20</v>
      </c>
      <c r="E81" s="120" t="s">
        <v>720</v>
      </c>
      <c r="F81" s="121" t="s">
        <v>18</v>
      </c>
      <c r="G81" s="121" t="s">
        <v>686</v>
      </c>
      <c r="H81" s="126">
        <v>0.30819999999999997</v>
      </c>
      <c r="I81" s="122" t="s">
        <v>717</v>
      </c>
      <c r="J81" s="122">
        <v>0.13089999999999999</v>
      </c>
      <c r="K81" s="122" t="s">
        <v>717</v>
      </c>
      <c r="L81" s="121">
        <v>5000</v>
      </c>
      <c r="M81" s="121">
        <v>500000</v>
      </c>
      <c r="N81" s="105">
        <v>44197</v>
      </c>
      <c r="O81" s="105">
        <v>44377</v>
      </c>
      <c r="P81" t="s">
        <v>718</v>
      </c>
    </row>
    <row r="82" spans="1:16" ht="15" customHeight="1" x14ac:dyDescent="0.3">
      <c r="A82" t="str">
        <f t="shared" si="2"/>
        <v>12-3-U-SmartFIX – 1 Year</v>
      </c>
      <c r="B82" s="119" t="s">
        <v>13</v>
      </c>
      <c r="C82" s="119">
        <v>12</v>
      </c>
      <c r="D82" s="120" t="s">
        <v>21</v>
      </c>
      <c r="E82" s="120" t="s">
        <v>716</v>
      </c>
      <c r="F82" s="121" t="s">
        <v>16</v>
      </c>
      <c r="G82" s="121" t="s">
        <v>686</v>
      </c>
      <c r="H82" s="126">
        <v>0.2326</v>
      </c>
      <c r="I82" s="122">
        <v>0.13689999999999999</v>
      </c>
      <c r="J82" s="122" t="s">
        <v>717</v>
      </c>
      <c r="K82" s="122" t="s">
        <v>717</v>
      </c>
      <c r="L82" s="121">
        <v>5000</v>
      </c>
      <c r="M82" s="121">
        <v>500000</v>
      </c>
      <c r="N82" s="105">
        <v>44197</v>
      </c>
      <c r="O82" s="105">
        <v>44377</v>
      </c>
      <c r="P82" t="s">
        <v>718</v>
      </c>
    </row>
    <row r="83" spans="1:16" ht="15" customHeight="1" x14ac:dyDescent="0.3">
      <c r="A83" t="str">
        <f t="shared" si="2"/>
        <v>12-4-E7-SmartFIX – 1 Year</v>
      </c>
      <c r="B83" s="119" t="s">
        <v>13</v>
      </c>
      <c r="C83" s="119">
        <v>12</v>
      </c>
      <c r="D83" s="120" t="s">
        <v>21</v>
      </c>
      <c r="E83" s="120" t="s">
        <v>17</v>
      </c>
      <c r="F83" s="121" t="s">
        <v>18</v>
      </c>
      <c r="G83" s="121" t="s">
        <v>686</v>
      </c>
      <c r="H83" s="126">
        <v>0.2326</v>
      </c>
      <c r="I83" s="122">
        <v>0.14699999999999999</v>
      </c>
      <c r="J83" s="122">
        <v>0.10440000000000001</v>
      </c>
      <c r="K83" s="122" t="s">
        <v>717</v>
      </c>
      <c r="L83" s="121">
        <v>5000</v>
      </c>
      <c r="M83" s="121">
        <v>500000</v>
      </c>
      <c r="N83" s="105">
        <v>44197</v>
      </c>
      <c r="O83" s="105">
        <v>44377</v>
      </c>
      <c r="P83" t="s">
        <v>718</v>
      </c>
    </row>
    <row r="84" spans="1:16" ht="15" customHeight="1" x14ac:dyDescent="0.3">
      <c r="A84" t="str">
        <f t="shared" si="2"/>
        <v>12-3-EW-SmartFIX – 1 Year</v>
      </c>
      <c r="B84" s="119" t="s">
        <v>13</v>
      </c>
      <c r="C84" s="119">
        <v>12</v>
      </c>
      <c r="D84" s="120" t="s">
        <v>21</v>
      </c>
      <c r="E84" s="120" t="s">
        <v>19</v>
      </c>
      <c r="F84" s="121" t="s">
        <v>16</v>
      </c>
      <c r="G84" s="121" t="s">
        <v>686</v>
      </c>
      <c r="H84" s="126">
        <v>0.2326</v>
      </c>
      <c r="I84" s="122">
        <v>0.1452</v>
      </c>
      <c r="J84" s="122" t="s">
        <v>717</v>
      </c>
      <c r="K84" s="122">
        <v>0.12529999999999999</v>
      </c>
      <c r="L84" s="121">
        <v>5000</v>
      </c>
      <c r="M84" s="121">
        <v>500000</v>
      </c>
      <c r="N84" s="105">
        <v>44197</v>
      </c>
      <c r="O84" s="105">
        <v>44377</v>
      </c>
      <c r="P84" t="s">
        <v>718</v>
      </c>
    </row>
    <row r="85" spans="1:16" ht="15" customHeight="1" x14ac:dyDescent="0.3">
      <c r="A85" t="str">
        <f t="shared" si="2"/>
        <v>12-4-3RATE-SmartFIX – 1 Year</v>
      </c>
      <c r="B85" s="119" t="s">
        <v>13</v>
      </c>
      <c r="C85" s="119">
        <v>12</v>
      </c>
      <c r="D85" s="120" t="s">
        <v>21</v>
      </c>
      <c r="E85" s="120" t="s">
        <v>719</v>
      </c>
      <c r="F85" s="121" t="s">
        <v>18</v>
      </c>
      <c r="G85" s="121" t="s">
        <v>686</v>
      </c>
      <c r="H85" s="126">
        <v>0.2326</v>
      </c>
      <c r="I85" s="122">
        <v>0.24399999999999999</v>
      </c>
      <c r="J85" s="122">
        <v>0.24399999999999999</v>
      </c>
      <c r="K85" s="122">
        <v>0.24399999999999999</v>
      </c>
      <c r="L85" s="121">
        <v>5000</v>
      </c>
      <c r="M85" s="121">
        <v>500000</v>
      </c>
      <c r="N85" s="105">
        <v>44197</v>
      </c>
      <c r="O85" s="105">
        <v>44377</v>
      </c>
      <c r="P85" t="s">
        <v>718</v>
      </c>
    </row>
    <row r="86" spans="1:16" ht="15" customHeight="1" x14ac:dyDescent="0.3">
      <c r="A86" t="str">
        <f t="shared" si="2"/>
        <v/>
      </c>
      <c r="B86" s="119" t="s">
        <v>13</v>
      </c>
      <c r="C86" s="119">
        <v>12</v>
      </c>
      <c r="D86" s="120" t="s">
        <v>21</v>
      </c>
      <c r="E86" s="120" t="s">
        <v>720</v>
      </c>
      <c r="F86" s="121" t="s">
        <v>18</v>
      </c>
      <c r="G86" s="121" t="s">
        <v>686</v>
      </c>
      <c r="H86" s="126">
        <v>0.2326</v>
      </c>
      <c r="I86" s="122" t="s">
        <v>717</v>
      </c>
      <c r="J86" s="122">
        <v>0.12529999999999999</v>
      </c>
      <c r="K86" s="122" t="s">
        <v>717</v>
      </c>
      <c r="L86" s="121">
        <v>5000</v>
      </c>
      <c r="M86" s="121">
        <v>500000</v>
      </c>
      <c r="N86" s="105">
        <v>44197</v>
      </c>
      <c r="O86" s="105">
        <v>44377</v>
      </c>
      <c r="P86" t="s">
        <v>718</v>
      </c>
    </row>
    <row r="87" spans="1:16" ht="15" customHeight="1" x14ac:dyDescent="0.3">
      <c r="A87" t="str">
        <f t="shared" si="2"/>
        <v>13-3-U-SmartFIX – 1 Year</v>
      </c>
      <c r="B87" s="119" t="s">
        <v>13</v>
      </c>
      <c r="C87" s="119">
        <v>13</v>
      </c>
      <c r="D87" s="120" t="s">
        <v>22</v>
      </c>
      <c r="E87" s="120" t="s">
        <v>716</v>
      </c>
      <c r="F87" s="121" t="s">
        <v>16</v>
      </c>
      <c r="G87" s="121" t="s">
        <v>686</v>
      </c>
      <c r="H87" s="126">
        <v>0.2737</v>
      </c>
      <c r="I87" s="122">
        <v>0.16189999999999999</v>
      </c>
      <c r="J87" s="122" t="s">
        <v>717</v>
      </c>
      <c r="K87" s="122" t="s">
        <v>717</v>
      </c>
      <c r="L87" s="121">
        <v>5000</v>
      </c>
      <c r="M87" s="121">
        <v>500000</v>
      </c>
      <c r="N87" s="105">
        <v>44197</v>
      </c>
      <c r="O87" s="105">
        <v>44377</v>
      </c>
      <c r="P87" t="s">
        <v>718</v>
      </c>
    </row>
    <row r="88" spans="1:16" ht="15" customHeight="1" x14ac:dyDescent="0.3">
      <c r="A88" t="str">
        <f t="shared" si="2"/>
        <v>13-4-E7-SmartFIX – 1 Year</v>
      </c>
      <c r="B88" s="119" t="s">
        <v>13</v>
      </c>
      <c r="C88" s="119">
        <v>13</v>
      </c>
      <c r="D88" s="120" t="s">
        <v>22</v>
      </c>
      <c r="E88" s="120" t="s">
        <v>17</v>
      </c>
      <c r="F88" s="121" t="s">
        <v>18</v>
      </c>
      <c r="G88" s="121" t="s">
        <v>686</v>
      </c>
      <c r="H88" s="126">
        <v>0.2737</v>
      </c>
      <c r="I88" s="122">
        <v>0.1711</v>
      </c>
      <c r="J88" s="122">
        <v>0.1217</v>
      </c>
      <c r="K88" s="122" t="s">
        <v>717</v>
      </c>
      <c r="L88" s="121">
        <v>5000</v>
      </c>
      <c r="M88" s="121">
        <v>500000</v>
      </c>
      <c r="N88" s="105">
        <v>44197</v>
      </c>
      <c r="O88" s="105">
        <v>44377</v>
      </c>
      <c r="P88" t="s">
        <v>718</v>
      </c>
    </row>
    <row r="89" spans="1:16" ht="15" customHeight="1" x14ac:dyDescent="0.3">
      <c r="A89" t="str">
        <f t="shared" si="2"/>
        <v>13-3-EW-SmartFIX – 1 Year</v>
      </c>
      <c r="B89" s="119" t="s">
        <v>13</v>
      </c>
      <c r="C89" s="119">
        <v>13</v>
      </c>
      <c r="D89" s="120" t="s">
        <v>22</v>
      </c>
      <c r="E89" s="120" t="s">
        <v>19</v>
      </c>
      <c r="F89" s="121" t="s">
        <v>16</v>
      </c>
      <c r="G89" s="121" t="s">
        <v>686</v>
      </c>
      <c r="H89" s="126">
        <v>0.2737</v>
      </c>
      <c r="I89" s="122">
        <v>0.24399999999999999</v>
      </c>
      <c r="J89" s="122" t="s">
        <v>717</v>
      </c>
      <c r="K89" s="122">
        <v>0.24399999999999999</v>
      </c>
      <c r="L89" s="121">
        <v>5000</v>
      </c>
      <c r="M89" s="121">
        <v>500000</v>
      </c>
      <c r="N89" s="105">
        <v>44197</v>
      </c>
      <c r="O89" s="105">
        <v>44377</v>
      </c>
      <c r="P89" t="s">
        <v>718</v>
      </c>
    </row>
    <row r="90" spans="1:16" ht="15" customHeight="1" x14ac:dyDescent="0.3">
      <c r="A90" t="str">
        <f t="shared" si="2"/>
        <v>13-4-3RATE-SmartFIX – 1 Year</v>
      </c>
      <c r="B90" s="119" t="s">
        <v>13</v>
      </c>
      <c r="C90" s="119">
        <v>13</v>
      </c>
      <c r="D90" s="120" t="s">
        <v>22</v>
      </c>
      <c r="E90" s="120" t="s">
        <v>719</v>
      </c>
      <c r="F90" s="121" t="s">
        <v>18</v>
      </c>
      <c r="G90" s="121" t="s">
        <v>686</v>
      </c>
      <c r="H90" s="126">
        <v>0.2737</v>
      </c>
      <c r="I90" s="122">
        <v>0.1757</v>
      </c>
      <c r="J90" s="122">
        <v>0.1183</v>
      </c>
      <c r="K90" s="122">
        <v>0.16170000000000001</v>
      </c>
      <c r="L90" s="121">
        <v>5000</v>
      </c>
      <c r="M90" s="121">
        <v>500000</v>
      </c>
      <c r="N90" s="105">
        <v>44197</v>
      </c>
      <c r="O90" s="105">
        <v>44377</v>
      </c>
      <c r="P90" t="s">
        <v>718</v>
      </c>
    </row>
    <row r="91" spans="1:16" ht="15" customHeight="1" x14ac:dyDescent="0.3">
      <c r="A91" t="str">
        <f t="shared" si="2"/>
        <v/>
      </c>
      <c r="B91" s="119" t="s">
        <v>13</v>
      </c>
      <c r="C91" s="119">
        <v>13</v>
      </c>
      <c r="D91" s="120" t="s">
        <v>22</v>
      </c>
      <c r="E91" s="120" t="s">
        <v>720</v>
      </c>
      <c r="F91" s="121" t="s">
        <v>18</v>
      </c>
      <c r="G91" s="121" t="s">
        <v>686</v>
      </c>
      <c r="H91" s="126">
        <v>0.2737</v>
      </c>
      <c r="I91" s="122" t="s">
        <v>717</v>
      </c>
      <c r="J91" s="122">
        <v>0.1217</v>
      </c>
      <c r="K91" s="122" t="s">
        <v>717</v>
      </c>
      <c r="L91" s="121">
        <v>5000</v>
      </c>
      <c r="M91" s="121">
        <v>500000</v>
      </c>
      <c r="N91" s="105">
        <v>44197</v>
      </c>
      <c r="O91" s="105">
        <v>44377</v>
      </c>
      <c r="P91" t="s">
        <v>718</v>
      </c>
    </row>
    <row r="92" spans="1:16" ht="15" customHeight="1" x14ac:dyDescent="0.3">
      <c r="A92" t="str">
        <f t="shared" si="2"/>
        <v>14-3-U-SmartFIX – 1 Year</v>
      </c>
      <c r="B92" s="119" t="s">
        <v>13</v>
      </c>
      <c r="C92" s="119">
        <v>14</v>
      </c>
      <c r="D92" s="120" t="s">
        <v>23</v>
      </c>
      <c r="E92" s="120" t="s">
        <v>716</v>
      </c>
      <c r="F92" s="121" t="s">
        <v>16</v>
      </c>
      <c r="G92" s="121" t="s">
        <v>686</v>
      </c>
      <c r="H92" s="126">
        <v>0.33779999999999999</v>
      </c>
      <c r="I92" s="122">
        <v>0.14699999999999999</v>
      </c>
      <c r="J92" s="122" t="s">
        <v>717</v>
      </c>
      <c r="K92" s="122" t="s">
        <v>717</v>
      </c>
      <c r="L92" s="121">
        <v>5000</v>
      </c>
      <c r="M92" s="121">
        <v>500000</v>
      </c>
      <c r="N92" s="105">
        <v>44197</v>
      </c>
      <c r="O92" s="105">
        <v>44377</v>
      </c>
      <c r="P92" t="s">
        <v>718</v>
      </c>
    </row>
    <row r="93" spans="1:16" ht="15" customHeight="1" x14ac:dyDescent="0.3">
      <c r="A93" t="str">
        <f t="shared" si="2"/>
        <v>14-4-E7-SmartFIX – 1 Year</v>
      </c>
      <c r="B93" s="119" t="s">
        <v>13</v>
      </c>
      <c r="C93" s="119">
        <v>14</v>
      </c>
      <c r="D93" s="120" t="s">
        <v>23</v>
      </c>
      <c r="E93" s="120" t="s">
        <v>17</v>
      </c>
      <c r="F93" s="121" t="s">
        <v>18</v>
      </c>
      <c r="G93" s="121" t="s">
        <v>686</v>
      </c>
      <c r="H93" s="126">
        <v>0.33779999999999999</v>
      </c>
      <c r="I93" s="122">
        <v>0.15429999999999999</v>
      </c>
      <c r="J93" s="122">
        <v>0.1111</v>
      </c>
      <c r="K93" s="122" t="s">
        <v>717</v>
      </c>
      <c r="L93" s="121">
        <v>5000</v>
      </c>
      <c r="M93" s="121">
        <v>500000</v>
      </c>
      <c r="N93" s="105">
        <v>44197</v>
      </c>
      <c r="O93" s="105">
        <v>44377</v>
      </c>
      <c r="P93" t="s">
        <v>718</v>
      </c>
    </row>
    <row r="94" spans="1:16" ht="15" customHeight="1" x14ac:dyDescent="0.3">
      <c r="A94" t="str">
        <f t="shared" si="2"/>
        <v>14-3-EW-SmartFIX – 1 Year</v>
      </c>
      <c r="B94" s="119" t="s">
        <v>13</v>
      </c>
      <c r="C94" s="119">
        <v>14</v>
      </c>
      <c r="D94" s="120" t="s">
        <v>23</v>
      </c>
      <c r="E94" s="120" t="s">
        <v>19</v>
      </c>
      <c r="F94" s="121" t="s">
        <v>16</v>
      </c>
      <c r="G94" s="121" t="s">
        <v>686</v>
      </c>
      <c r="H94" s="126">
        <v>0.33779999999999999</v>
      </c>
      <c r="I94" s="122">
        <v>0.15429999999999999</v>
      </c>
      <c r="J94" s="122" t="s">
        <v>717</v>
      </c>
      <c r="K94" s="122">
        <v>0.13619999999999999</v>
      </c>
      <c r="L94" s="121">
        <v>5000</v>
      </c>
      <c r="M94" s="121">
        <v>500000</v>
      </c>
      <c r="N94" s="105">
        <v>44197</v>
      </c>
      <c r="O94" s="105">
        <v>44377</v>
      </c>
      <c r="P94" t="s">
        <v>718</v>
      </c>
    </row>
    <row r="95" spans="1:16" ht="15" customHeight="1" x14ac:dyDescent="0.3">
      <c r="A95" t="str">
        <f t="shared" si="2"/>
        <v>14-4-3RATE-SmartFIX – 1 Year</v>
      </c>
      <c r="B95" s="119" t="s">
        <v>13</v>
      </c>
      <c r="C95" s="119">
        <v>14</v>
      </c>
      <c r="D95" s="120" t="s">
        <v>23</v>
      </c>
      <c r="E95" s="120" t="s">
        <v>719</v>
      </c>
      <c r="F95" s="121" t="s">
        <v>18</v>
      </c>
      <c r="G95" s="121" t="s">
        <v>686</v>
      </c>
      <c r="H95" s="126">
        <v>0.33779999999999999</v>
      </c>
      <c r="I95" s="122">
        <v>0.24399999999999999</v>
      </c>
      <c r="J95" s="122">
        <v>0.24399999999999999</v>
      </c>
      <c r="K95" s="122">
        <v>0.24399999999999999</v>
      </c>
      <c r="L95" s="121">
        <v>5000</v>
      </c>
      <c r="M95" s="121">
        <v>500000</v>
      </c>
      <c r="N95" s="105">
        <v>44197</v>
      </c>
      <c r="O95" s="105">
        <v>44377</v>
      </c>
      <c r="P95" t="s">
        <v>718</v>
      </c>
    </row>
    <row r="96" spans="1:16" ht="15" customHeight="1" x14ac:dyDescent="0.3">
      <c r="A96" t="str">
        <f t="shared" si="2"/>
        <v/>
      </c>
      <c r="B96" s="119" t="s">
        <v>13</v>
      </c>
      <c r="C96" s="119">
        <v>14</v>
      </c>
      <c r="D96" s="120" t="s">
        <v>23</v>
      </c>
      <c r="E96" s="120" t="s">
        <v>720</v>
      </c>
      <c r="F96" s="121" t="s">
        <v>18</v>
      </c>
      <c r="G96" s="121" t="s">
        <v>686</v>
      </c>
      <c r="H96" s="126">
        <v>0.33779999999999999</v>
      </c>
      <c r="I96" s="122" t="s">
        <v>717</v>
      </c>
      <c r="J96" s="122">
        <v>0.13619999999999999</v>
      </c>
      <c r="K96" s="122" t="s">
        <v>717</v>
      </c>
      <c r="L96" s="121">
        <v>5000</v>
      </c>
      <c r="M96" s="121">
        <v>500000</v>
      </c>
      <c r="N96" s="105">
        <v>44197</v>
      </c>
      <c r="O96" s="105">
        <v>44377</v>
      </c>
      <c r="P96" t="s">
        <v>718</v>
      </c>
    </row>
    <row r="97" spans="1:16" ht="15" customHeight="1" x14ac:dyDescent="0.3">
      <c r="A97" t="str">
        <f t="shared" si="2"/>
        <v>15-3-U-SmartFIX – 1 Year</v>
      </c>
      <c r="B97" s="119" t="s">
        <v>13</v>
      </c>
      <c r="C97" s="119">
        <v>15</v>
      </c>
      <c r="D97" s="120" t="s">
        <v>24</v>
      </c>
      <c r="E97" s="120" t="s">
        <v>716</v>
      </c>
      <c r="F97" s="121" t="s">
        <v>16</v>
      </c>
      <c r="G97" s="121" t="s">
        <v>686</v>
      </c>
      <c r="H97" s="126">
        <v>0.3135</v>
      </c>
      <c r="I97" s="122">
        <v>0.1459</v>
      </c>
      <c r="J97" s="122" t="s">
        <v>717</v>
      </c>
      <c r="K97" s="122" t="s">
        <v>717</v>
      </c>
      <c r="L97" s="121">
        <v>5000</v>
      </c>
      <c r="M97" s="121">
        <v>500000</v>
      </c>
      <c r="N97" s="105">
        <v>44197</v>
      </c>
      <c r="O97" s="105">
        <v>44377</v>
      </c>
      <c r="P97" t="s">
        <v>718</v>
      </c>
    </row>
    <row r="98" spans="1:16" ht="15" customHeight="1" x14ac:dyDescent="0.3">
      <c r="A98" t="str">
        <f t="shared" si="2"/>
        <v>15-4-E7-SmartFIX – 1 Year</v>
      </c>
      <c r="B98" s="119" t="s">
        <v>13</v>
      </c>
      <c r="C98" s="119">
        <v>15</v>
      </c>
      <c r="D98" s="120" t="s">
        <v>24</v>
      </c>
      <c r="E98" s="120" t="s">
        <v>17</v>
      </c>
      <c r="F98" s="121" t="s">
        <v>18</v>
      </c>
      <c r="G98" s="121" t="s">
        <v>686</v>
      </c>
      <c r="H98" s="126">
        <v>0.3135</v>
      </c>
      <c r="I98" s="122">
        <v>0.1517</v>
      </c>
      <c r="J98" s="122">
        <v>0.1106</v>
      </c>
      <c r="K98" s="122" t="s">
        <v>717</v>
      </c>
      <c r="L98" s="121">
        <v>5000</v>
      </c>
      <c r="M98" s="121">
        <v>500000</v>
      </c>
      <c r="N98" s="105">
        <v>44197</v>
      </c>
      <c r="O98" s="105">
        <v>44377</v>
      </c>
      <c r="P98" t="s">
        <v>718</v>
      </c>
    </row>
    <row r="99" spans="1:16" ht="15" customHeight="1" x14ac:dyDescent="0.3">
      <c r="A99" t="str">
        <f t="shared" si="2"/>
        <v>15-3-EW-SmartFIX – 1 Year</v>
      </c>
      <c r="B99" s="119" t="s">
        <v>13</v>
      </c>
      <c r="C99" s="119">
        <v>15</v>
      </c>
      <c r="D99" s="120" t="s">
        <v>24</v>
      </c>
      <c r="E99" s="120" t="s">
        <v>19</v>
      </c>
      <c r="F99" s="121" t="s">
        <v>16</v>
      </c>
      <c r="G99" s="121" t="s">
        <v>686</v>
      </c>
      <c r="H99" s="126">
        <v>0.3135</v>
      </c>
      <c r="I99" s="122">
        <v>0.156</v>
      </c>
      <c r="J99" s="122" t="s">
        <v>717</v>
      </c>
      <c r="K99" s="122">
        <v>0.1346</v>
      </c>
      <c r="L99" s="121">
        <v>5000</v>
      </c>
      <c r="M99" s="121">
        <v>500000</v>
      </c>
      <c r="N99" s="105">
        <v>44197</v>
      </c>
      <c r="O99" s="105">
        <v>44377</v>
      </c>
      <c r="P99" t="s">
        <v>718</v>
      </c>
    </row>
    <row r="100" spans="1:16" ht="15" customHeight="1" x14ac:dyDescent="0.3">
      <c r="A100" t="str">
        <f t="shared" si="2"/>
        <v>15-4-3RATE-SmartFIX – 1 Year</v>
      </c>
      <c r="B100" s="119" t="s">
        <v>13</v>
      </c>
      <c r="C100" s="119">
        <v>15</v>
      </c>
      <c r="D100" s="120" t="s">
        <v>24</v>
      </c>
      <c r="E100" s="120" t="s">
        <v>719</v>
      </c>
      <c r="F100" s="121" t="s">
        <v>18</v>
      </c>
      <c r="G100" s="121" t="s">
        <v>686</v>
      </c>
      <c r="H100" s="126">
        <v>0.3135</v>
      </c>
      <c r="I100" s="122">
        <v>0.24399999999999999</v>
      </c>
      <c r="J100" s="122">
        <v>0.24399999999999999</v>
      </c>
      <c r="K100" s="122">
        <v>0.24399999999999999</v>
      </c>
      <c r="L100" s="121">
        <v>5000</v>
      </c>
      <c r="M100" s="121">
        <v>500000</v>
      </c>
      <c r="N100" s="105">
        <v>44197</v>
      </c>
      <c r="O100" s="105">
        <v>44377</v>
      </c>
      <c r="P100" t="s">
        <v>718</v>
      </c>
    </row>
    <row r="101" spans="1:16" ht="15" customHeight="1" x14ac:dyDescent="0.3">
      <c r="A101" t="str">
        <f t="shared" si="2"/>
        <v/>
      </c>
      <c r="B101" s="119" t="s">
        <v>13</v>
      </c>
      <c r="C101" s="119">
        <v>15</v>
      </c>
      <c r="D101" s="120" t="s">
        <v>24</v>
      </c>
      <c r="E101" s="120" t="s">
        <v>720</v>
      </c>
      <c r="F101" s="121" t="s">
        <v>18</v>
      </c>
      <c r="G101" s="121" t="s">
        <v>686</v>
      </c>
      <c r="H101" s="126">
        <v>0.3135</v>
      </c>
      <c r="I101" s="122" t="s">
        <v>717</v>
      </c>
      <c r="J101" s="122">
        <v>0.1346</v>
      </c>
      <c r="K101" s="122" t="s">
        <v>717</v>
      </c>
      <c r="L101" s="121">
        <v>5000</v>
      </c>
      <c r="M101" s="121">
        <v>500000</v>
      </c>
      <c r="N101" s="105">
        <v>44197</v>
      </c>
      <c r="O101" s="105">
        <v>44377</v>
      </c>
      <c r="P101" t="s">
        <v>718</v>
      </c>
    </row>
    <row r="102" spans="1:16" ht="15" customHeight="1" x14ac:dyDescent="0.3">
      <c r="A102" t="str">
        <f t="shared" si="2"/>
        <v>16-3-U-SmartFIX – 1 Year</v>
      </c>
      <c r="B102" s="119" t="s">
        <v>13</v>
      </c>
      <c r="C102" s="119">
        <v>16</v>
      </c>
      <c r="D102" s="120" t="s">
        <v>25</v>
      </c>
      <c r="E102" s="120" t="s">
        <v>716</v>
      </c>
      <c r="F102" s="121" t="s">
        <v>16</v>
      </c>
      <c r="G102" s="121" t="s">
        <v>686</v>
      </c>
      <c r="H102" s="126">
        <v>0.26540000000000002</v>
      </c>
      <c r="I102" s="122">
        <v>0.14829999999999999</v>
      </c>
      <c r="J102" s="122" t="s">
        <v>717</v>
      </c>
      <c r="K102" s="122" t="s">
        <v>717</v>
      </c>
      <c r="L102" s="121">
        <v>5000</v>
      </c>
      <c r="M102" s="121">
        <v>500000</v>
      </c>
      <c r="N102" s="105">
        <v>44197</v>
      </c>
      <c r="O102" s="105">
        <v>44377</v>
      </c>
      <c r="P102" t="s">
        <v>718</v>
      </c>
    </row>
    <row r="103" spans="1:16" ht="15" customHeight="1" x14ac:dyDescent="0.3">
      <c r="A103" t="str">
        <f t="shared" si="2"/>
        <v>16-4-E7-SmartFIX – 1 Year</v>
      </c>
      <c r="B103" s="119" t="s">
        <v>13</v>
      </c>
      <c r="C103" s="119">
        <v>16</v>
      </c>
      <c r="D103" s="120" t="s">
        <v>25</v>
      </c>
      <c r="E103" s="120" t="s">
        <v>17</v>
      </c>
      <c r="F103" s="121" t="s">
        <v>18</v>
      </c>
      <c r="G103" s="121" t="s">
        <v>686</v>
      </c>
      <c r="H103" s="126">
        <v>0.26540000000000002</v>
      </c>
      <c r="I103" s="122">
        <v>0.1552</v>
      </c>
      <c r="J103" s="122">
        <v>0.112</v>
      </c>
      <c r="K103" s="122" t="s">
        <v>717</v>
      </c>
      <c r="L103" s="121">
        <v>5000</v>
      </c>
      <c r="M103" s="121">
        <v>500000</v>
      </c>
      <c r="N103" s="105">
        <v>44197</v>
      </c>
      <c r="O103" s="105">
        <v>44377</v>
      </c>
      <c r="P103" t="s">
        <v>718</v>
      </c>
    </row>
    <row r="104" spans="1:16" ht="15" customHeight="1" x14ac:dyDescent="0.3">
      <c r="A104" t="str">
        <f t="shared" si="2"/>
        <v>16-3-EW-SmartFIX – 1 Year</v>
      </c>
      <c r="B104" s="119" t="s">
        <v>13</v>
      </c>
      <c r="C104" s="119">
        <v>16</v>
      </c>
      <c r="D104" s="120" t="s">
        <v>25</v>
      </c>
      <c r="E104" s="120" t="s">
        <v>19</v>
      </c>
      <c r="F104" s="121" t="s">
        <v>16</v>
      </c>
      <c r="G104" s="121" t="s">
        <v>686</v>
      </c>
      <c r="H104" s="126">
        <v>0.26540000000000002</v>
      </c>
      <c r="I104" s="122">
        <v>0.1583</v>
      </c>
      <c r="J104" s="122" t="s">
        <v>717</v>
      </c>
      <c r="K104" s="122">
        <v>0.1363</v>
      </c>
      <c r="L104" s="121">
        <v>5000</v>
      </c>
      <c r="M104" s="121">
        <v>500000</v>
      </c>
      <c r="N104" s="105">
        <v>44197</v>
      </c>
      <c r="O104" s="105">
        <v>44377</v>
      </c>
      <c r="P104" t="s">
        <v>718</v>
      </c>
    </row>
    <row r="105" spans="1:16" ht="15" customHeight="1" x14ac:dyDescent="0.3">
      <c r="A105" t="str">
        <f t="shared" si="2"/>
        <v>16-4-3RATE-SmartFIX – 1 Year</v>
      </c>
      <c r="B105" s="119" t="s">
        <v>13</v>
      </c>
      <c r="C105" s="119">
        <v>16</v>
      </c>
      <c r="D105" s="120" t="s">
        <v>25</v>
      </c>
      <c r="E105" s="120" t="s">
        <v>719</v>
      </c>
      <c r="F105" s="121" t="s">
        <v>18</v>
      </c>
      <c r="G105" s="121" t="s">
        <v>686</v>
      </c>
      <c r="H105" s="126">
        <v>0.26540000000000002</v>
      </c>
      <c r="I105" s="122">
        <v>0.16389999999999999</v>
      </c>
      <c r="J105" s="122">
        <v>0.1089</v>
      </c>
      <c r="K105" s="122">
        <v>0.1386</v>
      </c>
      <c r="L105" s="121">
        <v>5000</v>
      </c>
      <c r="M105" s="121">
        <v>500000</v>
      </c>
      <c r="N105" s="105">
        <v>44197</v>
      </c>
      <c r="O105" s="105">
        <v>44377</v>
      </c>
      <c r="P105" t="s">
        <v>718</v>
      </c>
    </row>
    <row r="106" spans="1:16" ht="15" customHeight="1" x14ac:dyDescent="0.3">
      <c r="A106" t="str">
        <f t="shared" si="2"/>
        <v/>
      </c>
      <c r="B106" s="119" t="s">
        <v>13</v>
      </c>
      <c r="C106" s="119">
        <v>16</v>
      </c>
      <c r="D106" s="120" t="s">
        <v>25</v>
      </c>
      <c r="E106" s="120" t="s">
        <v>720</v>
      </c>
      <c r="F106" s="121" t="s">
        <v>18</v>
      </c>
      <c r="G106" s="121" t="s">
        <v>686</v>
      </c>
      <c r="H106" s="126">
        <v>0.26540000000000002</v>
      </c>
      <c r="I106" s="122" t="s">
        <v>717</v>
      </c>
      <c r="J106" s="122">
        <v>0.1363</v>
      </c>
      <c r="K106" s="122" t="s">
        <v>717</v>
      </c>
      <c r="L106" s="121">
        <v>5000</v>
      </c>
      <c r="M106" s="121">
        <v>500000</v>
      </c>
      <c r="N106" s="105">
        <v>44197</v>
      </c>
      <c r="O106" s="105">
        <v>44377</v>
      </c>
      <c r="P106" t="s">
        <v>718</v>
      </c>
    </row>
    <row r="107" spans="1:16" ht="15" customHeight="1" x14ac:dyDescent="0.3">
      <c r="A107" t="str">
        <f t="shared" si="2"/>
        <v>17-3-U-SmartFIX – 1 Year</v>
      </c>
      <c r="B107" s="119" t="s">
        <v>13</v>
      </c>
      <c r="C107" s="119">
        <v>17</v>
      </c>
      <c r="D107" s="120" t="s">
        <v>26</v>
      </c>
      <c r="E107" s="120" t="s">
        <v>716</v>
      </c>
      <c r="F107" s="121" t="s">
        <v>16</v>
      </c>
      <c r="G107" s="121" t="s">
        <v>686</v>
      </c>
      <c r="H107" s="126">
        <v>0.34960000000000002</v>
      </c>
      <c r="I107" s="122">
        <v>0.151</v>
      </c>
      <c r="J107" s="122" t="s">
        <v>717</v>
      </c>
      <c r="K107" s="122" t="s">
        <v>717</v>
      </c>
      <c r="L107" s="121">
        <v>5000</v>
      </c>
      <c r="M107" s="121">
        <v>500000</v>
      </c>
      <c r="N107" s="105">
        <v>44197</v>
      </c>
      <c r="O107" s="105">
        <v>44377</v>
      </c>
      <c r="P107" t="s">
        <v>718</v>
      </c>
    </row>
    <row r="108" spans="1:16" ht="15" customHeight="1" x14ac:dyDescent="0.3">
      <c r="A108" t="str">
        <f t="shared" si="2"/>
        <v>17-4-E7-SmartFIX – 1 Year</v>
      </c>
      <c r="B108" s="119" t="s">
        <v>13</v>
      </c>
      <c r="C108" s="119">
        <v>17</v>
      </c>
      <c r="D108" s="120" t="s">
        <v>26</v>
      </c>
      <c r="E108" s="120" t="s">
        <v>17</v>
      </c>
      <c r="F108" s="121" t="s">
        <v>18</v>
      </c>
      <c r="G108" s="121" t="s">
        <v>686</v>
      </c>
      <c r="H108" s="126">
        <v>0.34960000000000002</v>
      </c>
      <c r="I108" s="122">
        <v>0.1666</v>
      </c>
      <c r="J108" s="122">
        <v>0.1216</v>
      </c>
      <c r="K108" s="122" t="s">
        <v>717</v>
      </c>
      <c r="L108" s="121">
        <v>5000</v>
      </c>
      <c r="M108" s="121">
        <v>500000</v>
      </c>
      <c r="N108" s="105">
        <v>44197</v>
      </c>
      <c r="O108" s="105">
        <v>44377</v>
      </c>
      <c r="P108" t="s">
        <v>718</v>
      </c>
    </row>
    <row r="109" spans="1:16" ht="15" customHeight="1" x14ac:dyDescent="0.3">
      <c r="A109" t="str">
        <f t="shared" si="2"/>
        <v>17-3-EW-SmartFIX – 1 Year</v>
      </c>
      <c r="B109" s="119" t="s">
        <v>13</v>
      </c>
      <c r="C109" s="119">
        <v>17</v>
      </c>
      <c r="D109" s="120" t="s">
        <v>26</v>
      </c>
      <c r="E109" s="120" t="s">
        <v>19</v>
      </c>
      <c r="F109" s="121" t="s">
        <v>16</v>
      </c>
      <c r="G109" s="121" t="s">
        <v>686</v>
      </c>
      <c r="H109" s="126">
        <v>0.34960000000000002</v>
      </c>
      <c r="I109" s="122">
        <v>0.1585</v>
      </c>
      <c r="J109" s="122" t="s">
        <v>717</v>
      </c>
      <c r="K109" s="122">
        <v>0.14119999999999999</v>
      </c>
      <c r="L109" s="121">
        <v>5000</v>
      </c>
      <c r="M109" s="121">
        <v>500000</v>
      </c>
      <c r="N109" s="105">
        <v>44197</v>
      </c>
      <c r="O109" s="105">
        <v>44377</v>
      </c>
      <c r="P109" t="s">
        <v>718</v>
      </c>
    </row>
    <row r="110" spans="1:16" ht="15" customHeight="1" x14ac:dyDescent="0.3">
      <c r="A110" t="str">
        <f t="shared" si="2"/>
        <v>17-4-3RATE-SmartFIX – 1 Year</v>
      </c>
      <c r="B110" s="119" t="s">
        <v>13</v>
      </c>
      <c r="C110" s="119">
        <v>17</v>
      </c>
      <c r="D110" s="120" t="s">
        <v>26</v>
      </c>
      <c r="E110" s="120" t="s">
        <v>719</v>
      </c>
      <c r="F110" s="121" t="s">
        <v>18</v>
      </c>
      <c r="G110" s="121" t="s">
        <v>686</v>
      </c>
      <c r="H110" s="126">
        <v>0.34960000000000002</v>
      </c>
      <c r="I110" s="122">
        <v>0.24399999999999999</v>
      </c>
      <c r="J110" s="122">
        <v>0.24399999999999999</v>
      </c>
      <c r="K110" s="122">
        <v>0.24399999999999999</v>
      </c>
      <c r="L110" s="121">
        <v>5000</v>
      </c>
      <c r="M110" s="121">
        <v>500000</v>
      </c>
      <c r="N110" s="105">
        <v>44197</v>
      </c>
      <c r="O110" s="105">
        <v>44377</v>
      </c>
      <c r="P110" t="s">
        <v>718</v>
      </c>
    </row>
    <row r="111" spans="1:16" ht="15" customHeight="1" x14ac:dyDescent="0.3">
      <c r="A111" t="str">
        <f t="shared" si="2"/>
        <v/>
      </c>
      <c r="B111" s="119" t="s">
        <v>13</v>
      </c>
      <c r="C111" s="119">
        <v>17</v>
      </c>
      <c r="D111" s="120" t="s">
        <v>26</v>
      </c>
      <c r="E111" s="120" t="s">
        <v>720</v>
      </c>
      <c r="F111" s="121" t="s">
        <v>18</v>
      </c>
      <c r="G111" s="121" t="s">
        <v>686</v>
      </c>
      <c r="H111" s="126">
        <v>0.34960000000000002</v>
      </c>
      <c r="I111" s="122" t="s">
        <v>717</v>
      </c>
      <c r="J111" s="122">
        <v>0.14119999999999999</v>
      </c>
      <c r="K111" s="122" t="s">
        <v>717</v>
      </c>
      <c r="L111" s="121">
        <v>5000</v>
      </c>
      <c r="M111" s="121">
        <v>500000</v>
      </c>
      <c r="N111" s="105">
        <v>44197</v>
      </c>
      <c r="O111" s="105">
        <v>44377</v>
      </c>
      <c r="P111" t="s">
        <v>718</v>
      </c>
    </row>
    <row r="112" spans="1:16" ht="15" customHeight="1" x14ac:dyDescent="0.3">
      <c r="A112" t="str">
        <f t="shared" si="2"/>
        <v>18-3-U-SmartFIX – 1 Year</v>
      </c>
      <c r="B112" s="119" t="s">
        <v>13</v>
      </c>
      <c r="C112" s="119">
        <v>18</v>
      </c>
      <c r="D112" s="120" t="s">
        <v>27</v>
      </c>
      <c r="E112" s="120" t="s">
        <v>716</v>
      </c>
      <c r="F112" s="121" t="s">
        <v>16</v>
      </c>
      <c r="G112" s="121" t="s">
        <v>686</v>
      </c>
      <c r="H112" s="126">
        <v>0.30499999999999999</v>
      </c>
      <c r="I112" s="122">
        <v>0.14630000000000001</v>
      </c>
      <c r="J112" s="122" t="s">
        <v>717</v>
      </c>
      <c r="K112" s="122" t="s">
        <v>717</v>
      </c>
      <c r="L112" s="121">
        <v>5000</v>
      </c>
      <c r="M112" s="121">
        <v>500000</v>
      </c>
      <c r="N112" s="105">
        <v>44197</v>
      </c>
      <c r="O112" s="105">
        <v>44377</v>
      </c>
      <c r="P112" t="s">
        <v>718</v>
      </c>
    </row>
    <row r="113" spans="1:16" ht="15" customHeight="1" x14ac:dyDescent="0.3">
      <c r="A113" t="str">
        <f t="shared" si="2"/>
        <v>18-4-E7-SmartFIX – 1 Year</v>
      </c>
      <c r="B113" s="119" t="s">
        <v>13</v>
      </c>
      <c r="C113" s="119">
        <v>18</v>
      </c>
      <c r="D113" s="120" t="s">
        <v>27</v>
      </c>
      <c r="E113" s="120" t="s">
        <v>17</v>
      </c>
      <c r="F113" s="121" t="s">
        <v>18</v>
      </c>
      <c r="G113" s="121" t="s">
        <v>686</v>
      </c>
      <c r="H113" s="126">
        <v>0.30499999999999999</v>
      </c>
      <c r="I113" s="122">
        <v>0.15920000000000001</v>
      </c>
      <c r="J113" s="122">
        <v>0.1167</v>
      </c>
      <c r="K113" s="122" t="s">
        <v>717</v>
      </c>
      <c r="L113" s="121">
        <v>5000</v>
      </c>
      <c r="M113" s="121">
        <v>500000</v>
      </c>
      <c r="N113" s="105">
        <v>44197</v>
      </c>
      <c r="O113" s="105">
        <v>44377</v>
      </c>
      <c r="P113" t="s">
        <v>718</v>
      </c>
    </row>
    <row r="114" spans="1:16" ht="15" customHeight="1" x14ac:dyDescent="0.3">
      <c r="A114" t="str">
        <f t="shared" si="2"/>
        <v>18-3-EW-SmartFIX – 1 Year</v>
      </c>
      <c r="B114" s="119" t="s">
        <v>13</v>
      </c>
      <c r="C114" s="119">
        <v>18</v>
      </c>
      <c r="D114" s="120" t="s">
        <v>27</v>
      </c>
      <c r="E114" s="120" t="s">
        <v>19</v>
      </c>
      <c r="F114" s="121" t="s">
        <v>16</v>
      </c>
      <c r="G114" s="121" t="s">
        <v>686</v>
      </c>
      <c r="H114" s="126">
        <v>0.30499999999999999</v>
      </c>
      <c r="I114" s="122">
        <v>0.15390000000000001</v>
      </c>
      <c r="J114" s="122" t="s">
        <v>717</v>
      </c>
      <c r="K114" s="122">
        <v>0.1353</v>
      </c>
      <c r="L114" s="121">
        <v>5000</v>
      </c>
      <c r="M114" s="121">
        <v>500000</v>
      </c>
      <c r="N114" s="105">
        <v>44197</v>
      </c>
      <c r="O114" s="105">
        <v>44377</v>
      </c>
      <c r="P114" t="s">
        <v>718</v>
      </c>
    </row>
    <row r="115" spans="1:16" ht="15" customHeight="1" x14ac:dyDescent="0.3">
      <c r="A115" t="str">
        <f t="shared" si="2"/>
        <v>18-4-3RATE-SmartFIX – 1 Year</v>
      </c>
      <c r="B115" s="119" t="s">
        <v>13</v>
      </c>
      <c r="C115" s="119">
        <v>18</v>
      </c>
      <c r="D115" s="120" t="s">
        <v>27</v>
      </c>
      <c r="E115" s="120" t="s">
        <v>719</v>
      </c>
      <c r="F115" s="121" t="s">
        <v>18</v>
      </c>
      <c r="G115" s="121" t="s">
        <v>686</v>
      </c>
      <c r="H115" s="126">
        <v>0.30499999999999999</v>
      </c>
      <c r="I115" s="122">
        <v>0.24399999999999999</v>
      </c>
      <c r="J115" s="122">
        <v>0.24399999999999999</v>
      </c>
      <c r="K115" s="122">
        <v>0.24399999999999999</v>
      </c>
      <c r="L115" s="121">
        <v>5000</v>
      </c>
      <c r="M115" s="121">
        <v>500000</v>
      </c>
      <c r="N115" s="105">
        <v>44197</v>
      </c>
      <c r="O115" s="105">
        <v>44377</v>
      </c>
      <c r="P115" t="s">
        <v>718</v>
      </c>
    </row>
    <row r="116" spans="1:16" ht="15" customHeight="1" x14ac:dyDescent="0.3">
      <c r="A116" t="str">
        <f t="shared" si="2"/>
        <v/>
      </c>
      <c r="B116" s="119" t="s">
        <v>13</v>
      </c>
      <c r="C116" s="119">
        <v>18</v>
      </c>
      <c r="D116" s="120" t="s">
        <v>27</v>
      </c>
      <c r="E116" s="120" t="s">
        <v>720</v>
      </c>
      <c r="F116" s="121" t="s">
        <v>18</v>
      </c>
      <c r="G116" s="121" t="s">
        <v>686</v>
      </c>
      <c r="H116" s="126">
        <v>0.30499999999999999</v>
      </c>
      <c r="I116" s="122" t="s">
        <v>717</v>
      </c>
      <c r="J116" s="122">
        <v>0.1353</v>
      </c>
      <c r="K116" s="122" t="s">
        <v>717</v>
      </c>
      <c r="L116" s="121">
        <v>5000</v>
      </c>
      <c r="M116" s="121">
        <v>500000</v>
      </c>
      <c r="N116" s="105">
        <v>44197</v>
      </c>
      <c r="O116" s="105">
        <v>44377</v>
      </c>
      <c r="P116" t="s">
        <v>718</v>
      </c>
    </row>
    <row r="117" spans="1:16" ht="15" customHeight="1" x14ac:dyDescent="0.3">
      <c r="A117" t="str">
        <f t="shared" si="2"/>
        <v>19-3-U-SmartFIX – 1 Year</v>
      </c>
      <c r="B117" s="119" t="s">
        <v>13</v>
      </c>
      <c r="C117" s="119">
        <v>19</v>
      </c>
      <c r="D117" s="120" t="s">
        <v>28</v>
      </c>
      <c r="E117" s="120" t="s">
        <v>716</v>
      </c>
      <c r="F117" s="121" t="s">
        <v>16</v>
      </c>
      <c r="G117" s="121" t="s">
        <v>686</v>
      </c>
      <c r="H117" s="126">
        <v>0.28989999999999999</v>
      </c>
      <c r="I117" s="122">
        <v>0.14680000000000001</v>
      </c>
      <c r="J117" s="122" t="s">
        <v>717</v>
      </c>
      <c r="K117" s="122" t="s">
        <v>717</v>
      </c>
      <c r="L117" s="121">
        <v>5000</v>
      </c>
      <c r="M117" s="121">
        <v>500000</v>
      </c>
      <c r="N117" s="105">
        <v>44197</v>
      </c>
      <c r="O117" s="105">
        <v>44377</v>
      </c>
      <c r="P117" t="s">
        <v>718</v>
      </c>
    </row>
    <row r="118" spans="1:16" ht="15" customHeight="1" x14ac:dyDescent="0.3">
      <c r="A118" t="str">
        <f t="shared" si="2"/>
        <v>19-4-E7-SmartFIX – 1 Year</v>
      </c>
      <c r="B118" s="119" t="s">
        <v>13</v>
      </c>
      <c r="C118" s="119">
        <v>19</v>
      </c>
      <c r="D118" s="120" t="s">
        <v>28</v>
      </c>
      <c r="E118" s="120" t="s">
        <v>17</v>
      </c>
      <c r="F118" s="121" t="s">
        <v>18</v>
      </c>
      <c r="G118" s="121" t="s">
        <v>686</v>
      </c>
      <c r="H118" s="126">
        <v>0.28989999999999999</v>
      </c>
      <c r="I118" s="122">
        <v>0.15529999999999999</v>
      </c>
      <c r="J118" s="122">
        <v>0.10780000000000001</v>
      </c>
      <c r="K118" s="122" t="s">
        <v>717</v>
      </c>
      <c r="L118" s="121">
        <v>5000</v>
      </c>
      <c r="M118" s="121">
        <v>500000</v>
      </c>
      <c r="N118" s="105">
        <v>44197</v>
      </c>
      <c r="O118" s="105">
        <v>44377</v>
      </c>
      <c r="P118" t="s">
        <v>718</v>
      </c>
    </row>
    <row r="119" spans="1:16" ht="15" customHeight="1" x14ac:dyDescent="0.3">
      <c r="A119" t="str">
        <f t="shared" si="2"/>
        <v>19-3-EW-SmartFIX – 1 Year</v>
      </c>
      <c r="B119" s="119" t="s">
        <v>13</v>
      </c>
      <c r="C119" s="119">
        <v>19</v>
      </c>
      <c r="D119" s="120" t="s">
        <v>28</v>
      </c>
      <c r="E119" s="120" t="s">
        <v>19</v>
      </c>
      <c r="F119" s="121" t="s">
        <v>16</v>
      </c>
      <c r="G119" s="121" t="s">
        <v>686</v>
      </c>
      <c r="H119" s="126">
        <v>0.28989999999999999</v>
      </c>
      <c r="I119" s="122">
        <v>0.24399999999999999</v>
      </c>
      <c r="J119" s="122" t="s">
        <v>717</v>
      </c>
      <c r="K119" s="122">
        <v>0.24399999999999999</v>
      </c>
      <c r="L119" s="121">
        <v>5000</v>
      </c>
      <c r="M119" s="121">
        <v>500000</v>
      </c>
      <c r="N119" s="105">
        <v>44197</v>
      </c>
      <c r="O119" s="105">
        <v>44377</v>
      </c>
      <c r="P119" t="s">
        <v>718</v>
      </c>
    </row>
    <row r="120" spans="1:16" ht="15" customHeight="1" x14ac:dyDescent="0.3">
      <c r="A120" t="str">
        <f t="shared" si="2"/>
        <v>19-4-3RATE-SmartFIX – 1 Year</v>
      </c>
      <c r="B120" s="119" t="s">
        <v>13</v>
      </c>
      <c r="C120" s="119">
        <v>19</v>
      </c>
      <c r="D120" s="120" t="s">
        <v>28</v>
      </c>
      <c r="E120" s="120" t="s">
        <v>719</v>
      </c>
      <c r="F120" s="121" t="s">
        <v>18</v>
      </c>
      <c r="G120" s="121" t="s">
        <v>686</v>
      </c>
      <c r="H120" s="126">
        <v>0.28989999999999999</v>
      </c>
      <c r="I120" s="122">
        <v>0.16550000000000001</v>
      </c>
      <c r="J120" s="122">
        <v>0.1091</v>
      </c>
      <c r="K120" s="122">
        <v>0.1532</v>
      </c>
      <c r="L120" s="121">
        <v>5000</v>
      </c>
      <c r="M120" s="121">
        <v>500000</v>
      </c>
      <c r="N120" s="105">
        <v>44197</v>
      </c>
      <c r="O120" s="105">
        <v>44377</v>
      </c>
      <c r="P120" t="s">
        <v>718</v>
      </c>
    </row>
    <row r="121" spans="1:16" ht="15" customHeight="1" x14ac:dyDescent="0.3">
      <c r="A121" t="str">
        <f t="shared" si="2"/>
        <v/>
      </c>
      <c r="B121" s="119" t="s">
        <v>13</v>
      </c>
      <c r="C121" s="119">
        <v>19</v>
      </c>
      <c r="D121" s="120" t="s">
        <v>28</v>
      </c>
      <c r="E121" s="120" t="s">
        <v>720</v>
      </c>
      <c r="F121" s="121" t="s">
        <v>18</v>
      </c>
      <c r="G121" s="121" t="s">
        <v>686</v>
      </c>
      <c r="H121" s="126">
        <v>0.28989999999999999</v>
      </c>
      <c r="I121" s="122" t="s">
        <v>717</v>
      </c>
      <c r="J121" s="122">
        <v>0.10780000000000001</v>
      </c>
      <c r="K121" s="122" t="s">
        <v>717</v>
      </c>
      <c r="L121" s="121">
        <v>5000</v>
      </c>
      <c r="M121" s="121">
        <v>500000</v>
      </c>
      <c r="N121" s="105">
        <v>44197</v>
      </c>
      <c r="O121" s="105">
        <v>44377</v>
      </c>
      <c r="P121" t="s">
        <v>718</v>
      </c>
    </row>
    <row r="122" spans="1:16" ht="15" customHeight="1" x14ac:dyDescent="0.3">
      <c r="A122" t="str">
        <f t="shared" si="2"/>
        <v>20-3-U-SmartFIX – 1 Year</v>
      </c>
      <c r="B122" s="119" t="s">
        <v>13</v>
      </c>
      <c r="C122" s="119">
        <v>20</v>
      </c>
      <c r="D122" s="120" t="s">
        <v>29</v>
      </c>
      <c r="E122" s="120" t="s">
        <v>716</v>
      </c>
      <c r="F122" s="121" t="s">
        <v>16</v>
      </c>
      <c r="G122" s="121" t="s">
        <v>686</v>
      </c>
      <c r="H122" s="126">
        <v>0.2873</v>
      </c>
      <c r="I122" s="122">
        <v>0.14249999999999999</v>
      </c>
      <c r="J122" s="122" t="s">
        <v>717</v>
      </c>
      <c r="K122" s="122" t="s">
        <v>717</v>
      </c>
      <c r="L122" s="121">
        <v>5000</v>
      </c>
      <c r="M122" s="121">
        <v>500000</v>
      </c>
      <c r="N122" s="105">
        <v>44197</v>
      </c>
      <c r="O122" s="105">
        <v>44377</v>
      </c>
      <c r="P122" t="s">
        <v>718</v>
      </c>
    </row>
    <row r="123" spans="1:16" ht="15" customHeight="1" x14ac:dyDescent="0.3">
      <c r="A123" t="str">
        <f t="shared" si="2"/>
        <v>20-4-E7-SmartFIX – 1 Year</v>
      </c>
      <c r="B123" s="119" t="s">
        <v>13</v>
      </c>
      <c r="C123" s="119">
        <v>20</v>
      </c>
      <c r="D123" s="120" t="s">
        <v>29</v>
      </c>
      <c r="E123" s="120" t="s">
        <v>17</v>
      </c>
      <c r="F123" s="121" t="s">
        <v>18</v>
      </c>
      <c r="G123" s="121" t="s">
        <v>686</v>
      </c>
      <c r="H123" s="126">
        <v>0.2873</v>
      </c>
      <c r="I123" s="122">
        <v>0.15359999999999999</v>
      </c>
      <c r="J123" s="122">
        <v>0.10970000000000001</v>
      </c>
      <c r="K123" s="122" t="s">
        <v>717</v>
      </c>
      <c r="L123" s="121">
        <v>5000</v>
      </c>
      <c r="M123" s="121">
        <v>500000</v>
      </c>
      <c r="N123" s="105">
        <v>44197</v>
      </c>
      <c r="O123" s="105">
        <v>44377</v>
      </c>
      <c r="P123" t="s">
        <v>718</v>
      </c>
    </row>
    <row r="124" spans="1:16" ht="15" customHeight="1" x14ac:dyDescent="0.3">
      <c r="A124" t="str">
        <f t="shared" si="2"/>
        <v>20-3-EW-SmartFIX – 1 Year</v>
      </c>
      <c r="B124" s="119" t="s">
        <v>13</v>
      </c>
      <c r="C124" s="119">
        <v>20</v>
      </c>
      <c r="D124" s="120" t="s">
        <v>29</v>
      </c>
      <c r="E124" s="120" t="s">
        <v>19</v>
      </c>
      <c r="F124" s="121" t="s">
        <v>16</v>
      </c>
      <c r="G124" s="121" t="s">
        <v>686</v>
      </c>
      <c r="H124" s="126">
        <v>0.2873</v>
      </c>
      <c r="I124" s="122">
        <v>0.15160000000000001</v>
      </c>
      <c r="J124" s="122" t="s">
        <v>717</v>
      </c>
      <c r="K124" s="122">
        <v>0.13020000000000001</v>
      </c>
      <c r="L124" s="121">
        <v>5000</v>
      </c>
      <c r="M124" s="121">
        <v>500000</v>
      </c>
      <c r="N124" s="105">
        <v>44197</v>
      </c>
      <c r="O124" s="105">
        <v>44377</v>
      </c>
      <c r="P124" t="s">
        <v>718</v>
      </c>
    </row>
    <row r="125" spans="1:16" ht="15" customHeight="1" x14ac:dyDescent="0.3">
      <c r="A125" t="str">
        <f t="shared" si="2"/>
        <v>20-4-3RATE-SmartFIX – 1 Year</v>
      </c>
      <c r="B125" s="119" t="s">
        <v>13</v>
      </c>
      <c r="C125" s="119">
        <v>20</v>
      </c>
      <c r="D125" s="120" t="s">
        <v>29</v>
      </c>
      <c r="E125" s="120" t="s">
        <v>719</v>
      </c>
      <c r="F125" s="121" t="s">
        <v>18</v>
      </c>
      <c r="G125" s="121" t="s">
        <v>686</v>
      </c>
      <c r="H125" s="126">
        <v>0.2873</v>
      </c>
      <c r="I125" s="122">
        <v>0.16270000000000001</v>
      </c>
      <c r="J125" s="122">
        <v>0.1109</v>
      </c>
      <c r="K125" s="122">
        <v>0.14399999999999999</v>
      </c>
      <c r="L125" s="121">
        <v>5000</v>
      </c>
      <c r="M125" s="121">
        <v>500000</v>
      </c>
      <c r="N125" s="105">
        <v>44197</v>
      </c>
      <c r="O125" s="105">
        <v>44377</v>
      </c>
      <c r="P125" t="s">
        <v>718</v>
      </c>
    </row>
    <row r="126" spans="1:16" ht="15" customHeight="1" x14ac:dyDescent="0.3">
      <c r="A126" t="str">
        <f t="shared" si="2"/>
        <v/>
      </c>
      <c r="B126" s="119" t="s">
        <v>13</v>
      </c>
      <c r="C126" s="119">
        <v>20</v>
      </c>
      <c r="D126" s="120" t="s">
        <v>29</v>
      </c>
      <c r="E126" s="120" t="s">
        <v>720</v>
      </c>
      <c r="F126" s="121" t="s">
        <v>18</v>
      </c>
      <c r="G126" s="121" t="s">
        <v>686</v>
      </c>
      <c r="H126" s="126">
        <v>0.2873</v>
      </c>
      <c r="I126" s="122" t="s">
        <v>717</v>
      </c>
      <c r="J126" s="122">
        <v>0.13020000000000001</v>
      </c>
      <c r="K126" s="122" t="s">
        <v>717</v>
      </c>
      <c r="L126" s="121">
        <v>5000</v>
      </c>
      <c r="M126" s="121">
        <v>500000</v>
      </c>
      <c r="N126" s="105">
        <v>44197</v>
      </c>
      <c r="O126" s="105">
        <v>44377</v>
      </c>
      <c r="P126" t="s">
        <v>718</v>
      </c>
    </row>
    <row r="127" spans="1:16" ht="15" customHeight="1" x14ac:dyDescent="0.3">
      <c r="A127" t="str">
        <f t="shared" si="2"/>
        <v>21-3-U-SmartFIX – 1 Year</v>
      </c>
      <c r="B127" s="119" t="s">
        <v>13</v>
      </c>
      <c r="C127" s="119">
        <v>21</v>
      </c>
      <c r="D127" s="120" t="s">
        <v>30</v>
      </c>
      <c r="E127" s="120" t="s">
        <v>716</v>
      </c>
      <c r="F127" s="121" t="s">
        <v>16</v>
      </c>
      <c r="G127" s="121" t="s">
        <v>686</v>
      </c>
      <c r="H127" s="126">
        <v>0.39760000000000001</v>
      </c>
      <c r="I127" s="122">
        <v>0.14430000000000001</v>
      </c>
      <c r="J127" s="122" t="s">
        <v>717</v>
      </c>
      <c r="K127" s="122" t="s">
        <v>717</v>
      </c>
      <c r="L127" s="121">
        <v>5000</v>
      </c>
      <c r="M127" s="121">
        <v>500000</v>
      </c>
      <c r="N127" s="105">
        <v>44197</v>
      </c>
      <c r="O127" s="105">
        <v>44377</v>
      </c>
      <c r="P127" t="s">
        <v>718</v>
      </c>
    </row>
    <row r="128" spans="1:16" ht="15" customHeight="1" x14ac:dyDescent="0.3">
      <c r="A128" t="str">
        <f t="shared" si="2"/>
        <v>21-4-E7-SmartFIX – 1 Year</v>
      </c>
      <c r="B128" s="119" t="s">
        <v>13</v>
      </c>
      <c r="C128" s="119">
        <v>21</v>
      </c>
      <c r="D128" s="120" t="s">
        <v>30</v>
      </c>
      <c r="E128" s="120" t="s">
        <v>17</v>
      </c>
      <c r="F128" s="121" t="s">
        <v>18</v>
      </c>
      <c r="G128" s="121" t="s">
        <v>686</v>
      </c>
      <c r="H128" s="126">
        <v>0.39760000000000001</v>
      </c>
      <c r="I128" s="122">
        <v>0.15359999999999999</v>
      </c>
      <c r="J128" s="122">
        <v>0.1128</v>
      </c>
      <c r="K128" s="122" t="s">
        <v>717</v>
      </c>
      <c r="L128" s="121">
        <v>5000</v>
      </c>
      <c r="M128" s="121">
        <v>500000</v>
      </c>
      <c r="N128" s="105">
        <v>44197</v>
      </c>
      <c r="O128" s="105">
        <v>44377</v>
      </c>
      <c r="P128" t="s">
        <v>718</v>
      </c>
    </row>
    <row r="129" spans="1:16" ht="15" customHeight="1" x14ac:dyDescent="0.3">
      <c r="A129" t="str">
        <f t="shared" si="2"/>
        <v>21-3-EW-SmartFIX – 1 Year</v>
      </c>
      <c r="B129" s="119" t="s">
        <v>13</v>
      </c>
      <c r="C129" s="119">
        <v>21</v>
      </c>
      <c r="D129" s="120" t="s">
        <v>30</v>
      </c>
      <c r="E129" s="120" t="s">
        <v>19</v>
      </c>
      <c r="F129" s="121" t="s">
        <v>16</v>
      </c>
      <c r="G129" s="121" t="s">
        <v>686</v>
      </c>
      <c r="H129" s="126">
        <v>0.39760000000000001</v>
      </c>
      <c r="I129" s="122">
        <v>0.15190000000000001</v>
      </c>
      <c r="J129" s="122" t="s">
        <v>717</v>
      </c>
      <c r="K129" s="122">
        <v>0.13370000000000001</v>
      </c>
      <c r="L129" s="121">
        <v>5000</v>
      </c>
      <c r="M129" s="121">
        <v>500000</v>
      </c>
      <c r="N129" s="105">
        <v>44197</v>
      </c>
      <c r="O129" s="105">
        <v>44377</v>
      </c>
      <c r="P129" t="s">
        <v>718</v>
      </c>
    </row>
    <row r="130" spans="1:16" ht="15" customHeight="1" x14ac:dyDescent="0.3">
      <c r="A130" t="str">
        <f t="shared" si="2"/>
        <v>21-4-3RATE-SmartFIX – 1 Year</v>
      </c>
      <c r="B130" s="119" t="s">
        <v>13</v>
      </c>
      <c r="C130" s="119">
        <v>21</v>
      </c>
      <c r="D130" s="120" t="s">
        <v>30</v>
      </c>
      <c r="E130" s="120" t="s">
        <v>719</v>
      </c>
      <c r="F130" s="121" t="s">
        <v>18</v>
      </c>
      <c r="G130" s="121" t="s">
        <v>686</v>
      </c>
      <c r="H130" s="126">
        <v>0.39760000000000001</v>
      </c>
      <c r="I130" s="122">
        <v>0.16339999999999999</v>
      </c>
      <c r="J130" s="122">
        <v>0.112</v>
      </c>
      <c r="K130" s="122">
        <v>0.1477</v>
      </c>
      <c r="L130" s="121">
        <v>5000</v>
      </c>
      <c r="M130" s="121">
        <v>500000</v>
      </c>
      <c r="N130" s="105">
        <v>44197</v>
      </c>
      <c r="O130" s="105">
        <v>44377</v>
      </c>
      <c r="P130" t="s">
        <v>718</v>
      </c>
    </row>
    <row r="131" spans="1:16" ht="15" customHeight="1" x14ac:dyDescent="0.3">
      <c r="A131" t="str">
        <f t="shared" si="2"/>
        <v/>
      </c>
      <c r="B131" s="119" t="s">
        <v>13</v>
      </c>
      <c r="C131" s="119">
        <v>21</v>
      </c>
      <c r="D131" s="120" t="s">
        <v>30</v>
      </c>
      <c r="E131" s="120" t="s">
        <v>720</v>
      </c>
      <c r="F131" s="121" t="s">
        <v>18</v>
      </c>
      <c r="G131" s="121" t="s">
        <v>686</v>
      </c>
      <c r="H131" s="126">
        <v>0.39760000000000001</v>
      </c>
      <c r="I131" s="122" t="s">
        <v>717</v>
      </c>
      <c r="J131" s="122">
        <v>0.13370000000000001</v>
      </c>
      <c r="K131" s="122" t="s">
        <v>717</v>
      </c>
      <c r="L131" s="121">
        <v>5000</v>
      </c>
      <c r="M131" s="121">
        <v>500000</v>
      </c>
      <c r="N131" s="105">
        <v>44197</v>
      </c>
      <c r="O131" s="105">
        <v>44377</v>
      </c>
      <c r="P131" t="s">
        <v>718</v>
      </c>
    </row>
    <row r="132" spans="1:16" ht="15" customHeight="1" x14ac:dyDescent="0.3">
      <c r="A132" t="str">
        <f t="shared" si="2"/>
        <v>22-3-U-SmartFIX – 1 Year</v>
      </c>
      <c r="B132" s="119" t="s">
        <v>13</v>
      </c>
      <c r="C132" s="119">
        <v>22</v>
      </c>
      <c r="D132" s="120" t="s">
        <v>31</v>
      </c>
      <c r="E132" s="120" t="s">
        <v>716</v>
      </c>
      <c r="F132" s="121" t="s">
        <v>16</v>
      </c>
      <c r="G132" s="121" t="s">
        <v>686</v>
      </c>
      <c r="H132" s="126">
        <v>0.34279999999999999</v>
      </c>
      <c r="I132" s="122">
        <v>0.1507</v>
      </c>
      <c r="J132" s="122" t="s">
        <v>717</v>
      </c>
      <c r="K132" s="122" t="s">
        <v>717</v>
      </c>
      <c r="L132" s="121">
        <v>5000</v>
      </c>
      <c r="M132" s="121">
        <v>500000</v>
      </c>
      <c r="N132" s="105">
        <v>44197</v>
      </c>
      <c r="O132" s="105">
        <v>44377</v>
      </c>
      <c r="P132" t="s">
        <v>718</v>
      </c>
    </row>
    <row r="133" spans="1:16" ht="15" customHeight="1" x14ac:dyDescent="0.3">
      <c r="A133" t="str">
        <f t="shared" si="2"/>
        <v>22-4-E7-SmartFIX – 1 Year</v>
      </c>
      <c r="B133" s="119" t="s">
        <v>13</v>
      </c>
      <c r="C133" s="119">
        <v>22</v>
      </c>
      <c r="D133" s="120" t="s">
        <v>31</v>
      </c>
      <c r="E133" s="120" t="s">
        <v>17</v>
      </c>
      <c r="F133" s="121" t="s">
        <v>18</v>
      </c>
      <c r="G133" s="121" t="s">
        <v>686</v>
      </c>
      <c r="H133" s="126">
        <v>0.34279999999999999</v>
      </c>
      <c r="I133" s="122">
        <v>0.15890000000000001</v>
      </c>
      <c r="J133" s="122">
        <v>0.1186</v>
      </c>
      <c r="K133" s="122" t="s">
        <v>717</v>
      </c>
      <c r="L133" s="121">
        <v>5000</v>
      </c>
      <c r="M133" s="121">
        <v>500000</v>
      </c>
      <c r="N133" s="105">
        <v>44197</v>
      </c>
      <c r="O133" s="105">
        <v>44377</v>
      </c>
      <c r="P133" t="s">
        <v>718</v>
      </c>
    </row>
    <row r="134" spans="1:16" ht="15" customHeight="1" x14ac:dyDescent="0.3">
      <c r="A134" t="str">
        <f t="shared" si="2"/>
        <v>22-3-EW-SmartFIX – 1 Year</v>
      </c>
      <c r="B134" s="119" t="s">
        <v>13</v>
      </c>
      <c r="C134" s="119">
        <v>22</v>
      </c>
      <c r="D134" s="120" t="s">
        <v>31</v>
      </c>
      <c r="E134" s="120" t="s">
        <v>19</v>
      </c>
      <c r="F134" s="121" t="s">
        <v>16</v>
      </c>
      <c r="G134" s="121" t="s">
        <v>686</v>
      </c>
      <c r="H134" s="126">
        <v>0.34279999999999999</v>
      </c>
      <c r="I134" s="122">
        <v>0.16</v>
      </c>
      <c r="J134" s="122" t="s">
        <v>717</v>
      </c>
      <c r="K134" s="122">
        <v>0.13919999999999999</v>
      </c>
      <c r="L134" s="121">
        <v>5000</v>
      </c>
      <c r="M134" s="121">
        <v>500000</v>
      </c>
      <c r="N134" s="105">
        <v>44197</v>
      </c>
      <c r="O134" s="105">
        <v>44377</v>
      </c>
      <c r="P134" t="s">
        <v>718</v>
      </c>
    </row>
    <row r="135" spans="1:16" ht="15" customHeight="1" x14ac:dyDescent="0.3">
      <c r="A135" t="str">
        <f t="shared" si="2"/>
        <v>22-4-3RATE-SmartFIX – 1 Year</v>
      </c>
      <c r="B135" s="119" t="s">
        <v>13</v>
      </c>
      <c r="C135" s="119">
        <v>22</v>
      </c>
      <c r="D135" s="120" t="s">
        <v>31</v>
      </c>
      <c r="E135" s="120" t="s">
        <v>719</v>
      </c>
      <c r="F135" s="121" t="s">
        <v>18</v>
      </c>
      <c r="G135" s="121" t="s">
        <v>686</v>
      </c>
      <c r="H135" s="126">
        <v>0.34279999999999999</v>
      </c>
      <c r="I135" s="122">
        <v>0.1678</v>
      </c>
      <c r="J135" s="122">
        <v>0.1133</v>
      </c>
      <c r="K135" s="122">
        <v>0.15409999999999999</v>
      </c>
      <c r="L135" s="121">
        <v>5000</v>
      </c>
      <c r="M135" s="121">
        <v>500000</v>
      </c>
      <c r="N135" s="105">
        <v>44197</v>
      </c>
      <c r="O135" s="105">
        <v>44377</v>
      </c>
      <c r="P135" t="s">
        <v>718</v>
      </c>
    </row>
    <row r="136" spans="1:16" ht="15" customHeight="1" x14ac:dyDescent="0.3">
      <c r="A136" t="str">
        <f t="shared" si="2"/>
        <v/>
      </c>
      <c r="B136" s="119" t="s">
        <v>13</v>
      </c>
      <c r="C136" s="119">
        <v>22</v>
      </c>
      <c r="D136" s="120" t="s">
        <v>31</v>
      </c>
      <c r="E136" s="120" t="s">
        <v>720</v>
      </c>
      <c r="F136" s="121" t="s">
        <v>18</v>
      </c>
      <c r="G136" s="121" t="s">
        <v>686</v>
      </c>
      <c r="H136" s="126">
        <v>0.34279999999999999</v>
      </c>
      <c r="I136" s="122" t="s">
        <v>717</v>
      </c>
      <c r="J136" s="122">
        <v>0.13919999999999999</v>
      </c>
      <c r="K136" s="122" t="s">
        <v>717</v>
      </c>
      <c r="L136" s="121">
        <v>5000</v>
      </c>
      <c r="M136" s="121">
        <v>500000</v>
      </c>
      <c r="N136" s="105">
        <v>44197</v>
      </c>
      <c r="O136" s="105">
        <v>44377</v>
      </c>
      <c r="P136" t="s">
        <v>718</v>
      </c>
    </row>
    <row r="137" spans="1:16" ht="15" customHeight="1" x14ac:dyDescent="0.3">
      <c r="A137" t="str">
        <f t="shared" si="2"/>
        <v>23-3-U-SmartFIX – 1 Year</v>
      </c>
      <c r="B137" s="119" t="s">
        <v>13</v>
      </c>
      <c r="C137" s="119">
        <v>23</v>
      </c>
      <c r="D137" s="120" t="s">
        <v>32</v>
      </c>
      <c r="E137" s="120" t="s">
        <v>716</v>
      </c>
      <c r="F137" s="121" t="s">
        <v>16</v>
      </c>
      <c r="G137" s="121" t="s">
        <v>686</v>
      </c>
      <c r="H137" s="126">
        <v>0.30120000000000002</v>
      </c>
      <c r="I137" s="122">
        <v>0.14410000000000001</v>
      </c>
      <c r="J137" s="122" t="s">
        <v>717</v>
      </c>
      <c r="K137" s="122" t="s">
        <v>717</v>
      </c>
      <c r="L137" s="121">
        <v>5000</v>
      </c>
      <c r="M137" s="121">
        <v>500000</v>
      </c>
      <c r="N137" s="105">
        <v>44197</v>
      </c>
      <c r="O137" s="105">
        <v>44377</v>
      </c>
      <c r="P137" t="s">
        <v>718</v>
      </c>
    </row>
    <row r="138" spans="1:16" ht="15" customHeight="1" x14ac:dyDescent="0.3">
      <c r="A138" t="str">
        <f t="shared" si="2"/>
        <v>23-4-E7-SmartFIX – 1 Year</v>
      </c>
      <c r="B138" s="119" t="s">
        <v>13</v>
      </c>
      <c r="C138" s="119">
        <v>23</v>
      </c>
      <c r="D138" s="120" t="s">
        <v>32</v>
      </c>
      <c r="E138" s="120" t="s">
        <v>17</v>
      </c>
      <c r="F138" s="121" t="s">
        <v>18</v>
      </c>
      <c r="G138" s="121" t="s">
        <v>686</v>
      </c>
      <c r="H138" s="126">
        <v>0.30120000000000002</v>
      </c>
      <c r="I138" s="122">
        <v>0.15010000000000001</v>
      </c>
      <c r="J138" s="122">
        <v>0.10879999999999999</v>
      </c>
      <c r="K138" s="122" t="s">
        <v>717</v>
      </c>
      <c r="L138" s="121">
        <v>5000</v>
      </c>
      <c r="M138" s="121">
        <v>500000</v>
      </c>
      <c r="N138" s="105">
        <v>44197</v>
      </c>
      <c r="O138" s="105">
        <v>44377</v>
      </c>
      <c r="P138" t="s">
        <v>718</v>
      </c>
    </row>
    <row r="139" spans="1:16" ht="15" customHeight="1" x14ac:dyDescent="0.3">
      <c r="A139" t="str">
        <f t="shared" si="2"/>
        <v>23-3-EW-SmartFIX – 1 Year</v>
      </c>
      <c r="B139" s="119" t="s">
        <v>13</v>
      </c>
      <c r="C139" s="119">
        <v>23</v>
      </c>
      <c r="D139" s="120" t="s">
        <v>32</v>
      </c>
      <c r="E139" s="120" t="s">
        <v>19</v>
      </c>
      <c r="F139" s="121" t="s">
        <v>16</v>
      </c>
      <c r="G139" s="121" t="s">
        <v>686</v>
      </c>
      <c r="H139" s="126">
        <v>0.30120000000000002</v>
      </c>
      <c r="I139" s="122">
        <v>0.15279999999999999</v>
      </c>
      <c r="J139" s="122" t="s">
        <v>717</v>
      </c>
      <c r="K139" s="122">
        <v>0.1323</v>
      </c>
      <c r="L139" s="121">
        <v>5000</v>
      </c>
      <c r="M139" s="121">
        <v>500000</v>
      </c>
      <c r="N139" s="105">
        <v>44197</v>
      </c>
      <c r="O139" s="105">
        <v>44377</v>
      </c>
      <c r="P139" t="s">
        <v>718</v>
      </c>
    </row>
    <row r="140" spans="1:16" ht="15" customHeight="1" x14ac:dyDescent="0.3">
      <c r="A140" t="str">
        <f t="shared" ref="A140:A203" si="3">IF(E140="OP","",CONCATENATE(C140,"-",RIGHT(F140,1),"-",IF(OR(E140="1 Rate MD",E140="DAY"),"U",IF(OR(E140="2 Rate MD",E140="E7"),"E7",IF(OR(E140="3 Rate MD (EW)",E140="EW"),"EW",IF(OR(E140="3 Rate MD",E140="EWN"),"3RATE",IF(E140="HH 2RATE (CT)","HH 2RATE (CT)",IF(E140="HH 2RATE (WC)","HH 2RATE (WC)",IF(E140="HH 1RATE (CT)","HH 1RATE (CT)",IF(E140="HH 1RATE (WC)","HH 1RATE (WC)")))))))),"-",G140))</f>
        <v>23-4-3RATE-SmartFIX – 1 Year</v>
      </c>
      <c r="B140" s="119" t="s">
        <v>13</v>
      </c>
      <c r="C140" s="119">
        <v>23</v>
      </c>
      <c r="D140" s="120" t="s">
        <v>32</v>
      </c>
      <c r="E140" s="120" t="s">
        <v>719</v>
      </c>
      <c r="F140" s="121" t="s">
        <v>18</v>
      </c>
      <c r="G140" s="121" t="s">
        <v>686</v>
      </c>
      <c r="H140" s="126">
        <v>0.30120000000000002</v>
      </c>
      <c r="I140" s="122">
        <v>0.16189999999999999</v>
      </c>
      <c r="J140" s="122">
        <v>0.1116</v>
      </c>
      <c r="K140" s="122">
        <v>0.1431</v>
      </c>
      <c r="L140" s="121">
        <v>5000</v>
      </c>
      <c r="M140" s="121">
        <v>500000</v>
      </c>
      <c r="N140" s="105">
        <v>44197</v>
      </c>
      <c r="O140" s="105">
        <v>44377</v>
      </c>
      <c r="P140" t="s">
        <v>718</v>
      </c>
    </row>
    <row r="141" spans="1:16" ht="15" customHeight="1" x14ac:dyDescent="0.3">
      <c r="A141" t="str">
        <f t="shared" si="3"/>
        <v/>
      </c>
      <c r="B141" s="119" t="s">
        <v>13</v>
      </c>
      <c r="C141" s="119">
        <v>23</v>
      </c>
      <c r="D141" s="120" t="s">
        <v>32</v>
      </c>
      <c r="E141" s="120" t="s">
        <v>720</v>
      </c>
      <c r="F141" s="121" t="s">
        <v>18</v>
      </c>
      <c r="G141" s="121" t="s">
        <v>686</v>
      </c>
      <c r="H141" s="126">
        <v>0.30120000000000002</v>
      </c>
      <c r="I141" s="122" t="s">
        <v>717</v>
      </c>
      <c r="J141" s="122">
        <v>0.1323</v>
      </c>
      <c r="K141" s="122" t="s">
        <v>717</v>
      </c>
      <c r="L141" s="121">
        <v>5000</v>
      </c>
      <c r="M141" s="121">
        <v>500000</v>
      </c>
      <c r="N141" s="105">
        <v>44197</v>
      </c>
      <c r="O141" s="105">
        <v>44377</v>
      </c>
      <c r="P141" t="s">
        <v>718</v>
      </c>
    </row>
    <row r="142" spans="1:16" ht="15" customHeight="1" x14ac:dyDescent="0.3">
      <c r="A142" t="str">
        <f t="shared" si="3"/>
        <v>10-3-U-SmartFIX – 2 Year</v>
      </c>
      <c r="B142" s="119" t="s">
        <v>13</v>
      </c>
      <c r="C142" s="119">
        <v>10</v>
      </c>
      <c r="D142" s="120" t="s">
        <v>14</v>
      </c>
      <c r="E142" s="120" t="s">
        <v>716</v>
      </c>
      <c r="F142" s="121" t="s">
        <v>16</v>
      </c>
      <c r="G142" s="121" t="s">
        <v>687</v>
      </c>
      <c r="H142" s="126">
        <v>0.30509999999999998</v>
      </c>
      <c r="I142" s="122">
        <v>0.14249999999999999</v>
      </c>
      <c r="J142" s="122" t="s">
        <v>717</v>
      </c>
      <c r="K142" s="122" t="s">
        <v>717</v>
      </c>
      <c r="L142" s="121">
        <v>5000</v>
      </c>
      <c r="M142" s="121">
        <v>500000</v>
      </c>
      <c r="N142" s="105">
        <v>44197</v>
      </c>
      <c r="O142" s="105">
        <v>44377</v>
      </c>
      <c r="P142" t="s">
        <v>718</v>
      </c>
    </row>
    <row r="143" spans="1:16" ht="15" customHeight="1" x14ac:dyDescent="0.3">
      <c r="A143" t="str">
        <f t="shared" si="3"/>
        <v>10-4-E7-SmartFIX – 2 Year</v>
      </c>
      <c r="B143" s="119" t="s">
        <v>13</v>
      </c>
      <c r="C143" s="119">
        <v>10</v>
      </c>
      <c r="D143" s="120" t="s">
        <v>14</v>
      </c>
      <c r="E143" s="120" t="s">
        <v>17</v>
      </c>
      <c r="F143" s="121" t="s">
        <v>18</v>
      </c>
      <c r="G143" s="121" t="s">
        <v>687</v>
      </c>
      <c r="H143" s="126">
        <v>0.30509999999999998</v>
      </c>
      <c r="I143" s="122">
        <v>0.15160000000000001</v>
      </c>
      <c r="J143" s="122">
        <v>0.1027</v>
      </c>
      <c r="K143" s="122" t="s">
        <v>717</v>
      </c>
      <c r="L143" s="121">
        <v>5000</v>
      </c>
      <c r="M143" s="121">
        <v>500000</v>
      </c>
      <c r="N143" s="105">
        <v>44197</v>
      </c>
      <c r="O143" s="105">
        <v>44377</v>
      </c>
      <c r="P143" t="s">
        <v>718</v>
      </c>
    </row>
    <row r="144" spans="1:16" ht="15" customHeight="1" x14ac:dyDescent="0.3">
      <c r="A144" t="str">
        <f t="shared" si="3"/>
        <v>10-3-EW-SmartFIX – 2 Year</v>
      </c>
      <c r="B144" s="119" t="s">
        <v>13</v>
      </c>
      <c r="C144" s="119">
        <v>10</v>
      </c>
      <c r="D144" s="120" t="s">
        <v>14</v>
      </c>
      <c r="E144" s="120" t="s">
        <v>19</v>
      </c>
      <c r="F144" s="121" t="s">
        <v>16</v>
      </c>
      <c r="G144" s="121" t="s">
        <v>687</v>
      </c>
      <c r="H144" s="126">
        <v>0.30509999999999998</v>
      </c>
      <c r="I144" s="122">
        <v>0.15129999999999999</v>
      </c>
      <c r="J144" s="122" t="s">
        <v>717</v>
      </c>
      <c r="K144" s="122">
        <v>0.12920000000000001</v>
      </c>
      <c r="L144" s="121">
        <v>5000</v>
      </c>
      <c r="M144" s="121">
        <v>500000</v>
      </c>
      <c r="N144" s="105">
        <v>44197</v>
      </c>
      <c r="O144" s="105">
        <v>44377</v>
      </c>
      <c r="P144" t="s">
        <v>718</v>
      </c>
    </row>
    <row r="145" spans="1:16" ht="15" customHeight="1" x14ac:dyDescent="0.3">
      <c r="A145" t="str">
        <f t="shared" si="3"/>
        <v>10-4-3RATE-SmartFIX – 2 Year</v>
      </c>
      <c r="B145" s="119" t="s">
        <v>13</v>
      </c>
      <c r="C145" s="119">
        <v>10</v>
      </c>
      <c r="D145" s="120" t="s">
        <v>14</v>
      </c>
      <c r="E145" s="120" t="s">
        <v>719</v>
      </c>
      <c r="F145" s="121" t="s">
        <v>18</v>
      </c>
      <c r="G145" s="121" t="s">
        <v>687</v>
      </c>
      <c r="H145" s="126">
        <v>0.30509999999999998</v>
      </c>
      <c r="I145" s="122">
        <v>0.1618</v>
      </c>
      <c r="J145" s="122">
        <v>0.10290000000000001</v>
      </c>
      <c r="K145" s="122">
        <v>0.14499999999999999</v>
      </c>
      <c r="L145" s="121">
        <v>5000</v>
      </c>
      <c r="M145" s="121">
        <v>500000</v>
      </c>
      <c r="N145" s="105">
        <v>44197</v>
      </c>
      <c r="O145" s="105">
        <v>44377</v>
      </c>
      <c r="P145" t="s">
        <v>718</v>
      </c>
    </row>
    <row r="146" spans="1:16" ht="15" customHeight="1" x14ac:dyDescent="0.3">
      <c r="A146" t="str">
        <f t="shared" si="3"/>
        <v/>
      </c>
      <c r="B146" s="119" t="s">
        <v>13</v>
      </c>
      <c r="C146" s="119">
        <v>10</v>
      </c>
      <c r="D146" s="120" t="s">
        <v>14</v>
      </c>
      <c r="E146" s="120" t="s">
        <v>720</v>
      </c>
      <c r="F146" s="121" t="s">
        <v>18</v>
      </c>
      <c r="G146" s="121" t="s">
        <v>687</v>
      </c>
      <c r="H146" s="126">
        <v>0.30509999999999998</v>
      </c>
      <c r="I146" s="122" t="s">
        <v>717</v>
      </c>
      <c r="J146" s="122">
        <v>0.12920000000000001</v>
      </c>
      <c r="K146" s="122" t="s">
        <v>717</v>
      </c>
      <c r="L146" s="121">
        <v>5000</v>
      </c>
      <c r="M146" s="121">
        <v>500000</v>
      </c>
      <c r="N146" s="105">
        <v>44197</v>
      </c>
      <c r="O146" s="105">
        <v>44377</v>
      </c>
      <c r="P146" t="s">
        <v>718</v>
      </c>
    </row>
    <row r="147" spans="1:16" ht="15" customHeight="1" x14ac:dyDescent="0.3">
      <c r="A147" t="str">
        <f t="shared" si="3"/>
        <v>11-3-U-SmartFIX – 2 Year</v>
      </c>
      <c r="B147" s="119" t="s">
        <v>13</v>
      </c>
      <c r="C147" s="119">
        <v>11</v>
      </c>
      <c r="D147" s="120" t="s">
        <v>20</v>
      </c>
      <c r="E147" s="120" t="s">
        <v>716</v>
      </c>
      <c r="F147" s="121" t="s">
        <v>16</v>
      </c>
      <c r="G147" s="121" t="s">
        <v>687</v>
      </c>
      <c r="H147" s="126">
        <v>0.31440000000000001</v>
      </c>
      <c r="I147" s="122">
        <v>0.14280000000000001</v>
      </c>
      <c r="J147" s="122" t="s">
        <v>717</v>
      </c>
      <c r="K147" s="122" t="s">
        <v>717</v>
      </c>
      <c r="L147" s="121">
        <v>5000</v>
      </c>
      <c r="M147" s="121">
        <v>500000</v>
      </c>
      <c r="N147" s="105">
        <v>44197</v>
      </c>
      <c r="O147" s="105">
        <v>44377</v>
      </c>
      <c r="P147" t="s">
        <v>718</v>
      </c>
    </row>
    <row r="148" spans="1:16" ht="15" customHeight="1" x14ac:dyDescent="0.3">
      <c r="A148" t="str">
        <f t="shared" si="3"/>
        <v>11-4-E7-SmartFIX – 2 Year</v>
      </c>
      <c r="B148" s="119" t="s">
        <v>13</v>
      </c>
      <c r="C148" s="119">
        <v>11</v>
      </c>
      <c r="D148" s="120" t="s">
        <v>20</v>
      </c>
      <c r="E148" s="120" t="s">
        <v>17</v>
      </c>
      <c r="F148" s="121" t="s">
        <v>18</v>
      </c>
      <c r="G148" s="121" t="s">
        <v>687</v>
      </c>
      <c r="H148" s="126">
        <v>0.31440000000000001</v>
      </c>
      <c r="I148" s="122">
        <v>0.1489</v>
      </c>
      <c r="J148" s="122">
        <v>0.1061</v>
      </c>
      <c r="K148" s="122" t="s">
        <v>717</v>
      </c>
      <c r="L148" s="121">
        <v>5000</v>
      </c>
      <c r="M148" s="121">
        <v>500000</v>
      </c>
      <c r="N148" s="105">
        <v>44197</v>
      </c>
      <c r="O148" s="105">
        <v>44377</v>
      </c>
      <c r="P148" t="s">
        <v>718</v>
      </c>
    </row>
    <row r="149" spans="1:16" ht="15" customHeight="1" x14ac:dyDescent="0.3">
      <c r="A149" t="str">
        <f t="shared" si="3"/>
        <v>11-3-EW-SmartFIX – 2 Year</v>
      </c>
      <c r="B149" s="119" t="s">
        <v>13</v>
      </c>
      <c r="C149" s="119">
        <v>11</v>
      </c>
      <c r="D149" s="120" t="s">
        <v>20</v>
      </c>
      <c r="E149" s="120" t="s">
        <v>19</v>
      </c>
      <c r="F149" s="121" t="s">
        <v>16</v>
      </c>
      <c r="G149" s="121" t="s">
        <v>687</v>
      </c>
      <c r="H149" s="126">
        <v>0.31440000000000001</v>
      </c>
      <c r="I149" s="122">
        <v>0.15110000000000001</v>
      </c>
      <c r="J149" s="122" t="s">
        <v>717</v>
      </c>
      <c r="K149" s="122">
        <v>0.12989999999999999</v>
      </c>
      <c r="L149" s="121">
        <v>5000</v>
      </c>
      <c r="M149" s="121">
        <v>500000</v>
      </c>
      <c r="N149" s="105">
        <v>44197</v>
      </c>
      <c r="O149" s="105">
        <v>44377</v>
      </c>
      <c r="P149" t="s">
        <v>718</v>
      </c>
    </row>
    <row r="150" spans="1:16" ht="15" customHeight="1" x14ac:dyDescent="0.3">
      <c r="A150" t="str">
        <f t="shared" si="3"/>
        <v>11-4-3RATE-SmartFIX – 2 Year</v>
      </c>
      <c r="B150" s="119" t="s">
        <v>13</v>
      </c>
      <c r="C150" s="119">
        <v>11</v>
      </c>
      <c r="D150" s="120" t="s">
        <v>20</v>
      </c>
      <c r="E150" s="120" t="s">
        <v>719</v>
      </c>
      <c r="F150" s="121" t="s">
        <v>18</v>
      </c>
      <c r="G150" s="121" t="s">
        <v>687</v>
      </c>
      <c r="H150" s="126">
        <v>0.31440000000000001</v>
      </c>
      <c r="I150" s="122">
        <v>0.15840000000000001</v>
      </c>
      <c r="J150" s="122">
        <v>0.10440000000000001</v>
      </c>
      <c r="K150" s="122">
        <v>0.1381</v>
      </c>
      <c r="L150" s="121">
        <v>5000</v>
      </c>
      <c r="M150" s="121">
        <v>500000</v>
      </c>
      <c r="N150" s="105">
        <v>44197</v>
      </c>
      <c r="O150" s="105">
        <v>44377</v>
      </c>
      <c r="P150" t="s">
        <v>718</v>
      </c>
    </row>
    <row r="151" spans="1:16" ht="15" customHeight="1" x14ac:dyDescent="0.3">
      <c r="A151" t="str">
        <f t="shared" si="3"/>
        <v/>
      </c>
      <c r="B151" s="119" t="s">
        <v>13</v>
      </c>
      <c r="C151" s="119">
        <v>11</v>
      </c>
      <c r="D151" s="120" t="s">
        <v>20</v>
      </c>
      <c r="E151" s="120" t="s">
        <v>720</v>
      </c>
      <c r="F151" s="121" t="s">
        <v>18</v>
      </c>
      <c r="G151" s="121" t="s">
        <v>687</v>
      </c>
      <c r="H151" s="126">
        <v>0.31440000000000001</v>
      </c>
      <c r="I151" s="122" t="s">
        <v>717</v>
      </c>
      <c r="J151" s="122">
        <v>0.12989999999999999</v>
      </c>
      <c r="K151" s="122" t="s">
        <v>717</v>
      </c>
      <c r="L151" s="121">
        <v>5000</v>
      </c>
      <c r="M151" s="121">
        <v>500000</v>
      </c>
      <c r="N151" s="105">
        <v>44197</v>
      </c>
      <c r="O151" s="105">
        <v>44377</v>
      </c>
      <c r="P151" t="s">
        <v>718</v>
      </c>
    </row>
    <row r="152" spans="1:16" ht="15" customHeight="1" x14ac:dyDescent="0.3">
      <c r="A152" t="str">
        <f t="shared" si="3"/>
        <v>12-3-U-SmartFIX – 2 Year</v>
      </c>
      <c r="B152" s="119" t="s">
        <v>13</v>
      </c>
      <c r="C152" s="119">
        <v>12</v>
      </c>
      <c r="D152" s="120" t="s">
        <v>21</v>
      </c>
      <c r="E152" s="120" t="s">
        <v>716</v>
      </c>
      <c r="F152" s="121" t="s">
        <v>16</v>
      </c>
      <c r="G152" s="121" t="s">
        <v>687</v>
      </c>
      <c r="H152" s="126">
        <v>0.23719999999999999</v>
      </c>
      <c r="I152" s="122">
        <v>0.13669999999999999</v>
      </c>
      <c r="J152" s="122" t="s">
        <v>717</v>
      </c>
      <c r="K152" s="122" t="s">
        <v>717</v>
      </c>
      <c r="L152" s="121">
        <v>5000</v>
      </c>
      <c r="M152" s="121">
        <v>500000</v>
      </c>
      <c r="N152" s="105">
        <v>44197</v>
      </c>
      <c r="O152" s="105">
        <v>44377</v>
      </c>
      <c r="P152" t="s">
        <v>718</v>
      </c>
    </row>
    <row r="153" spans="1:16" ht="15" customHeight="1" x14ac:dyDescent="0.3">
      <c r="A153" t="str">
        <f t="shared" si="3"/>
        <v>12-4-E7-SmartFIX – 2 Year</v>
      </c>
      <c r="B153" s="119" t="s">
        <v>13</v>
      </c>
      <c r="C153" s="119">
        <v>12</v>
      </c>
      <c r="D153" s="120" t="s">
        <v>21</v>
      </c>
      <c r="E153" s="120" t="s">
        <v>17</v>
      </c>
      <c r="F153" s="121" t="s">
        <v>18</v>
      </c>
      <c r="G153" s="121" t="s">
        <v>687</v>
      </c>
      <c r="H153" s="126">
        <v>0.23719999999999999</v>
      </c>
      <c r="I153" s="122">
        <v>0.14810000000000001</v>
      </c>
      <c r="J153" s="122">
        <v>0.1043</v>
      </c>
      <c r="K153" s="122" t="s">
        <v>717</v>
      </c>
      <c r="L153" s="121">
        <v>5000</v>
      </c>
      <c r="M153" s="121">
        <v>500000</v>
      </c>
      <c r="N153" s="105">
        <v>44197</v>
      </c>
      <c r="O153" s="105">
        <v>44377</v>
      </c>
      <c r="P153" t="s">
        <v>718</v>
      </c>
    </row>
    <row r="154" spans="1:16" ht="15" customHeight="1" x14ac:dyDescent="0.3">
      <c r="A154" t="str">
        <f t="shared" si="3"/>
        <v>12-3-EW-SmartFIX – 2 Year</v>
      </c>
      <c r="B154" s="119" t="s">
        <v>13</v>
      </c>
      <c r="C154" s="119">
        <v>12</v>
      </c>
      <c r="D154" s="120" t="s">
        <v>21</v>
      </c>
      <c r="E154" s="120" t="s">
        <v>19</v>
      </c>
      <c r="F154" s="121" t="s">
        <v>16</v>
      </c>
      <c r="G154" s="121" t="s">
        <v>687</v>
      </c>
      <c r="H154" s="126">
        <v>0.23719999999999999</v>
      </c>
      <c r="I154" s="122">
        <v>0.14499999999999999</v>
      </c>
      <c r="J154" s="122" t="s">
        <v>717</v>
      </c>
      <c r="K154" s="122">
        <v>0.12509999999999999</v>
      </c>
      <c r="L154" s="121">
        <v>5000</v>
      </c>
      <c r="M154" s="121">
        <v>500000</v>
      </c>
      <c r="N154" s="105">
        <v>44197</v>
      </c>
      <c r="O154" s="105">
        <v>44377</v>
      </c>
      <c r="P154" t="s">
        <v>718</v>
      </c>
    </row>
    <row r="155" spans="1:16" ht="15" customHeight="1" x14ac:dyDescent="0.3">
      <c r="A155" t="str">
        <f t="shared" si="3"/>
        <v>12-4-3RATE-SmartFIX – 2 Year</v>
      </c>
      <c r="B155" s="119" t="s">
        <v>13</v>
      </c>
      <c r="C155" s="119">
        <v>12</v>
      </c>
      <c r="D155" s="120" t="s">
        <v>21</v>
      </c>
      <c r="E155" s="120" t="s">
        <v>719</v>
      </c>
      <c r="F155" s="121" t="s">
        <v>18</v>
      </c>
      <c r="G155" s="121" t="s">
        <v>687</v>
      </c>
      <c r="H155" s="126">
        <v>0.23719999999999999</v>
      </c>
      <c r="I155" s="122">
        <v>0.24399999999999999</v>
      </c>
      <c r="J155" s="122">
        <v>0.24399999999999999</v>
      </c>
      <c r="K155" s="122">
        <v>0.24399999999999999</v>
      </c>
      <c r="L155" s="121">
        <v>5000</v>
      </c>
      <c r="M155" s="121">
        <v>500000</v>
      </c>
      <c r="N155" s="105">
        <v>44197</v>
      </c>
      <c r="O155" s="105">
        <v>44377</v>
      </c>
      <c r="P155" t="s">
        <v>718</v>
      </c>
    </row>
    <row r="156" spans="1:16" ht="15" customHeight="1" x14ac:dyDescent="0.3">
      <c r="A156" t="str">
        <f t="shared" si="3"/>
        <v/>
      </c>
      <c r="B156" s="119" t="s">
        <v>13</v>
      </c>
      <c r="C156" s="119">
        <v>12</v>
      </c>
      <c r="D156" s="120" t="s">
        <v>21</v>
      </c>
      <c r="E156" s="120" t="s">
        <v>720</v>
      </c>
      <c r="F156" s="121" t="s">
        <v>18</v>
      </c>
      <c r="G156" s="121" t="s">
        <v>687</v>
      </c>
      <c r="H156" s="126">
        <v>0.23719999999999999</v>
      </c>
      <c r="I156" s="122" t="s">
        <v>717</v>
      </c>
      <c r="J156" s="122">
        <v>0.12509999999999999</v>
      </c>
      <c r="K156" s="122" t="s">
        <v>717</v>
      </c>
      <c r="L156" s="121">
        <v>5000</v>
      </c>
      <c r="M156" s="121">
        <v>500000</v>
      </c>
      <c r="N156" s="105">
        <v>44197</v>
      </c>
      <c r="O156" s="105">
        <v>44377</v>
      </c>
      <c r="P156" t="s">
        <v>718</v>
      </c>
    </row>
    <row r="157" spans="1:16" ht="15" customHeight="1" x14ac:dyDescent="0.3">
      <c r="A157" t="str">
        <f t="shared" si="3"/>
        <v>13-3-U-SmartFIX – 2 Year</v>
      </c>
      <c r="B157" s="119" t="s">
        <v>13</v>
      </c>
      <c r="C157" s="119">
        <v>13</v>
      </c>
      <c r="D157" s="120" t="s">
        <v>22</v>
      </c>
      <c r="E157" s="120" t="s">
        <v>716</v>
      </c>
      <c r="F157" s="121" t="s">
        <v>16</v>
      </c>
      <c r="G157" s="121" t="s">
        <v>687</v>
      </c>
      <c r="H157" s="126">
        <v>0.2792</v>
      </c>
      <c r="I157" s="122">
        <v>0.1623</v>
      </c>
      <c r="J157" s="122" t="s">
        <v>717</v>
      </c>
      <c r="K157" s="122" t="s">
        <v>717</v>
      </c>
      <c r="L157" s="121">
        <v>5000</v>
      </c>
      <c r="M157" s="121">
        <v>500000</v>
      </c>
      <c r="N157" s="105">
        <v>44197</v>
      </c>
      <c r="O157" s="105">
        <v>44377</v>
      </c>
      <c r="P157" t="s">
        <v>718</v>
      </c>
    </row>
    <row r="158" spans="1:16" ht="15" customHeight="1" x14ac:dyDescent="0.3">
      <c r="A158" t="str">
        <f t="shared" si="3"/>
        <v>13-4-E7-SmartFIX – 2 Year</v>
      </c>
      <c r="B158" s="119" t="s">
        <v>13</v>
      </c>
      <c r="C158" s="119">
        <v>13</v>
      </c>
      <c r="D158" s="120" t="s">
        <v>22</v>
      </c>
      <c r="E158" s="120" t="s">
        <v>17</v>
      </c>
      <c r="F158" s="121" t="s">
        <v>18</v>
      </c>
      <c r="G158" s="121" t="s">
        <v>687</v>
      </c>
      <c r="H158" s="126">
        <v>0.2792</v>
      </c>
      <c r="I158" s="122">
        <v>0.16839999999999999</v>
      </c>
      <c r="J158" s="122">
        <v>0.12089999999999999</v>
      </c>
      <c r="K158" s="122" t="s">
        <v>717</v>
      </c>
      <c r="L158" s="121">
        <v>5000</v>
      </c>
      <c r="M158" s="121">
        <v>500000</v>
      </c>
      <c r="N158" s="105">
        <v>44197</v>
      </c>
      <c r="O158" s="105">
        <v>44377</v>
      </c>
      <c r="P158" t="s">
        <v>718</v>
      </c>
    </row>
    <row r="159" spans="1:16" ht="15" customHeight="1" x14ac:dyDescent="0.3">
      <c r="A159" t="str">
        <f t="shared" si="3"/>
        <v>13-3-EW-SmartFIX – 2 Year</v>
      </c>
      <c r="B159" s="119" t="s">
        <v>13</v>
      </c>
      <c r="C159" s="119">
        <v>13</v>
      </c>
      <c r="D159" s="120" t="s">
        <v>22</v>
      </c>
      <c r="E159" s="120" t="s">
        <v>19</v>
      </c>
      <c r="F159" s="121" t="s">
        <v>16</v>
      </c>
      <c r="G159" s="121" t="s">
        <v>687</v>
      </c>
      <c r="H159" s="126">
        <v>0.2792</v>
      </c>
      <c r="I159" s="122">
        <v>0.24399999999999999</v>
      </c>
      <c r="J159" s="122" t="s">
        <v>717</v>
      </c>
      <c r="K159" s="122">
        <v>0.24399999999999999</v>
      </c>
      <c r="L159" s="121">
        <v>5000</v>
      </c>
      <c r="M159" s="121">
        <v>500000</v>
      </c>
      <c r="N159" s="105">
        <v>44197</v>
      </c>
      <c r="O159" s="105">
        <v>44377</v>
      </c>
      <c r="P159" t="s">
        <v>718</v>
      </c>
    </row>
    <row r="160" spans="1:16" ht="15" customHeight="1" x14ac:dyDescent="0.3">
      <c r="A160" t="str">
        <f t="shared" si="3"/>
        <v>13-4-3RATE-SmartFIX – 2 Year</v>
      </c>
      <c r="B160" s="119" t="s">
        <v>13</v>
      </c>
      <c r="C160" s="119">
        <v>13</v>
      </c>
      <c r="D160" s="120" t="s">
        <v>22</v>
      </c>
      <c r="E160" s="120" t="s">
        <v>719</v>
      </c>
      <c r="F160" s="121" t="s">
        <v>18</v>
      </c>
      <c r="G160" s="121" t="s">
        <v>687</v>
      </c>
      <c r="H160" s="126">
        <v>0.2792</v>
      </c>
      <c r="I160" s="122">
        <v>0.17610000000000001</v>
      </c>
      <c r="J160" s="122">
        <v>0.1186</v>
      </c>
      <c r="K160" s="122">
        <v>0.16209999999999999</v>
      </c>
      <c r="L160" s="121">
        <v>5000</v>
      </c>
      <c r="M160" s="121">
        <v>500000</v>
      </c>
      <c r="N160" s="105">
        <v>44197</v>
      </c>
      <c r="O160" s="105">
        <v>44377</v>
      </c>
      <c r="P160" t="s">
        <v>718</v>
      </c>
    </row>
    <row r="161" spans="1:16" ht="15" customHeight="1" x14ac:dyDescent="0.3">
      <c r="A161" t="str">
        <f t="shared" si="3"/>
        <v/>
      </c>
      <c r="B161" s="119" t="s">
        <v>13</v>
      </c>
      <c r="C161" s="119">
        <v>13</v>
      </c>
      <c r="D161" s="120" t="s">
        <v>22</v>
      </c>
      <c r="E161" s="120" t="s">
        <v>720</v>
      </c>
      <c r="F161" s="121" t="s">
        <v>18</v>
      </c>
      <c r="G161" s="121" t="s">
        <v>687</v>
      </c>
      <c r="H161" s="126">
        <v>0.2792</v>
      </c>
      <c r="I161" s="122" t="s">
        <v>717</v>
      </c>
      <c r="J161" s="122">
        <v>0.12089999999999999</v>
      </c>
      <c r="K161" s="122" t="s">
        <v>717</v>
      </c>
      <c r="L161" s="121">
        <v>5000</v>
      </c>
      <c r="M161" s="121">
        <v>500000</v>
      </c>
      <c r="N161" s="105">
        <v>44197</v>
      </c>
      <c r="O161" s="105">
        <v>44377</v>
      </c>
      <c r="P161" t="s">
        <v>718</v>
      </c>
    </row>
    <row r="162" spans="1:16" ht="15" customHeight="1" x14ac:dyDescent="0.3">
      <c r="A162" t="str">
        <f t="shared" si="3"/>
        <v>14-3-U-SmartFIX – 2 Year</v>
      </c>
      <c r="B162" s="119" t="s">
        <v>13</v>
      </c>
      <c r="C162" s="119">
        <v>14</v>
      </c>
      <c r="D162" s="120" t="s">
        <v>23</v>
      </c>
      <c r="E162" s="120" t="s">
        <v>716</v>
      </c>
      <c r="F162" s="121" t="s">
        <v>16</v>
      </c>
      <c r="G162" s="121" t="s">
        <v>687</v>
      </c>
      <c r="H162" s="126">
        <v>0.34449999999999997</v>
      </c>
      <c r="I162" s="122">
        <v>0.14599999999999999</v>
      </c>
      <c r="J162" s="122" t="s">
        <v>717</v>
      </c>
      <c r="K162" s="122" t="s">
        <v>717</v>
      </c>
      <c r="L162" s="121">
        <v>5000</v>
      </c>
      <c r="M162" s="121">
        <v>500000</v>
      </c>
      <c r="N162" s="105">
        <v>44197</v>
      </c>
      <c r="O162" s="105">
        <v>44377</v>
      </c>
      <c r="P162" t="s">
        <v>718</v>
      </c>
    </row>
    <row r="163" spans="1:16" ht="15" customHeight="1" x14ac:dyDescent="0.3">
      <c r="A163" t="str">
        <f t="shared" si="3"/>
        <v>14-4-E7-SmartFIX – 2 Year</v>
      </c>
      <c r="B163" s="119" t="s">
        <v>13</v>
      </c>
      <c r="C163" s="119">
        <v>14</v>
      </c>
      <c r="D163" s="120" t="s">
        <v>23</v>
      </c>
      <c r="E163" s="120" t="s">
        <v>17</v>
      </c>
      <c r="F163" s="121" t="s">
        <v>18</v>
      </c>
      <c r="G163" s="121" t="s">
        <v>687</v>
      </c>
      <c r="H163" s="126">
        <v>0.34449999999999997</v>
      </c>
      <c r="I163" s="122">
        <v>0.1527</v>
      </c>
      <c r="J163" s="122">
        <v>0.1089</v>
      </c>
      <c r="K163" s="122" t="s">
        <v>717</v>
      </c>
      <c r="L163" s="121">
        <v>5000</v>
      </c>
      <c r="M163" s="121">
        <v>500000</v>
      </c>
      <c r="N163" s="105">
        <v>44197</v>
      </c>
      <c r="O163" s="105">
        <v>44377</v>
      </c>
      <c r="P163" t="s">
        <v>718</v>
      </c>
    </row>
    <row r="164" spans="1:16" ht="15" customHeight="1" x14ac:dyDescent="0.3">
      <c r="A164" t="str">
        <f t="shared" si="3"/>
        <v>14-3-EW-SmartFIX – 2 Year</v>
      </c>
      <c r="B164" s="119" t="s">
        <v>13</v>
      </c>
      <c r="C164" s="119">
        <v>14</v>
      </c>
      <c r="D164" s="120" t="s">
        <v>23</v>
      </c>
      <c r="E164" s="120" t="s">
        <v>19</v>
      </c>
      <c r="F164" s="121" t="s">
        <v>16</v>
      </c>
      <c r="G164" s="121" t="s">
        <v>687</v>
      </c>
      <c r="H164" s="126">
        <v>0.34449999999999997</v>
      </c>
      <c r="I164" s="122">
        <v>0.15329999999999999</v>
      </c>
      <c r="J164" s="122" t="s">
        <v>717</v>
      </c>
      <c r="K164" s="122">
        <v>0.1353</v>
      </c>
      <c r="L164" s="121">
        <v>5000</v>
      </c>
      <c r="M164" s="121">
        <v>500000</v>
      </c>
      <c r="N164" s="105">
        <v>44197</v>
      </c>
      <c r="O164" s="105">
        <v>44377</v>
      </c>
      <c r="P164" t="s">
        <v>718</v>
      </c>
    </row>
    <row r="165" spans="1:16" ht="15" customHeight="1" x14ac:dyDescent="0.3">
      <c r="A165" t="str">
        <f t="shared" si="3"/>
        <v>14-4-3RATE-SmartFIX – 2 Year</v>
      </c>
      <c r="B165" s="119" t="s">
        <v>13</v>
      </c>
      <c r="C165" s="119">
        <v>14</v>
      </c>
      <c r="D165" s="120" t="s">
        <v>23</v>
      </c>
      <c r="E165" s="120" t="s">
        <v>719</v>
      </c>
      <c r="F165" s="121" t="s">
        <v>18</v>
      </c>
      <c r="G165" s="121" t="s">
        <v>687</v>
      </c>
      <c r="H165" s="126">
        <v>0.34449999999999997</v>
      </c>
      <c r="I165" s="122">
        <v>0.24399999999999999</v>
      </c>
      <c r="J165" s="122">
        <v>0.24399999999999999</v>
      </c>
      <c r="K165" s="122">
        <v>0.24399999999999999</v>
      </c>
      <c r="L165" s="121">
        <v>5000</v>
      </c>
      <c r="M165" s="121">
        <v>500000</v>
      </c>
      <c r="N165" s="105">
        <v>44197</v>
      </c>
      <c r="O165" s="105">
        <v>44377</v>
      </c>
      <c r="P165" t="s">
        <v>718</v>
      </c>
    </row>
    <row r="166" spans="1:16" ht="15" customHeight="1" x14ac:dyDescent="0.3">
      <c r="A166" t="str">
        <f t="shared" si="3"/>
        <v/>
      </c>
      <c r="B166" s="119" t="s">
        <v>13</v>
      </c>
      <c r="C166" s="119">
        <v>14</v>
      </c>
      <c r="D166" s="120" t="s">
        <v>23</v>
      </c>
      <c r="E166" s="120" t="s">
        <v>720</v>
      </c>
      <c r="F166" s="121" t="s">
        <v>18</v>
      </c>
      <c r="G166" s="121" t="s">
        <v>687</v>
      </c>
      <c r="H166" s="126">
        <v>0.34449999999999997</v>
      </c>
      <c r="I166" s="122" t="s">
        <v>717</v>
      </c>
      <c r="J166" s="122">
        <v>0.1353</v>
      </c>
      <c r="K166" s="122" t="s">
        <v>717</v>
      </c>
      <c r="L166" s="121">
        <v>5000</v>
      </c>
      <c r="M166" s="121">
        <v>500000</v>
      </c>
      <c r="N166" s="105">
        <v>44197</v>
      </c>
      <c r="O166" s="105">
        <v>44377</v>
      </c>
      <c r="P166" t="s">
        <v>718</v>
      </c>
    </row>
    <row r="167" spans="1:16" ht="15" customHeight="1" x14ac:dyDescent="0.3">
      <c r="A167" t="str">
        <f t="shared" si="3"/>
        <v>15-3-U-SmartFIX – 2 Year</v>
      </c>
      <c r="B167" s="119" t="s">
        <v>13</v>
      </c>
      <c r="C167" s="119">
        <v>15</v>
      </c>
      <c r="D167" s="120" t="s">
        <v>24</v>
      </c>
      <c r="E167" s="120" t="s">
        <v>716</v>
      </c>
      <c r="F167" s="121" t="s">
        <v>16</v>
      </c>
      <c r="G167" s="121" t="s">
        <v>687</v>
      </c>
      <c r="H167" s="126">
        <v>0.31979999999999997</v>
      </c>
      <c r="I167" s="122">
        <v>0.1457</v>
      </c>
      <c r="J167" s="122" t="s">
        <v>717</v>
      </c>
      <c r="K167" s="122" t="s">
        <v>717</v>
      </c>
      <c r="L167" s="121">
        <v>5000</v>
      </c>
      <c r="M167" s="121">
        <v>500000</v>
      </c>
      <c r="N167" s="105">
        <v>44197</v>
      </c>
      <c r="O167" s="105">
        <v>44377</v>
      </c>
      <c r="P167" t="s">
        <v>718</v>
      </c>
    </row>
    <row r="168" spans="1:16" ht="15" customHeight="1" x14ac:dyDescent="0.3">
      <c r="A168" t="str">
        <f t="shared" si="3"/>
        <v>15-4-E7-SmartFIX – 2 Year</v>
      </c>
      <c r="B168" s="119" t="s">
        <v>13</v>
      </c>
      <c r="C168" s="119">
        <v>15</v>
      </c>
      <c r="D168" s="120" t="s">
        <v>24</v>
      </c>
      <c r="E168" s="120" t="s">
        <v>17</v>
      </c>
      <c r="F168" s="121" t="s">
        <v>18</v>
      </c>
      <c r="G168" s="121" t="s">
        <v>687</v>
      </c>
      <c r="H168" s="126">
        <v>0.31979999999999997</v>
      </c>
      <c r="I168" s="122">
        <v>0.15140000000000001</v>
      </c>
      <c r="J168" s="122">
        <v>0.109</v>
      </c>
      <c r="K168" s="122" t="s">
        <v>717</v>
      </c>
      <c r="L168" s="121">
        <v>5000</v>
      </c>
      <c r="M168" s="121">
        <v>500000</v>
      </c>
      <c r="N168" s="105">
        <v>44197</v>
      </c>
      <c r="O168" s="105">
        <v>44377</v>
      </c>
      <c r="P168" t="s">
        <v>718</v>
      </c>
    </row>
    <row r="169" spans="1:16" ht="15" customHeight="1" x14ac:dyDescent="0.3">
      <c r="A169" t="str">
        <f t="shared" si="3"/>
        <v>15-3-EW-SmartFIX – 2 Year</v>
      </c>
      <c r="B169" s="119" t="s">
        <v>13</v>
      </c>
      <c r="C169" s="119">
        <v>15</v>
      </c>
      <c r="D169" s="120" t="s">
        <v>24</v>
      </c>
      <c r="E169" s="120" t="s">
        <v>19</v>
      </c>
      <c r="F169" s="121" t="s">
        <v>16</v>
      </c>
      <c r="G169" s="121" t="s">
        <v>687</v>
      </c>
      <c r="H169" s="126">
        <v>0.31979999999999997</v>
      </c>
      <c r="I169" s="122">
        <v>0.15579999999999999</v>
      </c>
      <c r="J169" s="122" t="s">
        <v>717</v>
      </c>
      <c r="K169" s="122">
        <v>0.13439999999999999</v>
      </c>
      <c r="L169" s="121">
        <v>5000</v>
      </c>
      <c r="M169" s="121">
        <v>500000</v>
      </c>
      <c r="N169" s="105">
        <v>44197</v>
      </c>
      <c r="O169" s="105">
        <v>44377</v>
      </c>
      <c r="P169" t="s">
        <v>718</v>
      </c>
    </row>
    <row r="170" spans="1:16" ht="15" customHeight="1" x14ac:dyDescent="0.3">
      <c r="A170" t="str">
        <f t="shared" si="3"/>
        <v>15-4-3RATE-SmartFIX – 2 Year</v>
      </c>
      <c r="B170" s="119" t="s">
        <v>13</v>
      </c>
      <c r="C170" s="119">
        <v>15</v>
      </c>
      <c r="D170" s="120" t="s">
        <v>24</v>
      </c>
      <c r="E170" s="120" t="s">
        <v>719</v>
      </c>
      <c r="F170" s="121" t="s">
        <v>18</v>
      </c>
      <c r="G170" s="121" t="s">
        <v>687</v>
      </c>
      <c r="H170" s="126">
        <v>0.31979999999999997</v>
      </c>
      <c r="I170" s="122">
        <v>0.24399999999999999</v>
      </c>
      <c r="J170" s="122">
        <v>0.24399999999999999</v>
      </c>
      <c r="K170" s="122">
        <v>0.24399999999999999</v>
      </c>
      <c r="L170" s="121">
        <v>5000</v>
      </c>
      <c r="M170" s="121">
        <v>500000</v>
      </c>
      <c r="N170" s="105">
        <v>44197</v>
      </c>
      <c r="O170" s="105">
        <v>44377</v>
      </c>
      <c r="P170" t="s">
        <v>718</v>
      </c>
    </row>
    <row r="171" spans="1:16" ht="15" customHeight="1" x14ac:dyDescent="0.3">
      <c r="A171" t="str">
        <f t="shared" si="3"/>
        <v/>
      </c>
      <c r="B171" s="119" t="s">
        <v>13</v>
      </c>
      <c r="C171" s="119">
        <v>15</v>
      </c>
      <c r="D171" s="120" t="s">
        <v>24</v>
      </c>
      <c r="E171" s="120" t="s">
        <v>720</v>
      </c>
      <c r="F171" s="121" t="s">
        <v>18</v>
      </c>
      <c r="G171" s="121" t="s">
        <v>687</v>
      </c>
      <c r="H171" s="126">
        <v>0.31979999999999997</v>
      </c>
      <c r="I171" s="122" t="s">
        <v>717</v>
      </c>
      <c r="J171" s="122">
        <v>0.13439999999999999</v>
      </c>
      <c r="K171" s="122" t="s">
        <v>717</v>
      </c>
      <c r="L171" s="121">
        <v>5000</v>
      </c>
      <c r="M171" s="121">
        <v>500000</v>
      </c>
      <c r="N171" s="105">
        <v>44197</v>
      </c>
      <c r="O171" s="105">
        <v>44377</v>
      </c>
      <c r="P171" t="s">
        <v>718</v>
      </c>
    </row>
    <row r="172" spans="1:16" ht="15" customHeight="1" x14ac:dyDescent="0.3">
      <c r="A172" t="str">
        <f t="shared" si="3"/>
        <v>16-3-U-SmartFIX – 2 Year</v>
      </c>
      <c r="B172" s="119" t="s">
        <v>13</v>
      </c>
      <c r="C172" s="119">
        <v>16</v>
      </c>
      <c r="D172" s="120" t="s">
        <v>25</v>
      </c>
      <c r="E172" s="120" t="s">
        <v>716</v>
      </c>
      <c r="F172" s="121" t="s">
        <v>16</v>
      </c>
      <c r="G172" s="121" t="s">
        <v>687</v>
      </c>
      <c r="H172" s="126">
        <v>0.2707</v>
      </c>
      <c r="I172" s="122">
        <v>0.1479</v>
      </c>
      <c r="J172" s="122" t="s">
        <v>717</v>
      </c>
      <c r="K172" s="122" t="s">
        <v>717</v>
      </c>
      <c r="L172" s="121">
        <v>5000</v>
      </c>
      <c r="M172" s="121">
        <v>500000</v>
      </c>
      <c r="N172" s="105">
        <v>44197</v>
      </c>
      <c r="O172" s="105">
        <v>44377</v>
      </c>
      <c r="P172" t="s">
        <v>718</v>
      </c>
    </row>
    <row r="173" spans="1:16" ht="15" customHeight="1" x14ac:dyDescent="0.3">
      <c r="A173" t="str">
        <f t="shared" si="3"/>
        <v>16-4-E7-SmartFIX – 2 Year</v>
      </c>
      <c r="B173" s="119" t="s">
        <v>13</v>
      </c>
      <c r="C173" s="119">
        <v>16</v>
      </c>
      <c r="D173" s="120" t="s">
        <v>25</v>
      </c>
      <c r="E173" s="120" t="s">
        <v>17</v>
      </c>
      <c r="F173" s="121" t="s">
        <v>18</v>
      </c>
      <c r="G173" s="121" t="s">
        <v>687</v>
      </c>
      <c r="H173" s="126">
        <v>0.2707</v>
      </c>
      <c r="I173" s="122">
        <v>0.15340000000000001</v>
      </c>
      <c r="J173" s="122">
        <v>0.10970000000000001</v>
      </c>
      <c r="K173" s="122" t="s">
        <v>717</v>
      </c>
      <c r="L173" s="121">
        <v>5000</v>
      </c>
      <c r="M173" s="121">
        <v>500000</v>
      </c>
      <c r="N173" s="105">
        <v>44197</v>
      </c>
      <c r="O173" s="105">
        <v>44377</v>
      </c>
      <c r="P173" t="s">
        <v>718</v>
      </c>
    </row>
    <row r="174" spans="1:16" ht="15" customHeight="1" x14ac:dyDescent="0.3">
      <c r="A174" t="str">
        <f t="shared" si="3"/>
        <v>16-3-EW-SmartFIX – 2 Year</v>
      </c>
      <c r="B174" s="119" t="s">
        <v>13</v>
      </c>
      <c r="C174" s="119">
        <v>16</v>
      </c>
      <c r="D174" s="120" t="s">
        <v>25</v>
      </c>
      <c r="E174" s="120" t="s">
        <v>19</v>
      </c>
      <c r="F174" s="121" t="s">
        <v>16</v>
      </c>
      <c r="G174" s="121" t="s">
        <v>687</v>
      </c>
      <c r="H174" s="126">
        <v>0.2707</v>
      </c>
      <c r="I174" s="122">
        <v>0.15790000000000001</v>
      </c>
      <c r="J174" s="122" t="s">
        <v>717</v>
      </c>
      <c r="K174" s="122">
        <v>0.13589999999999999</v>
      </c>
      <c r="L174" s="121">
        <v>5000</v>
      </c>
      <c r="M174" s="121">
        <v>500000</v>
      </c>
      <c r="N174" s="105">
        <v>44197</v>
      </c>
      <c r="O174" s="105">
        <v>44377</v>
      </c>
      <c r="P174" t="s">
        <v>718</v>
      </c>
    </row>
    <row r="175" spans="1:16" ht="15" customHeight="1" x14ac:dyDescent="0.3">
      <c r="A175" t="str">
        <f t="shared" si="3"/>
        <v>16-4-3RATE-SmartFIX – 2 Year</v>
      </c>
      <c r="B175" s="119" t="s">
        <v>13</v>
      </c>
      <c r="C175" s="119">
        <v>16</v>
      </c>
      <c r="D175" s="120" t="s">
        <v>25</v>
      </c>
      <c r="E175" s="120" t="s">
        <v>719</v>
      </c>
      <c r="F175" s="121" t="s">
        <v>18</v>
      </c>
      <c r="G175" s="121" t="s">
        <v>687</v>
      </c>
      <c r="H175" s="126">
        <v>0.2707</v>
      </c>
      <c r="I175" s="122">
        <v>0.16350000000000001</v>
      </c>
      <c r="J175" s="122">
        <v>0.1086</v>
      </c>
      <c r="K175" s="122">
        <v>0.13819999999999999</v>
      </c>
      <c r="L175" s="121">
        <v>5000</v>
      </c>
      <c r="M175" s="121">
        <v>500000</v>
      </c>
      <c r="N175" s="105">
        <v>44197</v>
      </c>
      <c r="O175" s="105">
        <v>44377</v>
      </c>
      <c r="P175" t="s">
        <v>718</v>
      </c>
    </row>
    <row r="176" spans="1:16" ht="15" customHeight="1" x14ac:dyDescent="0.3">
      <c r="A176" t="str">
        <f t="shared" si="3"/>
        <v/>
      </c>
      <c r="B176" s="119" t="s">
        <v>13</v>
      </c>
      <c r="C176" s="119">
        <v>16</v>
      </c>
      <c r="D176" s="120" t="s">
        <v>25</v>
      </c>
      <c r="E176" s="120" t="s">
        <v>720</v>
      </c>
      <c r="F176" s="121" t="s">
        <v>18</v>
      </c>
      <c r="G176" s="121" t="s">
        <v>687</v>
      </c>
      <c r="H176" s="126">
        <v>0.2707</v>
      </c>
      <c r="I176" s="122" t="s">
        <v>717</v>
      </c>
      <c r="J176" s="122">
        <v>0.13589999999999999</v>
      </c>
      <c r="K176" s="122" t="s">
        <v>717</v>
      </c>
      <c r="L176" s="121">
        <v>5000</v>
      </c>
      <c r="M176" s="121">
        <v>500000</v>
      </c>
      <c r="N176" s="105">
        <v>44197</v>
      </c>
      <c r="O176" s="105">
        <v>44377</v>
      </c>
      <c r="P176" t="s">
        <v>718</v>
      </c>
    </row>
    <row r="177" spans="1:16" ht="15" customHeight="1" x14ac:dyDescent="0.3">
      <c r="A177" t="str">
        <f t="shared" si="3"/>
        <v>17-3-U-SmartFIX – 2 Year</v>
      </c>
      <c r="B177" s="119" t="s">
        <v>13</v>
      </c>
      <c r="C177" s="119">
        <v>17</v>
      </c>
      <c r="D177" s="120" t="s">
        <v>26</v>
      </c>
      <c r="E177" s="120" t="s">
        <v>716</v>
      </c>
      <c r="F177" s="121" t="s">
        <v>16</v>
      </c>
      <c r="G177" s="121" t="s">
        <v>687</v>
      </c>
      <c r="H177" s="126">
        <v>0.35659999999999997</v>
      </c>
      <c r="I177" s="122">
        <v>0.15079999999999999</v>
      </c>
      <c r="J177" s="122" t="s">
        <v>717</v>
      </c>
      <c r="K177" s="122" t="s">
        <v>717</v>
      </c>
      <c r="L177" s="121">
        <v>5000</v>
      </c>
      <c r="M177" s="121">
        <v>500000</v>
      </c>
      <c r="N177" s="105">
        <v>44197</v>
      </c>
      <c r="O177" s="105">
        <v>44377</v>
      </c>
      <c r="P177" t="s">
        <v>718</v>
      </c>
    </row>
    <row r="178" spans="1:16" ht="15" customHeight="1" x14ac:dyDescent="0.3">
      <c r="A178" t="str">
        <f t="shared" si="3"/>
        <v>17-4-E7-SmartFIX – 2 Year</v>
      </c>
      <c r="B178" s="119" t="s">
        <v>13</v>
      </c>
      <c r="C178" s="119">
        <v>17</v>
      </c>
      <c r="D178" s="120" t="s">
        <v>26</v>
      </c>
      <c r="E178" s="120" t="s">
        <v>17</v>
      </c>
      <c r="F178" s="121" t="s">
        <v>18</v>
      </c>
      <c r="G178" s="121" t="s">
        <v>687</v>
      </c>
      <c r="H178" s="126">
        <v>0.35659999999999997</v>
      </c>
      <c r="I178" s="122">
        <v>0.16189999999999999</v>
      </c>
      <c r="J178" s="122">
        <v>0.1183</v>
      </c>
      <c r="K178" s="122" t="s">
        <v>717</v>
      </c>
      <c r="L178" s="121">
        <v>5000</v>
      </c>
      <c r="M178" s="121">
        <v>500000</v>
      </c>
      <c r="N178" s="105">
        <v>44197</v>
      </c>
      <c r="O178" s="105">
        <v>44377</v>
      </c>
      <c r="P178" t="s">
        <v>718</v>
      </c>
    </row>
    <row r="179" spans="1:16" ht="15" customHeight="1" x14ac:dyDescent="0.3">
      <c r="A179" t="str">
        <f t="shared" si="3"/>
        <v>17-3-EW-SmartFIX – 2 Year</v>
      </c>
      <c r="B179" s="119" t="s">
        <v>13</v>
      </c>
      <c r="C179" s="119">
        <v>17</v>
      </c>
      <c r="D179" s="120" t="s">
        <v>26</v>
      </c>
      <c r="E179" s="120" t="s">
        <v>19</v>
      </c>
      <c r="F179" s="121" t="s">
        <v>16</v>
      </c>
      <c r="G179" s="121" t="s">
        <v>687</v>
      </c>
      <c r="H179" s="126">
        <v>0.35659999999999997</v>
      </c>
      <c r="I179" s="122">
        <v>0.1583</v>
      </c>
      <c r="J179" s="122" t="s">
        <v>717</v>
      </c>
      <c r="K179" s="122">
        <v>0.14099999999999999</v>
      </c>
      <c r="L179" s="121">
        <v>5000</v>
      </c>
      <c r="M179" s="121">
        <v>500000</v>
      </c>
      <c r="N179" s="105">
        <v>44197</v>
      </c>
      <c r="O179" s="105">
        <v>44377</v>
      </c>
      <c r="P179" t="s">
        <v>718</v>
      </c>
    </row>
    <row r="180" spans="1:16" ht="15" customHeight="1" x14ac:dyDescent="0.3">
      <c r="A180" t="str">
        <f t="shared" si="3"/>
        <v>17-4-3RATE-SmartFIX – 2 Year</v>
      </c>
      <c r="B180" s="119" t="s">
        <v>13</v>
      </c>
      <c r="C180" s="119">
        <v>17</v>
      </c>
      <c r="D180" s="120" t="s">
        <v>26</v>
      </c>
      <c r="E180" s="120" t="s">
        <v>719</v>
      </c>
      <c r="F180" s="121" t="s">
        <v>18</v>
      </c>
      <c r="G180" s="121" t="s">
        <v>687</v>
      </c>
      <c r="H180" s="126">
        <v>0.35659999999999997</v>
      </c>
      <c r="I180" s="122">
        <v>0.24399999999999999</v>
      </c>
      <c r="J180" s="122">
        <v>0.24399999999999999</v>
      </c>
      <c r="K180" s="122">
        <v>0.24399999999999999</v>
      </c>
      <c r="L180" s="121">
        <v>5000</v>
      </c>
      <c r="M180" s="121">
        <v>500000</v>
      </c>
      <c r="N180" s="105">
        <v>44197</v>
      </c>
      <c r="O180" s="105">
        <v>44377</v>
      </c>
      <c r="P180" t="s">
        <v>718</v>
      </c>
    </row>
    <row r="181" spans="1:16" ht="15" customHeight="1" x14ac:dyDescent="0.3">
      <c r="A181" t="str">
        <f t="shared" si="3"/>
        <v/>
      </c>
      <c r="B181" s="119" t="s">
        <v>13</v>
      </c>
      <c r="C181" s="119">
        <v>17</v>
      </c>
      <c r="D181" s="120" t="s">
        <v>26</v>
      </c>
      <c r="E181" s="120" t="s">
        <v>720</v>
      </c>
      <c r="F181" s="121" t="s">
        <v>18</v>
      </c>
      <c r="G181" s="121" t="s">
        <v>687</v>
      </c>
      <c r="H181" s="126">
        <v>0.35659999999999997</v>
      </c>
      <c r="I181" s="122" t="s">
        <v>717</v>
      </c>
      <c r="J181" s="122">
        <v>0.14099999999999999</v>
      </c>
      <c r="K181" s="122" t="s">
        <v>717</v>
      </c>
      <c r="L181" s="121">
        <v>5000</v>
      </c>
      <c r="M181" s="121">
        <v>500000</v>
      </c>
      <c r="N181" s="105">
        <v>44197</v>
      </c>
      <c r="O181" s="105">
        <v>44377</v>
      </c>
      <c r="P181" t="s">
        <v>718</v>
      </c>
    </row>
    <row r="182" spans="1:16" ht="15" customHeight="1" x14ac:dyDescent="0.3">
      <c r="A182" t="str">
        <f t="shared" si="3"/>
        <v>18-3-U-SmartFIX – 2 Year</v>
      </c>
      <c r="B182" s="119" t="s">
        <v>13</v>
      </c>
      <c r="C182" s="119">
        <v>18</v>
      </c>
      <c r="D182" s="120" t="s">
        <v>27</v>
      </c>
      <c r="E182" s="120" t="s">
        <v>716</v>
      </c>
      <c r="F182" s="121" t="s">
        <v>16</v>
      </c>
      <c r="G182" s="121" t="s">
        <v>687</v>
      </c>
      <c r="H182" s="126">
        <v>0.31109999999999999</v>
      </c>
      <c r="I182" s="122">
        <v>0.14729999999999999</v>
      </c>
      <c r="J182" s="122" t="s">
        <v>717</v>
      </c>
      <c r="K182" s="122" t="s">
        <v>717</v>
      </c>
      <c r="L182" s="121">
        <v>5000</v>
      </c>
      <c r="M182" s="121">
        <v>500000</v>
      </c>
      <c r="N182" s="105">
        <v>44197</v>
      </c>
      <c r="O182" s="105">
        <v>44377</v>
      </c>
      <c r="P182" t="s">
        <v>718</v>
      </c>
    </row>
    <row r="183" spans="1:16" ht="15" customHeight="1" x14ac:dyDescent="0.3">
      <c r="A183" t="str">
        <f t="shared" si="3"/>
        <v>18-4-E7-SmartFIX – 2 Year</v>
      </c>
      <c r="B183" s="119" t="s">
        <v>13</v>
      </c>
      <c r="C183" s="119">
        <v>18</v>
      </c>
      <c r="D183" s="120" t="s">
        <v>27</v>
      </c>
      <c r="E183" s="120" t="s">
        <v>17</v>
      </c>
      <c r="F183" s="121" t="s">
        <v>18</v>
      </c>
      <c r="G183" s="121" t="s">
        <v>687</v>
      </c>
      <c r="H183" s="126">
        <v>0.31109999999999999</v>
      </c>
      <c r="I183" s="122">
        <v>0.15759999999999999</v>
      </c>
      <c r="J183" s="122">
        <v>0.11509999999999999</v>
      </c>
      <c r="K183" s="122" t="s">
        <v>717</v>
      </c>
      <c r="L183" s="121">
        <v>5000</v>
      </c>
      <c r="M183" s="121">
        <v>500000</v>
      </c>
      <c r="N183" s="105">
        <v>44197</v>
      </c>
      <c r="O183" s="105">
        <v>44377</v>
      </c>
      <c r="P183" t="s">
        <v>718</v>
      </c>
    </row>
    <row r="184" spans="1:16" ht="15" customHeight="1" x14ac:dyDescent="0.3">
      <c r="A184" t="str">
        <f t="shared" si="3"/>
        <v>18-3-EW-SmartFIX – 2 Year</v>
      </c>
      <c r="B184" s="119" t="s">
        <v>13</v>
      </c>
      <c r="C184" s="119">
        <v>18</v>
      </c>
      <c r="D184" s="120" t="s">
        <v>27</v>
      </c>
      <c r="E184" s="120" t="s">
        <v>19</v>
      </c>
      <c r="F184" s="121" t="s">
        <v>16</v>
      </c>
      <c r="G184" s="121" t="s">
        <v>687</v>
      </c>
      <c r="H184" s="126">
        <v>0.31109999999999999</v>
      </c>
      <c r="I184" s="122">
        <v>0.155</v>
      </c>
      <c r="J184" s="122" t="s">
        <v>717</v>
      </c>
      <c r="K184" s="122">
        <v>0.13619999999999999</v>
      </c>
      <c r="L184" s="121">
        <v>5000</v>
      </c>
      <c r="M184" s="121">
        <v>500000</v>
      </c>
      <c r="N184" s="105">
        <v>44197</v>
      </c>
      <c r="O184" s="105">
        <v>44377</v>
      </c>
      <c r="P184" t="s">
        <v>718</v>
      </c>
    </row>
    <row r="185" spans="1:16" ht="15" customHeight="1" x14ac:dyDescent="0.3">
      <c r="A185" t="str">
        <f t="shared" si="3"/>
        <v>18-4-3RATE-SmartFIX – 2 Year</v>
      </c>
      <c r="B185" s="119" t="s">
        <v>13</v>
      </c>
      <c r="C185" s="119">
        <v>18</v>
      </c>
      <c r="D185" s="120" t="s">
        <v>27</v>
      </c>
      <c r="E185" s="120" t="s">
        <v>719</v>
      </c>
      <c r="F185" s="121" t="s">
        <v>18</v>
      </c>
      <c r="G185" s="121" t="s">
        <v>687</v>
      </c>
      <c r="H185" s="126">
        <v>0.31109999999999999</v>
      </c>
      <c r="I185" s="122">
        <v>0.24399999999999999</v>
      </c>
      <c r="J185" s="122">
        <v>0.24399999999999999</v>
      </c>
      <c r="K185" s="122">
        <v>0.24399999999999999</v>
      </c>
      <c r="L185" s="121">
        <v>5000</v>
      </c>
      <c r="M185" s="121">
        <v>500000</v>
      </c>
      <c r="N185" s="105">
        <v>44197</v>
      </c>
      <c r="O185" s="105">
        <v>44377</v>
      </c>
      <c r="P185" t="s">
        <v>718</v>
      </c>
    </row>
    <row r="186" spans="1:16" ht="15" customHeight="1" x14ac:dyDescent="0.3">
      <c r="A186" t="str">
        <f t="shared" si="3"/>
        <v/>
      </c>
      <c r="B186" s="119" t="s">
        <v>13</v>
      </c>
      <c r="C186" s="119">
        <v>18</v>
      </c>
      <c r="D186" s="120" t="s">
        <v>27</v>
      </c>
      <c r="E186" s="120" t="s">
        <v>720</v>
      </c>
      <c r="F186" s="121" t="s">
        <v>18</v>
      </c>
      <c r="G186" s="121" t="s">
        <v>687</v>
      </c>
      <c r="H186" s="126">
        <v>0.31109999999999999</v>
      </c>
      <c r="I186" s="122" t="s">
        <v>717</v>
      </c>
      <c r="J186" s="122">
        <v>0.13619999999999999</v>
      </c>
      <c r="K186" s="122" t="s">
        <v>717</v>
      </c>
      <c r="L186" s="121">
        <v>5000</v>
      </c>
      <c r="M186" s="121">
        <v>500000</v>
      </c>
      <c r="N186" s="105">
        <v>44197</v>
      </c>
      <c r="O186" s="105">
        <v>44377</v>
      </c>
      <c r="P186" t="s">
        <v>718</v>
      </c>
    </row>
    <row r="187" spans="1:16" ht="15" customHeight="1" x14ac:dyDescent="0.3">
      <c r="A187" t="str">
        <f t="shared" si="3"/>
        <v>19-3-U-SmartFIX – 2 Year</v>
      </c>
      <c r="B187" s="119" t="s">
        <v>13</v>
      </c>
      <c r="C187" s="119">
        <v>19</v>
      </c>
      <c r="D187" s="120" t="s">
        <v>28</v>
      </c>
      <c r="E187" s="120" t="s">
        <v>716</v>
      </c>
      <c r="F187" s="121" t="s">
        <v>16</v>
      </c>
      <c r="G187" s="121" t="s">
        <v>687</v>
      </c>
      <c r="H187" s="126">
        <v>0.29570000000000002</v>
      </c>
      <c r="I187" s="122">
        <v>0.14510000000000001</v>
      </c>
      <c r="J187" s="122" t="s">
        <v>717</v>
      </c>
      <c r="K187" s="122" t="s">
        <v>717</v>
      </c>
      <c r="L187" s="121">
        <v>5000</v>
      </c>
      <c r="M187" s="121">
        <v>500000</v>
      </c>
      <c r="N187" s="105">
        <v>44197</v>
      </c>
      <c r="O187" s="105">
        <v>44377</v>
      </c>
      <c r="P187" t="s">
        <v>718</v>
      </c>
    </row>
    <row r="188" spans="1:16" ht="15" customHeight="1" x14ac:dyDescent="0.3">
      <c r="A188" t="str">
        <f t="shared" si="3"/>
        <v>19-4-E7-SmartFIX – 2 Year</v>
      </c>
      <c r="B188" s="119" t="s">
        <v>13</v>
      </c>
      <c r="C188" s="119">
        <v>19</v>
      </c>
      <c r="D188" s="120" t="s">
        <v>28</v>
      </c>
      <c r="E188" s="120" t="s">
        <v>17</v>
      </c>
      <c r="F188" s="121" t="s">
        <v>18</v>
      </c>
      <c r="G188" s="121" t="s">
        <v>687</v>
      </c>
      <c r="H188" s="126">
        <v>0.29570000000000002</v>
      </c>
      <c r="I188" s="122">
        <v>0.15390000000000001</v>
      </c>
      <c r="J188" s="122">
        <v>0.10589999999999999</v>
      </c>
      <c r="K188" s="122" t="s">
        <v>717</v>
      </c>
      <c r="L188" s="121">
        <v>5000</v>
      </c>
      <c r="M188" s="121">
        <v>500000</v>
      </c>
      <c r="N188" s="105">
        <v>44197</v>
      </c>
      <c r="O188" s="105">
        <v>44377</v>
      </c>
      <c r="P188" t="s">
        <v>718</v>
      </c>
    </row>
    <row r="189" spans="1:16" ht="15" customHeight="1" x14ac:dyDescent="0.3">
      <c r="A189" t="str">
        <f t="shared" si="3"/>
        <v>19-3-EW-SmartFIX – 2 Year</v>
      </c>
      <c r="B189" s="119" t="s">
        <v>13</v>
      </c>
      <c r="C189" s="119">
        <v>19</v>
      </c>
      <c r="D189" s="120" t="s">
        <v>28</v>
      </c>
      <c r="E189" s="120" t="s">
        <v>19</v>
      </c>
      <c r="F189" s="121" t="s">
        <v>16</v>
      </c>
      <c r="G189" s="121" t="s">
        <v>687</v>
      </c>
      <c r="H189" s="126">
        <v>0.29570000000000002</v>
      </c>
      <c r="I189" s="122">
        <v>0.24399999999999999</v>
      </c>
      <c r="J189" s="122" t="s">
        <v>717</v>
      </c>
      <c r="K189" s="122">
        <v>0.24399999999999999</v>
      </c>
      <c r="L189" s="121">
        <v>5000</v>
      </c>
      <c r="M189" s="121">
        <v>500000</v>
      </c>
      <c r="N189" s="105">
        <v>44197</v>
      </c>
      <c r="O189" s="105">
        <v>44377</v>
      </c>
      <c r="P189" t="s">
        <v>718</v>
      </c>
    </row>
    <row r="190" spans="1:16" ht="15" customHeight="1" x14ac:dyDescent="0.3">
      <c r="A190" t="str">
        <f t="shared" si="3"/>
        <v>19-4-3RATE-SmartFIX – 2 Year</v>
      </c>
      <c r="B190" s="119" t="s">
        <v>13</v>
      </c>
      <c r="C190" s="119">
        <v>19</v>
      </c>
      <c r="D190" s="120" t="s">
        <v>28</v>
      </c>
      <c r="E190" s="120" t="s">
        <v>719</v>
      </c>
      <c r="F190" s="121" t="s">
        <v>18</v>
      </c>
      <c r="G190" s="121" t="s">
        <v>687</v>
      </c>
      <c r="H190" s="126">
        <v>0.29570000000000002</v>
      </c>
      <c r="I190" s="122">
        <v>0.16350000000000001</v>
      </c>
      <c r="J190" s="122">
        <v>0.10780000000000001</v>
      </c>
      <c r="K190" s="122">
        <v>0.1515</v>
      </c>
      <c r="L190" s="121">
        <v>5000</v>
      </c>
      <c r="M190" s="121">
        <v>500000</v>
      </c>
      <c r="N190" s="105">
        <v>44197</v>
      </c>
      <c r="O190" s="105">
        <v>44377</v>
      </c>
      <c r="P190" t="s">
        <v>718</v>
      </c>
    </row>
    <row r="191" spans="1:16" ht="15" customHeight="1" x14ac:dyDescent="0.3">
      <c r="A191" t="str">
        <f t="shared" si="3"/>
        <v/>
      </c>
      <c r="B191" s="119" t="s">
        <v>13</v>
      </c>
      <c r="C191" s="119">
        <v>19</v>
      </c>
      <c r="D191" s="120" t="s">
        <v>28</v>
      </c>
      <c r="E191" s="120" t="s">
        <v>720</v>
      </c>
      <c r="F191" s="121" t="s">
        <v>18</v>
      </c>
      <c r="G191" s="121" t="s">
        <v>687</v>
      </c>
      <c r="H191" s="126">
        <v>0.29570000000000002</v>
      </c>
      <c r="I191" s="122" t="s">
        <v>717</v>
      </c>
      <c r="J191" s="122">
        <v>0.10589999999999999</v>
      </c>
      <c r="K191" s="122" t="s">
        <v>717</v>
      </c>
      <c r="L191" s="121">
        <v>5000</v>
      </c>
      <c r="M191" s="121">
        <v>500000</v>
      </c>
      <c r="N191" s="105">
        <v>44197</v>
      </c>
      <c r="O191" s="105">
        <v>44377</v>
      </c>
      <c r="P191" t="s">
        <v>718</v>
      </c>
    </row>
    <row r="192" spans="1:16" ht="15" customHeight="1" x14ac:dyDescent="0.3">
      <c r="A192" t="str">
        <f t="shared" si="3"/>
        <v>20-3-U-SmartFIX – 2 Year</v>
      </c>
      <c r="B192" s="119" t="s">
        <v>13</v>
      </c>
      <c r="C192" s="119">
        <v>20</v>
      </c>
      <c r="D192" s="120" t="s">
        <v>29</v>
      </c>
      <c r="E192" s="120" t="s">
        <v>716</v>
      </c>
      <c r="F192" s="121" t="s">
        <v>16</v>
      </c>
      <c r="G192" s="121" t="s">
        <v>687</v>
      </c>
      <c r="H192" s="126">
        <v>0.29299999999999998</v>
      </c>
      <c r="I192" s="122">
        <v>0.1429</v>
      </c>
      <c r="J192" s="122" t="s">
        <v>717</v>
      </c>
      <c r="K192" s="122" t="s">
        <v>717</v>
      </c>
      <c r="L192" s="121">
        <v>5000</v>
      </c>
      <c r="M192" s="121">
        <v>500000</v>
      </c>
      <c r="N192" s="105">
        <v>44197</v>
      </c>
      <c r="O192" s="105">
        <v>44377</v>
      </c>
      <c r="P192" t="s">
        <v>718</v>
      </c>
    </row>
    <row r="193" spans="1:16" ht="15" customHeight="1" x14ac:dyDescent="0.3">
      <c r="A193" t="str">
        <f t="shared" si="3"/>
        <v>20-4-E7-SmartFIX – 2 Year</v>
      </c>
      <c r="B193" s="119" t="s">
        <v>13</v>
      </c>
      <c r="C193" s="119">
        <v>20</v>
      </c>
      <c r="D193" s="120" t="s">
        <v>29</v>
      </c>
      <c r="E193" s="120" t="s">
        <v>17</v>
      </c>
      <c r="F193" s="121" t="s">
        <v>18</v>
      </c>
      <c r="G193" s="121" t="s">
        <v>687</v>
      </c>
      <c r="H193" s="126">
        <v>0.29299999999999998</v>
      </c>
      <c r="I193" s="122">
        <v>0.15210000000000001</v>
      </c>
      <c r="J193" s="122">
        <v>0.1069</v>
      </c>
      <c r="K193" s="122" t="s">
        <v>717</v>
      </c>
      <c r="L193" s="121">
        <v>5000</v>
      </c>
      <c r="M193" s="121">
        <v>500000</v>
      </c>
      <c r="N193" s="105">
        <v>44197</v>
      </c>
      <c r="O193" s="105">
        <v>44377</v>
      </c>
      <c r="P193" t="s">
        <v>718</v>
      </c>
    </row>
    <row r="194" spans="1:16" ht="15" customHeight="1" x14ac:dyDescent="0.3">
      <c r="A194" t="str">
        <f t="shared" si="3"/>
        <v>20-3-EW-SmartFIX – 2 Year</v>
      </c>
      <c r="B194" s="119" t="s">
        <v>13</v>
      </c>
      <c r="C194" s="119">
        <v>20</v>
      </c>
      <c r="D194" s="120" t="s">
        <v>29</v>
      </c>
      <c r="E194" s="120" t="s">
        <v>19</v>
      </c>
      <c r="F194" s="121" t="s">
        <v>16</v>
      </c>
      <c r="G194" s="121" t="s">
        <v>687</v>
      </c>
      <c r="H194" s="126">
        <v>0.29299999999999998</v>
      </c>
      <c r="I194" s="122">
        <v>0.15210000000000001</v>
      </c>
      <c r="J194" s="122" t="s">
        <v>717</v>
      </c>
      <c r="K194" s="122">
        <v>0.1305</v>
      </c>
      <c r="L194" s="121">
        <v>5000</v>
      </c>
      <c r="M194" s="121">
        <v>500000</v>
      </c>
      <c r="N194" s="105">
        <v>44197</v>
      </c>
      <c r="O194" s="105">
        <v>44377</v>
      </c>
      <c r="P194" t="s">
        <v>718</v>
      </c>
    </row>
    <row r="195" spans="1:16" ht="15" customHeight="1" x14ac:dyDescent="0.3">
      <c r="A195" t="str">
        <f t="shared" si="3"/>
        <v>20-4-3RATE-SmartFIX – 2 Year</v>
      </c>
      <c r="B195" s="119" t="s">
        <v>13</v>
      </c>
      <c r="C195" s="119">
        <v>20</v>
      </c>
      <c r="D195" s="120" t="s">
        <v>29</v>
      </c>
      <c r="E195" s="120" t="s">
        <v>719</v>
      </c>
      <c r="F195" s="121" t="s">
        <v>18</v>
      </c>
      <c r="G195" s="121" t="s">
        <v>687</v>
      </c>
      <c r="H195" s="126">
        <v>0.29299999999999998</v>
      </c>
      <c r="I195" s="122">
        <v>0.16320000000000001</v>
      </c>
      <c r="J195" s="122">
        <v>0.11119999999999999</v>
      </c>
      <c r="K195" s="122">
        <v>0.1444</v>
      </c>
      <c r="L195" s="121">
        <v>5000</v>
      </c>
      <c r="M195" s="121">
        <v>500000</v>
      </c>
      <c r="N195" s="105">
        <v>44197</v>
      </c>
      <c r="O195" s="105">
        <v>44377</v>
      </c>
      <c r="P195" t="s">
        <v>718</v>
      </c>
    </row>
    <row r="196" spans="1:16" ht="15" customHeight="1" x14ac:dyDescent="0.3">
      <c r="A196" t="str">
        <f t="shared" si="3"/>
        <v/>
      </c>
      <c r="B196" s="119" t="s">
        <v>13</v>
      </c>
      <c r="C196" s="119">
        <v>20</v>
      </c>
      <c r="D196" s="120" t="s">
        <v>29</v>
      </c>
      <c r="E196" s="120" t="s">
        <v>720</v>
      </c>
      <c r="F196" s="121" t="s">
        <v>18</v>
      </c>
      <c r="G196" s="121" t="s">
        <v>687</v>
      </c>
      <c r="H196" s="126">
        <v>0.29299999999999998</v>
      </c>
      <c r="I196" s="122" t="s">
        <v>717</v>
      </c>
      <c r="J196" s="122">
        <v>0.1305</v>
      </c>
      <c r="K196" s="122" t="s">
        <v>717</v>
      </c>
      <c r="L196" s="121">
        <v>5000</v>
      </c>
      <c r="M196" s="121">
        <v>500000</v>
      </c>
      <c r="N196" s="105">
        <v>44197</v>
      </c>
      <c r="O196" s="105">
        <v>44377</v>
      </c>
      <c r="P196" t="s">
        <v>718</v>
      </c>
    </row>
    <row r="197" spans="1:16" ht="15" customHeight="1" x14ac:dyDescent="0.3">
      <c r="A197" t="str">
        <f t="shared" si="3"/>
        <v>21-3-U-SmartFIX – 2 Year</v>
      </c>
      <c r="B197" s="119" t="s">
        <v>13</v>
      </c>
      <c r="C197" s="119">
        <v>21</v>
      </c>
      <c r="D197" s="120" t="s">
        <v>30</v>
      </c>
      <c r="E197" s="120" t="s">
        <v>716</v>
      </c>
      <c r="F197" s="121" t="s">
        <v>16</v>
      </c>
      <c r="G197" s="121" t="s">
        <v>687</v>
      </c>
      <c r="H197" s="126">
        <v>0.40550000000000003</v>
      </c>
      <c r="I197" s="122">
        <v>0.14499999999999999</v>
      </c>
      <c r="J197" s="122" t="s">
        <v>717</v>
      </c>
      <c r="K197" s="122" t="s">
        <v>717</v>
      </c>
      <c r="L197" s="121">
        <v>5000</v>
      </c>
      <c r="M197" s="121">
        <v>500000</v>
      </c>
      <c r="N197" s="105">
        <v>44197</v>
      </c>
      <c r="O197" s="105">
        <v>44377</v>
      </c>
      <c r="P197" t="s">
        <v>718</v>
      </c>
    </row>
    <row r="198" spans="1:16" ht="15" customHeight="1" x14ac:dyDescent="0.3">
      <c r="A198" t="str">
        <f t="shared" si="3"/>
        <v>21-4-E7-SmartFIX – 2 Year</v>
      </c>
      <c r="B198" s="119" t="s">
        <v>13</v>
      </c>
      <c r="C198" s="119">
        <v>21</v>
      </c>
      <c r="D198" s="120" t="s">
        <v>30</v>
      </c>
      <c r="E198" s="120" t="s">
        <v>17</v>
      </c>
      <c r="F198" s="121" t="s">
        <v>18</v>
      </c>
      <c r="G198" s="121" t="s">
        <v>687</v>
      </c>
      <c r="H198" s="126">
        <v>0.40550000000000003</v>
      </c>
      <c r="I198" s="122">
        <v>0.1522</v>
      </c>
      <c r="J198" s="122">
        <v>0.1115</v>
      </c>
      <c r="K198" s="122" t="s">
        <v>717</v>
      </c>
      <c r="L198" s="121">
        <v>5000</v>
      </c>
      <c r="M198" s="121">
        <v>500000</v>
      </c>
      <c r="N198" s="105">
        <v>44197</v>
      </c>
      <c r="O198" s="105">
        <v>44377</v>
      </c>
      <c r="P198" t="s">
        <v>718</v>
      </c>
    </row>
    <row r="199" spans="1:16" ht="15" customHeight="1" x14ac:dyDescent="0.3">
      <c r="A199" t="str">
        <f t="shared" si="3"/>
        <v>21-3-EW-SmartFIX – 2 Year</v>
      </c>
      <c r="B199" s="119" t="s">
        <v>13</v>
      </c>
      <c r="C199" s="119">
        <v>21</v>
      </c>
      <c r="D199" s="120" t="s">
        <v>30</v>
      </c>
      <c r="E199" s="120" t="s">
        <v>19</v>
      </c>
      <c r="F199" s="121" t="s">
        <v>16</v>
      </c>
      <c r="G199" s="121" t="s">
        <v>687</v>
      </c>
      <c r="H199" s="126">
        <v>0.40550000000000003</v>
      </c>
      <c r="I199" s="122">
        <v>0.1527</v>
      </c>
      <c r="J199" s="122" t="s">
        <v>717</v>
      </c>
      <c r="K199" s="122">
        <v>0.13439999999999999</v>
      </c>
      <c r="L199" s="121">
        <v>5000</v>
      </c>
      <c r="M199" s="121">
        <v>500000</v>
      </c>
      <c r="N199" s="105">
        <v>44197</v>
      </c>
      <c r="O199" s="105">
        <v>44377</v>
      </c>
      <c r="P199" t="s">
        <v>718</v>
      </c>
    </row>
    <row r="200" spans="1:16" ht="15" customHeight="1" x14ac:dyDescent="0.3">
      <c r="A200" t="str">
        <f t="shared" si="3"/>
        <v>21-4-3RATE-SmartFIX – 2 Year</v>
      </c>
      <c r="B200" s="119" t="s">
        <v>13</v>
      </c>
      <c r="C200" s="119">
        <v>21</v>
      </c>
      <c r="D200" s="120" t="s">
        <v>30</v>
      </c>
      <c r="E200" s="120" t="s">
        <v>719</v>
      </c>
      <c r="F200" s="121" t="s">
        <v>18</v>
      </c>
      <c r="G200" s="121" t="s">
        <v>687</v>
      </c>
      <c r="H200" s="126">
        <v>0.40550000000000003</v>
      </c>
      <c r="I200" s="122">
        <v>0.16420000000000001</v>
      </c>
      <c r="J200" s="122">
        <v>0.1125</v>
      </c>
      <c r="K200" s="122">
        <v>0.1484</v>
      </c>
      <c r="L200" s="121">
        <v>5000</v>
      </c>
      <c r="M200" s="121">
        <v>500000</v>
      </c>
      <c r="N200" s="105">
        <v>44197</v>
      </c>
      <c r="O200" s="105">
        <v>44377</v>
      </c>
      <c r="P200" t="s">
        <v>718</v>
      </c>
    </row>
    <row r="201" spans="1:16" ht="15" customHeight="1" x14ac:dyDescent="0.3">
      <c r="A201" t="str">
        <f t="shared" si="3"/>
        <v/>
      </c>
      <c r="B201" s="119" t="s">
        <v>13</v>
      </c>
      <c r="C201" s="119">
        <v>21</v>
      </c>
      <c r="D201" s="120" t="s">
        <v>30</v>
      </c>
      <c r="E201" s="120" t="s">
        <v>720</v>
      </c>
      <c r="F201" s="121" t="s">
        <v>18</v>
      </c>
      <c r="G201" s="121" t="s">
        <v>687</v>
      </c>
      <c r="H201" s="126">
        <v>0.40550000000000003</v>
      </c>
      <c r="I201" s="122" t="s">
        <v>717</v>
      </c>
      <c r="J201" s="122">
        <v>0.13439999999999999</v>
      </c>
      <c r="K201" s="122" t="s">
        <v>717</v>
      </c>
      <c r="L201" s="121">
        <v>5000</v>
      </c>
      <c r="M201" s="121">
        <v>500000</v>
      </c>
      <c r="N201" s="105">
        <v>44197</v>
      </c>
      <c r="O201" s="105">
        <v>44377</v>
      </c>
      <c r="P201" t="s">
        <v>718</v>
      </c>
    </row>
    <row r="202" spans="1:16" ht="15" customHeight="1" x14ac:dyDescent="0.3">
      <c r="A202" t="str">
        <f t="shared" si="3"/>
        <v>22-3-U-SmartFIX – 2 Year</v>
      </c>
      <c r="B202" s="119" t="s">
        <v>13</v>
      </c>
      <c r="C202" s="119">
        <v>22</v>
      </c>
      <c r="D202" s="120" t="s">
        <v>31</v>
      </c>
      <c r="E202" s="120" t="s">
        <v>716</v>
      </c>
      <c r="F202" s="121" t="s">
        <v>16</v>
      </c>
      <c r="G202" s="121" t="s">
        <v>687</v>
      </c>
      <c r="H202" s="126">
        <v>0.34970000000000001</v>
      </c>
      <c r="I202" s="122">
        <v>0.14829999999999999</v>
      </c>
      <c r="J202" s="122" t="s">
        <v>717</v>
      </c>
      <c r="K202" s="122" t="s">
        <v>717</v>
      </c>
      <c r="L202" s="121">
        <v>5000</v>
      </c>
      <c r="M202" s="121">
        <v>500000</v>
      </c>
      <c r="N202" s="105">
        <v>44197</v>
      </c>
      <c r="O202" s="105">
        <v>44377</v>
      </c>
      <c r="P202" t="s">
        <v>718</v>
      </c>
    </row>
    <row r="203" spans="1:16" ht="15" customHeight="1" x14ac:dyDescent="0.3">
      <c r="A203" t="str">
        <f t="shared" si="3"/>
        <v>22-4-E7-SmartFIX – 2 Year</v>
      </c>
      <c r="B203" s="119" t="s">
        <v>13</v>
      </c>
      <c r="C203" s="119">
        <v>22</v>
      </c>
      <c r="D203" s="120" t="s">
        <v>31</v>
      </c>
      <c r="E203" s="120" t="s">
        <v>17</v>
      </c>
      <c r="F203" s="121" t="s">
        <v>18</v>
      </c>
      <c r="G203" s="121" t="s">
        <v>687</v>
      </c>
      <c r="H203" s="126">
        <v>0.34970000000000001</v>
      </c>
      <c r="I203" s="122">
        <v>0.15709999999999999</v>
      </c>
      <c r="J203" s="122">
        <v>0.1186</v>
      </c>
      <c r="K203" s="122" t="s">
        <v>717</v>
      </c>
      <c r="L203" s="121">
        <v>5000</v>
      </c>
      <c r="M203" s="121">
        <v>500000</v>
      </c>
      <c r="N203" s="105">
        <v>44197</v>
      </c>
      <c r="O203" s="105">
        <v>44377</v>
      </c>
      <c r="P203" t="s">
        <v>718</v>
      </c>
    </row>
    <row r="204" spans="1:16" ht="15" customHeight="1" x14ac:dyDescent="0.3">
      <c r="A204" t="str">
        <f t="shared" ref="A204:A267" si="4">IF(E204="OP","",CONCATENATE(C204,"-",RIGHT(F204,1),"-",IF(OR(E204="1 Rate MD",E204="DAY"),"U",IF(OR(E204="2 Rate MD",E204="E7"),"E7",IF(OR(E204="3 Rate MD (EW)",E204="EW"),"EW",IF(OR(E204="3 Rate MD",E204="EWN"),"3RATE",IF(E204="HH 2RATE (CT)","HH 2RATE (CT)",IF(E204="HH 2RATE (WC)","HH 2RATE (WC)",IF(E204="HH 1RATE (CT)","HH 1RATE (CT)",IF(E204="HH 1RATE (WC)","HH 1RATE (WC)")))))))),"-",G204))</f>
        <v>22-3-EW-SmartFIX – 2 Year</v>
      </c>
      <c r="B204" s="119" t="s">
        <v>13</v>
      </c>
      <c r="C204" s="119">
        <v>22</v>
      </c>
      <c r="D204" s="120" t="s">
        <v>31</v>
      </c>
      <c r="E204" s="120" t="s">
        <v>19</v>
      </c>
      <c r="F204" s="121" t="s">
        <v>16</v>
      </c>
      <c r="G204" s="121" t="s">
        <v>687</v>
      </c>
      <c r="H204" s="126">
        <v>0.34970000000000001</v>
      </c>
      <c r="I204" s="122">
        <v>0.1575</v>
      </c>
      <c r="J204" s="122" t="s">
        <v>717</v>
      </c>
      <c r="K204" s="122">
        <v>0.13689999999999999</v>
      </c>
      <c r="L204" s="121">
        <v>5000</v>
      </c>
      <c r="M204" s="121">
        <v>500000</v>
      </c>
      <c r="N204" s="105">
        <v>44197</v>
      </c>
      <c r="O204" s="105">
        <v>44377</v>
      </c>
      <c r="P204" t="s">
        <v>718</v>
      </c>
    </row>
    <row r="205" spans="1:16" ht="15" customHeight="1" x14ac:dyDescent="0.3">
      <c r="A205" t="str">
        <f t="shared" si="4"/>
        <v>22-4-3RATE-SmartFIX – 2 Year</v>
      </c>
      <c r="B205" s="119" t="s">
        <v>13</v>
      </c>
      <c r="C205" s="119">
        <v>22</v>
      </c>
      <c r="D205" s="120" t="s">
        <v>31</v>
      </c>
      <c r="E205" s="120" t="s">
        <v>719</v>
      </c>
      <c r="F205" s="121" t="s">
        <v>18</v>
      </c>
      <c r="G205" s="121" t="s">
        <v>687</v>
      </c>
      <c r="H205" s="126">
        <v>0.34970000000000001</v>
      </c>
      <c r="I205" s="122">
        <v>0.1651</v>
      </c>
      <c r="J205" s="122">
        <v>0.1115</v>
      </c>
      <c r="K205" s="122">
        <v>0.1517</v>
      </c>
      <c r="L205" s="121">
        <v>5000</v>
      </c>
      <c r="M205" s="121">
        <v>500000</v>
      </c>
      <c r="N205" s="105">
        <v>44197</v>
      </c>
      <c r="O205" s="105">
        <v>44377</v>
      </c>
      <c r="P205" t="s">
        <v>718</v>
      </c>
    </row>
    <row r="206" spans="1:16" ht="15" customHeight="1" x14ac:dyDescent="0.3">
      <c r="A206" t="str">
        <f t="shared" si="4"/>
        <v/>
      </c>
      <c r="B206" s="119" t="s">
        <v>13</v>
      </c>
      <c r="C206" s="119">
        <v>22</v>
      </c>
      <c r="D206" s="120" t="s">
        <v>31</v>
      </c>
      <c r="E206" s="120" t="s">
        <v>720</v>
      </c>
      <c r="F206" s="121" t="s">
        <v>18</v>
      </c>
      <c r="G206" s="121" t="s">
        <v>687</v>
      </c>
      <c r="H206" s="126">
        <v>0.34970000000000001</v>
      </c>
      <c r="I206" s="122" t="s">
        <v>717</v>
      </c>
      <c r="J206" s="122">
        <v>0.13689999999999999</v>
      </c>
      <c r="K206" s="122" t="s">
        <v>717</v>
      </c>
      <c r="L206" s="121">
        <v>5000</v>
      </c>
      <c r="M206" s="121">
        <v>500000</v>
      </c>
      <c r="N206" s="105">
        <v>44197</v>
      </c>
      <c r="O206" s="105">
        <v>44377</v>
      </c>
      <c r="P206" t="s">
        <v>718</v>
      </c>
    </row>
    <row r="207" spans="1:16" ht="15" customHeight="1" x14ac:dyDescent="0.3">
      <c r="A207" t="str">
        <f t="shared" si="4"/>
        <v>23-3-U-SmartFIX – 2 Year</v>
      </c>
      <c r="B207" s="119" t="s">
        <v>13</v>
      </c>
      <c r="C207" s="119">
        <v>23</v>
      </c>
      <c r="D207" s="120" t="s">
        <v>32</v>
      </c>
      <c r="E207" s="120" t="s">
        <v>716</v>
      </c>
      <c r="F207" s="121" t="s">
        <v>16</v>
      </c>
      <c r="G207" s="121" t="s">
        <v>687</v>
      </c>
      <c r="H207" s="126">
        <v>0.30719999999999997</v>
      </c>
      <c r="I207" s="122">
        <v>0.14380000000000001</v>
      </c>
      <c r="J207" s="122" t="s">
        <v>717</v>
      </c>
      <c r="K207" s="122" t="s">
        <v>717</v>
      </c>
      <c r="L207" s="121">
        <v>5000</v>
      </c>
      <c r="M207" s="121">
        <v>500000</v>
      </c>
      <c r="N207" s="105">
        <v>44197</v>
      </c>
      <c r="O207" s="105">
        <v>44377</v>
      </c>
      <c r="P207" t="s">
        <v>718</v>
      </c>
    </row>
    <row r="208" spans="1:16" ht="15" customHeight="1" x14ac:dyDescent="0.3">
      <c r="A208" t="str">
        <f t="shared" si="4"/>
        <v>23-4-E7-SmartFIX – 2 Year</v>
      </c>
      <c r="B208" s="119" t="s">
        <v>13</v>
      </c>
      <c r="C208" s="119">
        <v>23</v>
      </c>
      <c r="D208" s="120" t="s">
        <v>32</v>
      </c>
      <c r="E208" s="120" t="s">
        <v>17</v>
      </c>
      <c r="F208" s="121" t="s">
        <v>18</v>
      </c>
      <c r="G208" s="121" t="s">
        <v>687</v>
      </c>
      <c r="H208" s="126">
        <v>0.30719999999999997</v>
      </c>
      <c r="I208" s="122">
        <v>0.14949999999999999</v>
      </c>
      <c r="J208" s="122">
        <v>0.1082</v>
      </c>
      <c r="K208" s="122" t="s">
        <v>717</v>
      </c>
      <c r="L208" s="121">
        <v>5000</v>
      </c>
      <c r="M208" s="121">
        <v>500000</v>
      </c>
      <c r="N208" s="105">
        <v>44197</v>
      </c>
      <c r="O208" s="105">
        <v>44377</v>
      </c>
      <c r="P208" t="s">
        <v>718</v>
      </c>
    </row>
    <row r="209" spans="1:16" ht="15" customHeight="1" x14ac:dyDescent="0.3">
      <c r="A209" t="str">
        <f t="shared" si="4"/>
        <v>23-3-EW-SmartFIX – 2 Year</v>
      </c>
      <c r="B209" s="119" t="s">
        <v>13</v>
      </c>
      <c r="C209" s="119">
        <v>23</v>
      </c>
      <c r="D209" s="120" t="s">
        <v>32</v>
      </c>
      <c r="E209" s="120" t="s">
        <v>19</v>
      </c>
      <c r="F209" s="121" t="s">
        <v>16</v>
      </c>
      <c r="G209" s="121" t="s">
        <v>687</v>
      </c>
      <c r="H209" s="126">
        <v>0.30719999999999997</v>
      </c>
      <c r="I209" s="122">
        <v>0.1525</v>
      </c>
      <c r="J209" s="122" t="s">
        <v>717</v>
      </c>
      <c r="K209" s="122">
        <v>0.13200000000000001</v>
      </c>
      <c r="L209" s="121">
        <v>5000</v>
      </c>
      <c r="M209" s="121">
        <v>500000</v>
      </c>
      <c r="N209" s="105">
        <v>44197</v>
      </c>
      <c r="O209" s="105">
        <v>44377</v>
      </c>
      <c r="P209" t="s">
        <v>718</v>
      </c>
    </row>
    <row r="210" spans="1:16" ht="15" customHeight="1" x14ac:dyDescent="0.3">
      <c r="A210" t="str">
        <f t="shared" si="4"/>
        <v>23-4-3RATE-SmartFIX – 2 Year</v>
      </c>
      <c r="B210" s="119" t="s">
        <v>13</v>
      </c>
      <c r="C210" s="119">
        <v>23</v>
      </c>
      <c r="D210" s="120" t="s">
        <v>32</v>
      </c>
      <c r="E210" s="120" t="s">
        <v>719</v>
      </c>
      <c r="F210" s="121" t="s">
        <v>18</v>
      </c>
      <c r="G210" s="121" t="s">
        <v>687</v>
      </c>
      <c r="H210" s="126">
        <v>0.30719999999999997</v>
      </c>
      <c r="I210" s="122">
        <v>0.16159999999999999</v>
      </c>
      <c r="J210" s="122">
        <v>0.1114</v>
      </c>
      <c r="K210" s="122">
        <v>0.14280000000000001</v>
      </c>
      <c r="L210" s="121">
        <v>5000</v>
      </c>
      <c r="M210" s="121">
        <v>500000</v>
      </c>
      <c r="N210" s="105">
        <v>44197</v>
      </c>
      <c r="O210" s="105">
        <v>44377</v>
      </c>
      <c r="P210" t="s">
        <v>718</v>
      </c>
    </row>
    <row r="211" spans="1:16" ht="15" customHeight="1" x14ac:dyDescent="0.3">
      <c r="A211" t="str">
        <f t="shared" si="4"/>
        <v/>
      </c>
      <c r="B211" s="119" t="s">
        <v>13</v>
      </c>
      <c r="C211" s="119">
        <v>23</v>
      </c>
      <c r="D211" s="120" t="s">
        <v>32</v>
      </c>
      <c r="E211" s="120" t="s">
        <v>720</v>
      </c>
      <c r="F211" s="121" t="s">
        <v>18</v>
      </c>
      <c r="G211" s="121" t="s">
        <v>687</v>
      </c>
      <c r="H211" s="126">
        <v>0.30719999999999997</v>
      </c>
      <c r="I211" s="122" t="s">
        <v>717</v>
      </c>
      <c r="J211" s="122">
        <v>0.13200000000000001</v>
      </c>
      <c r="K211" s="122" t="s">
        <v>717</v>
      </c>
      <c r="L211" s="121">
        <v>5000</v>
      </c>
      <c r="M211" s="121">
        <v>500000</v>
      </c>
      <c r="N211" s="105">
        <v>44197</v>
      </c>
      <c r="O211" s="105">
        <v>44377</v>
      </c>
      <c r="P211" t="s">
        <v>718</v>
      </c>
    </row>
    <row r="212" spans="1:16" ht="15" customHeight="1" x14ac:dyDescent="0.3">
      <c r="A212" t="str">
        <f t="shared" si="4"/>
        <v>10-3-U-SmartFIX – 3 Year</v>
      </c>
      <c r="B212" s="119" t="s">
        <v>13</v>
      </c>
      <c r="C212" s="119">
        <v>10</v>
      </c>
      <c r="D212" s="120" t="s">
        <v>14</v>
      </c>
      <c r="E212" s="120" t="s">
        <v>716</v>
      </c>
      <c r="F212" s="121" t="s">
        <v>16</v>
      </c>
      <c r="G212" s="121" t="s">
        <v>691</v>
      </c>
      <c r="H212" s="126">
        <v>0.31119999999999998</v>
      </c>
      <c r="I212" s="122">
        <v>0.14499999999999999</v>
      </c>
      <c r="J212" s="122" t="s">
        <v>717</v>
      </c>
      <c r="K212" s="122" t="s">
        <v>717</v>
      </c>
      <c r="L212" s="121">
        <v>5000</v>
      </c>
      <c r="M212" s="121">
        <v>500000</v>
      </c>
      <c r="N212" s="105">
        <v>44197</v>
      </c>
      <c r="O212" s="105">
        <v>44377</v>
      </c>
      <c r="P212" t="s">
        <v>718</v>
      </c>
    </row>
    <row r="213" spans="1:16" ht="15" customHeight="1" x14ac:dyDescent="0.3">
      <c r="A213" t="str">
        <f t="shared" si="4"/>
        <v>10-4-E7-SmartFIX – 3 Year</v>
      </c>
      <c r="B213" s="119" t="s">
        <v>13</v>
      </c>
      <c r="C213" s="119">
        <v>10</v>
      </c>
      <c r="D213" s="120" t="s">
        <v>14</v>
      </c>
      <c r="E213" s="120" t="s">
        <v>17</v>
      </c>
      <c r="F213" s="121" t="s">
        <v>18</v>
      </c>
      <c r="G213" s="121" t="s">
        <v>691</v>
      </c>
      <c r="H213" s="126">
        <v>0.31119999999999998</v>
      </c>
      <c r="I213" s="122">
        <v>0.155</v>
      </c>
      <c r="J213" s="122">
        <v>0.1047</v>
      </c>
      <c r="K213" s="122" t="s">
        <v>717</v>
      </c>
      <c r="L213" s="121">
        <v>5000</v>
      </c>
      <c r="M213" s="121">
        <v>500000</v>
      </c>
      <c r="N213" s="105">
        <v>44197</v>
      </c>
      <c r="O213" s="105">
        <v>44377</v>
      </c>
      <c r="P213" t="s">
        <v>718</v>
      </c>
    </row>
    <row r="214" spans="1:16" ht="15" customHeight="1" x14ac:dyDescent="0.3">
      <c r="A214" t="str">
        <f t="shared" si="4"/>
        <v>10-3-EW-SmartFIX – 3 Year</v>
      </c>
      <c r="B214" s="119" t="s">
        <v>13</v>
      </c>
      <c r="C214" s="119">
        <v>10</v>
      </c>
      <c r="D214" s="120" t="s">
        <v>14</v>
      </c>
      <c r="E214" s="120" t="s">
        <v>19</v>
      </c>
      <c r="F214" s="121" t="s">
        <v>16</v>
      </c>
      <c r="G214" s="121" t="s">
        <v>691</v>
      </c>
      <c r="H214" s="126">
        <v>0.31119999999999998</v>
      </c>
      <c r="I214" s="122">
        <v>0.154</v>
      </c>
      <c r="J214" s="122" t="s">
        <v>717</v>
      </c>
      <c r="K214" s="122">
        <v>0.13139999999999999</v>
      </c>
      <c r="L214" s="121">
        <v>5000</v>
      </c>
      <c r="M214" s="121">
        <v>500000</v>
      </c>
      <c r="N214" s="105">
        <v>44197</v>
      </c>
      <c r="O214" s="105">
        <v>44377</v>
      </c>
      <c r="P214" t="s">
        <v>718</v>
      </c>
    </row>
    <row r="215" spans="1:16" ht="15" customHeight="1" x14ac:dyDescent="0.3">
      <c r="A215" t="str">
        <f t="shared" si="4"/>
        <v>10-4-3RATE-SmartFIX – 3 Year</v>
      </c>
      <c r="B215" s="119" t="s">
        <v>13</v>
      </c>
      <c r="C215" s="119">
        <v>10</v>
      </c>
      <c r="D215" s="120" t="s">
        <v>14</v>
      </c>
      <c r="E215" s="120" t="s">
        <v>719</v>
      </c>
      <c r="F215" s="121" t="s">
        <v>18</v>
      </c>
      <c r="G215" s="121" t="s">
        <v>691</v>
      </c>
      <c r="H215" s="126">
        <v>0.31119999999999998</v>
      </c>
      <c r="I215" s="122">
        <v>0.1646</v>
      </c>
      <c r="J215" s="122">
        <v>0.1047</v>
      </c>
      <c r="K215" s="122">
        <v>0.14749999999999999</v>
      </c>
      <c r="L215" s="121">
        <v>5000</v>
      </c>
      <c r="M215" s="121">
        <v>500000</v>
      </c>
      <c r="N215" s="105">
        <v>44197</v>
      </c>
      <c r="O215" s="105">
        <v>44377</v>
      </c>
      <c r="P215" t="s">
        <v>718</v>
      </c>
    </row>
    <row r="216" spans="1:16" ht="15" customHeight="1" x14ac:dyDescent="0.3">
      <c r="A216" t="str">
        <f t="shared" si="4"/>
        <v/>
      </c>
      <c r="B216" s="119" t="s">
        <v>13</v>
      </c>
      <c r="C216" s="119">
        <v>10</v>
      </c>
      <c r="D216" s="120" t="s">
        <v>14</v>
      </c>
      <c r="E216" s="120" t="s">
        <v>720</v>
      </c>
      <c r="F216" s="121" t="s">
        <v>18</v>
      </c>
      <c r="G216" s="121" t="s">
        <v>691</v>
      </c>
      <c r="H216" s="126">
        <v>0.31119999999999998</v>
      </c>
      <c r="I216" s="122" t="s">
        <v>717</v>
      </c>
      <c r="J216" s="122">
        <v>0.13139999999999999</v>
      </c>
      <c r="K216" s="122" t="s">
        <v>717</v>
      </c>
      <c r="L216" s="121">
        <v>5000</v>
      </c>
      <c r="M216" s="121">
        <v>500000</v>
      </c>
      <c r="N216" s="105">
        <v>44197</v>
      </c>
      <c r="O216" s="105">
        <v>44377</v>
      </c>
      <c r="P216" t="s">
        <v>718</v>
      </c>
    </row>
    <row r="217" spans="1:16" ht="15" customHeight="1" x14ac:dyDescent="0.3">
      <c r="A217" t="str">
        <f t="shared" si="4"/>
        <v>11-3-U-SmartFIX – 3 Year</v>
      </c>
      <c r="B217" s="119" t="s">
        <v>13</v>
      </c>
      <c r="C217" s="119">
        <v>11</v>
      </c>
      <c r="D217" s="120" t="s">
        <v>20</v>
      </c>
      <c r="E217" s="120" t="s">
        <v>716</v>
      </c>
      <c r="F217" s="121" t="s">
        <v>16</v>
      </c>
      <c r="G217" s="121" t="s">
        <v>691</v>
      </c>
      <c r="H217" s="126">
        <v>0.32069999999999999</v>
      </c>
      <c r="I217" s="122">
        <v>0.14530000000000001</v>
      </c>
      <c r="J217" s="122" t="s">
        <v>717</v>
      </c>
      <c r="K217" s="122" t="s">
        <v>717</v>
      </c>
      <c r="L217" s="121">
        <v>5000</v>
      </c>
      <c r="M217" s="121">
        <v>500000</v>
      </c>
      <c r="N217" s="105">
        <v>44197</v>
      </c>
      <c r="O217" s="105">
        <v>44377</v>
      </c>
      <c r="P217" t="s">
        <v>718</v>
      </c>
    </row>
    <row r="218" spans="1:16" ht="15" customHeight="1" x14ac:dyDescent="0.3">
      <c r="A218" t="str">
        <f t="shared" si="4"/>
        <v>11-4-E7-SmartFIX – 3 Year</v>
      </c>
      <c r="B218" s="119" t="s">
        <v>13</v>
      </c>
      <c r="C218" s="119">
        <v>11</v>
      </c>
      <c r="D218" s="120" t="s">
        <v>20</v>
      </c>
      <c r="E218" s="120" t="s">
        <v>17</v>
      </c>
      <c r="F218" s="121" t="s">
        <v>18</v>
      </c>
      <c r="G218" s="121" t="s">
        <v>691</v>
      </c>
      <c r="H218" s="126">
        <v>0.32069999999999999</v>
      </c>
      <c r="I218" s="122">
        <v>0.15279999999999999</v>
      </c>
      <c r="J218" s="122">
        <v>0.1086</v>
      </c>
      <c r="K218" s="122" t="s">
        <v>717</v>
      </c>
      <c r="L218" s="121">
        <v>5000</v>
      </c>
      <c r="M218" s="121">
        <v>500000</v>
      </c>
      <c r="N218" s="105">
        <v>44197</v>
      </c>
      <c r="O218" s="105">
        <v>44377</v>
      </c>
      <c r="P218" t="s">
        <v>718</v>
      </c>
    </row>
    <row r="219" spans="1:16" ht="15" customHeight="1" x14ac:dyDescent="0.3">
      <c r="A219" t="str">
        <f t="shared" si="4"/>
        <v>11-3-EW-SmartFIX – 3 Year</v>
      </c>
      <c r="B219" s="119" t="s">
        <v>13</v>
      </c>
      <c r="C219" s="119">
        <v>11</v>
      </c>
      <c r="D219" s="120" t="s">
        <v>20</v>
      </c>
      <c r="E219" s="120" t="s">
        <v>19</v>
      </c>
      <c r="F219" s="121" t="s">
        <v>16</v>
      </c>
      <c r="G219" s="121" t="s">
        <v>691</v>
      </c>
      <c r="H219" s="126">
        <v>0.32069999999999999</v>
      </c>
      <c r="I219" s="122">
        <v>0.15379999999999999</v>
      </c>
      <c r="J219" s="122" t="s">
        <v>717</v>
      </c>
      <c r="K219" s="122">
        <v>0.1321</v>
      </c>
      <c r="L219" s="121">
        <v>5000</v>
      </c>
      <c r="M219" s="121">
        <v>500000</v>
      </c>
      <c r="N219" s="105">
        <v>44197</v>
      </c>
      <c r="O219" s="105">
        <v>44377</v>
      </c>
      <c r="P219" t="s">
        <v>718</v>
      </c>
    </row>
    <row r="220" spans="1:16" ht="15" customHeight="1" x14ac:dyDescent="0.3">
      <c r="A220" t="str">
        <f t="shared" si="4"/>
        <v>11-4-3RATE-SmartFIX – 3 Year</v>
      </c>
      <c r="B220" s="119" t="s">
        <v>13</v>
      </c>
      <c r="C220" s="119">
        <v>11</v>
      </c>
      <c r="D220" s="120" t="s">
        <v>20</v>
      </c>
      <c r="E220" s="120" t="s">
        <v>719</v>
      </c>
      <c r="F220" s="121" t="s">
        <v>18</v>
      </c>
      <c r="G220" s="121" t="s">
        <v>691</v>
      </c>
      <c r="H220" s="126">
        <v>0.32069999999999999</v>
      </c>
      <c r="I220" s="122">
        <v>0.16109999999999999</v>
      </c>
      <c r="J220" s="122">
        <v>0.1062</v>
      </c>
      <c r="K220" s="122">
        <v>0.14050000000000001</v>
      </c>
      <c r="L220" s="121">
        <v>5000</v>
      </c>
      <c r="M220" s="121">
        <v>500000</v>
      </c>
      <c r="N220" s="105">
        <v>44197</v>
      </c>
      <c r="O220" s="105">
        <v>44377</v>
      </c>
      <c r="P220" t="s">
        <v>718</v>
      </c>
    </row>
    <row r="221" spans="1:16" ht="15" customHeight="1" x14ac:dyDescent="0.3">
      <c r="A221" t="str">
        <f t="shared" si="4"/>
        <v/>
      </c>
      <c r="B221" s="119" t="s">
        <v>13</v>
      </c>
      <c r="C221" s="119">
        <v>11</v>
      </c>
      <c r="D221" s="120" t="s">
        <v>20</v>
      </c>
      <c r="E221" s="120" t="s">
        <v>720</v>
      </c>
      <c r="F221" s="121" t="s">
        <v>18</v>
      </c>
      <c r="G221" s="121" t="s">
        <v>691</v>
      </c>
      <c r="H221" s="126">
        <v>0.32069999999999999</v>
      </c>
      <c r="I221" s="122" t="s">
        <v>717</v>
      </c>
      <c r="J221" s="122">
        <v>0.1321</v>
      </c>
      <c r="K221" s="122" t="s">
        <v>717</v>
      </c>
      <c r="L221" s="121">
        <v>5000</v>
      </c>
      <c r="M221" s="121">
        <v>500000</v>
      </c>
      <c r="N221" s="105">
        <v>44197</v>
      </c>
      <c r="O221" s="105">
        <v>44377</v>
      </c>
      <c r="P221" t="s">
        <v>718</v>
      </c>
    </row>
    <row r="222" spans="1:16" ht="15" customHeight="1" x14ac:dyDescent="0.3">
      <c r="A222" t="str">
        <f t="shared" si="4"/>
        <v>12-3-U-SmartFIX – 3 Year</v>
      </c>
      <c r="B222" s="119" t="s">
        <v>13</v>
      </c>
      <c r="C222" s="119">
        <v>12</v>
      </c>
      <c r="D222" s="120" t="s">
        <v>21</v>
      </c>
      <c r="E222" s="120" t="s">
        <v>716</v>
      </c>
      <c r="F222" s="121" t="s">
        <v>16</v>
      </c>
      <c r="G222" s="121" t="s">
        <v>691</v>
      </c>
      <c r="H222" s="126">
        <v>0.24199999999999999</v>
      </c>
      <c r="I222" s="122">
        <v>0.13919999999999999</v>
      </c>
      <c r="J222" s="122" t="s">
        <v>717</v>
      </c>
      <c r="K222" s="122" t="s">
        <v>717</v>
      </c>
      <c r="L222" s="121">
        <v>5000</v>
      </c>
      <c r="M222" s="121">
        <v>500000</v>
      </c>
      <c r="N222" s="105">
        <v>44197</v>
      </c>
      <c r="O222" s="105">
        <v>44377</v>
      </c>
      <c r="P222" t="s">
        <v>718</v>
      </c>
    </row>
    <row r="223" spans="1:16" ht="15" customHeight="1" x14ac:dyDescent="0.3">
      <c r="A223" t="str">
        <f t="shared" si="4"/>
        <v>12-4-E7-SmartFIX – 3 Year</v>
      </c>
      <c r="B223" s="119" t="s">
        <v>13</v>
      </c>
      <c r="C223" s="119">
        <v>12</v>
      </c>
      <c r="D223" s="120" t="s">
        <v>21</v>
      </c>
      <c r="E223" s="120" t="s">
        <v>17</v>
      </c>
      <c r="F223" s="121" t="s">
        <v>18</v>
      </c>
      <c r="G223" s="121" t="s">
        <v>691</v>
      </c>
      <c r="H223" s="126">
        <v>0.24199999999999999</v>
      </c>
      <c r="I223" s="122">
        <v>0.15090000000000001</v>
      </c>
      <c r="J223" s="122">
        <v>0.10630000000000001</v>
      </c>
      <c r="K223" s="122" t="s">
        <v>717</v>
      </c>
      <c r="L223" s="121">
        <v>5000</v>
      </c>
      <c r="M223" s="121">
        <v>500000</v>
      </c>
      <c r="N223" s="105">
        <v>44197</v>
      </c>
      <c r="O223" s="105">
        <v>44377</v>
      </c>
      <c r="P223" t="s">
        <v>718</v>
      </c>
    </row>
    <row r="224" spans="1:16" ht="15" customHeight="1" x14ac:dyDescent="0.3">
      <c r="A224" t="str">
        <f t="shared" si="4"/>
        <v>12-3-EW-SmartFIX – 3 Year</v>
      </c>
      <c r="B224" s="119" t="s">
        <v>13</v>
      </c>
      <c r="C224" s="119">
        <v>12</v>
      </c>
      <c r="D224" s="120" t="s">
        <v>21</v>
      </c>
      <c r="E224" s="120" t="s">
        <v>19</v>
      </c>
      <c r="F224" s="121" t="s">
        <v>16</v>
      </c>
      <c r="G224" s="121" t="s">
        <v>691</v>
      </c>
      <c r="H224" s="126">
        <v>0.24199999999999999</v>
      </c>
      <c r="I224" s="122">
        <v>0.14760000000000001</v>
      </c>
      <c r="J224" s="122" t="s">
        <v>717</v>
      </c>
      <c r="K224" s="122">
        <v>0.12740000000000001</v>
      </c>
      <c r="L224" s="121">
        <v>5000</v>
      </c>
      <c r="M224" s="121">
        <v>500000</v>
      </c>
      <c r="N224" s="105">
        <v>44197</v>
      </c>
      <c r="O224" s="105">
        <v>44377</v>
      </c>
      <c r="P224" t="s">
        <v>718</v>
      </c>
    </row>
    <row r="225" spans="1:16" ht="15" customHeight="1" x14ac:dyDescent="0.3">
      <c r="A225" t="str">
        <f t="shared" si="4"/>
        <v>12-4-3RATE-SmartFIX – 3 Year</v>
      </c>
      <c r="B225" s="119" t="s">
        <v>13</v>
      </c>
      <c r="C225" s="119">
        <v>12</v>
      </c>
      <c r="D225" s="120" t="s">
        <v>21</v>
      </c>
      <c r="E225" s="120" t="s">
        <v>719</v>
      </c>
      <c r="F225" s="121" t="s">
        <v>18</v>
      </c>
      <c r="G225" s="121" t="s">
        <v>691</v>
      </c>
      <c r="H225" s="126">
        <v>0.24199999999999999</v>
      </c>
      <c r="I225" s="122">
        <v>0.24399999999999999</v>
      </c>
      <c r="J225" s="122">
        <v>0.24399999999999999</v>
      </c>
      <c r="K225" s="122">
        <v>0.24399999999999999</v>
      </c>
      <c r="L225" s="121">
        <v>5000</v>
      </c>
      <c r="M225" s="121">
        <v>500000</v>
      </c>
      <c r="N225" s="105">
        <v>44197</v>
      </c>
      <c r="O225" s="105">
        <v>44377</v>
      </c>
      <c r="P225" t="s">
        <v>718</v>
      </c>
    </row>
    <row r="226" spans="1:16" ht="15" customHeight="1" x14ac:dyDescent="0.3">
      <c r="A226" t="str">
        <f t="shared" si="4"/>
        <v/>
      </c>
      <c r="B226" s="119" t="s">
        <v>13</v>
      </c>
      <c r="C226" s="119">
        <v>12</v>
      </c>
      <c r="D226" s="120" t="s">
        <v>21</v>
      </c>
      <c r="E226" s="120" t="s">
        <v>720</v>
      </c>
      <c r="F226" s="121" t="s">
        <v>18</v>
      </c>
      <c r="G226" s="121" t="s">
        <v>691</v>
      </c>
      <c r="H226" s="126">
        <v>0.24199999999999999</v>
      </c>
      <c r="I226" s="122" t="s">
        <v>717</v>
      </c>
      <c r="J226" s="122">
        <v>0.12740000000000001</v>
      </c>
      <c r="K226" s="122" t="s">
        <v>717</v>
      </c>
      <c r="L226" s="121">
        <v>5000</v>
      </c>
      <c r="M226" s="121">
        <v>500000</v>
      </c>
      <c r="N226" s="105">
        <v>44197</v>
      </c>
      <c r="O226" s="105">
        <v>44377</v>
      </c>
      <c r="P226" t="s">
        <v>718</v>
      </c>
    </row>
    <row r="227" spans="1:16" ht="15" customHeight="1" x14ac:dyDescent="0.3">
      <c r="A227" t="str">
        <f t="shared" si="4"/>
        <v>13-3-U-SmartFIX – 3 Year</v>
      </c>
      <c r="B227" s="119" t="s">
        <v>13</v>
      </c>
      <c r="C227" s="119">
        <v>13</v>
      </c>
      <c r="D227" s="120" t="s">
        <v>22</v>
      </c>
      <c r="E227" s="120" t="s">
        <v>716</v>
      </c>
      <c r="F227" s="121" t="s">
        <v>16</v>
      </c>
      <c r="G227" s="121" t="s">
        <v>691</v>
      </c>
      <c r="H227" s="126">
        <v>0.28489999999999999</v>
      </c>
      <c r="I227" s="122">
        <v>0.16450000000000001</v>
      </c>
      <c r="J227" s="122" t="s">
        <v>717</v>
      </c>
      <c r="K227" s="122" t="s">
        <v>717</v>
      </c>
      <c r="L227" s="121">
        <v>5000</v>
      </c>
      <c r="M227" s="121">
        <v>500000</v>
      </c>
      <c r="N227" s="105">
        <v>44197</v>
      </c>
      <c r="O227" s="105">
        <v>44377</v>
      </c>
      <c r="P227" t="s">
        <v>718</v>
      </c>
    </row>
    <row r="228" spans="1:16" ht="15" customHeight="1" x14ac:dyDescent="0.3">
      <c r="A228" t="str">
        <f t="shared" si="4"/>
        <v>13-4-E7-SmartFIX – 3 Year</v>
      </c>
      <c r="B228" s="119" t="s">
        <v>13</v>
      </c>
      <c r="C228" s="119">
        <v>13</v>
      </c>
      <c r="D228" s="120" t="s">
        <v>22</v>
      </c>
      <c r="E228" s="120" t="s">
        <v>17</v>
      </c>
      <c r="F228" s="121" t="s">
        <v>18</v>
      </c>
      <c r="G228" s="121" t="s">
        <v>691</v>
      </c>
      <c r="H228" s="126">
        <v>0.28489999999999999</v>
      </c>
      <c r="I228" s="122">
        <v>0.16669999999999999</v>
      </c>
      <c r="J228" s="122">
        <v>0.1205</v>
      </c>
      <c r="K228" s="122" t="s">
        <v>717</v>
      </c>
      <c r="L228" s="121">
        <v>5000</v>
      </c>
      <c r="M228" s="121">
        <v>500000</v>
      </c>
      <c r="N228" s="105">
        <v>44197</v>
      </c>
      <c r="O228" s="105">
        <v>44377</v>
      </c>
      <c r="P228" t="s">
        <v>718</v>
      </c>
    </row>
    <row r="229" spans="1:16" ht="15" customHeight="1" x14ac:dyDescent="0.3">
      <c r="A229" t="str">
        <f t="shared" si="4"/>
        <v>13-3-EW-SmartFIX – 3 Year</v>
      </c>
      <c r="B229" s="119" t="s">
        <v>13</v>
      </c>
      <c r="C229" s="119">
        <v>13</v>
      </c>
      <c r="D229" s="120" t="s">
        <v>22</v>
      </c>
      <c r="E229" s="120" t="s">
        <v>19</v>
      </c>
      <c r="F229" s="121" t="s">
        <v>16</v>
      </c>
      <c r="G229" s="121" t="s">
        <v>691</v>
      </c>
      <c r="H229" s="126">
        <v>0.28489999999999999</v>
      </c>
      <c r="I229" s="122">
        <v>0.24399999999999999</v>
      </c>
      <c r="J229" s="122" t="s">
        <v>717</v>
      </c>
      <c r="K229" s="122">
        <v>0.24399999999999999</v>
      </c>
      <c r="L229" s="121">
        <v>5000</v>
      </c>
      <c r="M229" s="121">
        <v>500000</v>
      </c>
      <c r="N229" s="105">
        <v>44197</v>
      </c>
      <c r="O229" s="105">
        <v>44377</v>
      </c>
      <c r="P229" t="s">
        <v>718</v>
      </c>
    </row>
    <row r="230" spans="1:16" ht="15" customHeight="1" x14ac:dyDescent="0.3">
      <c r="A230" t="str">
        <f t="shared" si="4"/>
        <v>13-4-3RATE-SmartFIX – 3 Year</v>
      </c>
      <c r="B230" s="119" t="s">
        <v>13</v>
      </c>
      <c r="C230" s="119">
        <v>13</v>
      </c>
      <c r="D230" s="120" t="s">
        <v>22</v>
      </c>
      <c r="E230" s="120" t="s">
        <v>719</v>
      </c>
      <c r="F230" s="121" t="s">
        <v>18</v>
      </c>
      <c r="G230" s="121" t="s">
        <v>691</v>
      </c>
      <c r="H230" s="126">
        <v>0.28489999999999999</v>
      </c>
      <c r="I230" s="122">
        <v>0.17849999999999999</v>
      </c>
      <c r="J230" s="122">
        <v>0.1202</v>
      </c>
      <c r="K230" s="122">
        <v>0.1643</v>
      </c>
      <c r="L230" s="121">
        <v>5000</v>
      </c>
      <c r="M230" s="121">
        <v>500000</v>
      </c>
      <c r="N230" s="105">
        <v>44197</v>
      </c>
      <c r="O230" s="105">
        <v>44377</v>
      </c>
      <c r="P230" t="s">
        <v>718</v>
      </c>
    </row>
    <row r="231" spans="1:16" ht="15" customHeight="1" x14ac:dyDescent="0.3">
      <c r="A231" t="str">
        <f t="shared" si="4"/>
        <v/>
      </c>
      <c r="B231" s="119" t="s">
        <v>13</v>
      </c>
      <c r="C231" s="119">
        <v>13</v>
      </c>
      <c r="D231" s="120" t="s">
        <v>22</v>
      </c>
      <c r="E231" s="120" t="s">
        <v>720</v>
      </c>
      <c r="F231" s="121" t="s">
        <v>18</v>
      </c>
      <c r="G231" s="121" t="s">
        <v>691</v>
      </c>
      <c r="H231" s="126">
        <v>0.28489999999999999</v>
      </c>
      <c r="I231" s="122" t="s">
        <v>717</v>
      </c>
      <c r="J231" s="122">
        <v>0.1205</v>
      </c>
      <c r="K231" s="122" t="s">
        <v>717</v>
      </c>
      <c r="L231" s="121">
        <v>5000</v>
      </c>
      <c r="M231" s="121">
        <v>500000</v>
      </c>
      <c r="N231" s="105">
        <v>44197</v>
      </c>
      <c r="O231" s="105">
        <v>44377</v>
      </c>
      <c r="P231" t="s">
        <v>718</v>
      </c>
    </row>
    <row r="232" spans="1:16" ht="15" customHeight="1" x14ac:dyDescent="0.3">
      <c r="A232" t="str">
        <f t="shared" si="4"/>
        <v>14-3-U-SmartFIX – 3 Year</v>
      </c>
      <c r="B232" s="119" t="s">
        <v>13</v>
      </c>
      <c r="C232" s="119">
        <v>14</v>
      </c>
      <c r="D232" s="120" t="s">
        <v>23</v>
      </c>
      <c r="E232" s="120" t="s">
        <v>716</v>
      </c>
      <c r="F232" s="121" t="s">
        <v>16</v>
      </c>
      <c r="G232" s="121" t="s">
        <v>691</v>
      </c>
      <c r="H232" s="126">
        <v>0.35139999999999999</v>
      </c>
      <c r="I232" s="122">
        <v>0.1492</v>
      </c>
      <c r="J232" s="122" t="s">
        <v>717</v>
      </c>
      <c r="K232" s="122" t="s">
        <v>717</v>
      </c>
      <c r="L232" s="121">
        <v>5000</v>
      </c>
      <c r="M232" s="121">
        <v>500000</v>
      </c>
      <c r="N232" s="105">
        <v>44197</v>
      </c>
      <c r="O232" s="105">
        <v>44377</v>
      </c>
      <c r="P232" t="s">
        <v>718</v>
      </c>
    </row>
    <row r="233" spans="1:16" ht="15" customHeight="1" x14ac:dyDescent="0.3">
      <c r="A233" t="str">
        <f t="shared" si="4"/>
        <v>14-4-E7-SmartFIX – 3 Year</v>
      </c>
      <c r="B233" s="119" t="s">
        <v>13</v>
      </c>
      <c r="C233" s="119">
        <v>14</v>
      </c>
      <c r="D233" s="120" t="s">
        <v>23</v>
      </c>
      <c r="E233" s="120" t="s">
        <v>17</v>
      </c>
      <c r="F233" s="121" t="s">
        <v>18</v>
      </c>
      <c r="G233" s="121" t="s">
        <v>691</v>
      </c>
      <c r="H233" s="126">
        <v>0.35139999999999999</v>
      </c>
      <c r="I233" s="122">
        <v>0.15609999999999999</v>
      </c>
      <c r="J233" s="122">
        <v>0.1118</v>
      </c>
      <c r="K233" s="122" t="s">
        <v>717</v>
      </c>
      <c r="L233" s="121">
        <v>5000</v>
      </c>
      <c r="M233" s="121">
        <v>500000</v>
      </c>
      <c r="N233" s="105">
        <v>44197</v>
      </c>
      <c r="O233" s="105">
        <v>44377</v>
      </c>
      <c r="P233" t="s">
        <v>718</v>
      </c>
    </row>
    <row r="234" spans="1:16" ht="15" customHeight="1" x14ac:dyDescent="0.3">
      <c r="A234" t="str">
        <f t="shared" si="4"/>
        <v>14-3-EW-SmartFIX – 3 Year</v>
      </c>
      <c r="B234" s="119" t="s">
        <v>13</v>
      </c>
      <c r="C234" s="119">
        <v>14</v>
      </c>
      <c r="D234" s="120" t="s">
        <v>23</v>
      </c>
      <c r="E234" s="120" t="s">
        <v>19</v>
      </c>
      <c r="F234" s="121" t="s">
        <v>16</v>
      </c>
      <c r="G234" s="121" t="s">
        <v>691</v>
      </c>
      <c r="H234" s="126">
        <v>0.35139999999999999</v>
      </c>
      <c r="I234" s="122">
        <v>0.15659999999999999</v>
      </c>
      <c r="J234" s="122" t="s">
        <v>717</v>
      </c>
      <c r="K234" s="122">
        <v>0.13819999999999999</v>
      </c>
      <c r="L234" s="121">
        <v>5000</v>
      </c>
      <c r="M234" s="121">
        <v>500000</v>
      </c>
      <c r="N234" s="105">
        <v>44197</v>
      </c>
      <c r="O234" s="105">
        <v>44377</v>
      </c>
      <c r="P234" t="s">
        <v>718</v>
      </c>
    </row>
    <row r="235" spans="1:16" ht="15" customHeight="1" x14ac:dyDescent="0.3">
      <c r="A235" t="str">
        <f t="shared" si="4"/>
        <v>14-4-3RATE-SmartFIX – 3 Year</v>
      </c>
      <c r="B235" s="119" t="s">
        <v>13</v>
      </c>
      <c r="C235" s="119">
        <v>14</v>
      </c>
      <c r="D235" s="120" t="s">
        <v>23</v>
      </c>
      <c r="E235" s="120" t="s">
        <v>719</v>
      </c>
      <c r="F235" s="121" t="s">
        <v>18</v>
      </c>
      <c r="G235" s="121" t="s">
        <v>691</v>
      </c>
      <c r="H235" s="126">
        <v>0.35139999999999999</v>
      </c>
      <c r="I235" s="122">
        <v>0.24399999999999999</v>
      </c>
      <c r="J235" s="122">
        <v>0.24399999999999999</v>
      </c>
      <c r="K235" s="122">
        <v>0.24399999999999999</v>
      </c>
      <c r="L235" s="121">
        <v>5000</v>
      </c>
      <c r="M235" s="121">
        <v>500000</v>
      </c>
      <c r="N235" s="105">
        <v>44197</v>
      </c>
      <c r="O235" s="105">
        <v>44377</v>
      </c>
      <c r="P235" t="s">
        <v>718</v>
      </c>
    </row>
    <row r="236" spans="1:16" ht="15" customHeight="1" x14ac:dyDescent="0.3">
      <c r="A236" t="str">
        <f t="shared" si="4"/>
        <v/>
      </c>
      <c r="B236" s="119" t="s">
        <v>13</v>
      </c>
      <c r="C236" s="119">
        <v>14</v>
      </c>
      <c r="D236" s="120" t="s">
        <v>23</v>
      </c>
      <c r="E236" s="120" t="s">
        <v>720</v>
      </c>
      <c r="F236" s="121" t="s">
        <v>18</v>
      </c>
      <c r="G236" s="121" t="s">
        <v>691</v>
      </c>
      <c r="H236" s="126">
        <v>0.35139999999999999</v>
      </c>
      <c r="I236" s="122" t="s">
        <v>717</v>
      </c>
      <c r="J236" s="122">
        <v>0.13819999999999999</v>
      </c>
      <c r="K236" s="122" t="s">
        <v>717</v>
      </c>
      <c r="L236" s="121">
        <v>5000</v>
      </c>
      <c r="M236" s="121">
        <v>500000</v>
      </c>
      <c r="N236" s="105">
        <v>44197</v>
      </c>
      <c r="O236" s="105">
        <v>44377</v>
      </c>
      <c r="P236" t="s">
        <v>718</v>
      </c>
    </row>
    <row r="237" spans="1:16" ht="15" customHeight="1" x14ac:dyDescent="0.3">
      <c r="A237" t="str">
        <f t="shared" si="4"/>
        <v>15-3-U-SmartFIX – 3 Year</v>
      </c>
      <c r="B237" s="119" t="s">
        <v>13</v>
      </c>
      <c r="C237" s="119">
        <v>15</v>
      </c>
      <c r="D237" s="120" t="s">
        <v>24</v>
      </c>
      <c r="E237" s="120" t="s">
        <v>716</v>
      </c>
      <c r="F237" s="121" t="s">
        <v>16</v>
      </c>
      <c r="G237" s="121" t="s">
        <v>691</v>
      </c>
      <c r="H237" s="126">
        <v>0.32629999999999998</v>
      </c>
      <c r="I237" s="122">
        <v>0.14779999999999999</v>
      </c>
      <c r="J237" s="122" t="s">
        <v>717</v>
      </c>
      <c r="K237" s="122" t="s">
        <v>717</v>
      </c>
      <c r="L237" s="121">
        <v>5000</v>
      </c>
      <c r="M237" s="121">
        <v>500000</v>
      </c>
      <c r="N237" s="105">
        <v>44197</v>
      </c>
      <c r="O237" s="105">
        <v>44377</v>
      </c>
      <c r="P237" t="s">
        <v>718</v>
      </c>
    </row>
    <row r="238" spans="1:16" ht="15" customHeight="1" x14ac:dyDescent="0.3">
      <c r="A238" t="str">
        <f t="shared" si="4"/>
        <v>15-4-E7-SmartFIX – 3 Year</v>
      </c>
      <c r="B238" s="119" t="s">
        <v>13</v>
      </c>
      <c r="C238" s="119">
        <v>15</v>
      </c>
      <c r="D238" s="120" t="s">
        <v>24</v>
      </c>
      <c r="E238" s="120" t="s">
        <v>17</v>
      </c>
      <c r="F238" s="121" t="s">
        <v>18</v>
      </c>
      <c r="G238" s="121" t="s">
        <v>691</v>
      </c>
      <c r="H238" s="126">
        <v>0.32629999999999998</v>
      </c>
      <c r="I238" s="122">
        <v>0.15509999999999999</v>
      </c>
      <c r="J238" s="122">
        <v>0.1114</v>
      </c>
      <c r="K238" s="122" t="s">
        <v>717</v>
      </c>
      <c r="L238" s="121">
        <v>5000</v>
      </c>
      <c r="M238" s="121">
        <v>500000</v>
      </c>
      <c r="N238" s="105">
        <v>44197</v>
      </c>
      <c r="O238" s="105">
        <v>44377</v>
      </c>
      <c r="P238" t="s">
        <v>718</v>
      </c>
    </row>
    <row r="239" spans="1:16" ht="15" customHeight="1" x14ac:dyDescent="0.3">
      <c r="A239" t="str">
        <f t="shared" si="4"/>
        <v>15-3-EW-SmartFIX – 3 Year</v>
      </c>
      <c r="B239" s="119" t="s">
        <v>13</v>
      </c>
      <c r="C239" s="119">
        <v>15</v>
      </c>
      <c r="D239" s="120" t="s">
        <v>24</v>
      </c>
      <c r="E239" s="120" t="s">
        <v>19</v>
      </c>
      <c r="F239" s="121" t="s">
        <v>16</v>
      </c>
      <c r="G239" s="121" t="s">
        <v>691</v>
      </c>
      <c r="H239" s="126">
        <v>0.32629999999999998</v>
      </c>
      <c r="I239" s="122">
        <v>0.15809999999999999</v>
      </c>
      <c r="J239" s="122" t="s">
        <v>717</v>
      </c>
      <c r="K239" s="122">
        <v>0.13639999999999999</v>
      </c>
      <c r="L239" s="121">
        <v>5000</v>
      </c>
      <c r="M239" s="121">
        <v>500000</v>
      </c>
      <c r="N239" s="105">
        <v>44197</v>
      </c>
      <c r="O239" s="105">
        <v>44377</v>
      </c>
      <c r="P239" t="s">
        <v>718</v>
      </c>
    </row>
    <row r="240" spans="1:16" ht="15" customHeight="1" x14ac:dyDescent="0.3">
      <c r="A240" t="str">
        <f t="shared" si="4"/>
        <v>15-4-3RATE-SmartFIX – 3 Year</v>
      </c>
      <c r="B240" s="119" t="s">
        <v>13</v>
      </c>
      <c r="C240" s="119">
        <v>15</v>
      </c>
      <c r="D240" s="120" t="s">
        <v>24</v>
      </c>
      <c r="E240" s="120" t="s">
        <v>719</v>
      </c>
      <c r="F240" s="121" t="s">
        <v>18</v>
      </c>
      <c r="G240" s="121" t="s">
        <v>691</v>
      </c>
      <c r="H240" s="126">
        <v>0.32629999999999998</v>
      </c>
      <c r="I240" s="122">
        <v>0.24399999999999999</v>
      </c>
      <c r="J240" s="122">
        <v>0.24399999999999999</v>
      </c>
      <c r="K240" s="122">
        <v>0.24399999999999999</v>
      </c>
      <c r="L240" s="121">
        <v>5000</v>
      </c>
      <c r="M240" s="121">
        <v>500000</v>
      </c>
      <c r="N240" s="105">
        <v>44197</v>
      </c>
      <c r="O240" s="105">
        <v>44377</v>
      </c>
      <c r="P240" t="s">
        <v>718</v>
      </c>
    </row>
    <row r="241" spans="1:16" ht="15" customHeight="1" x14ac:dyDescent="0.3">
      <c r="A241" t="str">
        <f t="shared" si="4"/>
        <v/>
      </c>
      <c r="B241" s="119" t="s">
        <v>13</v>
      </c>
      <c r="C241" s="119">
        <v>15</v>
      </c>
      <c r="D241" s="120" t="s">
        <v>24</v>
      </c>
      <c r="E241" s="120" t="s">
        <v>720</v>
      </c>
      <c r="F241" s="121" t="s">
        <v>18</v>
      </c>
      <c r="G241" s="121" t="s">
        <v>691</v>
      </c>
      <c r="H241" s="126">
        <v>0.32629999999999998</v>
      </c>
      <c r="I241" s="122" t="s">
        <v>717</v>
      </c>
      <c r="J241" s="122">
        <v>0.13639999999999999</v>
      </c>
      <c r="K241" s="122" t="s">
        <v>717</v>
      </c>
      <c r="L241" s="121">
        <v>5000</v>
      </c>
      <c r="M241" s="121">
        <v>500000</v>
      </c>
      <c r="N241" s="105">
        <v>44197</v>
      </c>
      <c r="O241" s="105">
        <v>44377</v>
      </c>
      <c r="P241" t="s">
        <v>718</v>
      </c>
    </row>
    <row r="242" spans="1:16" ht="15" customHeight="1" x14ac:dyDescent="0.3">
      <c r="A242" t="str">
        <f t="shared" si="4"/>
        <v>16-3-U-SmartFIX – 3 Year</v>
      </c>
      <c r="B242" s="119" t="s">
        <v>13</v>
      </c>
      <c r="C242" s="119">
        <v>16</v>
      </c>
      <c r="D242" s="120" t="s">
        <v>25</v>
      </c>
      <c r="E242" s="120" t="s">
        <v>716</v>
      </c>
      <c r="F242" s="121" t="s">
        <v>16</v>
      </c>
      <c r="G242" s="121" t="s">
        <v>691</v>
      </c>
      <c r="H242" s="126">
        <v>0.27610000000000001</v>
      </c>
      <c r="I242" s="122">
        <v>0.1492</v>
      </c>
      <c r="J242" s="122" t="s">
        <v>717</v>
      </c>
      <c r="K242" s="122" t="s">
        <v>717</v>
      </c>
      <c r="L242" s="121">
        <v>5000</v>
      </c>
      <c r="M242" s="121">
        <v>500000</v>
      </c>
      <c r="N242" s="105">
        <v>44197</v>
      </c>
      <c r="O242" s="105">
        <v>44377</v>
      </c>
      <c r="P242" t="s">
        <v>718</v>
      </c>
    </row>
    <row r="243" spans="1:16" ht="15" customHeight="1" x14ac:dyDescent="0.3">
      <c r="A243" t="str">
        <f t="shared" si="4"/>
        <v>16-4-E7-SmartFIX – 3 Year</v>
      </c>
      <c r="B243" s="119" t="s">
        <v>13</v>
      </c>
      <c r="C243" s="119">
        <v>16</v>
      </c>
      <c r="D243" s="120" t="s">
        <v>25</v>
      </c>
      <c r="E243" s="120" t="s">
        <v>17</v>
      </c>
      <c r="F243" s="121" t="s">
        <v>18</v>
      </c>
      <c r="G243" s="121" t="s">
        <v>691</v>
      </c>
      <c r="H243" s="126">
        <v>0.27610000000000001</v>
      </c>
      <c r="I243" s="122">
        <v>0.15570000000000001</v>
      </c>
      <c r="J243" s="122">
        <v>0.11</v>
      </c>
      <c r="K243" s="122" t="s">
        <v>717</v>
      </c>
      <c r="L243" s="121">
        <v>5000</v>
      </c>
      <c r="M243" s="121">
        <v>500000</v>
      </c>
      <c r="N243" s="105">
        <v>44197</v>
      </c>
      <c r="O243" s="105">
        <v>44377</v>
      </c>
      <c r="P243" t="s">
        <v>718</v>
      </c>
    </row>
    <row r="244" spans="1:16" ht="15" customHeight="1" x14ac:dyDescent="0.3">
      <c r="A244" t="str">
        <f t="shared" si="4"/>
        <v>16-3-EW-SmartFIX – 3 Year</v>
      </c>
      <c r="B244" s="119" t="s">
        <v>13</v>
      </c>
      <c r="C244" s="119">
        <v>16</v>
      </c>
      <c r="D244" s="120" t="s">
        <v>25</v>
      </c>
      <c r="E244" s="120" t="s">
        <v>19</v>
      </c>
      <c r="F244" s="121" t="s">
        <v>16</v>
      </c>
      <c r="G244" s="121" t="s">
        <v>691</v>
      </c>
      <c r="H244" s="126">
        <v>0.27610000000000001</v>
      </c>
      <c r="I244" s="122">
        <v>0.15920000000000001</v>
      </c>
      <c r="J244" s="122" t="s">
        <v>717</v>
      </c>
      <c r="K244" s="122">
        <v>0.1371</v>
      </c>
      <c r="L244" s="121">
        <v>5000</v>
      </c>
      <c r="M244" s="121">
        <v>500000</v>
      </c>
      <c r="N244" s="105">
        <v>44197</v>
      </c>
      <c r="O244" s="105">
        <v>44377</v>
      </c>
      <c r="P244" t="s">
        <v>718</v>
      </c>
    </row>
    <row r="245" spans="1:16" ht="15" customHeight="1" x14ac:dyDescent="0.3">
      <c r="A245" t="str">
        <f t="shared" si="4"/>
        <v>16-4-3RATE-SmartFIX – 3 Year</v>
      </c>
      <c r="B245" s="119" t="s">
        <v>13</v>
      </c>
      <c r="C245" s="119">
        <v>16</v>
      </c>
      <c r="D245" s="120" t="s">
        <v>25</v>
      </c>
      <c r="E245" s="120" t="s">
        <v>719</v>
      </c>
      <c r="F245" s="121" t="s">
        <v>18</v>
      </c>
      <c r="G245" s="121" t="s">
        <v>691</v>
      </c>
      <c r="H245" s="126">
        <v>0.27610000000000001</v>
      </c>
      <c r="I245" s="122">
        <v>0.16489999999999999</v>
      </c>
      <c r="J245" s="122">
        <v>0.1095</v>
      </c>
      <c r="K245" s="122">
        <v>0.1394</v>
      </c>
      <c r="L245" s="121">
        <v>5000</v>
      </c>
      <c r="M245" s="121">
        <v>500000</v>
      </c>
      <c r="N245" s="105">
        <v>44197</v>
      </c>
      <c r="O245" s="105">
        <v>44377</v>
      </c>
      <c r="P245" t="s">
        <v>718</v>
      </c>
    </row>
    <row r="246" spans="1:16" ht="15" customHeight="1" x14ac:dyDescent="0.3">
      <c r="A246" t="str">
        <f t="shared" si="4"/>
        <v/>
      </c>
      <c r="B246" s="119" t="s">
        <v>13</v>
      </c>
      <c r="C246" s="119">
        <v>16</v>
      </c>
      <c r="D246" s="120" t="s">
        <v>25</v>
      </c>
      <c r="E246" s="120" t="s">
        <v>720</v>
      </c>
      <c r="F246" s="121" t="s">
        <v>18</v>
      </c>
      <c r="G246" s="121" t="s">
        <v>691</v>
      </c>
      <c r="H246" s="126">
        <v>0.27610000000000001</v>
      </c>
      <c r="I246" s="122" t="s">
        <v>717</v>
      </c>
      <c r="J246" s="122">
        <v>0.1371</v>
      </c>
      <c r="K246" s="122" t="s">
        <v>717</v>
      </c>
      <c r="L246" s="121">
        <v>5000</v>
      </c>
      <c r="M246" s="121">
        <v>500000</v>
      </c>
      <c r="N246" s="105">
        <v>44197</v>
      </c>
      <c r="O246" s="105">
        <v>44377</v>
      </c>
      <c r="P246" t="s">
        <v>718</v>
      </c>
    </row>
    <row r="247" spans="1:16" ht="15" customHeight="1" x14ac:dyDescent="0.3">
      <c r="A247" t="str">
        <f t="shared" si="4"/>
        <v>17-3-U-SmartFIX – 3 Year</v>
      </c>
      <c r="B247" s="119" t="s">
        <v>13</v>
      </c>
      <c r="C247" s="119">
        <v>17</v>
      </c>
      <c r="D247" s="120" t="s">
        <v>26</v>
      </c>
      <c r="E247" s="120" t="s">
        <v>716</v>
      </c>
      <c r="F247" s="121" t="s">
        <v>16</v>
      </c>
      <c r="G247" s="121" t="s">
        <v>691</v>
      </c>
      <c r="H247" s="126">
        <v>0.36370000000000002</v>
      </c>
      <c r="I247" s="122">
        <v>0.15590000000000001</v>
      </c>
      <c r="J247" s="122" t="s">
        <v>717</v>
      </c>
      <c r="K247" s="122" t="s">
        <v>717</v>
      </c>
      <c r="L247" s="121">
        <v>5000</v>
      </c>
      <c r="M247" s="121">
        <v>500000</v>
      </c>
      <c r="N247" s="105">
        <v>44197</v>
      </c>
      <c r="O247" s="105">
        <v>44377</v>
      </c>
      <c r="P247" t="s">
        <v>718</v>
      </c>
    </row>
    <row r="248" spans="1:16" ht="15" customHeight="1" x14ac:dyDescent="0.3">
      <c r="A248" t="str">
        <f t="shared" si="4"/>
        <v>17-4-E7-SmartFIX – 3 Year</v>
      </c>
      <c r="B248" s="119" t="s">
        <v>13</v>
      </c>
      <c r="C248" s="119">
        <v>17</v>
      </c>
      <c r="D248" s="120" t="s">
        <v>26</v>
      </c>
      <c r="E248" s="120" t="s">
        <v>17</v>
      </c>
      <c r="F248" s="121" t="s">
        <v>18</v>
      </c>
      <c r="G248" s="121" t="s">
        <v>691</v>
      </c>
      <c r="H248" s="126">
        <v>0.36370000000000002</v>
      </c>
      <c r="I248" s="122">
        <v>0.1648</v>
      </c>
      <c r="J248" s="122">
        <v>0.1198</v>
      </c>
      <c r="K248" s="122" t="s">
        <v>717</v>
      </c>
      <c r="L248" s="121">
        <v>5000</v>
      </c>
      <c r="M248" s="121">
        <v>500000</v>
      </c>
      <c r="N248" s="105">
        <v>44197</v>
      </c>
      <c r="O248" s="105">
        <v>44377</v>
      </c>
      <c r="P248" t="s">
        <v>718</v>
      </c>
    </row>
    <row r="249" spans="1:16" ht="15" customHeight="1" x14ac:dyDescent="0.3">
      <c r="A249" t="str">
        <f t="shared" si="4"/>
        <v>17-3-EW-SmartFIX – 3 Year</v>
      </c>
      <c r="B249" s="119" t="s">
        <v>13</v>
      </c>
      <c r="C249" s="119">
        <v>17</v>
      </c>
      <c r="D249" s="120" t="s">
        <v>26</v>
      </c>
      <c r="E249" s="120" t="s">
        <v>19</v>
      </c>
      <c r="F249" s="121" t="s">
        <v>16</v>
      </c>
      <c r="G249" s="121" t="s">
        <v>691</v>
      </c>
      <c r="H249" s="126">
        <v>0.36370000000000002</v>
      </c>
      <c r="I249" s="122">
        <v>0.1636</v>
      </c>
      <c r="J249" s="122" t="s">
        <v>717</v>
      </c>
      <c r="K249" s="122">
        <v>0.14580000000000001</v>
      </c>
      <c r="L249" s="121">
        <v>5000</v>
      </c>
      <c r="M249" s="121">
        <v>500000</v>
      </c>
      <c r="N249" s="105">
        <v>44197</v>
      </c>
      <c r="O249" s="105">
        <v>44377</v>
      </c>
      <c r="P249" t="s">
        <v>718</v>
      </c>
    </row>
    <row r="250" spans="1:16" ht="15" customHeight="1" x14ac:dyDescent="0.3">
      <c r="A250" t="str">
        <f t="shared" si="4"/>
        <v>17-4-3RATE-SmartFIX – 3 Year</v>
      </c>
      <c r="B250" s="119" t="s">
        <v>13</v>
      </c>
      <c r="C250" s="119">
        <v>17</v>
      </c>
      <c r="D250" s="120" t="s">
        <v>26</v>
      </c>
      <c r="E250" s="120" t="s">
        <v>719</v>
      </c>
      <c r="F250" s="121" t="s">
        <v>18</v>
      </c>
      <c r="G250" s="121" t="s">
        <v>691</v>
      </c>
      <c r="H250" s="126">
        <v>0.36370000000000002</v>
      </c>
      <c r="I250" s="122">
        <v>0.24399999999999999</v>
      </c>
      <c r="J250" s="122">
        <v>0.24399999999999999</v>
      </c>
      <c r="K250" s="122">
        <v>0.24399999999999999</v>
      </c>
      <c r="L250" s="121">
        <v>5000</v>
      </c>
      <c r="M250" s="121">
        <v>500000</v>
      </c>
      <c r="N250" s="105">
        <v>44197</v>
      </c>
      <c r="O250" s="105">
        <v>44377</v>
      </c>
      <c r="P250" t="s">
        <v>718</v>
      </c>
    </row>
    <row r="251" spans="1:16" ht="15" customHeight="1" x14ac:dyDescent="0.3">
      <c r="A251" t="str">
        <f t="shared" si="4"/>
        <v/>
      </c>
      <c r="B251" s="119" t="s">
        <v>13</v>
      </c>
      <c r="C251" s="119">
        <v>17</v>
      </c>
      <c r="D251" s="120" t="s">
        <v>26</v>
      </c>
      <c r="E251" s="120" t="s">
        <v>720</v>
      </c>
      <c r="F251" s="121" t="s">
        <v>18</v>
      </c>
      <c r="G251" s="121" t="s">
        <v>691</v>
      </c>
      <c r="H251" s="126">
        <v>0.36370000000000002</v>
      </c>
      <c r="I251" s="122" t="s">
        <v>717</v>
      </c>
      <c r="J251" s="122">
        <v>0.14580000000000001</v>
      </c>
      <c r="K251" s="122" t="s">
        <v>717</v>
      </c>
      <c r="L251" s="121">
        <v>5000</v>
      </c>
      <c r="M251" s="121">
        <v>500000</v>
      </c>
      <c r="N251" s="105">
        <v>44197</v>
      </c>
      <c r="O251" s="105">
        <v>44377</v>
      </c>
      <c r="P251" t="s">
        <v>718</v>
      </c>
    </row>
    <row r="252" spans="1:16" ht="15" customHeight="1" x14ac:dyDescent="0.3">
      <c r="A252" t="str">
        <f t="shared" si="4"/>
        <v>18-3-U-SmartFIX – 3 Year</v>
      </c>
      <c r="B252" s="119" t="s">
        <v>13</v>
      </c>
      <c r="C252" s="119">
        <v>18</v>
      </c>
      <c r="D252" s="120" t="s">
        <v>27</v>
      </c>
      <c r="E252" s="120" t="s">
        <v>716</v>
      </c>
      <c r="F252" s="121" t="s">
        <v>16</v>
      </c>
      <c r="G252" s="121" t="s">
        <v>691</v>
      </c>
      <c r="H252" s="126">
        <v>0.31730000000000003</v>
      </c>
      <c r="I252" s="122">
        <v>0.14879999999999999</v>
      </c>
      <c r="J252" s="122" t="s">
        <v>717</v>
      </c>
      <c r="K252" s="122" t="s">
        <v>717</v>
      </c>
      <c r="L252" s="121">
        <v>5000</v>
      </c>
      <c r="M252" s="121">
        <v>500000</v>
      </c>
      <c r="N252" s="105">
        <v>44197</v>
      </c>
      <c r="O252" s="105">
        <v>44377</v>
      </c>
      <c r="P252" t="s">
        <v>718</v>
      </c>
    </row>
    <row r="253" spans="1:16" ht="15" customHeight="1" x14ac:dyDescent="0.3">
      <c r="A253" t="str">
        <f t="shared" si="4"/>
        <v>18-4-E7-SmartFIX – 3 Year</v>
      </c>
      <c r="B253" s="119" t="s">
        <v>13</v>
      </c>
      <c r="C253" s="119">
        <v>18</v>
      </c>
      <c r="D253" s="120" t="s">
        <v>27</v>
      </c>
      <c r="E253" s="120" t="s">
        <v>17</v>
      </c>
      <c r="F253" s="121" t="s">
        <v>18</v>
      </c>
      <c r="G253" s="121" t="s">
        <v>691</v>
      </c>
      <c r="H253" s="126">
        <v>0.31730000000000003</v>
      </c>
      <c r="I253" s="122">
        <v>0.1623</v>
      </c>
      <c r="J253" s="122">
        <v>0.1178</v>
      </c>
      <c r="K253" s="122" t="s">
        <v>717</v>
      </c>
      <c r="L253" s="121">
        <v>5000</v>
      </c>
      <c r="M253" s="121">
        <v>500000</v>
      </c>
      <c r="N253" s="105">
        <v>44197</v>
      </c>
      <c r="O253" s="105">
        <v>44377</v>
      </c>
      <c r="P253" t="s">
        <v>718</v>
      </c>
    </row>
    <row r="254" spans="1:16" ht="15" customHeight="1" x14ac:dyDescent="0.3">
      <c r="A254" t="str">
        <f t="shared" si="4"/>
        <v>18-3-EW-SmartFIX – 3 Year</v>
      </c>
      <c r="B254" s="119" t="s">
        <v>13</v>
      </c>
      <c r="C254" s="119">
        <v>18</v>
      </c>
      <c r="D254" s="120" t="s">
        <v>27</v>
      </c>
      <c r="E254" s="120" t="s">
        <v>19</v>
      </c>
      <c r="F254" s="121" t="s">
        <v>16</v>
      </c>
      <c r="G254" s="121" t="s">
        <v>691</v>
      </c>
      <c r="H254" s="126">
        <v>0.31730000000000003</v>
      </c>
      <c r="I254" s="122">
        <v>0.15659999999999999</v>
      </c>
      <c r="J254" s="122" t="s">
        <v>717</v>
      </c>
      <c r="K254" s="122">
        <v>0.1376</v>
      </c>
      <c r="L254" s="121">
        <v>5000</v>
      </c>
      <c r="M254" s="121">
        <v>500000</v>
      </c>
      <c r="N254" s="105">
        <v>44197</v>
      </c>
      <c r="O254" s="105">
        <v>44377</v>
      </c>
      <c r="P254" t="s">
        <v>718</v>
      </c>
    </row>
    <row r="255" spans="1:16" ht="15" customHeight="1" x14ac:dyDescent="0.3">
      <c r="A255" t="str">
        <f t="shared" si="4"/>
        <v>18-4-3RATE-SmartFIX – 3 Year</v>
      </c>
      <c r="B255" s="119" t="s">
        <v>13</v>
      </c>
      <c r="C255" s="119">
        <v>18</v>
      </c>
      <c r="D255" s="120" t="s">
        <v>27</v>
      </c>
      <c r="E255" s="120" t="s">
        <v>719</v>
      </c>
      <c r="F255" s="121" t="s">
        <v>18</v>
      </c>
      <c r="G255" s="121" t="s">
        <v>691</v>
      </c>
      <c r="H255" s="126">
        <v>0.31730000000000003</v>
      </c>
      <c r="I255" s="122">
        <v>0.24399999999999999</v>
      </c>
      <c r="J255" s="122">
        <v>0.24399999999999999</v>
      </c>
      <c r="K255" s="122">
        <v>0.24399999999999999</v>
      </c>
      <c r="L255" s="121">
        <v>5000</v>
      </c>
      <c r="M255" s="121">
        <v>500000</v>
      </c>
      <c r="N255" s="105">
        <v>44197</v>
      </c>
      <c r="O255" s="105">
        <v>44377</v>
      </c>
      <c r="P255" t="s">
        <v>718</v>
      </c>
    </row>
    <row r="256" spans="1:16" ht="15" customHeight="1" x14ac:dyDescent="0.3">
      <c r="A256" t="str">
        <f t="shared" si="4"/>
        <v/>
      </c>
      <c r="B256" s="119" t="s">
        <v>13</v>
      </c>
      <c r="C256" s="119">
        <v>18</v>
      </c>
      <c r="D256" s="120" t="s">
        <v>27</v>
      </c>
      <c r="E256" s="120" t="s">
        <v>720</v>
      </c>
      <c r="F256" s="121" t="s">
        <v>18</v>
      </c>
      <c r="G256" s="121" t="s">
        <v>691</v>
      </c>
      <c r="H256" s="126">
        <v>0.31730000000000003</v>
      </c>
      <c r="I256" s="122" t="s">
        <v>717</v>
      </c>
      <c r="J256" s="122">
        <v>0.1376</v>
      </c>
      <c r="K256" s="122" t="s">
        <v>717</v>
      </c>
      <c r="L256" s="121">
        <v>5000</v>
      </c>
      <c r="M256" s="121">
        <v>500000</v>
      </c>
      <c r="N256" s="105">
        <v>44197</v>
      </c>
      <c r="O256" s="105">
        <v>44377</v>
      </c>
      <c r="P256" t="s">
        <v>718</v>
      </c>
    </row>
    <row r="257" spans="1:16" ht="15" customHeight="1" x14ac:dyDescent="0.3">
      <c r="A257" t="str">
        <f t="shared" si="4"/>
        <v>19-3-U-SmartFIX – 3 Year</v>
      </c>
      <c r="B257" s="119" t="s">
        <v>13</v>
      </c>
      <c r="C257" s="119">
        <v>19</v>
      </c>
      <c r="D257" s="120" t="s">
        <v>28</v>
      </c>
      <c r="E257" s="120" t="s">
        <v>716</v>
      </c>
      <c r="F257" s="121" t="s">
        <v>16</v>
      </c>
      <c r="G257" s="121" t="s">
        <v>691</v>
      </c>
      <c r="H257" s="126">
        <v>0.30149999999999999</v>
      </c>
      <c r="I257" s="122">
        <v>0.1462</v>
      </c>
      <c r="J257" s="122" t="s">
        <v>717</v>
      </c>
      <c r="K257" s="122" t="s">
        <v>717</v>
      </c>
      <c r="L257" s="121">
        <v>5000</v>
      </c>
      <c r="M257" s="121">
        <v>500000</v>
      </c>
      <c r="N257" s="105">
        <v>44197</v>
      </c>
      <c r="O257" s="105">
        <v>44377</v>
      </c>
      <c r="P257" t="s">
        <v>718</v>
      </c>
    </row>
    <row r="258" spans="1:16" ht="15" customHeight="1" x14ac:dyDescent="0.3">
      <c r="A258" t="str">
        <f t="shared" si="4"/>
        <v>19-4-E7-SmartFIX – 3 Year</v>
      </c>
      <c r="B258" s="119" t="s">
        <v>13</v>
      </c>
      <c r="C258" s="119">
        <v>19</v>
      </c>
      <c r="D258" s="120" t="s">
        <v>28</v>
      </c>
      <c r="E258" s="120" t="s">
        <v>17</v>
      </c>
      <c r="F258" s="121" t="s">
        <v>18</v>
      </c>
      <c r="G258" s="121" t="s">
        <v>691</v>
      </c>
      <c r="H258" s="126">
        <v>0.30149999999999999</v>
      </c>
      <c r="I258" s="122">
        <v>0.15909999999999999</v>
      </c>
      <c r="J258" s="122">
        <v>0.1094</v>
      </c>
      <c r="K258" s="122" t="s">
        <v>717</v>
      </c>
      <c r="L258" s="121">
        <v>5000</v>
      </c>
      <c r="M258" s="121">
        <v>500000</v>
      </c>
      <c r="N258" s="105">
        <v>44197</v>
      </c>
      <c r="O258" s="105">
        <v>44377</v>
      </c>
      <c r="P258" t="s">
        <v>718</v>
      </c>
    </row>
    <row r="259" spans="1:16" ht="15" customHeight="1" x14ac:dyDescent="0.3">
      <c r="A259" t="str">
        <f t="shared" si="4"/>
        <v>19-3-EW-SmartFIX – 3 Year</v>
      </c>
      <c r="B259" s="119" t="s">
        <v>13</v>
      </c>
      <c r="C259" s="119">
        <v>19</v>
      </c>
      <c r="D259" s="120" t="s">
        <v>28</v>
      </c>
      <c r="E259" s="120" t="s">
        <v>19</v>
      </c>
      <c r="F259" s="121" t="s">
        <v>16</v>
      </c>
      <c r="G259" s="121" t="s">
        <v>691</v>
      </c>
      <c r="H259" s="126">
        <v>0.30149999999999999</v>
      </c>
      <c r="I259" s="122">
        <v>0.24399999999999999</v>
      </c>
      <c r="J259" s="122" t="s">
        <v>717</v>
      </c>
      <c r="K259" s="122">
        <v>0.24399999999999999</v>
      </c>
      <c r="L259" s="121">
        <v>5000</v>
      </c>
      <c r="M259" s="121">
        <v>500000</v>
      </c>
      <c r="N259" s="105">
        <v>44197</v>
      </c>
      <c r="O259" s="105">
        <v>44377</v>
      </c>
      <c r="P259" t="s">
        <v>718</v>
      </c>
    </row>
    <row r="260" spans="1:16" ht="15" customHeight="1" x14ac:dyDescent="0.3">
      <c r="A260" t="str">
        <f t="shared" si="4"/>
        <v>19-4-3RATE-SmartFIX – 3 Year</v>
      </c>
      <c r="B260" s="119" t="s">
        <v>13</v>
      </c>
      <c r="C260" s="119">
        <v>19</v>
      </c>
      <c r="D260" s="120" t="s">
        <v>28</v>
      </c>
      <c r="E260" s="120" t="s">
        <v>719</v>
      </c>
      <c r="F260" s="121" t="s">
        <v>18</v>
      </c>
      <c r="G260" s="121" t="s">
        <v>691</v>
      </c>
      <c r="H260" s="126">
        <v>0.30149999999999999</v>
      </c>
      <c r="I260" s="122">
        <v>0.1648</v>
      </c>
      <c r="J260" s="122">
        <v>0.1086</v>
      </c>
      <c r="K260" s="122">
        <v>0.15260000000000001</v>
      </c>
      <c r="L260" s="121">
        <v>5000</v>
      </c>
      <c r="M260" s="121">
        <v>500000</v>
      </c>
      <c r="N260" s="105">
        <v>44197</v>
      </c>
      <c r="O260" s="105">
        <v>44377</v>
      </c>
      <c r="P260" t="s">
        <v>718</v>
      </c>
    </row>
    <row r="261" spans="1:16" ht="15" customHeight="1" x14ac:dyDescent="0.3">
      <c r="A261" t="str">
        <f t="shared" si="4"/>
        <v/>
      </c>
      <c r="B261" s="119" t="s">
        <v>13</v>
      </c>
      <c r="C261" s="119">
        <v>19</v>
      </c>
      <c r="D261" s="120" t="s">
        <v>28</v>
      </c>
      <c r="E261" s="120" t="s">
        <v>720</v>
      </c>
      <c r="F261" s="121" t="s">
        <v>18</v>
      </c>
      <c r="G261" s="121" t="s">
        <v>691</v>
      </c>
      <c r="H261" s="126">
        <v>0.30149999999999999</v>
      </c>
      <c r="I261" s="122" t="s">
        <v>717</v>
      </c>
      <c r="J261" s="122">
        <v>0.1094</v>
      </c>
      <c r="K261" s="122" t="s">
        <v>717</v>
      </c>
      <c r="L261" s="121">
        <v>5000</v>
      </c>
      <c r="M261" s="121">
        <v>500000</v>
      </c>
      <c r="N261" s="105">
        <v>44197</v>
      </c>
      <c r="O261" s="105">
        <v>44377</v>
      </c>
      <c r="P261" t="s">
        <v>718</v>
      </c>
    </row>
    <row r="262" spans="1:16" ht="15" customHeight="1" x14ac:dyDescent="0.3">
      <c r="A262" t="str">
        <f t="shared" si="4"/>
        <v>20-3-U-SmartFIX – 3 Year</v>
      </c>
      <c r="B262" s="119" t="s">
        <v>13</v>
      </c>
      <c r="C262" s="119">
        <v>20</v>
      </c>
      <c r="D262" s="120" t="s">
        <v>29</v>
      </c>
      <c r="E262" s="120" t="s">
        <v>716</v>
      </c>
      <c r="F262" s="121" t="s">
        <v>16</v>
      </c>
      <c r="G262" s="121" t="s">
        <v>691</v>
      </c>
      <c r="H262" s="126">
        <v>0.2989</v>
      </c>
      <c r="I262" s="122">
        <v>0.14530000000000001</v>
      </c>
      <c r="J262" s="122" t="s">
        <v>717</v>
      </c>
      <c r="K262" s="122" t="s">
        <v>717</v>
      </c>
      <c r="L262" s="121">
        <v>5000</v>
      </c>
      <c r="M262" s="121">
        <v>500000</v>
      </c>
      <c r="N262" s="105">
        <v>44197</v>
      </c>
      <c r="O262" s="105">
        <v>44377</v>
      </c>
      <c r="P262" t="s">
        <v>718</v>
      </c>
    </row>
    <row r="263" spans="1:16" ht="15" customHeight="1" x14ac:dyDescent="0.3">
      <c r="A263" t="str">
        <f t="shared" si="4"/>
        <v>20-4-E7-SmartFIX – 3 Year</v>
      </c>
      <c r="B263" s="119" t="s">
        <v>13</v>
      </c>
      <c r="C263" s="119">
        <v>20</v>
      </c>
      <c r="D263" s="120" t="s">
        <v>29</v>
      </c>
      <c r="E263" s="120" t="s">
        <v>17</v>
      </c>
      <c r="F263" s="121" t="s">
        <v>18</v>
      </c>
      <c r="G263" s="121" t="s">
        <v>691</v>
      </c>
      <c r="H263" s="126">
        <v>0.2989</v>
      </c>
      <c r="I263" s="122">
        <v>0.16059999999999999</v>
      </c>
      <c r="J263" s="122">
        <v>0.1129</v>
      </c>
      <c r="K263" s="122" t="s">
        <v>717</v>
      </c>
      <c r="L263" s="121">
        <v>5000</v>
      </c>
      <c r="M263" s="121">
        <v>500000</v>
      </c>
      <c r="N263" s="105">
        <v>44197</v>
      </c>
      <c r="O263" s="105">
        <v>44377</v>
      </c>
      <c r="P263" t="s">
        <v>718</v>
      </c>
    </row>
    <row r="264" spans="1:16" ht="15" customHeight="1" x14ac:dyDescent="0.3">
      <c r="A264" t="str">
        <f t="shared" si="4"/>
        <v>20-3-EW-SmartFIX – 3 Year</v>
      </c>
      <c r="B264" s="119" t="s">
        <v>13</v>
      </c>
      <c r="C264" s="119">
        <v>20</v>
      </c>
      <c r="D264" s="120" t="s">
        <v>29</v>
      </c>
      <c r="E264" s="120" t="s">
        <v>19</v>
      </c>
      <c r="F264" s="121" t="s">
        <v>16</v>
      </c>
      <c r="G264" s="121" t="s">
        <v>691</v>
      </c>
      <c r="H264" s="126">
        <v>0.2989</v>
      </c>
      <c r="I264" s="122">
        <v>0.15459999999999999</v>
      </c>
      <c r="J264" s="122" t="s">
        <v>717</v>
      </c>
      <c r="K264" s="122">
        <v>0.13270000000000001</v>
      </c>
      <c r="L264" s="121">
        <v>5000</v>
      </c>
      <c r="M264" s="121">
        <v>500000</v>
      </c>
      <c r="N264" s="105">
        <v>44197</v>
      </c>
      <c r="O264" s="105">
        <v>44377</v>
      </c>
      <c r="P264" t="s">
        <v>718</v>
      </c>
    </row>
    <row r="265" spans="1:16" ht="15" customHeight="1" x14ac:dyDescent="0.3">
      <c r="A265" t="str">
        <f t="shared" si="4"/>
        <v>20-4-3RATE-SmartFIX – 3 Year</v>
      </c>
      <c r="B265" s="119" t="s">
        <v>13</v>
      </c>
      <c r="C265" s="119">
        <v>20</v>
      </c>
      <c r="D265" s="120" t="s">
        <v>29</v>
      </c>
      <c r="E265" s="120" t="s">
        <v>719</v>
      </c>
      <c r="F265" s="121" t="s">
        <v>18</v>
      </c>
      <c r="G265" s="121" t="s">
        <v>691</v>
      </c>
      <c r="H265" s="126">
        <v>0.2989</v>
      </c>
      <c r="I265" s="122">
        <v>0.16589999999999999</v>
      </c>
      <c r="J265" s="122">
        <v>0.11310000000000001</v>
      </c>
      <c r="K265" s="122">
        <v>0.14680000000000001</v>
      </c>
      <c r="L265" s="121">
        <v>5000</v>
      </c>
      <c r="M265" s="121">
        <v>500000</v>
      </c>
      <c r="N265" s="105">
        <v>44197</v>
      </c>
      <c r="O265" s="105">
        <v>44377</v>
      </c>
      <c r="P265" t="s">
        <v>718</v>
      </c>
    </row>
    <row r="266" spans="1:16" ht="15" customHeight="1" x14ac:dyDescent="0.3">
      <c r="A266" t="str">
        <f t="shared" si="4"/>
        <v/>
      </c>
      <c r="B266" s="119" t="s">
        <v>13</v>
      </c>
      <c r="C266" s="119">
        <v>20</v>
      </c>
      <c r="D266" s="120" t="s">
        <v>29</v>
      </c>
      <c r="E266" s="120" t="s">
        <v>720</v>
      </c>
      <c r="F266" s="121" t="s">
        <v>18</v>
      </c>
      <c r="G266" s="121" t="s">
        <v>691</v>
      </c>
      <c r="H266" s="126">
        <v>0.2989</v>
      </c>
      <c r="I266" s="122" t="s">
        <v>717</v>
      </c>
      <c r="J266" s="122">
        <v>0.13270000000000001</v>
      </c>
      <c r="K266" s="122" t="s">
        <v>717</v>
      </c>
      <c r="L266" s="121">
        <v>5000</v>
      </c>
      <c r="M266" s="121">
        <v>500000</v>
      </c>
      <c r="N266" s="105">
        <v>44197</v>
      </c>
      <c r="O266" s="105">
        <v>44377</v>
      </c>
      <c r="P266" t="s">
        <v>718</v>
      </c>
    </row>
    <row r="267" spans="1:16" ht="15" customHeight="1" x14ac:dyDescent="0.3">
      <c r="A267" t="str">
        <f t="shared" si="4"/>
        <v>21-3-U-SmartFIX – 3 Year</v>
      </c>
      <c r="B267" s="119" t="s">
        <v>13</v>
      </c>
      <c r="C267" s="119">
        <v>21</v>
      </c>
      <c r="D267" s="120" t="s">
        <v>30</v>
      </c>
      <c r="E267" s="120" t="s">
        <v>716</v>
      </c>
      <c r="F267" s="121" t="s">
        <v>16</v>
      </c>
      <c r="G267" s="121" t="s">
        <v>691</v>
      </c>
      <c r="H267" s="126">
        <v>0.41370000000000001</v>
      </c>
      <c r="I267" s="122">
        <v>0.14630000000000001</v>
      </c>
      <c r="J267" s="122" t="s">
        <v>717</v>
      </c>
      <c r="K267" s="122" t="s">
        <v>717</v>
      </c>
      <c r="L267" s="121">
        <v>5000</v>
      </c>
      <c r="M267" s="121">
        <v>500000</v>
      </c>
      <c r="N267" s="105">
        <v>44197</v>
      </c>
      <c r="O267" s="105">
        <v>44377</v>
      </c>
      <c r="P267" t="s">
        <v>718</v>
      </c>
    </row>
    <row r="268" spans="1:16" ht="15" customHeight="1" x14ac:dyDescent="0.3">
      <c r="A268" t="str">
        <f t="shared" ref="A268:A331" si="5">IF(E268="OP","",CONCATENATE(C268,"-",RIGHT(F268,1),"-",IF(OR(E268="1 Rate MD",E268="DAY"),"U",IF(OR(E268="2 Rate MD",E268="E7"),"E7",IF(OR(E268="3 Rate MD (EW)",E268="EW"),"EW",IF(OR(E268="3 Rate MD",E268="EWN"),"3RATE",IF(E268="HH 2RATE (CT)","HH 2RATE (CT)",IF(E268="HH 2RATE (WC)","HH 2RATE (WC)",IF(E268="HH 1RATE (CT)","HH 1RATE (CT)",IF(E268="HH 1RATE (WC)","HH 1RATE (WC)")))))))),"-",G268))</f>
        <v>21-4-E7-SmartFIX – 3 Year</v>
      </c>
      <c r="B268" s="119" t="s">
        <v>13</v>
      </c>
      <c r="C268" s="119">
        <v>21</v>
      </c>
      <c r="D268" s="120" t="s">
        <v>30</v>
      </c>
      <c r="E268" s="120" t="s">
        <v>17</v>
      </c>
      <c r="F268" s="121" t="s">
        <v>18</v>
      </c>
      <c r="G268" s="121" t="s">
        <v>691</v>
      </c>
      <c r="H268" s="126">
        <v>0.41370000000000001</v>
      </c>
      <c r="I268" s="122">
        <v>0.15620000000000001</v>
      </c>
      <c r="J268" s="122">
        <v>0.1139</v>
      </c>
      <c r="K268" s="122" t="s">
        <v>717</v>
      </c>
      <c r="L268" s="121">
        <v>5000</v>
      </c>
      <c r="M268" s="121">
        <v>500000</v>
      </c>
      <c r="N268" s="105">
        <v>44197</v>
      </c>
      <c r="O268" s="105">
        <v>44377</v>
      </c>
      <c r="P268" t="s">
        <v>718</v>
      </c>
    </row>
    <row r="269" spans="1:16" ht="15" customHeight="1" x14ac:dyDescent="0.3">
      <c r="A269" t="str">
        <f t="shared" si="5"/>
        <v>21-3-EW-SmartFIX – 3 Year</v>
      </c>
      <c r="B269" s="119" t="s">
        <v>13</v>
      </c>
      <c r="C269" s="119">
        <v>21</v>
      </c>
      <c r="D269" s="120" t="s">
        <v>30</v>
      </c>
      <c r="E269" s="120" t="s">
        <v>19</v>
      </c>
      <c r="F269" s="121" t="s">
        <v>16</v>
      </c>
      <c r="G269" s="121" t="s">
        <v>691</v>
      </c>
      <c r="H269" s="126">
        <v>0.41370000000000001</v>
      </c>
      <c r="I269" s="122">
        <v>0.154</v>
      </c>
      <c r="J269" s="122" t="s">
        <v>717</v>
      </c>
      <c r="K269" s="122">
        <v>0.1356</v>
      </c>
      <c r="L269" s="121">
        <v>5000</v>
      </c>
      <c r="M269" s="121">
        <v>500000</v>
      </c>
      <c r="N269" s="105">
        <v>44197</v>
      </c>
      <c r="O269" s="105">
        <v>44377</v>
      </c>
      <c r="P269" t="s">
        <v>718</v>
      </c>
    </row>
    <row r="270" spans="1:16" ht="15" customHeight="1" x14ac:dyDescent="0.3">
      <c r="A270" t="str">
        <f t="shared" si="5"/>
        <v>21-4-3RATE-SmartFIX – 3 Year</v>
      </c>
      <c r="B270" s="119" t="s">
        <v>13</v>
      </c>
      <c r="C270" s="119">
        <v>21</v>
      </c>
      <c r="D270" s="120" t="s">
        <v>30</v>
      </c>
      <c r="E270" s="120" t="s">
        <v>719</v>
      </c>
      <c r="F270" s="121" t="s">
        <v>18</v>
      </c>
      <c r="G270" s="121" t="s">
        <v>691</v>
      </c>
      <c r="H270" s="126">
        <v>0.41370000000000001</v>
      </c>
      <c r="I270" s="122">
        <v>0.16569999999999999</v>
      </c>
      <c r="J270" s="122">
        <v>0.1135</v>
      </c>
      <c r="K270" s="122">
        <v>0.1497</v>
      </c>
      <c r="L270" s="121">
        <v>5000</v>
      </c>
      <c r="M270" s="121">
        <v>500000</v>
      </c>
      <c r="N270" s="105">
        <v>44197</v>
      </c>
      <c r="O270" s="105">
        <v>44377</v>
      </c>
      <c r="P270" t="s">
        <v>718</v>
      </c>
    </row>
    <row r="271" spans="1:16" ht="15" customHeight="1" x14ac:dyDescent="0.3">
      <c r="A271" t="str">
        <f t="shared" si="5"/>
        <v/>
      </c>
      <c r="B271" s="119" t="s">
        <v>13</v>
      </c>
      <c r="C271" s="119">
        <v>21</v>
      </c>
      <c r="D271" s="120" t="s">
        <v>30</v>
      </c>
      <c r="E271" s="120" t="s">
        <v>720</v>
      </c>
      <c r="F271" s="121" t="s">
        <v>18</v>
      </c>
      <c r="G271" s="121" t="s">
        <v>691</v>
      </c>
      <c r="H271" s="126">
        <v>0.41370000000000001</v>
      </c>
      <c r="I271" s="122" t="s">
        <v>717</v>
      </c>
      <c r="J271" s="122">
        <v>0.1356</v>
      </c>
      <c r="K271" s="122" t="s">
        <v>717</v>
      </c>
      <c r="L271" s="121">
        <v>5000</v>
      </c>
      <c r="M271" s="121">
        <v>500000</v>
      </c>
      <c r="N271" s="105">
        <v>44197</v>
      </c>
      <c r="O271" s="105">
        <v>44377</v>
      </c>
      <c r="P271" t="s">
        <v>718</v>
      </c>
    </row>
    <row r="272" spans="1:16" ht="15" customHeight="1" x14ac:dyDescent="0.3">
      <c r="A272" t="str">
        <f t="shared" si="5"/>
        <v>22-3-U-SmartFIX – 3 Year</v>
      </c>
      <c r="B272" s="119" t="s">
        <v>13</v>
      </c>
      <c r="C272" s="119">
        <v>22</v>
      </c>
      <c r="D272" s="120" t="s">
        <v>31</v>
      </c>
      <c r="E272" s="120" t="s">
        <v>716</v>
      </c>
      <c r="F272" s="121" t="s">
        <v>16</v>
      </c>
      <c r="G272" s="121" t="s">
        <v>691</v>
      </c>
      <c r="H272" s="126">
        <v>0.35670000000000002</v>
      </c>
      <c r="I272" s="122">
        <v>0.15190000000000001</v>
      </c>
      <c r="J272" s="122" t="s">
        <v>717</v>
      </c>
      <c r="K272" s="122" t="s">
        <v>717</v>
      </c>
      <c r="L272" s="121">
        <v>5000</v>
      </c>
      <c r="M272" s="121">
        <v>500000</v>
      </c>
      <c r="N272" s="105">
        <v>44197</v>
      </c>
      <c r="O272" s="105">
        <v>44377</v>
      </c>
      <c r="P272" t="s">
        <v>718</v>
      </c>
    </row>
    <row r="273" spans="1:16" ht="15" customHeight="1" x14ac:dyDescent="0.3">
      <c r="A273" t="str">
        <f t="shared" si="5"/>
        <v>22-4-E7-SmartFIX – 3 Year</v>
      </c>
      <c r="B273" s="119" t="s">
        <v>13</v>
      </c>
      <c r="C273" s="119">
        <v>22</v>
      </c>
      <c r="D273" s="120" t="s">
        <v>31</v>
      </c>
      <c r="E273" s="120" t="s">
        <v>17</v>
      </c>
      <c r="F273" s="121" t="s">
        <v>18</v>
      </c>
      <c r="G273" s="121" t="s">
        <v>691</v>
      </c>
      <c r="H273" s="126">
        <v>0.35670000000000002</v>
      </c>
      <c r="I273" s="122">
        <v>0.15920000000000001</v>
      </c>
      <c r="J273" s="122">
        <v>0.1212</v>
      </c>
      <c r="K273" s="122" t="s">
        <v>717</v>
      </c>
      <c r="L273" s="121">
        <v>5000</v>
      </c>
      <c r="M273" s="121">
        <v>500000</v>
      </c>
      <c r="N273" s="105">
        <v>44197</v>
      </c>
      <c r="O273" s="105">
        <v>44377</v>
      </c>
      <c r="P273" t="s">
        <v>718</v>
      </c>
    </row>
    <row r="274" spans="1:16" ht="15" customHeight="1" x14ac:dyDescent="0.3">
      <c r="A274" t="str">
        <f t="shared" si="5"/>
        <v>22-3-EW-SmartFIX – 3 Year</v>
      </c>
      <c r="B274" s="119" t="s">
        <v>13</v>
      </c>
      <c r="C274" s="119">
        <v>22</v>
      </c>
      <c r="D274" s="120" t="s">
        <v>31</v>
      </c>
      <c r="E274" s="120" t="s">
        <v>19</v>
      </c>
      <c r="F274" s="121" t="s">
        <v>16</v>
      </c>
      <c r="G274" s="121" t="s">
        <v>691</v>
      </c>
      <c r="H274" s="126">
        <v>0.35670000000000002</v>
      </c>
      <c r="I274" s="122">
        <v>0.1613</v>
      </c>
      <c r="J274" s="122" t="s">
        <v>717</v>
      </c>
      <c r="K274" s="122">
        <v>0.14030000000000001</v>
      </c>
      <c r="L274" s="121">
        <v>5000</v>
      </c>
      <c r="M274" s="121">
        <v>500000</v>
      </c>
      <c r="N274" s="105">
        <v>44197</v>
      </c>
      <c r="O274" s="105">
        <v>44377</v>
      </c>
      <c r="P274" t="s">
        <v>718</v>
      </c>
    </row>
    <row r="275" spans="1:16" ht="15" customHeight="1" x14ac:dyDescent="0.3">
      <c r="A275" t="str">
        <f t="shared" si="5"/>
        <v>22-4-3RATE-SmartFIX – 3 Year</v>
      </c>
      <c r="B275" s="119" t="s">
        <v>13</v>
      </c>
      <c r="C275" s="119">
        <v>22</v>
      </c>
      <c r="D275" s="120" t="s">
        <v>31</v>
      </c>
      <c r="E275" s="120" t="s">
        <v>719</v>
      </c>
      <c r="F275" s="121" t="s">
        <v>18</v>
      </c>
      <c r="G275" s="121" t="s">
        <v>691</v>
      </c>
      <c r="H275" s="126">
        <v>0.35670000000000002</v>
      </c>
      <c r="I275" s="122">
        <v>0.16919999999999999</v>
      </c>
      <c r="J275" s="122">
        <v>0.1142</v>
      </c>
      <c r="K275" s="122">
        <v>0.15540000000000001</v>
      </c>
      <c r="L275" s="121">
        <v>5000</v>
      </c>
      <c r="M275" s="121">
        <v>500000</v>
      </c>
      <c r="N275" s="105">
        <v>44197</v>
      </c>
      <c r="O275" s="105">
        <v>44377</v>
      </c>
      <c r="P275" t="s">
        <v>718</v>
      </c>
    </row>
    <row r="276" spans="1:16" ht="15" customHeight="1" x14ac:dyDescent="0.3">
      <c r="A276" t="str">
        <f t="shared" si="5"/>
        <v/>
      </c>
      <c r="B276" s="119" t="s">
        <v>13</v>
      </c>
      <c r="C276" s="119">
        <v>22</v>
      </c>
      <c r="D276" s="120" t="s">
        <v>31</v>
      </c>
      <c r="E276" s="120" t="s">
        <v>720</v>
      </c>
      <c r="F276" s="121" t="s">
        <v>18</v>
      </c>
      <c r="G276" s="121" t="s">
        <v>691</v>
      </c>
      <c r="H276" s="126">
        <v>0.35670000000000002</v>
      </c>
      <c r="I276" s="122" t="s">
        <v>717</v>
      </c>
      <c r="J276" s="122">
        <v>0.14030000000000001</v>
      </c>
      <c r="K276" s="122" t="s">
        <v>717</v>
      </c>
      <c r="L276" s="121">
        <v>5000</v>
      </c>
      <c r="M276" s="121">
        <v>500000</v>
      </c>
      <c r="N276" s="105">
        <v>44197</v>
      </c>
      <c r="O276" s="105">
        <v>44377</v>
      </c>
      <c r="P276" t="s">
        <v>718</v>
      </c>
    </row>
    <row r="277" spans="1:16" ht="15" customHeight="1" x14ac:dyDescent="0.3">
      <c r="A277" t="str">
        <f t="shared" si="5"/>
        <v>23-3-U-SmartFIX – 3 Year</v>
      </c>
      <c r="B277" s="119" t="s">
        <v>13</v>
      </c>
      <c r="C277" s="119">
        <v>23</v>
      </c>
      <c r="D277" s="120" t="s">
        <v>32</v>
      </c>
      <c r="E277" s="120" t="s">
        <v>716</v>
      </c>
      <c r="F277" s="121" t="s">
        <v>16</v>
      </c>
      <c r="G277" s="121" t="s">
        <v>691</v>
      </c>
      <c r="H277" s="126">
        <v>0.31330000000000002</v>
      </c>
      <c r="I277" s="122">
        <v>0.14630000000000001</v>
      </c>
      <c r="J277" s="122" t="s">
        <v>717</v>
      </c>
      <c r="K277" s="122" t="s">
        <v>717</v>
      </c>
      <c r="L277" s="121">
        <v>5000</v>
      </c>
      <c r="M277" s="121">
        <v>500000</v>
      </c>
      <c r="N277" s="105">
        <v>44197</v>
      </c>
      <c r="O277" s="105">
        <v>44377</v>
      </c>
      <c r="P277" t="s">
        <v>718</v>
      </c>
    </row>
    <row r="278" spans="1:16" ht="15" customHeight="1" x14ac:dyDescent="0.3">
      <c r="A278" t="str">
        <f t="shared" si="5"/>
        <v>23-4-E7-SmartFIX – 3 Year</v>
      </c>
      <c r="B278" s="119" t="s">
        <v>13</v>
      </c>
      <c r="C278" s="119">
        <v>23</v>
      </c>
      <c r="D278" s="120" t="s">
        <v>32</v>
      </c>
      <c r="E278" s="120" t="s">
        <v>17</v>
      </c>
      <c r="F278" s="121" t="s">
        <v>18</v>
      </c>
      <c r="G278" s="121" t="s">
        <v>691</v>
      </c>
      <c r="H278" s="126">
        <v>0.31330000000000002</v>
      </c>
      <c r="I278" s="122">
        <v>0.15459999999999999</v>
      </c>
      <c r="J278" s="122">
        <v>0.1118</v>
      </c>
      <c r="K278" s="122" t="s">
        <v>717</v>
      </c>
      <c r="L278" s="121">
        <v>5000</v>
      </c>
      <c r="M278" s="121">
        <v>500000</v>
      </c>
      <c r="N278" s="105">
        <v>44197</v>
      </c>
      <c r="O278" s="105">
        <v>44377</v>
      </c>
      <c r="P278" t="s">
        <v>718</v>
      </c>
    </row>
    <row r="279" spans="1:16" ht="15" customHeight="1" x14ac:dyDescent="0.3">
      <c r="A279" t="str">
        <f t="shared" si="5"/>
        <v>23-3-EW-SmartFIX – 3 Year</v>
      </c>
      <c r="B279" s="119" t="s">
        <v>13</v>
      </c>
      <c r="C279" s="119">
        <v>23</v>
      </c>
      <c r="D279" s="120" t="s">
        <v>32</v>
      </c>
      <c r="E279" s="120" t="s">
        <v>19</v>
      </c>
      <c r="F279" s="121" t="s">
        <v>16</v>
      </c>
      <c r="G279" s="121" t="s">
        <v>691</v>
      </c>
      <c r="H279" s="126">
        <v>0.31330000000000002</v>
      </c>
      <c r="I279" s="122">
        <v>0.15509999999999999</v>
      </c>
      <c r="J279" s="122" t="s">
        <v>717</v>
      </c>
      <c r="K279" s="122">
        <v>0.1343</v>
      </c>
      <c r="L279" s="121">
        <v>5000</v>
      </c>
      <c r="M279" s="121">
        <v>500000</v>
      </c>
      <c r="N279" s="105">
        <v>44197</v>
      </c>
      <c r="O279" s="105">
        <v>44377</v>
      </c>
      <c r="P279" t="s">
        <v>718</v>
      </c>
    </row>
    <row r="280" spans="1:16" ht="15" customHeight="1" x14ac:dyDescent="0.3">
      <c r="A280" t="str">
        <f t="shared" si="5"/>
        <v>23-4-3RATE-SmartFIX – 3 Year</v>
      </c>
      <c r="B280" s="119" t="s">
        <v>13</v>
      </c>
      <c r="C280" s="119">
        <v>23</v>
      </c>
      <c r="D280" s="120" t="s">
        <v>32</v>
      </c>
      <c r="E280" s="120" t="s">
        <v>719</v>
      </c>
      <c r="F280" s="121" t="s">
        <v>18</v>
      </c>
      <c r="G280" s="121" t="s">
        <v>691</v>
      </c>
      <c r="H280" s="126">
        <v>0.31330000000000002</v>
      </c>
      <c r="I280" s="122">
        <v>0.16439999999999999</v>
      </c>
      <c r="J280" s="122">
        <v>0.1133</v>
      </c>
      <c r="K280" s="122">
        <v>0.14530000000000001</v>
      </c>
      <c r="L280" s="121">
        <v>5000</v>
      </c>
      <c r="M280" s="121">
        <v>500000</v>
      </c>
      <c r="N280" s="105">
        <v>44197</v>
      </c>
      <c r="O280" s="105">
        <v>44377</v>
      </c>
      <c r="P280" t="s">
        <v>718</v>
      </c>
    </row>
    <row r="281" spans="1:16" ht="15" customHeight="1" x14ac:dyDescent="0.3">
      <c r="A281" t="str">
        <f t="shared" si="5"/>
        <v/>
      </c>
      <c r="B281" s="119" t="s">
        <v>13</v>
      </c>
      <c r="C281" s="119">
        <v>23</v>
      </c>
      <c r="D281" s="120" t="s">
        <v>32</v>
      </c>
      <c r="E281" s="120" t="s">
        <v>720</v>
      </c>
      <c r="F281" s="121" t="s">
        <v>18</v>
      </c>
      <c r="G281" s="121" t="s">
        <v>691</v>
      </c>
      <c r="H281" s="126">
        <v>0.31330000000000002</v>
      </c>
      <c r="I281" s="122" t="s">
        <v>717</v>
      </c>
      <c r="J281" s="122">
        <v>0.1343</v>
      </c>
      <c r="K281" s="122" t="s">
        <v>717</v>
      </c>
      <c r="L281" s="121">
        <v>5000</v>
      </c>
      <c r="M281" s="121">
        <v>500000</v>
      </c>
      <c r="N281" s="105">
        <v>44197</v>
      </c>
      <c r="O281" s="105">
        <v>44377</v>
      </c>
      <c r="P281" t="s">
        <v>718</v>
      </c>
    </row>
    <row r="282" spans="1:16" ht="15" customHeight="1" x14ac:dyDescent="0.3">
      <c r="A282" t="str">
        <f t="shared" si="5"/>
        <v>10-3-U-SmartFIX – 1 Year Renewal</v>
      </c>
      <c r="B282" s="119" t="s">
        <v>13</v>
      </c>
      <c r="C282" s="119">
        <v>10</v>
      </c>
      <c r="D282" s="120" t="s">
        <v>14</v>
      </c>
      <c r="E282" s="120" t="s">
        <v>716</v>
      </c>
      <c r="F282" s="121" t="s">
        <v>16</v>
      </c>
      <c r="G282" s="121" t="s">
        <v>721</v>
      </c>
      <c r="H282" s="126">
        <v>0.32900000000000001</v>
      </c>
      <c r="I282" s="122">
        <v>0.1525</v>
      </c>
      <c r="J282" s="122" t="s">
        <v>717</v>
      </c>
      <c r="K282" s="122" t="s">
        <v>717</v>
      </c>
      <c r="L282" s="121">
        <v>5000</v>
      </c>
      <c r="M282" s="121">
        <v>500000</v>
      </c>
      <c r="N282" s="105">
        <v>44197</v>
      </c>
      <c r="O282" s="105">
        <v>44377</v>
      </c>
      <c r="P282" t="s">
        <v>718</v>
      </c>
    </row>
    <row r="283" spans="1:16" ht="15" customHeight="1" x14ac:dyDescent="0.3">
      <c r="A283" t="str">
        <f t="shared" si="5"/>
        <v>10-4-E7-SmartFIX – 1 Year Renewal</v>
      </c>
      <c r="B283" s="119" t="s">
        <v>13</v>
      </c>
      <c r="C283" s="119">
        <v>10</v>
      </c>
      <c r="D283" s="120" t="s">
        <v>14</v>
      </c>
      <c r="E283" s="120" t="s">
        <v>17</v>
      </c>
      <c r="F283" s="121" t="s">
        <v>18</v>
      </c>
      <c r="G283" s="121" t="s">
        <v>721</v>
      </c>
      <c r="H283" s="126">
        <v>0.32900000000000001</v>
      </c>
      <c r="I283" s="122">
        <v>0.1618</v>
      </c>
      <c r="J283" s="122">
        <v>0.11299999999999999</v>
      </c>
      <c r="K283" s="122" t="s">
        <v>717</v>
      </c>
      <c r="L283" s="121">
        <v>5000</v>
      </c>
      <c r="M283" s="121">
        <v>500000</v>
      </c>
      <c r="N283" s="105">
        <v>44197</v>
      </c>
      <c r="O283" s="105">
        <v>44377</v>
      </c>
      <c r="P283" t="s">
        <v>718</v>
      </c>
    </row>
    <row r="284" spans="1:16" ht="15" customHeight="1" x14ac:dyDescent="0.3">
      <c r="A284" t="str">
        <f t="shared" si="5"/>
        <v>10-3-EW-SmartFIX – 1 Year Renewal</v>
      </c>
      <c r="B284" s="119" t="s">
        <v>13</v>
      </c>
      <c r="C284" s="119">
        <v>10</v>
      </c>
      <c r="D284" s="120" t="s">
        <v>14</v>
      </c>
      <c r="E284" s="120" t="s">
        <v>19</v>
      </c>
      <c r="F284" s="121" t="s">
        <v>16</v>
      </c>
      <c r="G284" s="121" t="s">
        <v>721</v>
      </c>
      <c r="H284" s="126">
        <v>0.32900000000000001</v>
      </c>
      <c r="I284" s="122">
        <v>0.1615</v>
      </c>
      <c r="J284" s="122" t="s">
        <v>717</v>
      </c>
      <c r="K284" s="122">
        <v>0.13900000000000001</v>
      </c>
      <c r="L284" s="121">
        <v>5000</v>
      </c>
      <c r="M284" s="121">
        <v>500000</v>
      </c>
      <c r="N284" s="105">
        <v>44197</v>
      </c>
      <c r="O284" s="105">
        <v>44377</v>
      </c>
      <c r="P284" t="s">
        <v>718</v>
      </c>
    </row>
    <row r="285" spans="1:16" ht="15" customHeight="1" x14ac:dyDescent="0.3">
      <c r="A285" t="str">
        <f t="shared" si="5"/>
        <v>10-4-3RATE-SmartFIX – 1 Year Renewal</v>
      </c>
      <c r="B285" s="119" t="s">
        <v>13</v>
      </c>
      <c r="C285" s="119">
        <v>10</v>
      </c>
      <c r="D285" s="120" t="s">
        <v>14</v>
      </c>
      <c r="E285" s="120" t="s">
        <v>719</v>
      </c>
      <c r="F285" s="121" t="s">
        <v>18</v>
      </c>
      <c r="G285" s="121" t="s">
        <v>721</v>
      </c>
      <c r="H285" s="126">
        <v>0.32900000000000001</v>
      </c>
      <c r="I285" s="122">
        <v>0.1721</v>
      </c>
      <c r="J285" s="122">
        <v>0.1124</v>
      </c>
      <c r="K285" s="122">
        <v>0.155</v>
      </c>
      <c r="L285" s="121">
        <v>5000</v>
      </c>
      <c r="M285" s="121">
        <v>500000</v>
      </c>
      <c r="N285" s="105">
        <v>44197</v>
      </c>
      <c r="O285" s="105">
        <v>44377</v>
      </c>
      <c r="P285" t="s">
        <v>718</v>
      </c>
    </row>
    <row r="286" spans="1:16" ht="15" customHeight="1" x14ac:dyDescent="0.3">
      <c r="A286" t="str">
        <f t="shared" si="5"/>
        <v/>
      </c>
      <c r="B286" s="119" t="s">
        <v>13</v>
      </c>
      <c r="C286" s="119">
        <v>10</v>
      </c>
      <c r="D286" s="120" t="s">
        <v>14</v>
      </c>
      <c r="E286" s="120" t="s">
        <v>720</v>
      </c>
      <c r="F286" s="121" t="s">
        <v>18</v>
      </c>
      <c r="G286" s="121" t="s">
        <v>721</v>
      </c>
      <c r="H286" s="126">
        <v>0.32900000000000001</v>
      </c>
      <c r="I286" s="122" t="s">
        <v>717</v>
      </c>
      <c r="J286" s="122">
        <v>0.13900000000000001</v>
      </c>
      <c r="K286" s="122" t="s">
        <v>717</v>
      </c>
      <c r="L286" s="121">
        <v>5000</v>
      </c>
      <c r="M286" s="121">
        <v>500000</v>
      </c>
      <c r="N286" s="105">
        <v>44197</v>
      </c>
      <c r="O286" s="105">
        <v>44377</v>
      </c>
      <c r="P286" t="s">
        <v>718</v>
      </c>
    </row>
    <row r="287" spans="1:16" ht="15" customHeight="1" x14ac:dyDescent="0.3">
      <c r="A287" t="str">
        <f t="shared" si="5"/>
        <v>11-3-U-SmartFIX – 1 Year Renewal</v>
      </c>
      <c r="B287" s="119" t="s">
        <v>13</v>
      </c>
      <c r="C287" s="119">
        <v>11</v>
      </c>
      <c r="D287" s="120" t="s">
        <v>20</v>
      </c>
      <c r="E287" s="120" t="s">
        <v>716</v>
      </c>
      <c r="F287" s="121" t="s">
        <v>16</v>
      </c>
      <c r="G287" s="121" t="s">
        <v>721</v>
      </c>
      <c r="H287" s="126">
        <v>0.33900000000000002</v>
      </c>
      <c r="I287" s="122">
        <v>0.152</v>
      </c>
      <c r="J287" s="122" t="s">
        <v>717</v>
      </c>
      <c r="K287" s="122" t="s">
        <v>717</v>
      </c>
      <c r="L287" s="121">
        <v>5000</v>
      </c>
      <c r="M287" s="121">
        <v>500000</v>
      </c>
      <c r="N287" s="105">
        <v>44197</v>
      </c>
      <c r="O287" s="105">
        <v>44377</v>
      </c>
      <c r="P287" t="s">
        <v>718</v>
      </c>
    </row>
    <row r="288" spans="1:16" ht="15" customHeight="1" x14ac:dyDescent="0.3">
      <c r="A288" t="str">
        <f t="shared" si="5"/>
        <v>11-4-E7-SmartFIX – 1 Year Renewal</v>
      </c>
      <c r="B288" s="119" t="s">
        <v>13</v>
      </c>
      <c r="C288" s="119">
        <v>11</v>
      </c>
      <c r="D288" s="120" t="s">
        <v>20</v>
      </c>
      <c r="E288" s="120" t="s">
        <v>17</v>
      </c>
      <c r="F288" s="121" t="s">
        <v>18</v>
      </c>
      <c r="G288" s="121" t="s">
        <v>721</v>
      </c>
      <c r="H288" s="126">
        <v>0.33900000000000002</v>
      </c>
      <c r="I288" s="122">
        <v>0.16040000000000001</v>
      </c>
      <c r="J288" s="122">
        <v>0.1187</v>
      </c>
      <c r="K288" s="122" t="s">
        <v>717</v>
      </c>
      <c r="L288" s="121">
        <v>5000</v>
      </c>
      <c r="M288" s="121">
        <v>500000</v>
      </c>
      <c r="N288" s="105">
        <v>44197</v>
      </c>
      <c r="O288" s="105">
        <v>44377</v>
      </c>
      <c r="P288" t="s">
        <v>718</v>
      </c>
    </row>
    <row r="289" spans="1:16" ht="15" customHeight="1" x14ac:dyDescent="0.3">
      <c r="A289" t="str">
        <f t="shared" si="5"/>
        <v>11-3-EW-SmartFIX – 1 Year Renewal</v>
      </c>
      <c r="B289" s="119" t="s">
        <v>13</v>
      </c>
      <c r="C289" s="119">
        <v>11</v>
      </c>
      <c r="D289" s="120" t="s">
        <v>20</v>
      </c>
      <c r="E289" s="120" t="s">
        <v>19</v>
      </c>
      <c r="F289" s="121" t="s">
        <v>16</v>
      </c>
      <c r="G289" s="121" t="s">
        <v>721</v>
      </c>
      <c r="H289" s="126">
        <v>0.33900000000000002</v>
      </c>
      <c r="I289" s="122">
        <v>0.16040000000000001</v>
      </c>
      <c r="J289" s="122" t="s">
        <v>717</v>
      </c>
      <c r="K289" s="122">
        <v>0.1389</v>
      </c>
      <c r="L289" s="121">
        <v>5000</v>
      </c>
      <c r="M289" s="121">
        <v>500000</v>
      </c>
      <c r="N289" s="105">
        <v>44197</v>
      </c>
      <c r="O289" s="105">
        <v>44377</v>
      </c>
      <c r="P289" t="s">
        <v>718</v>
      </c>
    </row>
    <row r="290" spans="1:16" ht="15" customHeight="1" x14ac:dyDescent="0.3">
      <c r="A290" t="str">
        <f t="shared" si="5"/>
        <v>11-4-3RATE-SmartFIX – 1 Year Renewal</v>
      </c>
      <c r="B290" s="119" t="s">
        <v>13</v>
      </c>
      <c r="C290" s="119">
        <v>11</v>
      </c>
      <c r="D290" s="120" t="s">
        <v>20</v>
      </c>
      <c r="E290" s="120" t="s">
        <v>719</v>
      </c>
      <c r="F290" s="121" t="s">
        <v>18</v>
      </c>
      <c r="G290" s="121" t="s">
        <v>721</v>
      </c>
      <c r="H290" s="126">
        <v>0.33900000000000002</v>
      </c>
      <c r="I290" s="122">
        <v>0.16770000000000002</v>
      </c>
      <c r="J290" s="122">
        <v>0.1132</v>
      </c>
      <c r="K290" s="122">
        <v>0.1472</v>
      </c>
      <c r="L290" s="121">
        <v>5000</v>
      </c>
      <c r="M290" s="121">
        <v>500000</v>
      </c>
      <c r="N290" s="105">
        <v>44197</v>
      </c>
      <c r="O290" s="105">
        <v>44377</v>
      </c>
      <c r="P290" t="s">
        <v>718</v>
      </c>
    </row>
    <row r="291" spans="1:16" ht="15" customHeight="1" x14ac:dyDescent="0.3">
      <c r="A291" t="str">
        <f t="shared" si="5"/>
        <v/>
      </c>
      <c r="B291" s="119" t="s">
        <v>13</v>
      </c>
      <c r="C291" s="119">
        <v>11</v>
      </c>
      <c r="D291" s="120" t="s">
        <v>20</v>
      </c>
      <c r="E291" s="120" t="s">
        <v>720</v>
      </c>
      <c r="F291" s="121" t="s">
        <v>18</v>
      </c>
      <c r="G291" s="121" t="s">
        <v>721</v>
      </c>
      <c r="H291" s="126">
        <v>0.33900000000000002</v>
      </c>
      <c r="I291" s="122" t="s">
        <v>717</v>
      </c>
      <c r="J291" s="122">
        <v>0.1389</v>
      </c>
      <c r="K291" s="122" t="s">
        <v>717</v>
      </c>
      <c r="L291" s="121">
        <v>5000</v>
      </c>
      <c r="M291" s="121">
        <v>500000</v>
      </c>
      <c r="N291" s="105">
        <v>44197</v>
      </c>
      <c r="O291" s="105">
        <v>44377</v>
      </c>
      <c r="P291" t="s">
        <v>718</v>
      </c>
    </row>
    <row r="292" spans="1:16" ht="15" customHeight="1" x14ac:dyDescent="0.3">
      <c r="A292" t="str">
        <f t="shared" si="5"/>
        <v>12-3-U-SmartFIX – 1 Year Renewal</v>
      </c>
      <c r="B292" s="119" t="s">
        <v>13</v>
      </c>
      <c r="C292" s="119">
        <v>12</v>
      </c>
      <c r="D292" s="120" t="s">
        <v>21</v>
      </c>
      <c r="E292" s="120" t="s">
        <v>716</v>
      </c>
      <c r="F292" s="121" t="s">
        <v>16</v>
      </c>
      <c r="G292" s="121" t="s">
        <v>721</v>
      </c>
      <c r="H292" s="126">
        <v>0.25590000000000002</v>
      </c>
      <c r="I292" s="122">
        <v>0.1449</v>
      </c>
      <c r="J292" s="122" t="s">
        <v>717</v>
      </c>
      <c r="K292" s="122" t="s">
        <v>717</v>
      </c>
      <c r="L292" s="121">
        <v>5000</v>
      </c>
      <c r="M292" s="121">
        <v>500000</v>
      </c>
      <c r="N292" s="105">
        <v>44197</v>
      </c>
      <c r="O292" s="105">
        <v>44377</v>
      </c>
      <c r="P292" t="s">
        <v>718</v>
      </c>
    </row>
    <row r="293" spans="1:16" ht="15" customHeight="1" x14ac:dyDescent="0.3">
      <c r="A293" t="str">
        <f t="shared" si="5"/>
        <v>12-4-E7-SmartFIX – 1 Year Renewal</v>
      </c>
      <c r="B293" s="119" t="s">
        <v>13</v>
      </c>
      <c r="C293" s="119">
        <v>12</v>
      </c>
      <c r="D293" s="120" t="s">
        <v>21</v>
      </c>
      <c r="E293" s="120" t="s">
        <v>17</v>
      </c>
      <c r="F293" s="121" t="s">
        <v>18</v>
      </c>
      <c r="G293" s="121" t="s">
        <v>721</v>
      </c>
      <c r="H293" s="126">
        <v>0.25590000000000002</v>
      </c>
      <c r="I293" s="122">
        <v>0.155</v>
      </c>
      <c r="J293" s="122">
        <v>0.1124</v>
      </c>
      <c r="K293" s="122" t="s">
        <v>717</v>
      </c>
      <c r="L293" s="121">
        <v>5000</v>
      </c>
      <c r="M293" s="121">
        <v>500000</v>
      </c>
      <c r="N293" s="105">
        <v>44197</v>
      </c>
      <c r="O293" s="105">
        <v>44377</v>
      </c>
      <c r="P293" t="s">
        <v>718</v>
      </c>
    </row>
    <row r="294" spans="1:16" ht="15" customHeight="1" x14ac:dyDescent="0.3">
      <c r="A294" t="str">
        <f t="shared" si="5"/>
        <v>12-3-EW-SmartFIX – 1 Year Renewal</v>
      </c>
      <c r="B294" s="119" t="s">
        <v>13</v>
      </c>
      <c r="C294" s="119">
        <v>12</v>
      </c>
      <c r="D294" s="120" t="s">
        <v>21</v>
      </c>
      <c r="E294" s="120" t="s">
        <v>19</v>
      </c>
      <c r="F294" s="121" t="s">
        <v>16</v>
      </c>
      <c r="G294" s="121" t="s">
        <v>721</v>
      </c>
      <c r="H294" s="126">
        <v>0.25590000000000002</v>
      </c>
      <c r="I294" s="122">
        <v>0.1532</v>
      </c>
      <c r="J294" s="122" t="s">
        <v>717</v>
      </c>
      <c r="K294" s="122">
        <v>0.1333</v>
      </c>
      <c r="L294" s="121">
        <v>5000</v>
      </c>
      <c r="M294" s="121">
        <v>500000</v>
      </c>
      <c r="N294" s="105">
        <v>44197</v>
      </c>
      <c r="O294" s="105">
        <v>44377</v>
      </c>
      <c r="P294" t="s">
        <v>718</v>
      </c>
    </row>
    <row r="295" spans="1:16" ht="15" customHeight="1" x14ac:dyDescent="0.3">
      <c r="A295" t="str">
        <f t="shared" si="5"/>
        <v>12-4-3RATE-SmartFIX – 1 Year Renewal</v>
      </c>
      <c r="B295" s="119" t="s">
        <v>13</v>
      </c>
      <c r="C295" s="119">
        <v>12</v>
      </c>
      <c r="D295" s="120" t="s">
        <v>21</v>
      </c>
      <c r="E295" s="120" t="s">
        <v>719</v>
      </c>
      <c r="F295" s="121" t="s">
        <v>18</v>
      </c>
      <c r="G295" s="121" t="s">
        <v>721</v>
      </c>
      <c r="H295" s="126">
        <v>0.25590000000000002</v>
      </c>
      <c r="I295" s="122">
        <v>0.252</v>
      </c>
      <c r="J295" s="122">
        <v>0.252</v>
      </c>
      <c r="K295" s="122">
        <v>0.252</v>
      </c>
      <c r="L295" s="121">
        <v>5000</v>
      </c>
      <c r="M295" s="121">
        <v>500000</v>
      </c>
      <c r="N295" s="105">
        <v>44197</v>
      </c>
      <c r="O295" s="105">
        <v>44377</v>
      </c>
      <c r="P295" t="s">
        <v>718</v>
      </c>
    </row>
    <row r="296" spans="1:16" ht="15" customHeight="1" x14ac:dyDescent="0.3">
      <c r="A296" t="str">
        <f t="shared" si="5"/>
        <v/>
      </c>
      <c r="B296" s="119" t="s">
        <v>13</v>
      </c>
      <c r="C296" s="119">
        <v>12</v>
      </c>
      <c r="D296" s="120" t="s">
        <v>21</v>
      </c>
      <c r="E296" s="120" t="s">
        <v>720</v>
      </c>
      <c r="F296" s="121" t="s">
        <v>18</v>
      </c>
      <c r="G296" s="121" t="s">
        <v>721</v>
      </c>
      <c r="H296" s="126">
        <v>0.25590000000000002</v>
      </c>
      <c r="I296" s="122" t="s">
        <v>717</v>
      </c>
      <c r="J296" s="122">
        <v>0.1333</v>
      </c>
      <c r="K296" s="122" t="s">
        <v>717</v>
      </c>
      <c r="L296" s="121">
        <v>5000</v>
      </c>
      <c r="M296" s="121">
        <v>500000</v>
      </c>
      <c r="N296" s="105">
        <v>44197</v>
      </c>
      <c r="O296" s="105">
        <v>44377</v>
      </c>
      <c r="P296" t="s">
        <v>718</v>
      </c>
    </row>
    <row r="297" spans="1:16" ht="15" customHeight="1" x14ac:dyDescent="0.3">
      <c r="A297" t="str">
        <f t="shared" si="5"/>
        <v>13-3-U-SmartFIX – 1 Year Renewal</v>
      </c>
      <c r="B297" s="119" t="s">
        <v>13</v>
      </c>
      <c r="C297" s="119">
        <v>13</v>
      </c>
      <c r="D297" s="120" t="s">
        <v>22</v>
      </c>
      <c r="E297" s="120" t="s">
        <v>716</v>
      </c>
      <c r="F297" s="121" t="s">
        <v>16</v>
      </c>
      <c r="G297" s="121" t="s">
        <v>721</v>
      </c>
      <c r="H297" s="126">
        <v>0.30109999999999998</v>
      </c>
      <c r="I297" s="122">
        <v>0.1699</v>
      </c>
      <c r="J297" s="122" t="s">
        <v>717</v>
      </c>
      <c r="K297" s="122" t="s">
        <v>717</v>
      </c>
      <c r="L297" s="121">
        <v>5000</v>
      </c>
      <c r="M297" s="121">
        <v>500000</v>
      </c>
      <c r="N297" s="105">
        <v>44197</v>
      </c>
      <c r="O297" s="105">
        <v>44377</v>
      </c>
      <c r="P297" t="s">
        <v>718</v>
      </c>
    </row>
    <row r="298" spans="1:16" ht="15" customHeight="1" x14ac:dyDescent="0.3">
      <c r="A298" t="str">
        <f t="shared" si="5"/>
        <v>13-4-E7-SmartFIX – 1 Year Renewal</v>
      </c>
      <c r="B298" s="119" t="s">
        <v>13</v>
      </c>
      <c r="C298" s="119">
        <v>13</v>
      </c>
      <c r="D298" s="120" t="s">
        <v>22</v>
      </c>
      <c r="E298" s="120" t="s">
        <v>17</v>
      </c>
      <c r="F298" s="121" t="s">
        <v>18</v>
      </c>
      <c r="G298" s="121" t="s">
        <v>721</v>
      </c>
      <c r="H298" s="126">
        <v>0.30109999999999998</v>
      </c>
      <c r="I298" s="122">
        <v>0.17910000000000001</v>
      </c>
      <c r="J298" s="122">
        <v>0.12970000000000001</v>
      </c>
      <c r="K298" s="122" t="s">
        <v>717</v>
      </c>
      <c r="L298" s="121">
        <v>5000</v>
      </c>
      <c r="M298" s="121">
        <v>500000</v>
      </c>
      <c r="N298" s="105">
        <v>44197</v>
      </c>
      <c r="O298" s="105">
        <v>44377</v>
      </c>
      <c r="P298" t="s">
        <v>718</v>
      </c>
    </row>
    <row r="299" spans="1:16" ht="15" customHeight="1" x14ac:dyDescent="0.3">
      <c r="A299" t="str">
        <f t="shared" si="5"/>
        <v>13-3-EW-SmartFIX – 1 Year Renewal</v>
      </c>
      <c r="B299" s="119" t="s">
        <v>13</v>
      </c>
      <c r="C299" s="119">
        <v>13</v>
      </c>
      <c r="D299" s="120" t="s">
        <v>22</v>
      </c>
      <c r="E299" s="120" t="s">
        <v>19</v>
      </c>
      <c r="F299" s="121" t="s">
        <v>16</v>
      </c>
      <c r="G299" s="121" t="s">
        <v>721</v>
      </c>
      <c r="H299" s="126">
        <v>0.30109999999999998</v>
      </c>
      <c r="I299" s="122">
        <v>0.252</v>
      </c>
      <c r="J299" s="122" t="s">
        <v>717</v>
      </c>
      <c r="K299" s="122">
        <v>0.252</v>
      </c>
      <c r="L299" s="121">
        <v>5000</v>
      </c>
      <c r="M299" s="121">
        <v>500000</v>
      </c>
      <c r="N299" s="105">
        <v>44197</v>
      </c>
      <c r="O299" s="105">
        <v>44377</v>
      </c>
      <c r="P299" t="s">
        <v>718</v>
      </c>
    </row>
    <row r="300" spans="1:16" ht="15" customHeight="1" x14ac:dyDescent="0.3">
      <c r="A300" t="str">
        <f t="shared" si="5"/>
        <v>13-4-3RATE-SmartFIX – 1 Year Renewal</v>
      </c>
      <c r="B300" s="119" t="s">
        <v>13</v>
      </c>
      <c r="C300" s="119">
        <v>13</v>
      </c>
      <c r="D300" s="120" t="s">
        <v>22</v>
      </c>
      <c r="E300" s="120" t="s">
        <v>719</v>
      </c>
      <c r="F300" s="121" t="s">
        <v>18</v>
      </c>
      <c r="G300" s="121" t="s">
        <v>721</v>
      </c>
      <c r="H300" s="126">
        <v>0.30109999999999998</v>
      </c>
      <c r="I300" s="122">
        <v>0.1837</v>
      </c>
      <c r="J300" s="122">
        <v>0.1263</v>
      </c>
      <c r="K300" s="122">
        <v>0.16970000000000002</v>
      </c>
      <c r="L300" s="121">
        <v>5000</v>
      </c>
      <c r="M300" s="121">
        <v>500000</v>
      </c>
      <c r="N300" s="105">
        <v>44197</v>
      </c>
      <c r="O300" s="105">
        <v>44377</v>
      </c>
      <c r="P300" t="s">
        <v>718</v>
      </c>
    </row>
    <row r="301" spans="1:16" ht="15" customHeight="1" x14ac:dyDescent="0.3">
      <c r="A301" t="str">
        <f t="shared" si="5"/>
        <v/>
      </c>
      <c r="B301" s="119" t="s">
        <v>13</v>
      </c>
      <c r="C301" s="119">
        <v>13</v>
      </c>
      <c r="D301" s="120" t="s">
        <v>22</v>
      </c>
      <c r="E301" s="120" t="s">
        <v>720</v>
      </c>
      <c r="F301" s="121" t="s">
        <v>18</v>
      </c>
      <c r="G301" s="121" t="s">
        <v>721</v>
      </c>
      <c r="H301" s="126">
        <v>0.30109999999999998</v>
      </c>
      <c r="I301" s="122" t="s">
        <v>717</v>
      </c>
      <c r="J301" s="122">
        <v>0.12970000000000001</v>
      </c>
      <c r="K301" s="122" t="s">
        <v>717</v>
      </c>
      <c r="L301" s="121">
        <v>5000</v>
      </c>
      <c r="M301" s="121">
        <v>500000</v>
      </c>
      <c r="N301" s="105">
        <v>44197</v>
      </c>
      <c r="O301" s="105">
        <v>44377</v>
      </c>
      <c r="P301" t="s">
        <v>718</v>
      </c>
    </row>
    <row r="302" spans="1:16" ht="15" customHeight="1" x14ac:dyDescent="0.3">
      <c r="A302" t="str">
        <f t="shared" si="5"/>
        <v>14-3-U-SmartFIX – 1 Year Renewal</v>
      </c>
      <c r="B302" s="119" t="s">
        <v>13</v>
      </c>
      <c r="C302" s="119">
        <v>14</v>
      </c>
      <c r="D302" s="120" t="s">
        <v>23</v>
      </c>
      <c r="E302" s="120" t="s">
        <v>716</v>
      </c>
      <c r="F302" s="121" t="s">
        <v>16</v>
      </c>
      <c r="G302" s="121" t="s">
        <v>721</v>
      </c>
      <c r="H302" s="126">
        <v>0.37159999999999999</v>
      </c>
      <c r="I302" s="122">
        <v>0.155</v>
      </c>
      <c r="J302" s="122" t="s">
        <v>717</v>
      </c>
      <c r="K302" s="122" t="s">
        <v>717</v>
      </c>
      <c r="L302" s="121">
        <v>5000</v>
      </c>
      <c r="M302" s="121">
        <v>500000</v>
      </c>
      <c r="N302" s="105">
        <v>44197</v>
      </c>
      <c r="O302" s="105">
        <v>44377</v>
      </c>
      <c r="P302" t="s">
        <v>718</v>
      </c>
    </row>
    <row r="303" spans="1:16" ht="15" customHeight="1" x14ac:dyDescent="0.3">
      <c r="A303" t="str">
        <f t="shared" si="5"/>
        <v>14-4-E7-SmartFIX – 1 Year Renewal</v>
      </c>
      <c r="B303" s="119" t="s">
        <v>13</v>
      </c>
      <c r="C303" s="119">
        <v>14</v>
      </c>
      <c r="D303" s="120" t="s">
        <v>23</v>
      </c>
      <c r="E303" s="120" t="s">
        <v>17</v>
      </c>
      <c r="F303" s="121" t="s">
        <v>18</v>
      </c>
      <c r="G303" s="121" t="s">
        <v>721</v>
      </c>
      <c r="H303" s="126">
        <v>0.37159999999999999</v>
      </c>
      <c r="I303" s="122">
        <v>0.1623</v>
      </c>
      <c r="J303" s="122">
        <v>0.11910000000000001</v>
      </c>
      <c r="K303" s="122" t="s">
        <v>717</v>
      </c>
      <c r="L303" s="121">
        <v>5000</v>
      </c>
      <c r="M303" s="121">
        <v>500000</v>
      </c>
      <c r="N303" s="105">
        <v>44197</v>
      </c>
      <c r="O303" s="105">
        <v>44377</v>
      </c>
      <c r="P303" t="s">
        <v>718</v>
      </c>
    </row>
    <row r="304" spans="1:16" ht="15" customHeight="1" x14ac:dyDescent="0.3">
      <c r="A304" t="str">
        <f t="shared" si="5"/>
        <v>14-3-EW-SmartFIX – 1 Year Renewal</v>
      </c>
      <c r="B304" s="119" t="s">
        <v>13</v>
      </c>
      <c r="C304" s="119">
        <v>14</v>
      </c>
      <c r="D304" s="120" t="s">
        <v>23</v>
      </c>
      <c r="E304" s="120" t="s">
        <v>19</v>
      </c>
      <c r="F304" s="121" t="s">
        <v>16</v>
      </c>
      <c r="G304" s="121" t="s">
        <v>721</v>
      </c>
      <c r="H304" s="126">
        <v>0.37159999999999999</v>
      </c>
      <c r="I304" s="122">
        <v>0.1623</v>
      </c>
      <c r="J304" s="122" t="s">
        <v>717</v>
      </c>
      <c r="K304" s="122">
        <v>0.14419999999999999</v>
      </c>
      <c r="L304" s="121">
        <v>5000</v>
      </c>
      <c r="M304" s="121">
        <v>500000</v>
      </c>
      <c r="N304" s="105">
        <v>44197</v>
      </c>
      <c r="O304" s="105">
        <v>44377</v>
      </c>
      <c r="P304" t="s">
        <v>718</v>
      </c>
    </row>
    <row r="305" spans="1:16" ht="15" customHeight="1" x14ac:dyDescent="0.3">
      <c r="A305" t="str">
        <f t="shared" si="5"/>
        <v>14-4-3RATE-SmartFIX – 1 Year Renewal</v>
      </c>
      <c r="B305" s="119" t="s">
        <v>13</v>
      </c>
      <c r="C305" s="119">
        <v>14</v>
      </c>
      <c r="D305" s="120" t="s">
        <v>23</v>
      </c>
      <c r="E305" s="120" t="s">
        <v>719</v>
      </c>
      <c r="F305" s="121" t="s">
        <v>18</v>
      </c>
      <c r="G305" s="121" t="s">
        <v>721</v>
      </c>
      <c r="H305" s="126">
        <v>0.37159999999999999</v>
      </c>
      <c r="I305" s="122">
        <v>0.252</v>
      </c>
      <c r="J305" s="122">
        <v>0.252</v>
      </c>
      <c r="K305" s="122">
        <v>0.252</v>
      </c>
      <c r="L305" s="121">
        <v>5000</v>
      </c>
      <c r="M305" s="121">
        <v>500000</v>
      </c>
      <c r="N305" s="105">
        <v>44197</v>
      </c>
      <c r="O305" s="105">
        <v>44377</v>
      </c>
      <c r="P305" t="s">
        <v>718</v>
      </c>
    </row>
    <row r="306" spans="1:16" ht="15" customHeight="1" x14ac:dyDescent="0.3">
      <c r="A306" t="str">
        <f t="shared" si="5"/>
        <v/>
      </c>
      <c r="B306" s="119" t="s">
        <v>13</v>
      </c>
      <c r="C306" s="119">
        <v>14</v>
      </c>
      <c r="D306" s="120" t="s">
        <v>23</v>
      </c>
      <c r="E306" s="120" t="s">
        <v>720</v>
      </c>
      <c r="F306" s="121" t="s">
        <v>18</v>
      </c>
      <c r="G306" s="121" t="s">
        <v>721</v>
      </c>
      <c r="H306" s="126">
        <v>0.37159999999999999</v>
      </c>
      <c r="I306" s="122" t="s">
        <v>717</v>
      </c>
      <c r="J306" s="122">
        <v>0.14419999999999999</v>
      </c>
      <c r="K306" s="122" t="s">
        <v>717</v>
      </c>
      <c r="L306" s="121">
        <v>5000</v>
      </c>
      <c r="M306" s="121">
        <v>500000</v>
      </c>
      <c r="N306" s="105">
        <v>44197</v>
      </c>
      <c r="O306" s="105">
        <v>44377</v>
      </c>
      <c r="P306" t="s">
        <v>718</v>
      </c>
    </row>
    <row r="307" spans="1:16" ht="15" customHeight="1" x14ac:dyDescent="0.3">
      <c r="A307" t="str">
        <f t="shared" si="5"/>
        <v>15-3-U-SmartFIX – 1 Year Renewal</v>
      </c>
      <c r="B307" s="119" t="s">
        <v>13</v>
      </c>
      <c r="C307" s="119">
        <v>15</v>
      </c>
      <c r="D307" s="120" t="s">
        <v>24</v>
      </c>
      <c r="E307" s="120" t="s">
        <v>716</v>
      </c>
      <c r="F307" s="121" t="s">
        <v>16</v>
      </c>
      <c r="G307" s="121" t="s">
        <v>721</v>
      </c>
      <c r="H307" s="126">
        <v>0.34489999999999998</v>
      </c>
      <c r="I307" s="122">
        <v>0.15390000000000001</v>
      </c>
      <c r="J307" s="122" t="s">
        <v>717</v>
      </c>
      <c r="K307" s="122" t="s">
        <v>717</v>
      </c>
      <c r="L307" s="121">
        <v>5000</v>
      </c>
      <c r="M307" s="121">
        <v>500000</v>
      </c>
      <c r="N307" s="105">
        <v>44197</v>
      </c>
      <c r="O307" s="105">
        <v>44377</v>
      </c>
      <c r="P307" t="s">
        <v>718</v>
      </c>
    </row>
    <row r="308" spans="1:16" ht="15" customHeight="1" x14ac:dyDescent="0.3">
      <c r="A308" t="str">
        <f t="shared" si="5"/>
        <v>15-4-E7-SmartFIX – 1 Year Renewal</v>
      </c>
      <c r="B308" s="119" t="s">
        <v>13</v>
      </c>
      <c r="C308" s="119">
        <v>15</v>
      </c>
      <c r="D308" s="120" t="s">
        <v>24</v>
      </c>
      <c r="E308" s="120" t="s">
        <v>17</v>
      </c>
      <c r="F308" s="121" t="s">
        <v>18</v>
      </c>
      <c r="G308" s="121" t="s">
        <v>721</v>
      </c>
      <c r="H308" s="126">
        <v>0.34489999999999998</v>
      </c>
      <c r="I308" s="122">
        <v>0.15970000000000001</v>
      </c>
      <c r="J308" s="122">
        <v>0.11860000000000001</v>
      </c>
      <c r="K308" s="122" t="s">
        <v>717</v>
      </c>
      <c r="L308" s="121">
        <v>5000</v>
      </c>
      <c r="M308" s="121">
        <v>500000</v>
      </c>
      <c r="N308" s="105">
        <v>44197</v>
      </c>
      <c r="O308" s="105">
        <v>44377</v>
      </c>
      <c r="P308" t="s">
        <v>718</v>
      </c>
    </row>
    <row r="309" spans="1:16" ht="15" customHeight="1" x14ac:dyDescent="0.3">
      <c r="A309" t="str">
        <f t="shared" si="5"/>
        <v>15-3-EW-SmartFIX – 1 Year Renewal</v>
      </c>
      <c r="B309" s="119" t="s">
        <v>13</v>
      </c>
      <c r="C309" s="119">
        <v>15</v>
      </c>
      <c r="D309" s="120" t="s">
        <v>24</v>
      </c>
      <c r="E309" s="120" t="s">
        <v>19</v>
      </c>
      <c r="F309" s="121" t="s">
        <v>16</v>
      </c>
      <c r="G309" s="121" t="s">
        <v>721</v>
      </c>
      <c r="H309" s="126">
        <v>0.34489999999999998</v>
      </c>
      <c r="I309" s="122">
        <v>0.16400000000000001</v>
      </c>
      <c r="J309" s="122" t="s">
        <v>717</v>
      </c>
      <c r="K309" s="122">
        <v>0.1426</v>
      </c>
      <c r="L309" s="121">
        <v>5000</v>
      </c>
      <c r="M309" s="121">
        <v>500000</v>
      </c>
      <c r="N309" s="105">
        <v>44197</v>
      </c>
      <c r="O309" s="105">
        <v>44377</v>
      </c>
      <c r="P309" t="s">
        <v>718</v>
      </c>
    </row>
    <row r="310" spans="1:16" ht="15" customHeight="1" x14ac:dyDescent="0.3">
      <c r="A310" t="str">
        <f t="shared" si="5"/>
        <v>15-4-3RATE-SmartFIX – 1 Year Renewal</v>
      </c>
      <c r="B310" s="119" t="s">
        <v>13</v>
      </c>
      <c r="C310" s="119">
        <v>15</v>
      </c>
      <c r="D310" s="120" t="s">
        <v>24</v>
      </c>
      <c r="E310" s="120" t="s">
        <v>719</v>
      </c>
      <c r="F310" s="121" t="s">
        <v>18</v>
      </c>
      <c r="G310" s="121" t="s">
        <v>721</v>
      </c>
      <c r="H310" s="126">
        <v>0.34489999999999998</v>
      </c>
      <c r="I310" s="122">
        <v>0.252</v>
      </c>
      <c r="J310" s="122">
        <v>0.252</v>
      </c>
      <c r="K310" s="122">
        <v>0.252</v>
      </c>
      <c r="L310" s="121">
        <v>5000</v>
      </c>
      <c r="M310" s="121">
        <v>500000</v>
      </c>
      <c r="N310" s="105">
        <v>44197</v>
      </c>
      <c r="O310" s="105">
        <v>44377</v>
      </c>
      <c r="P310" t="s">
        <v>718</v>
      </c>
    </row>
    <row r="311" spans="1:16" ht="15" customHeight="1" x14ac:dyDescent="0.3">
      <c r="A311" t="str">
        <f t="shared" si="5"/>
        <v/>
      </c>
      <c r="B311" s="119" t="s">
        <v>13</v>
      </c>
      <c r="C311" s="119">
        <v>15</v>
      </c>
      <c r="D311" s="120" t="s">
        <v>24</v>
      </c>
      <c r="E311" s="120" t="s">
        <v>720</v>
      </c>
      <c r="F311" s="121" t="s">
        <v>18</v>
      </c>
      <c r="G311" s="121" t="s">
        <v>721</v>
      </c>
      <c r="H311" s="126">
        <v>0.34489999999999998</v>
      </c>
      <c r="I311" s="122" t="s">
        <v>717</v>
      </c>
      <c r="J311" s="122">
        <v>0.1426</v>
      </c>
      <c r="K311" s="122" t="s">
        <v>717</v>
      </c>
      <c r="L311" s="121">
        <v>5000</v>
      </c>
      <c r="M311" s="121">
        <v>500000</v>
      </c>
      <c r="N311" s="105">
        <v>44197</v>
      </c>
      <c r="O311" s="105">
        <v>44377</v>
      </c>
      <c r="P311" t="s">
        <v>718</v>
      </c>
    </row>
    <row r="312" spans="1:16" ht="15" customHeight="1" x14ac:dyDescent="0.3">
      <c r="A312" t="str">
        <f t="shared" si="5"/>
        <v>16-3-U-SmartFIX – 1 Year Renewal</v>
      </c>
      <c r="B312" s="119" t="s">
        <v>13</v>
      </c>
      <c r="C312" s="119">
        <v>16</v>
      </c>
      <c r="D312" s="120" t="s">
        <v>25</v>
      </c>
      <c r="E312" s="120" t="s">
        <v>716</v>
      </c>
      <c r="F312" s="121" t="s">
        <v>16</v>
      </c>
      <c r="G312" s="121" t="s">
        <v>721</v>
      </c>
      <c r="H312" s="126">
        <v>0.29189999999999999</v>
      </c>
      <c r="I312" s="122">
        <v>0.15629999999999999</v>
      </c>
      <c r="J312" s="122" t="s">
        <v>717</v>
      </c>
      <c r="K312" s="122" t="s">
        <v>717</v>
      </c>
      <c r="L312" s="121">
        <v>5000</v>
      </c>
      <c r="M312" s="121">
        <v>500000</v>
      </c>
      <c r="N312" s="105">
        <v>44197</v>
      </c>
      <c r="O312" s="105">
        <v>44377</v>
      </c>
      <c r="P312" t="s">
        <v>718</v>
      </c>
    </row>
    <row r="313" spans="1:16" ht="15" customHeight="1" x14ac:dyDescent="0.3">
      <c r="A313" t="str">
        <f t="shared" si="5"/>
        <v>16-4-E7-SmartFIX – 1 Year Renewal</v>
      </c>
      <c r="B313" s="119" t="s">
        <v>13</v>
      </c>
      <c r="C313" s="119">
        <v>16</v>
      </c>
      <c r="D313" s="120" t="s">
        <v>25</v>
      </c>
      <c r="E313" s="120" t="s">
        <v>17</v>
      </c>
      <c r="F313" s="121" t="s">
        <v>18</v>
      </c>
      <c r="G313" s="121" t="s">
        <v>721</v>
      </c>
      <c r="H313" s="126">
        <v>0.29189999999999999</v>
      </c>
      <c r="I313" s="122">
        <v>0.16320000000000001</v>
      </c>
      <c r="J313" s="122">
        <v>0.12</v>
      </c>
      <c r="K313" s="122" t="s">
        <v>717</v>
      </c>
      <c r="L313" s="121">
        <v>5000</v>
      </c>
      <c r="M313" s="121">
        <v>500000</v>
      </c>
      <c r="N313" s="105">
        <v>44197</v>
      </c>
      <c r="O313" s="105">
        <v>44377</v>
      </c>
      <c r="P313" t="s">
        <v>718</v>
      </c>
    </row>
    <row r="314" spans="1:16" ht="15" customHeight="1" x14ac:dyDescent="0.3">
      <c r="A314" t="str">
        <f t="shared" si="5"/>
        <v>16-3-EW-SmartFIX – 1 Year Renewal</v>
      </c>
      <c r="B314" s="119" t="s">
        <v>13</v>
      </c>
      <c r="C314" s="119">
        <v>16</v>
      </c>
      <c r="D314" s="120" t="s">
        <v>25</v>
      </c>
      <c r="E314" s="120" t="s">
        <v>19</v>
      </c>
      <c r="F314" s="121" t="s">
        <v>16</v>
      </c>
      <c r="G314" s="121" t="s">
        <v>721</v>
      </c>
      <c r="H314" s="126">
        <v>0.29189999999999999</v>
      </c>
      <c r="I314" s="122">
        <v>0.1663</v>
      </c>
      <c r="J314" s="122" t="s">
        <v>717</v>
      </c>
      <c r="K314" s="122">
        <v>0.14430000000000001</v>
      </c>
      <c r="L314" s="121">
        <v>5000</v>
      </c>
      <c r="M314" s="121">
        <v>500000</v>
      </c>
      <c r="N314" s="105">
        <v>44197</v>
      </c>
      <c r="O314" s="105">
        <v>44377</v>
      </c>
      <c r="P314" t="s">
        <v>718</v>
      </c>
    </row>
    <row r="315" spans="1:16" ht="15" customHeight="1" x14ac:dyDescent="0.3">
      <c r="A315" t="str">
        <f t="shared" si="5"/>
        <v>16-4-3RATE-SmartFIX – 1 Year Renewal</v>
      </c>
      <c r="B315" s="119" t="s">
        <v>13</v>
      </c>
      <c r="C315" s="119">
        <v>16</v>
      </c>
      <c r="D315" s="120" t="s">
        <v>25</v>
      </c>
      <c r="E315" s="120" t="s">
        <v>719</v>
      </c>
      <c r="F315" s="121" t="s">
        <v>18</v>
      </c>
      <c r="G315" s="121" t="s">
        <v>721</v>
      </c>
      <c r="H315" s="126">
        <v>0.29189999999999999</v>
      </c>
      <c r="I315" s="122">
        <v>0.1719</v>
      </c>
      <c r="J315" s="122">
        <v>0.1169</v>
      </c>
      <c r="K315" s="122">
        <v>0.14660000000000001</v>
      </c>
      <c r="L315" s="121">
        <v>5000</v>
      </c>
      <c r="M315" s="121">
        <v>500000</v>
      </c>
      <c r="N315" s="105">
        <v>44197</v>
      </c>
      <c r="O315" s="105">
        <v>44377</v>
      </c>
      <c r="P315" t="s">
        <v>718</v>
      </c>
    </row>
    <row r="316" spans="1:16" ht="15" customHeight="1" x14ac:dyDescent="0.3">
      <c r="A316" t="str">
        <f t="shared" si="5"/>
        <v/>
      </c>
      <c r="B316" s="119" t="s">
        <v>13</v>
      </c>
      <c r="C316" s="119">
        <v>16</v>
      </c>
      <c r="D316" s="120" t="s">
        <v>25</v>
      </c>
      <c r="E316" s="120" t="s">
        <v>720</v>
      </c>
      <c r="F316" s="121" t="s">
        <v>18</v>
      </c>
      <c r="G316" s="121" t="s">
        <v>721</v>
      </c>
      <c r="H316" s="126">
        <v>0.29189999999999999</v>
      </c>
      <c r="I316" s="122" t="s">
        <v>717</v>
      </c>
      <c r="J316" s="122">
        <v>0.14430000000000001</v>
      </c>
      <c r="K316" s="122" t="s">
        <v>717</v>
      </c>
      <c r="L316" s="121">
        <v>5000</v>
      </c>
      <c r="M316" s="121">
        <v>500000</v>
      </c>
      <c r="N316" s="105">
        <v>44197</v>
      </c>
      <c r="O316" s="105">
        <v>44377</v>
      </c>
      <c r="P316" t="s">
        <v>718</v>
      </c>
    </row>
    <row r="317" spans="1:16" ht="15" customHeight="1" x14ac:dyDescent="0.3">
      <c r="A317" t="str">
        <f t="shared" si="5"/>
        <v>17-3-U-SmartFIX – 1 Year Renewal</v>
      </c>
      <c r="B317" s="119" t="s">
        <v>13</v>
      </c>
      <c r="C317" s="119">
        <v>17</v>
      </c>
      <c r="D317" s="120" t="s">
        <v>26</v>
      </c>
      <c r="E317" s="120" t="s">
        <v>716</v>
      </c>
      <c r="F317" s="121" t="s">
        <v>16</v>
      </c>
      <c r="G317" s="121" t="s">
        <v>721</v>
      </c>
      <c r="H317" s="126">
        <v>0.3846</v>
      </c>
      <c r="I317" s="122">
        <v>0.159</v>
      </c>
      <c r="J317" s="122" t="s">
        <v>717</v>
      </c>
      <c r="K317" s="122" t="s">
        <v>717</v>
      </c>
      <c r="L317" s="121">
        <v>5000</v>
      </c>
      <c r="M317" s="121">
        <v>500000</v>
      </c>
      <c r="N317" s="105">
        <v>44197</v>
      </c>
      <c r="O317" s="105">
        <v>44377</v>
      </c>
      <c r="P317" t="s">
        <v>718</v>
      </c>
    </row>
    <row r="318" spans="1:16" ht="15" customHeight="1" x14ac:dyDescent="0.3">
      <c r="A318" t="str">
        <f t="shared" si="5"/>
        <v>17-4-E7-SmartFIX – 1 Year Renewal</v>
      </c>
      <c r="B318" s="119" t="s">
        <v>13</v>
      </c>
      <c r="C318" s="119">
        <v>17</v>
      </c>
      <c r="D318" s="120" t="s">
        <v>26</v>
      </c>
      <c r="E318" s="120" t="s">
        <v>17</v>
      </c>
      <c r="F318" s="121" t="s">
        <v>18</v>
      </c>
      <c r="G318" s="121" t="s">
        <v>721</v>
      </c>
      <c r="H318" s="126">
        <v>0.3846</v>
      </c>
      <c r="I318" s="122">
        <v>0.17460000000000001</v>
      </c>
      <c r="J318" s="122">
        <v>0.12959999999999999</v>
      </c>
      <c r="K318" s="122" t="s">
        <v>717</v>
      </c>
      <c r="L318" s="121">
        <v>5000</v>
      </c>
      <c r="M318" s="121">
        <v>500000</v>
      </c>
      <c r="N318" s="105">
        <v>44197</v>
      </c>
      <c r="O318" s="105">
        <v>44377</v>
      </c>
      <c r="P318" t="s">
        <v>718</v>
      </c>
    </row>
    <row r="319" spans="1:16" ht="15" customHeight="1" x14ac:dyDescent="0.3">
      <c r="A319" t="str">
        <f t="shared" si="5"/>
        <v>17-3-EW-SmartFIX – 1 Year Renewal</v>
      </c>
      <c r="B319" s="119" t="s">
        <v>13</v>
      </c>
      <c r="C319" s="119">
        <v>17</v>
      </c>
      <c r="D319" s="120" t="s">
        <v>26</v>
      </c>
      <c r="E319" s="120" t="s">
        <v>19</v>
      </c>
      <c r="F319" s="121" t="s">
        <v>16</v>
      </c>
      <c r="G319" s="121" t="s">
        <v>721</v>
      </c>
      <c r="H319" s="126">
        <v>0.3846</v>
      </c>
      <c r="I319" s="122">
        <v>0.16650000000000001</v>
      </c>
      <c r="J319" s="122" t="s">
        <v>717</v>
      </c>
      <c r="K319" s="122">
        <v>0.1492</v>
      </c>
      <c r="L319" s="121">
        <v>5000</v>
      </c>
      <c r="M319" s="121">
        <v>500000</v>
      </c>
      <c r="N319" s="105">
        <v>44197</v>
      </c>
      <c r="O319" s="105">
        <v>44377</v>
      </c>
      <c r="P319" t="s">
        <v>718</v>
      </c>
    </row>
    <row r="320" spans="1:16" ht="15" customHeight="1" x14ac:dyDescent="0.3">
      <c r="A320" t="str">
        <f t="shared" si="5"/>
        <v>17-4-3RATE-SmartFIX – 1 Year Renewal</v>
      </c>
      <c r="B320" s="119" t="s">
        <v>13</v>
      </c>
      <c r="C320" s="119">
        <v>17</v>
      </c>
      <c r="D320" s="120" t="s">
        <v>26</v>
      </c>
      <c r="E320" s="120" t="s">
        <v>719</v>
      </c>
      <c r="F320" s="121" t="s">
        <v>18</v>
      </c>
      <c r="G320" s="121" t="s">
        <v>721</v>
      </c>
      <c r="H320" s="126">
        <v>0.3846</v>
      </c>
      <c r="I320" s="122">
        <v>0.252</v>
      </c>
      <c r="J320" s="122">
        <v>0.252</v>
      </c>
      <c r="K320" s="122">
        <v>0.252</v>
      </c>
      <c r="L320" s="121">
        <v>5000</v>
      </c>
      <c r="M320" s="121">
        <v>500000</v>
      </c>
      <c r="N320" s="105">
        <v>44197</v>
      </c>
      <c r="O320" s="105">
        <v>44377</v>
      </c>
      <c r="P320" t="s">
        <v>718</v>
      </c>
    </row>
    <row r="321" spans="1:16" ht="15" customHeight="1" x14ac:dyDescent="0.3">
      <c r="A321" t="str">
        <f t="shared" si="5"/>
        <v/>
      </c>
      <c r="B321" s="119" t="s">
        <v>13</v>
      </c>
      <c r="C321" s="119">
        <v>17</v>
      </c>
      <c r="D321" s="120" t="s">
        <v>26</v>
      </c>
      <c r="E321" s="120" t="s">
        <v>720</v>
      </c>
      <c r="F321" s="121" t="s">
        <v>18</v>
      </c>
      <c r="G321" s="121" t="s">
        <v>721</v>
      </c>
      <c r="H321" s="126">
        <v>0.3846</v>
      </c>
      <c r="I321" s="122" t="s">
        <v>717</v>
      </c>
      <c r="J321" s="122">
        <v>0.1492</v>
      </c>
      <c r="K321" s="122" t="s">
        <v>717</v>
      </c>
      <c r="L321" s="121">
        <v>5000</v>
      </c>
      <c r="M321" s="121">
        <v>500000</v>
      </c>
      <c r="N321" s="105">
        <v>44197</v>
      </c>
      <c r="O321" s="105">
        <v>44377</v>
      </c>
      <c r="P321" t="s">
        <v>718</v>
      </c>
    </row>
    <row r="322" spans="1:16" ht="15" customHeight="1" x14ac:dyDescent="0.3">
      <c r="A322" t="str">
        <f t="shared" si="5"/>
        <v>18-3-U-SmartFIX – 1 Year Renewal</v>
      </c>
      <c r="B322" s="119" t="s">
        <v>13</v>
      </c>
      <c r="C322" s="119">
        <v>18</v>
      </c>
      <c r="D322" s="120" t="s">
        <v>27</v>
      </c>
      <c r="E322" s="120" t="s">
        <v>716</v>
      </c>
      <c r="F322" s="121" t="s">
        <v>16</v>
      </c>
      <c r="G322" s="121" t="s">
        <v>721</v>
      </c>
      <c r="H322" s="126">
        <v>0.33550000000000002</v>
      </c>
      <c r="I322" s="122">
        <v>0.15430000000000002</v>
      </c>
      <c r="J322" s="122" t="s">
        <v>717</v>
      </c>
      <c r="K322" s="122" t="s">
        <v>717</v>
      </c>
      <c r="L322" s="121">
        <v>5000</v>
      </c>
      <c r="M322" s="121">
        <v>500000</v>
      </c>
      <c r="N322" s="105">
        <v>44197</v>
      </c>
      <c r="O322" s="105">
        <v>44377</v>
      </c>
      <c r="P322" t="s">
        <v>718</v>
      </c>
    </row>
    <row r="323" spans="1:16" ht="15" customHeight="1" x14ac:dyDescent="0.3">
      <c r="A323" t="str">
        <f t="shared" si="5"/>
        <v>18-4-E7-SmartFIX – 1 Year Renewal</v>
      </c>
      <c r="B323" s="119" t="s">
        <v>13</v>
      </c>
      <c r="C323" s="119">
        <v>18</v>
      </c>
      <c r="D323" s="120" t="s">
        <v>27</v>
      </c>
      <c r="E323" s="120" t="s">
        <v>17</v>
      </c>
      <c r="F323" s="121" t="s">
        <v>18</v>
      </c>
      <c r="G323" s="121" t="s">
        <v>721</v>
      </c>
      <c r="H323" s="126">
        <v>0.33550000000000002</v>
      </c>
      <c r="I323" s="122">
        <v>0.16720000000000002</v>
      </c>
      <c r="J323" s="122">
        <v>0.12470000000000001</v>
      </c>
      <c r="K323" s="122" t="s">
        <v>717</v>
      </c>
      <c r="L323" s="121">
        <v>5000</v>
      </c>
      <c r="M323" s="121">
        <v>500000</v>
      </c>
      <c r="N323" s="105">
        <v>44197</v>
      </c>
      <c r="O323" s="105">
        <v>44377</v>
      </c>
      <c r="P323" t="s">
        <v>718</v>
      </c>
    </row>
    <row r="324" spans="1:16" ht="15" customHeight="1" x14ac:dyDescent="0.3">
      <c r="A324" t="str">
        <f t="shared" si="5"/>
        <v>18-3-EW-SmartFIX – 1 Year Renewal</v>
      </c>
      <c r="B324" s="119" t="s">
        <v>13</v>
      </c>
      <c r="C324" s="119">
        <v>18</v>
      </c>
      <c r="D324" s="120" t="s">
        <v>27</v>
      </c>
      <c r="E324" s="120" t="s">
        <v>19</v>
      </c>
      <c r="F324" s="121" t="s">
        <v>16</v>
      </c>
      <c r="G324" s="121" t="s">
        <v>721</v>
      </c>
      <c r="H324" s="126">
        <v>0.33550000000000002</v>
      </c>
      <c r="I324" s="122">
        <v>0.16190000000000002</v>
      </c>
      <c r="J324" s="122" t="s">
        <v>717</v>
      </c>
      <c r="K324" s="122">
        <v>0.14330000000000001</v>
      </c>
      <c r="L324" s="121">
        <v>5000</v>
      </c>
      <c r="M324" s="121">
        <v>500000</v>
      </c>
      <c r="N324" s="105">
        <v>44197</v>
      </c>
      <c r="O324" s="105">
        <v>44377</v>
      </c>
      <c r="P324" t="s">
        <v>718</v>
      </c>
    </row>
    <row r="325" spans="1:16" ht="15" customHeight="1" x14ac:dyDescent="0.3">
      <c r="A325" t="str">
        <f t="shared" si="5"/>
        <v>18-4-3RATE-SmartFIX – 1 Year Renewal</v>
      </c>
      <c r="B325" s="119" t="s">
        <v>13</v>
      </c>
      <c r="C325" s="119">
        <v>18</v>
      </c>
      <c r="D325" s="120" t="s">
        <v>27</v>
      </c>
      <c r="E325" s="120" t="s">
        <v>719</v>
      </c>
      <c r="F325" s="121" t="s">
        <v>18</v>
      </c>
      <c r="G325" s="121" t="s">
        <v>721</v>
      </c>
      <c r="H325" s="126">
        <v>0.33550000000000002</v>
      </c>
      <c r="I325" s="122">
        <v>0.252</v>
      </c>
      <c r="J325" s="122">
        <v>0.252</v>
      </c>
      <c r="K325" s="122">
        <v>0.252</v>
      </c>
      <c r="L325" s="121">
        <v>5000</v>
      </c>
      <c r="M325" s="121">
        <v>500000</v>
      </c>
      <c r="N325" s="105">
        <v>44197</v>
      </c>
      <c r="O325" s="105">
        <v>44377</v>
      </c>
      <c r="P325" t="s">
        <v>718</v>
      </c>
    </row>
    <row r="326" spans="1:16" ht="15" customHeight="1" x14ac:dyDescent="0.3">
      <c r="A326" t="str">
        <f t="shared" si="5"/>
        <v/>
      </c>
      <c r="B326" s="119" t="s">
        <v>13</v>
      </c>
      <c r="C326" s="119">
        <v>18</v>
      </c>
      <c r="D326" s="120" t="s">
        <v>27</v>
      </c>
      <c r="E326" s="120" t="s">
        <v>720</v>
      </c>
      <c r="F326" s="121" t="s">
        <v>18</v>
      </c>
      <c r="G326" s="121" t="s">
        <v>721</v>
      </c>
      <c r="H326" s="126">
        <v>0.33550000000000002</v>
      </c>
      <c r="I326" s="122" t="s">
        <v>717</v>
      </c>
      <c r="J326" s="122">
        <v>0.14330000000000001</v>
      </c>
      <c r="K326" s="122" t="s">
        <v>717</v>
      </c>
      <c r="L326" s="121">
        <v>5000</v>
      </c>
      <c r="M326" s="121">
        <v>500000</v>
      </c>
      <c r="N326" s="105">
        <v>44197</v>
      </c>
      <c r="O326" s="105">
        <v>44377</v>
      </c>
      <c r="P326" t="s">
        <v>718</v>
      </c>
    </row>
    <row r="327" spans="1:16" ht="15" customHeight="1" x14ac:dyDescent="0.3">
      <c r="A327" t="str">
        <f t="shared" si="5"/>
        <v>19-3-U-SmartFIX – 1 Year Renewal</v>
      </c>
      <c r="B327" s="119" t="s">
        <v>13</v>
      </c>
      <c r="C327" s="119">
        <v>19</v>
      </c>
      <c r="D327" s="120" t="s">
        <v>28</v>
      </c>
      <c r="E327" s="120" t="s">
        <v>716</v>
      </c>
      <c r="F327" s="121" t="s">
        <v>16</v>
      </c>
      <c r="G327" s="121" t="s">
        <v>721</v>
      </c>
      <c r="H327" s="126">
        <v>0.31890000000000002</v>
      </c>
      <c r="I327" s="122">
        <v>0.15480000000000002</v>
      </c>
      <c r="J327" s="122" t="s">
        <v>717</v>
      </c>
      <c r="K327" s="122" t="s">
        <v>717</v>
      </c>
      <c r="L327" s="121">
        <v>5000</v>
      </c>
      <c r="M327" s="121">
        <v>500000</v>
      </c>
      <c r="N327" s="105">
        <v>44197</v>
      </c>
      <c r="O327" s="105">
        <v>44377</v>
      </c>
      <c r="P327" t="s">
        <v>718</v>
      </c>
    </row>
    <row r="328" spans="1:16" ht="15" customHeight="1" x14ac:dyDescent="0.3">
      <c r="A328" t="str">
        <f t="shared" si="5"/>
        <v>19-4-E7-SmartFIX – 1 Year Renewal</v>
      </c>
      <c r="B328" s="119" t="s">
        <v>13</v>
      </c>
      <c r="C328" s="119">
        <v>19</v>
      </c>
      <c r="D328" s="120" t="s">
        <v>28</v>
      </c>
      <c r="E328" s="120" t="s">
        <v>17</v>
      </c>
      <c r="F328" s="121" t="s">
        <v>18</v>
      </c>
      <c r="G328" s="121" t="s">
        <v>721</v>
      </c>
      <c r="H328" s="126">
        <v>0.31890000000000002</v>
      </c>
      <c r="I328" s="122">
        <v>0.1633</v>
      </c>
      <c r="J328" s="122">
        <v>0.11580000000000001</v>
      </c>
      <c r="K328" s="122" t="s">
        <v>717</v>
      </c>
      <c r="L328" s="121">
        <v>5000</v>
      </c>
      <c r="M328" s="121">
        <v>500000</v>
      </c>
      <c r="N328" s="105">
        <v>44197</v>
      </c>
      <c r="O328" s="105">
        <v>44377</v>
      </c>
      <c r="P328" t="s">
        <v>718</v>
      </c>
    </row>
    <row r="329" spans="1:16" ht="15" customHeight="1" x14ac:dyDescent="0.3">
      <c r="A329" t="str">
        <f t="shared" si="5"/>
        <v>19-3-EW-SmartFIX – 1 Year Renewal</v>
      </c>
      <c r="B329" s="119" t="s">
        <v>13</v>
      </c>
      <c r="C329" s="119">
        <v>19</v>
      </c>
      <c r="D329" s="120" t="s">
        <v>28</v>
      </c>
      <c r="E329" s="120" t="s">
        <v>19</v>
      </c>
      <c r="F329" s="121" t="s">
        <v>16</v>
      </c>
      <c r="G329" s="121" t="s">
        <v>721</v>
      </c>
      <c r="H329" s="126">
        <v>0.31890000000000002</v>
      </c>
      <c r="I329" s="122">
        <v>0.252</v>
      </c>
      <c r="J329" s="122" t="s">
        <v>717</v>
      </c>
      <c r="K329" s="122">
        <v>0.252</v>
      </c>
      <c r="L329" s="121">
        <v>5000</v>
      </c>
      <c r="M329" s="121">
        <v>500000</v>
      </c>
      <c r="N329" s="105">
        <v>44197</v>
      </c>
      <c r="O329" s="105">
        <v>44377</v>
      </c>
      <c r="P329" t="s">
        <v>718</v>
      </c>
    </row>
    <row r="330" spans="1:16" ht="15" customHeight="1" x14ac:dyDescent="0.3">
      <c r="A330" t="str">
        <f t="shared" si="5"/>
        <v>19-4-3RATE-SmartFIX – 1 Year Renewal</v>
      </c>
      <c r="B330" s="119" t="s">
        <v>13</v>
      </c>
      <c r="C330" s="119">
        <v>19</v>
      </c>
      <c r="D330" s="120" t="s">
        <v>28</v>
      </c>
      <c r="E330" s="120" t="s">
        <v>719</v>
      </c>
      <c r="F330" s="121" t="s">
        <v>18</v>
      </c>
      <c r="G330" s="121" t="s">
        <v>721</v>
      </c>
      <c r="H330" s="126">
        <v>0.31890000000000002</v>
      </c>
      <c r="I330" s="122">
        <v>0.17350000000000002</v>
      </c>
      <c r="J330" s="122">
        <v>0.11710000000000001</v>
      </c>
      <c r="K330" s="122">
        <v>0.16120000000000001</v>
      </c>
      <c r="L330" s="121">
        <v>5000</v>
      </c>
      <c r="M330" s="121">
        <v>500000</v>
      </c>
      <c r="N330" s="105">
        <v>44197</v>
      </c>
      <c r="O330" s="105">
        <v>44377</v>
      </c>
      <c r="P330" t="s">
        <v>718</v>
      </c>
    </row>
    <row r="331" spans="1:16" ht="15" customHeight="1" x14ac:dyDescent="0.3">
      <c r="A331" t="str">
        <f t="shared" si="5"/>
        <v/>
      </c>
      <c r="B331" s="119" t="s">
        <v>13</v>
      </c>
      <c r="C331" s="119">
        <v>19</v>
      </c>
      <c r="D331" s="120" t="s">
        <v>28</v>
      </c>
      <c r="E331" s="120" t="s">
        <v>720</v>
      </c>
      <c r="F331" s="121" t="s">
        <v>18</v>
      </c>
      <c r="G331" s="121" t="s">
        <v>721</v>
      </c>
      <c r="H331" s="126">
        <v>0.31890000000000002</v>
      </c>
      <c r="I331" s="122" t="s">
        <v>717</v>
      </c>
      <c r="J331" s="122">
        <v>0.11580000000000001</v>
      </c>
      <c r="K331" s="122" t="s">
        <v>717</v>
      </c>
      <c r="L331" s="121">
        <v>5000</v>
      </c>
      <c r="M331" s="121">
        <v>500000</v>
      </c>
      <c r="N331" s="105">
        <v>44197</v>
      </c>
      <c r="O331" s="105">
        <v>44377</v>
      </c>
      <c r="P331" t="s">
        <v>718</v>
      </c>
    </row>
    <row r="332" spans="1:16" ht="15" customHeight="1" x14ac:dyDescent="0.3">
      <c r="A332" t="str">
        <f t="shared" ref="A332:A395" si="6">IF(E332="OP","",CONCATENATE(C332,"-",RIGHT(F332,1),"-",IF(OR(E332="1 Rate MD",E332="DAY"),"U",IF(OR(E332="2 Rate MD",E332="E7"),"E7",IF(OR(E332="3 Rate MD (EW)",E332="EW"),"EW",IF(OR(E332="3 Rate MD",E332="EWN"),"3RATE",IF(E332="HH 2RATE (CT)","HH 2RATE (CT)",IF(E332="HH 2RATE (WC)","HH 2RATE (WC)",IF(E332="HH 1RATE (CT)","HH 1RATE (CT)",IF(E332="HH 1RATE (WC)","HH 1RATE (WC)")))))))),"-",G332))</f>
        <v>20-3-U-SmartFIX – 1 Year Renewal</v>
      </c>
      <c r="B332" s="119" t="s">
        <v>13</v>
      </c>
      <c r="C332" s="119">
        <v>20</v>
      </c>
      <c r="D332" s="120" t="s">
        <v>29</v>
      </c>
      <c r="E332" s="120" t="s">
        <v>716</v>
      </c>
      <c r="F332" s="121" t="s">
        <v>16</v>
      </c>
      <c r="G332" s="121" t="s">
        <v>721</v>
      </c>
      <c r="H332" s="126">
        <v>0.316</v>
      </c>
      <c r="I332" s="122">
        <v>0.15049999999999999</v>
      </c>
      <c r="J332" s="122" t="s">
        <v>717</v>
      </c>
      <c r="K332" s="122" t="s">
        <v>717</v>
      </c>
      <c r="L332" s="121">
        <v>5000</v>
      </c>
      <c r="M332" s="121">
        <v>500000</v>
      </c>
      <c r="N332" s="105">
        <v>44197</v>
      </c>
      <c r="O332" s="105">
        <v>44377</v>
      </c>
      <c r="P332" t="s">
        <v>718</v>
      </c>
    </row>
    <row r="333" spans="1:16" ht="15" customHeight="1" x14ac:dyDescent="0.3">
      <c r="A333" t="str">
        <f t="shared" si="6"/>
        <v>20-4-E7-SmartFIX – 1 Year Renewal</v>
      </c>
      <c r="B333" s="119" t="s">
        <v>13</v>
      </c>
      <c r="C333" s="119">
        <v>20</v>
      </c>
      <c r="D333" s="120" t="s">
        <v>29</v>
      </c>
      <c r="E333" s="120" t="s">
        <v>17</v>
      </c>
      <c r="F333" s="121" t="s">
        <v>18</v>
      </c>
      <c r="G333" s="121" t="s">
        <v>721</v>
      </c>
      <c r="H333" s="126">
        <v>0.316</v>
      </c>
      <c r="I333" s="122">
        <v>0.16159999999999999</v>
      </c>
      <c r="J333" s="122">
        <v>0.1177</v>
      </c>
      <c r="K333" s="122" t="s">
        <v>717</v>
      </c>
      <c r="L333" s="121">
        <v>5000</v>
      </c>
      <c r="M333" s="121">
        <v>500000</v>
      </c>
      <c r="N333" s="105">
        <v>44197</v>
      </c>
      <c r="O333" s="105">
        <v>44377</v>
      </c>
      <c r="P333" t="s">
        <v>718</v>
      </c>
    </row>
    <row r="334" spans="1:16" ht="15" customHeight="1" x14ac:dyDescent="0.3">
      <c r="A334" t="str">
        <f t="shared" si="6"/>
        <v>20-3-EW-SmartFIX – 1 Year Renewal</v>
      </c>
      <c r="B334" s="119" t="s">
        <v>13</v>
      </c>
      <c r="C334" s="119">
        <v>20</v>
      </c>
      <c r="D334" s="120" t="s">
        <v>29</v>
      </c>
      <c r="E334" s="120" t="s">
        <v>19</v>
      </c>
      <c r="F334" s="121" t="s">
        <v>16</v>
      </c>
      <c r="G334" s="121" t="s">
        <v>721</v>
      </c>
      <c r="H334" s="126">
        <v>0.316</v>
      </c>
      <c r="I334" s="122">
        <v>0.15960000000000002</v>
      </c>
      <c r="J334" s="122" t="s">
        <v>717</v>
      </c>
      <c r="K334" s="122">
        <v>0.13820000000000002</v>
      </c>
      <c r="L334" s="121">
        <v>5000</v>
      </c>
      <c r="M334" s="121">
        <v>500000</v>
      </c>
      <c r="N334" s="105">
        <v>44197</v>
      </c>
      <c r="O334" s="105">
        <v>44377</v>
      </c>
      <c r="P334" t="s">
        <v>718</v>
      </c>
    </row>
    <row r="335" spans="1:16" ht="15" customHeight="1" x14ac:dyDescent="0.3">
      <c r="A335" t="str">
        <f t="shared" si="6"/>
        <v>20-4-3RATE-SmartFIX – 1 Year Renewal</v>
      </c>
      <c r="B335" s="119" t="s">
        <v>13</v>
      </c>
      <c r="C335" s="119">
        <v>20</v>
      </c>
      <c r="D335" s="120" t="s">
        <v>29</v>
      </c>
      <c r="E335" s="120" t="s">
        <v>719</v>
      </c>
      <c r="F335" s="121" t="s">
        <v>18</v>
      </c>
      <c r="G335" s="121" t="s">
        <v>721</v>
      </c>
      <c r="H335" s="126">
        <v>0.316</v>
      </c>
      <c r="I335" s="122">
        <v>0.17070000000000002</v>
      </c>
      <c r="J335" s="122">
        <v>0.11890000000000001</v>
      </c>
      <c r="K335" s="122">
        <v>0.152</v>
      </c>
      <c r="L335" s="121">
        <v>5000</v>
      </c>
      <c r="M335" s="121">
        <v>500000</v>
      </c>
      <c r="N335" s="105">
        <v>44197</v>
      </c>
      <c r="O335" s="105">
        <v>44377</v>
      </c>
      <c r="P335" t="s">
        <v>718</v>
      </c>
    </row>
    <row r="336" spans="1:16" ht="15" customHeight="1" x14ac:dyDescent="0.3">
      <c r="A336" t="str">
        <f t="shared" si="6"/>
        <v/>
      </c>
      <c r="B336" s="119" t="s">
        <v>13</v>
      </c>
      <c r="C336" s="119">
        <v>20</v>
      </c>
      <c r="D336" s="120" t="s">
        <v>29</v>
      </c>
      <c r="E336" s="120" t="s">
        <v>720</v>
      </c>
      <c r="F336" s="121" t="s">
        <v>18</v>
      </c>
      <c r="G336" s="121" t="s">
        <v>721</v>
      </c>
      <c r="H336" s="126">
        <v>0.316</v>
      </c>
      <c r="I336" s="122" t="s">
        <v>717</v>
      </c>
      <c r="J336" s="122">
        <v>0.13820000000000002</v>
      </c>
      <c r="K336" s="122" t="s">
        <v>717</v>
      </c>
      <c r="L336" s="121">
        <v>5000</v>
      </c>
      <c r="M336" s="121">
        <v>500000</v>
      </c>
      <c r="N336" s="105">
        <v>44197</v>
      </c>
      <c r="O336" s="105">
        <v>44377</v>
      </c>
      <c r="P336" t="s">
        <v>718</v>
      </c>
    </row>
    <row r="337" spans="1:16" ht="15" customHeight="1" x14ac:dyDescent="0.3">
      <c r="A337" t="str">
        <f t="shared" si="6"/>
        <v>21-3-U-SmartFIX – 1 Year Renewal</v>
      </c>
      <c r="B337" s="119" t="s">
        <v>13</v>
      </c>
      <c r="C337" s="119">
        <v>21</v>
      </c>
      <c r="D337" s="120" t="s">
        <v>30</v>
      </c>
      <c r="E337" s="120" t="s">
        <v>716</v>
      </c>
      <c r="F337" s="121" t="s">
        <v>16</v>
      </c>
      <c r="G337" s="121" t="s">
        <v>721</v>
      </c>
      <c r="H337" s="126">
        <v>0.43740000000000001</v>
      </c>
      <c r="I337" s="122">
        <v>0.15230000000000002</v>
      </c>
      <c r="J337" s="122" t="s">
        <v>717</v>
      </c>
      <c r="K337" s="122" t="s">
        <v>717</v>
      </c>
      <c r="L337" s="121">
        <v>5000</v>
      </c>
      <c r="M337" s="121">
        <v>500000</v>
      </c>
      <c r="N337" s="105">
        <v>44197</v>
      </c>
      <c r="O337" s="105">
        <v>44377</v>
      </c>
      <c r="P337" t="s">
        <v>718</v>
      </c>
    </row>
    <row r="338" spans="1:16" ht="15" customHeight="1" x14ac:dyDescent="0.3">
      <c r="A338" t="str">
        <f t="shared" si="6"/>
        <v>21-4-E7-SmartFIX – 1 Year Renewal</v>
      </c>
      <c r="B338" s="119" t="s">
        <v>13</v>
      </c>
      <c r="C338" s="119">
        <v>21</v>
      </c>
      <c r="D338" s="120" t="s">
        <v>30</v>
      </c>
      <c r="E338" s="120" t="s">
        <v>17</v>
      </c>
      <c r="F338" s="121" t="s">
        <v>18</v>
      </c>
      <c r="G338" s="121" t="s">
        <v>721</v>
      </c>
      <c r="H338" s="126">
        <v>0.43740000000000001</v>
      </c>
      <c r="I338" s="122">
        <v>0.16159999999999999</v>
      </c>
      <c r="J338" s="122">
        <v>0.12079999999999999</v>
      </c>
      <c r="K338" s="122" t="s">
        <v>717</v>
      </c>
      <c r="L338" s="121">
        <v>5000</v>
      </c>
      <c r="M338" s="121">
        <v>500000</v>
      </c>
      <c r="N338" s="105">
        <v>44197</v>
      </c>
      <c r="O338" s="105">
        <v>44377</v>
      </c>
      <c r="P338" t="s">
        <v>718</v>
      </c>
    </row>
    <row r="339" spans="1:16" ht="15" customHeight="1" x14ac:dyDescent="0.3">
      <c r="A339" t="str">
        <f t="shared" si="6"/>
        <v>21-3-EW-SmartFIX – 1 Year Renewal</v>
      </c>
      <c r="B339" s="119" t="s">
        <v>13</v>
      </c>
      <c r="C339" s="119">
        <v>21</v>
      </c>
      <c r="D339" s="120" t="s">
        <v>30</v>
      </c>
      <c r="E339" s="120" t="s">
        <v>19</v>
      </c>
      <c r="F339" s="121" t="s">
        <v>16</v>
      </c>
      <c r="G339" s="121" t="s">
        <v>721</v>
      </c>
      <c r="H339" s="126">
        <v>0.43740000000000001</v>
      </c>
      <c r="I339" s="122">
        <v>0.15990000000000001</v>
      </c>
      <c r="J339" s="122" t="s">
        <v>717</v>
      </c>
      <c r="K339" s="122">
        <v>0.14170000000000002</v>
      </c>
      <c r="L339" s="121">
        <v>5000</v>
      </c>
      <c r="M339" s="121">
        <v>500000</v>
      </c>
      <c r="N339" s="105">
        <v>44197</v>
      </c>
      <c r="O339" s="105">
        <v>44377</v>
      </c>
      <c r="P339" t="s">
        <v>718</v>
      </c>
    </row>
    <row r="340" spans="1:16" ht="15" customHeight="1" x14ac:dyDescent="0.3">
      <c r="A340" t="str">
        <f t="shared" si="6"/>
        <v>21-4-3RATE-SmartFIX – 1 Year Renewal</v>
      </c>
      <c r="B340" s="119" t="s">
        <v>13</v>
      </c>
      <c r="C340" s="119">
        <v>21</v>
      </c>
      <c r="D340" s="120" t="s">
        <v>30</v>
      </c>
      <c r="E340" s="120" t="s">
        <v>719</v>
      </c>
      <c r="F340" s="121" t="s">
        <v>18</v>
      </c>
      <c r="G340" s="121" t="s">
        <v>721</v>
      </c>
      <c r="H340" s="126">
        <v>0.43740000000000001</v>
      </c>
      <c r="I340" s="122">
        <v>0.1714</v>
      </c>
      <c r="J340" s="122">
        <v>0.12</v>
      </c>
      <c r="K340" s="122">
        <v>0.15570000000000001</v>
      </c>
      <c r="L340" s="121">
        <v>5000</v>
      </c>
      <c r="M340" s="121">
        <v>500000</v>
      </c>
      <c r="N340" s="105">
        <v>44197</v>
      </c>
      <c r="O340" s="105">
        <v>44377</v>
      </c>
      <c r="P340" t="s">
        <v>718</v>
      </c>
    </row>
    <row r="341" spans="1:16" ht="15" customHeight="1" x14ac:dyDescent="0.3">
      <c r="A341" t="str">
        <f t="shared" si="6"/>
        <v/>
      </c>
      <c r="B341" s="119" t="s">
        <v>13</v>
      </c>
      <c r="C341" s="119">
        <v>21</v>
      </c>
      <c r="D341" s="120" t="s">
        <v>30</v>
      </c>
      <c r="E341" s="120" t="s">
        <v>720</v>
      </c>
      <c r="F341" s="121" t="s">
        <v>18</v>
      </c>
      <c r="G341" s="121" t="s">
        <v>721</v>
      </c>
      <c r="H341" s="126">
        <v>0.43740000000000001</v>
      </c>
      <c r="I341" s="122" t="s">
        <v>717</v>
      </c>
      <c r="J341" s="122">
        <v>0.14170000000000002</v>
      </c>
      <c r="K341" s="122" t="s">
        <v>717</v>
      </c>
      <c r="L341" s="121">
        <v>5000</v>
      </c>
      <c r="M341" s="121">
        <v>500000</v>
      </c>
      <c r="N341" s="105">
        <v>44197</v>
      </c>
      <c r="O341" s="105">
        <v>44377</v>
      </c>
      <c r="P341" t="s">
        <v>718</v>
      </c>
    </row>
    <row r="342" spans="1:16" ht="15" customHeight="1" x14ac:dyDescent="0.3">
      <c r="A342" t="str">
        <f t="shared" si="6"/>
        <v>22-3-U-SmartFIX – 1 Year Renewal</v>
      </c>
      <c r="B342" s="119" t="s">
        <v>13</v>
      </c>
      <c r="C342" s="119">
        <v>22</v>
      </c>
      <c r="D342" s="120" t="s">
        <v>31</v>
      </c>
      <c r="E342" s="120" t="s">
        <v>716</v>
      </c>
      <c r="F342" s="121" t="s">
        <v>16</v>
      </c>
      <c r="G342" s="121" t="s">
        <v>721</v>
      </c>
      <c r="H342" s="126">
        <v>0.37709999999999999</v>
      </c>
      <c r="I342" s="122">
        <v>0.15870000000000001</v>
      </c>
      <c r="J342" s="122" t="s">
        <v>717</v>
      </c>
      <c r="K342" s="122" t="s">
        <v>717</v>
      </c>
      <c r="L342" s="121">
        <v>5000</v>
      </c>
      <c r="M342" s="121">
        <v>500000</v>
      </c>
      <c r="N342" s="105">
        <v>44197</v>
      </c>
      <c r="O342" s="105">
        <v>44377</v>
      </c>
      <c r="P342" t="s">
        <v>718</v>
      </c>
    </row>
    <row r="343" spans="1:16" ht="15" customHeight="1" x14ac:dyDescent="0.3">
      <c r="A343" t="str">
        <f t="shared" si="6"/>
        <v>22-4-E7-SmartFIX – 1 Year Renewal</v>
      </c>
      <c r="B343" s="119" t="s">
        <v>13</v>
      </c>
      <c r="C343" s="119">
        <v>22</v>
      </c>
      <c r="D343" s="120" t="s">
        <v>31</v>
      </c>
      <c r="E343" s="120" t="s">
        <v>17</v>
      </c>
      <c r="F343" s="121" t="s">
        <v>18</v>
      </c>
      <c r="G343" s="121" t="s">
        <v>721</v>
      </c>
      <c r="H343" s="126">
        <v>0.37709999999999999</v>
      </c>
      <c r="I343" s="122">
        <v>0.16690000000000002</v>
      </c>
      <c r="J343" s="122">
        <v>0.12659999999999999</v>
      </c>
      <c r="K343" s="122" t="s">
        <v>717</v>
      </c>
      <c r="L343" s="121">
        <v>5000</v>
      </c>
      <c r="M343" s="121">
        <v>500000</v>
      </c>
      <c r="N343" s="105">
        <v>44197</v>
      </c>
      <c r="O343" s="105">
        <v>44377</v>
      </c>
      <c r="P343" t="s">
        <v>718</v>
      </c>
    </row>
    <row r="344" spans="1:16" ht="15" customHeight="1" x14ac:dyDescent="0.3">
      <c r="A344" t="str">
        <f t="shared" si="6"/>
        <v>22-3-EW-SmartFIX – 1 Year Renewal</v>
      </c>
      <c r="B344" s="119" t="s">
        <v>13</v>
      </c>
      <c r="C344" s="119">
        <v>22</v>
      </c>
      <c r="D344" s="120" t="s">
        <v>31</v>
      </c>
      <c r="E344" s="120" t="s">
        <v>19</v>
      </c>
      <c r="F344" s="121" t="s">
        <v>16</v>
      </c>
      <c r="G344" s="121" t="s">
        <v>721</v>
      </c>
      <c r="H344" s="126">
        <v>0.37709999999999999</v>
      </c>
      <c r="I344" s="122">
        <v>0.16800000000000001</v>
      </c>
      <c r="J344" s="122" t="s">
        <v>717</v>
      </c>
      <c r="K344" s="122">
        <v>0.1472</v>
      </c>
      <c r="L344" s="121">
        <v>5000</v>
      </c>
      <c r="M344" s="121">
        <v>500000</v>
      </c>
      <c r="N344" s="105">
        <v>44197</v>
      </c>
      <c r="O344" s="105">
        <v>44377</v>
      </c>
      <c r="P344" t="s">
        <v>718</v>
      </c>
    </row>
    <row r="345" spans="1:16" ht="15" customHeight="1" x14ac:dyDescent="0.3">
      <c r="A345" t="str">
        <f t="shared" si="6"/>
        <v>22-4-3RATE-SmartFIX – 1 Year Renewal</v>
      </c>
      <c r="B345" s="119" t="s">
        <v>13</v>
      </c>
      <c r="C345" s="119">
        <v>22</v>
      </c>
      <c r="D345" s="120" t="s">
        <v>31</v>
      </c>
      <c r="E345" s="120" t="s">
        <v>719</v>
      </c>
      <c r="F345" s="121" t="s">
        <v>18</v>
      </c>
      <c r="G345" s="121" t="s">
        <v>721</v>
      </c>
      <c r="H345" s="126">
        <v>0.37709999999999999</v>
      </c>
      <c r="I345" s="122">
        <v>0.17580000000000001</v>
      </c>
      <c r="J345" s="122">
        <v>0.12129999999999999</v>
      </c>
      <c r="K345" s="122">
        <v>0.16209999999999999</v>
      </c>
      <c r="L345" s="121">
        <v>5000</v>
      </c>
      <c r="M345" s="121">
        <v>500000</v>
      </c>
      <c r="N345" s="105">
        <v>44197</v>
      </c>
      <c r="O345" s="105">
        <v>44377</v>
      </c>
      <c r="P345" t="s">
        <v>718</v>
      </c>
    </row>
    <row r="346" spans="1:16" ht="15" customHeight="1" x14ac:dyDescent="0.3">
      <c r="A346" t="str">
        <f t="shared" si="6"/>
        <v/>
      </c>
      <c r="B346" s="119" t="s">
        <v>13</v>
      </c>
      <c r="C346" s="119">
        <v>22</v>
      </c>
      <c r="D346" s="120" t="s">
        <v>31</v>
      </c>
      <c r="E346" s="120" t="s">
        <v>720</v>
      </c>
      <c r="F346" s="121" t="s">
        <v>18</v>
      </c>
      <c r="G346" s="121" t="s">
        <v>721</v>
      </c>
      <c r="H346" s="126">
        <v>0.37709999999999999</v>
      </c>
      <c r="I346" s="122" t="s">
        <v>717</v>
      </c>
      <c r="J346" s="122">
        <v>0.1472</v>
      </c>
      <c r="K346" s="122" t="s">
        <v>717</v>
      </c>
      <c r="L346" s="121">
        <v>5000</v>
      </c>
      <c r="M346" s="121">
        <v>500000</v>
      </c>
      <c r="N346" s="105">
        <v>44197</v>
      </c>
      <c r="O346" s="105">
        <v>44377</v>
      </c>
      <c r="P346" t="s">
        <v>718</v>
      </c>
    </row>
    <row r="347" spans="1:16" ht="15" customHeight="1" x14ac:dyDescent="0.3">
      <c r="A347" t="str">
        <f t="shared" si="6"/>
        <v>23-3-U-SmartFIX – 1 Year Renewal</v>
      </c>
      <c r="B347" s="119" t="s">
        <v>13</v>
      </c>
      <c r="C347" s="119">
        <v>23</v>
      </c>
      <c r="D347" s="120" t="s">
        <v>32</v>
      </c>
      <c r="E347" s="120" t="s">
        <v>716</v>
      </c>
      <c r="F347" s="121" t="s">
        <v>16</v>
      </c>
      <c r="G347" s="121" t="s">
        <v>721</v>
      </c>
      <c r="H347" s="126">
        <v>0.33129999999999998</v>
      </c>
      <c r="I347" s="122">
        <v>0.15210000000000001</v>
      </c>
      <c r="J347" s="122" t="s">
        <v>717</v>
      </c>
      <c r="K347" s="122" t="s">
        <v>717</v>
      </c>
      <c r="L347" s="121">
        <v>5000</v>
      </c>
      <c r="M347" s="121">
        <v>500000</v>
      </c>
      <c r="N347" s="105">
        <v>44197</v>
      </c>
      <c r="O347" s="105">
        <v>44377</v>
      </c>
      <c r="P347" t="s">
        <v>718</v>
      </c>
    </row>
    <row r="348" spans="1:16" ht="15" customHeight="1" x14ac:dyDescent="0.3">
      <c r="A348" t="str">
        <f t="shared" si="6"/>
        <v>23-4-E7-SmartFIX – 1 Year Renewal</v>
      </c>
      <c r="B348" s="119" t="s">
        <v>13</v>
      </c>
      <c r="C348" s="119">
        <v>23</v>
      </c>
      <c r="D348" s="120" t="s">
        <v>32</v>
      </c>
      <c r="E348" s="120" t="s">
        <v>17</v>
      </c>
      <c r="F348" s="121" t="s">
        <v>18</v>
      </c>
      <c r="G348" s="121" t="s">
        <v>721</v>
      </c>
      <c r="H348" s="126">
        <v>0.33129999999999998</v>
      </c>
      <c r="I348" s="122">
        <v>0.15810000000000002</v>
      </c>
      <c r="J348" s="122">
        <v>0.11679999999999999</v>
      </c>
      <c r="K348" s="122" t="s">
        <v>717</v>
      </c>
      <c r="L348" s="121">
        <v>5000</v>
      </c>
      <c r="M348" s="121">
        <v>500000</v>
      </c>
      <c r="N348" s="105">
        <v>44197</v>
      </c>
      <c r="O348" s="105">
        <v>44377</v>
      </c>
      <c r="P348" t="s">
        <v>718</v>
      </c>
    </row>
    <row r="349" spans="1:16" ht="15" customHeight="1" x14ac:dyDescent="0.3">
      <c r="A349" t="str">
        <f t="shared" si="6"/>
        <v>23-3-EW-SmartFIX – 1 Year Renewal</v>
      </c>
      <c r="B349" s="119" t="s">
        <v>13</v>
      </c>
      <c r="C349" s="119">
        <v>23</v>
      </c>
      <c r="D349" s="120" t="s">
        <v>32</v>
      </c>
      <c r="E349" s="120" t="s">
        <v>19</v>
      </c>
      <c r="F349" s="121" t="s">
        <v>16</v>
      </c>
      <c r="G349" s="121" t="s">
        <v>721</v>
      </c>
      <c r="H349" s="126">
        <v>0.33129999999999998</v>
      </c>
      <c r="I349" s="122">
        <v>0.1608</v>
      </c>
      <c r="J349" s="122" t="s">
        <v>717</v>
      </c>
      <c r="K349" s="122">
        <v>0.14030000000000001</v>
      </c>
      <c r="L349" s="121">
        <v>5000</v>
      </c>
      <c r="M349" s="121">
        <v>500000</v>
      </c>
      <c r="N349" s="105">
        <v>44197</v>
      </c>
      <c r="O349" s="105">
        <v>44377</v>
      </c>
      <c r="P349" t="s">
        <v>718</v>
      </c>
    </row>
    <row r="350" spans="1:16" ht="15" customHeight="1" x14ac:dyDescent="0.3">
      <c r="A350" t="str">
        <f t="shared" si="6"/>
        <v>23-4-3RATE-SmartFIX – 1 Year Renewal</v>
      </c>
      <c r="B350" s="119" t="s">
        <v>13</v>
      </c>
      <c r="C350" s="119">
        <v>23</v>
      </c>
      <c r="D350" s="120" t="s">
        <v>32</v>
      </c>
      <c r="E350" s="120" t="s">
        <v>719</v>
      </c>
      <c r="F350" s="121" t="s">
        <v>18</v>
      </c>
      <c r="G350" s="121" t="s">
        <v>721</v>
      </c>
      <c r="H350" s="126">
        <v>0.33129999999999998</v>
      </c>
      <c r="I350" s="122">
        <v>0.1699</v>
      </c>
      <c r="J350" s="122">
        <v>0.11960000000000001</v>
      </c>
      <c r="K350" s="122">
        <v>0.15110000000000001</v>
      </c>
      <c r="L350" s="121">
        <v>5000</v>
      </c>
      <c r="M350" s="121">
        <v>500000</v>
      </c>
      <c r="N350" s="105">
        <v>44197</v>
      </c>
      <c r="O350" s="105">
        <v>44377</v>
      </c>
      <c r="P350" t="s">
        <v>718</v>
      </c>
    </row>
    <row r="351" spans="1:16" ht="15" customHeight="1" x14ac:dyDescent="0.3">
      <c r="A351" t="str">
        <f t="shared" si="6"/>
        <v/>
      </c>
      <c r="B351" s="119" t="s">
        <v>13</v>
      </c>
      <c r="C351" s="119">
        <v>23</v>
      </c>
      <c r="D351" s="120" t="s">
        <v>32</v>
      </c>
      <c r="E351" s="120" t="s">
        <v>720</v>
      </c>
      <c r="F351" s="121" t="s">
        <v>18</v>
      </c>
      <c r="G351" s="121" t="s">
        <v>721</v>
      </c>
      <c r="H351" s="126">
        <v>0.33129999999999998</v>
      </c>
      <c r="I351" s="122" t="s">
        <v>717</v>
      </c>
      <c r="J351" s="122">
        <v>0.14030000000000001</v>
      </c>
      <c r="K351" s="122" t="s">
        <v>717</v>
      </c>
      <c r="L351" s="121">
        <v>5000</v>
      </c>
      <c r="M351" s="121">
        <v>500000</v>
      </c>
      <c r="N351" s="105">
        <v>44197</v>
      </c>
      <c r="O351" s="105">
        <v>44377</v>
      </c>
      <c r="P351" t="s">
        <v>718</v>
      </c>
    </row>
    <row r="352" spans="1:16" ht="15" customHeight="1" x14ac:dyDescent="0.3">
      <c r="A352" t="str">
        <f t="shared" si="6"/>
        <v>10-3-U-SmartFIX – 2 Year Renewal</v>
      </c>
      <c r="B352" s="119" t="s">
        <v>13</v>
      </c>
      <c r="C352" s="119">
        <v>10</v>
      </c>
      <c r="D352" s="120" t="s">
        <v>14</v>
      </c>
      <c r="E352" s="120" t="s">
        <v>716</v>
      </c>
      <c r="F352" s="121" t="s">
        <v>16</v>
      </c>
      <c r="G352" s="121" t="s">
        <v>722</v>
      </c>
      <c r="H352" s="126">
        <v>0.33560000000000001</v>
      </c>
      <c r="I352" s="122">
        <v>0.15049999999999999</v>
      </c>
      <c r="J352" s="122" t="s">
        <v>717</v>
      </c>
      <c r="K352" s="122" t="s">
        <v>717</v>
      </c>
      <c r="L352" s="121">
        <v>5000</v>
      </c>
      <c r="M352" s="121">
        <v>500000</v>
      </c>
      <c r="N352" s="105">
        <v>44197</v>
      </c>
      <c r="O352" s="105">
        <v>44377</v>
      </c>
      <c r="P352" t="s">
        <v>718</v>
      </c>
    </row>
    <row r="353" spans="1:16" ht="15" customHeight="1" x14ac:dyDescent="0.3">
      <c r="A353" t="str">
        <f t="shared" si="6"/>
        <v>10-4-E7-SmartFIX – 2 Year Renewal</v>
      </c>
      <c r="B353" s="119" t="s">
        <v>13</v>
      </c>
      <c r="C353" s="119">
        <v>10</v>
      </c>
      <c r="D353" s="120" t="s">
        <v>14</v>
      </c>
      <c r="E353" s="120" t="s">
        <v>17</v>
      </c>
      <c r="F353" s="121" t="s">
        <v>18</v>
      </c>
      <c r="G353" s="121" t="s">
        <v>722</v>
      </c>
      <c r="H353" s="126">
        <v>0.33560000000000001</v>
      </c>
      <c r="I353" s="122">
        <v>0.15960000000000002</v>
      </c>
      <c r="J353" s="122">
        <v>0.11069999999999999</v>
      </c>
      <c r="K353" s="122" t="s">
        <v>717</v>
      </c>
      <c r="L353" s="121">
        <v>5000</v>
      </c>
      <c r="M353" s="121">
        <v>500000</v>
      </c>
      <c r="N353" s="105">
        <v>44197</v>
      </c>
      <c r="O353" s="105">
        <v>44377</v>
      </c>
      <c r="P353" t="s">
        <v>718</v>
      </c>
    </row>
    <row r="354" spans="1:16" ht="15" customHeight="1" x14ac:dyDescent="0.3">
      <c r="A354" t="str">
        <f t="shared" si="6"/>
        <v>10-3-EW-SmartFIX – 2 Year Renewal</v>
      </c>
      <c r="B354" s="119" t="s">
        <v>13</v>
      </c>
      <c r="C354" s="119">
        <v>10</v>
      </c>
      <c r="D354" s="120" t="s">
        <v>14</v>
      </c>
      <c r="E354" s="120" t="s">
        <v>19</v>
      </c>
      <c r="F354" s="121" t="s">
        <v>16</v>
      </c>
      <c r="G354" s="121" t="s">
        <v>722</v>
      </c>
      <c r="H354" s="126">
        <v>0.33560000000000001</v>
      </c>
      <c r="I354" s="122">
        <v>0.1593</v>
      </c>
      <c r="J354" s="122" t="s">
        <v>717</v>
      </c>
      <c r="K354" s="122">
        <v>0.13720000000000002</v>
      </c>
      <c r="L354" s="121">
        <v>5000</v>
      </c>
      <c r="M354" s="121">
        <v>500000</v>
      </c>
      <c r="N354" s="105">
        <v>44197</v>
      </c>
      <c r="O354" s="105">
        <v>44377</v>
      </c>
      <c r="P354" t="s">
        <v>718</v>
      </c>
    </row>
    <row r="355" spans="1:16" ht="15" customHeight="1" x14ac:dyDescent="0.3">
      <c r="A355" t="str">
        <f t="shared" si="6"/>
        <v>10-4-3RATE-SmartFIX – 2 Year Renewal</v>
      </c>
      <c r="B355" s="119" t="s">
        <v>13</v>
      </c>
      <c r="C355" s="119">
        <v>10</v>
      </c>
      <c r="D355" s="120" t="s">
        <v>14</v>
      </c>
      <c r="E355" s="120" t="s">
        <v>719</v>
      </c>
      <c r="F355" s="121" t="s">
        <v>18</v>
      </c>
      <c r="G355" s="121" t="s">
        <v>722</v>
      </c>
      <c r="H355" s="126">
        <v>0.33560000000000001</v>
      </c>
      <c r="I355" s="122">
        <v>0.16980000000000001</v>
      </c>
      <c r="J355" s="122">
        <v>0.1109</v>
      </c>
      <c r="K355" s="122">
        <v>0.153</v>
      </c>
      <c r="L355" s="121">
        <v>5000</v>
      </c>
      <c r="M355" s="121">
        <v>500000</v>
      </c>
      <c r="N355" s="105">
        <v>44197</v>
      </c>
      <c r="O355" s="105">
        <v>44377</v>
      </c>
      <c r="P355" t="s">
        <v>718</v>
      </c>
    </row>
    <row r="356" spans="1:16" ht="15" customHeight="1" x14ac:dyDescent="0.3">
      <c r="A356" t="str">
        <f t="shared" si="6"/>
        <v/>
      </c>
      <c r="B356" s="119" t="s">
        <v>13</v>
      </c>
      <c r="C356" s="119">
        <v>10</v>
      </c>
      <c r="D356" s="120" t="s">
        <v>14</v>
      </c>
      <c r="E356" s="120" t="s">
        <v>720</v>
      </c>
      <c r="F356" s="121" t="s">
        <v>18</v>
      </c>
      <c r="G356" s="121" t="s">
        <v>722</v>
      </c>
      <c r="H356" s="126">
        <v>0.33560000000000001</v>
      </c>
      <c r="I356" s="122" t="s">
        <v>717</v>
      </c>
      <c r="J356" s="122">
        <v>0.13720000000000002</v>
      </c>
      <c r="K356" s="122" t="s">
        <v>717</v>
      </c>
      <c r="L356" s="121">
        <v>5000</v>
      </c>
      <c r="M356" s="121">
        <v>500000</v>
      </c>
      <c r="N356" s="105">
        <v>44197</v>
      </c>
      <c r="O356" s="105">
        <v>44377</v>
      </c>
      <c r="P356" t="s">
        <v>718</v>
      </c>
    </row>
    <row r="357" spans="1:16" ht="15" customHeight="1" x14ac:dyDescent="0.3">
      <c r="A357" t="str">
        <f t="shared" si="6"/>
        <v>11-3-U-SmartFIX – 2 Year Renewal</v>
      </c>
      <c r="B357" s="119" t="s">
        <v>13</v>
      </c>
      <c r="C357" s="119">
        <v>11</v>
      </c>
      <c r="D357" s="120" t="s">
        <v>20</v>
      </c>
      <c r="E357" s="120" t="s">
        <v>716</v>
      </c>
      <c r="F357" s="121" t="s">
        <v>16</v>
      </c>
      <c r="G357" s="121" t="s">
        <v>722</v>
      </c>
      <c r="H357" s="126">
        <v>0.3458</v>
      </c>
      <c r="I357" s="122">
        <v>0.15080000000000002</v>
      </c>
      <c r="J357" s="122" t="s">
        <v>717</v>
      </c>
      <c r="K357" s="122" t="s">
        <v>717</v>
      </c>
      <c r="L357" s="121">
        <v>5000</v>
      </c>
      <c r="M357" s="121">
        <v>500000</v>
      </c>
      <c r="N357" s="105">
        <v>44197</v>
      </c>
      <c r="O357" s="105">
        <v>44377</v>
      </c>
      <c r="P357" t="s">
        <v>718</v>
      </c>
    </row>
    <row r="358" spans="1:16" ht="15" customHeight="1" x14ac:dyDescent="0.3">
      <c r="A358" t="str">
        <f t="shared" si="6"/>
        <v>11-4-E7-SmartFIX – 2 Year Renewal</v>
      </c>
      <c r="B358" s="119" t="s">
        <v>13</v>
      </c>
      <c r="C358" s="119">
        <v>11</v>
      </c>
      <c r="D358" s="120" t="s">
        <v>20</v>
      </c>
      <c r="E358" s="120" t="s">
        <v>17</v>
      </c>
      <c r="F358" s="121" t="s">
        <v>18</v>
      </c>
      <c r="G358" s="121" t="s">
        <v>722</v>
      </c>
      <c r="H358" s="126">
        <v>0.3458</v>
      </c>
      <c r="I358" s="122">
        <v>0.15690000000000001</v>
      </c>
      <c r="J358" s="122">
        <v>0.11410000000000001</v>
      </c>
      <c r="K358" s="122" t="s">
        <v>717</v>
      </c>
      <c r="L358" s="121">
        <v>5000</v>
      </c>
      <c r="M358" s="121">
        <v>500000</v>
      </c>
      <c r="N358" s="105">
        <v>44197</v>
      </c>
      <c r="O358" s="105">
        <v>44377</v>
      </c>
      <c r="P358" t="s">
        <v>718</v>
      </c>
    </row>
    <row r="359" spans="1:16" ht="15" customHeight="1" x14ac:dyDescent="0.3">
      <c r="A359" t="str">
        <f t="shared" si="6"/>
        <v>11-3-EW-SmartFIX – 2 Year Renewal</v>
      </c>
      <c r="B359" s="119" t="s">
        <v>13</v>
      </c>
      <c r="C359" s="119">
        <v>11</v>
      </c>
      <c r="D359" s="120" t="s">
        <v>20</v>
      </c>
      <c r="E359" s="120" t="s">
        <v>19</v>
      </c>
      <c r="F359" s="121" t="s">
        <v>16</v>
      </c>
      <c r="G359" s="121" t="s">
        <v>722</v>
      </c>
      <c r="H359" s="126">
        <v>0.3458</v>
      </c>
      <c r="I359" s="122">
        <v>0.15910000000000002</v>
      </c>
      <c r="J359" s="122" t="s">
        <v>717</v>
      </c>
      <c r="K359" s="122">
        <v>0.13789999999999999</v>
      </c>
      <c r="L359" s="121">
        <v>5000</v>
      </c>
      <c r="M359" s="121">
        <v>500000</v>
      </c>
      <c r="N359" s="105">
        <v>44197</v>
      </c>
      <c r="O359" s="105">
        <v>44377</v>
      </c>
      <c r="P359" t="s">
        <v>718</v>
      </c>
    </row>
    <row r="360" spans="1:16" ht="15" customHeight="1" x14ac:dyDescent="0.3">
      <c r="A360" t="str">
        <f t="shared" si="6"/>
        <v>11-4-3RATE-SmartFIX – 2 Year Renewal</v>
      </c>
      <c r="B360" s="119" t="s">
        <v>13</v>
      </c>
      <c r="C360" s="119">
        <v>11</v>
      </c>
      <c r="D360" s="120" t="s">
        <v>20</v>
      </c>
      <c r="E360" s="120" t="s">
        <v>719</v>
      </c>
      <c r="F360" s="121" t="s">
        <v>18</v>
      </c>
      <c r="G360" s="121" t="s">
        <v>722</v>
      </c>
      <c r="H360" s="126">
        <v>0.3458</v>
      </c>
      <c r="I360" s="122">
        <v>0.16640000000000002</v>
      </c>
      <c r="J360" s="122">
        <v>0.1124</v>
      </c>
      <c r="K360" s="122">
        <v>0.14610000000000001</v>
      </c>
      <c r="L360" s="121">
        <v>5000</v>
      </c>
      <c r="M360" s="121">
        <v>500000</v>
      </c>
      <c r="N360" s="105">
        <v>44197</v>
      </c>
      <c r="O360" s="105">
        <v>44377</v>
      </c>
      <c r="P360" t="s">
        <v>718</v>
      </c>
    </row>
    <row r="361" spans="1:16" ht="15" customHeight="1" x14ac:dyDescent="0.3">
      <c r="A361" t="str">
        <f t="shared" si="6"/>
        <v/>
      </c>
      <c r="B361" s="119" t="s">
        <v>13</v>
      </c>
      <c r="C361" s="119">
        <v>11</v>
      </c>
      <c r="D361" s="120" t="s">
        <v>20</v>
      </c>
      <c r="E361" s="120" t="s">
        <v>720</v>
      </c>
      <c r="F361" s="121" t="s">
        <v>18</v>
      </c>
      <c r="G361" s="121" t="s">
        <v>722</v>
      </c>
      <c r="H361" s="126">
        <v>0.3458</v>
      </c>
      <c r="I361" s="122" t="s">
        <v>717</v>
      </c>
      <c r="J361" s="122">
        <v>0.13789999999999999</v>
      </c>
      <c r="K361" s="122" t="s">
        <v>717</v>
      </c>
      <c r="L361" s="121">
        <v>5000</v>
      </c>
      <c r="M361" s="121">
        <v>500000</v>
      </c>
      <c r="N361" s="105">
        <v>44197</v>
      </c>
      <c r="O361" s="105">
        <v>44377</v>
      </c>
      <c r="P361" t="s">
        <v>718</v>
      </c>
    </row>
    <row r="362" spans="1:16" ht="15" customHeight="1" x14ac:dyDescent="0.3">
      <c r="A362" t="str">
        <f t="shared" si="6"/>
        <v>12-3-U-SmartFIX – 2 Year Renewal</v>
      </c>
      <c r="B362" s="119" t="s">
        <v>13</v>
      </c>
      <c r="C362" s="119">
        <v>12</v>
      </c>
      <c r="D362" s="120" t="s">
        <v>21</v>
      </c>
      <c r="E362" s="120" t="s">
        <v>716</v>
      </c>
      <c r="F362" s="121" t="s">
        <v>16</v>
      </c>
      <c r="G362" s="121" t="s">
        <v>722</v>
      </c>
      <c r="H362" s="126">
        <v>0.26090000000000002</v>
      </c>
      <c r="I362" s="122">
        <v>0.1447</v>
      </c>
      <c r="J362" s="122" t="s">
        <v>717</v>
      </c>
      <c r="K362" s="122" t="s">
        <v>717</v>
      </c>
      <c r="L362" s="121">
        <v>5000</v>
      </c>
      <c r="M362" s="121">
        <v>500000</v>
      </c>
      <c r="N362" s="105">
        <v>44197</v>
      </c>
      <c r="O362" s="105">
        <v>44377</v>
      </c>
      <c r="P362" t="s">
        <v>718</v>
      </c>
    </row>
    <row r="363" spans="1:16" ht="15" customHeight="1" x14ac:dyDescent="0.3">
      <c r="A363" t="str">
        <f t="shared" si="6"/>
        <v>12-4-E7-SmartFIX – 2 Year Renewal</v>
      </c>
      <c r="B363" s="119" t="s">
        <v>13</v>
      </c>
      <c r="C363" s="119">
        <v>12</v>
      </c>
      <c r="D363" s="120" t="s">
        <v>21</v>
      </c>
      <c r="E363" s="120" t="s">
        <v>17</v>
      </c>
      <c r="F363" s="121" t="s">
        <v>18</v>
      </c>
      <c r="G363" s="121" t="s">
        <v>722</v>
      </c>
      <c r="H363" s="126">
        <v>0.26090000000000002</v>
      </c>
      <c r="I363" s="122">
        <v>0.15610000000000002</v>
      </c>
      <c r="J363" s="122">
        <v>0.11230000000000001</v>
      </c>
      <c r="K363" s="122" t="s">
        <v>717</v>
      </c>
      <c r="L363" s="121">
        <v>5000</v>
      </c>
      <c r="M363" s="121">
        <v>500000</v>
      </c>
      <c r="N363" s="105">
        <v>44197</v>
      </c>
      <c r="O363" s="105">
        <v>44377</v>
      </c>
      <c r="P363" t="s">
        <v>718</v>
      </c>
    </row>
    <row r="364" spans="1:16" ht="15" customHeight="1" x14ac:dyDescent="0.3">
      <c r="A364" t="str">
        <f t="shared" si="6"/>
        <v>12-3-EW-SmartFIX – 2 Year Renewal</v>
      </c>
      <c r="B364" s="119" t="s">
        <v>13</v>
      </c>
      <c r="C364" s="119">
        <v>12</v>
      </c>
      <c r="D364" s="120" t="s">
        <v>21</v>
      </c>
      <c r="E364" s="120" t="s">
        <v>19</v>
      </c>
      <c r="F364" s="121" t="s">
        <v>16</v>
      </c>
      <c r="G364" s="121" t="s">
        <v>722</v>
      </c>
      <c r="H364" s="126">
        <v>0.26090000000000002</v>
      </c>
      <c r="I364" s="122">
        <v>0.153</v>
      </c>
      <c r="J364" s="122" t="s">
        <v>717</v>
      </c>
      <c r="K364" s="122">
        <v>0.1331</v>
      </c>
      <c r="L364" s="121">
        <v>5000</v>
      </c>
      <c r="M364" s="121">
        <v>500000</v>
      </c>
      <c r="N364" s="105">
        <v>44197</v>
      </c>
      <c r="O364" s="105">
        <v>44377</v>
      </c>
      <c r="P364" t="s">
        <v>718</v>
      </c>
    </row>
    <row r="365" spans="1:16" ht="15" customHeight="1" x14ac:dyDescent="0.3">
      <c r="A365" t="str">
        <f t="shared" si="6"/>
        <v>12-4-3RATE-SmartFIX – 2 Year Renewal</v>
      </c>
      <c r="B365" s="119" t="s">
        <v>13</v>
      </c>
      <c r="C365" s="119">
        <v>12</v>
      </c>
      <c r="D365" s="120" t="s">
        <v>21</v>
      </c>
      <c r="E365" s="120" t="s">
        <v>719</v>
      </c>
      <c r="F365" s="121" t="s">
        <v>18</v>
      </c>
      <c r="G365" s="121" t="s">
        <v>722</v>
      </c>
      <c r="H365" s="126">
        <v>0.26090000000000002</v>
      </c>
      <c r="I365" s="122">
        <v>0.252</v>
      </c>
      <c r="J365" s="122">
        <v>0.252</v>
      </c>
      <c r="K365" s="122">
        <v>0.252</v>
      </c>
      <c r="L365" s="121">
        <v>5000</v>
      </c>
      <c r="M365" s="121">
        <v>500000</v>
      </c>
      <c r="N365" s="105">
        <v>44197</v>
      </c>
      <c r="O365" s="105">
        <v>44377</v>
      </c>
      <c r="P365" t="s">
        <v>718</v>
      </c>
    </row>
    <row r="366" spans="1:16" ht="15" customHeight="1" x14ac:dyDescent="0.3">
      <c r="A366" t="str">
        <f t="shared" si="6"/>
        <v/>
      </c>
      <c r="B366" s="119" t="s">
        <v>13</v>
      </c>
      <c r="C366" s="119">
        <v>12</v>
      </c>
      <c r="D366" s="120" t="s">
        <v>21</v>
      </c>
      <c r="E366" s="120" t="s">
        <v>720</v>
      </c>
      <c r="F366" s="121" t="s">
        <v>18</v>
      </c>
      <c r="G366" s="121" t="s">
        <v>722</v>
      </c>
      <c r="H366" s="126">
        <v>0.26090000000000002</v>
      </c>
      <c r="I366" s="122" t="s">
        <v>717</v>
      </c>
      <c r="J366" s="122">
        <v>0.1331</v>
      </c>
      <c r="K366" s="122" t="s">
        <v>717</v>
      </c>
      <c r="L366" s="121">
        <v>5000</v>
      </c>
      <c r="M366" s="121">
        <v>500000</v>
      </c>
      <c r="N366" s="105">
        <v>44197</v>
      </c>
      <c r="O366" s="105">
        <v>44377</v>
      </c>
      <c r="P366" t="s">
        <v>718</v>
      </c>
    </row>
    <row r="367" spans="1:16" ht="15" customHeight="1" x14ac:dyDescent="0.3">
      <c r="A367" t="str">
        <f t="shared" si="6"/>
        <v>13-3-U-SmartFIX – 2 Year Renewal</v>
      </c>
      <c r="B367" s="119" t="s">
        <v>13</v>
      </c>
      <c r="C367" s="119">
        <v>13</v>
      </c>
      <c r="D367" s="120" t="s">
        <v>22</v>
      </c>
      <c r="E367" s="120" t="s">
        <v>716</v>
      </c>
      <c r="F367" s="121" t="s">
        <v>16</v>
      </c>
      <c r="G367" s="121" t="s">
        <v>722</v>
      </c>
      <c r="H367" s="126">
        <v>0.30709999999999998</v>
      </c>
      <c r="I367" s="122">
        <v>0.17030000000000001</v>
      </c>
      <c r="J367" s="122" t="s">
        <v>717</v>
      </c>
      <c r="K367" s="122" t="s">
        <v>717</v>
      </c>
      <c r="L367" s="121">
        <v>5000</v>
      </c>
      <c r="M367" s="121">
        <v>500000</v>
      </c>
      <c r="N367" s="105">
        <v>44197</v>
      </c>
      <c r="O367" s="105">
        <v>44377</v>
      </c>
      <c r="P367" t="s">
        <v>718</v>
      </c>
    </row>
    <row r="368" spans="1:16" ht="15" customHeight="1" x14ac:dyDescent="0.3">
      <c r="A368" t="str">
        <f t="shared" si="6"/>
        <v>13-4-E7-SmartFIX – 2 Year Renewal</v>
      </c>
      <c r="B368" s="119" t="s">
        <v>13</v>
      </c>
      <c r="C368" s="119">
        <v>13</v>
      </c>
      <c r="D368" s="120" t="s">
        <v>22</v>
      </c>
      <c r="E368" s="120" t="s">
        <v>17</v>
      </c>
      <c r="F368" s="121" t="s">
        <v>18</v>
      </c>
      <c r="G368" s="121" t="s">
        <v>722</v>
      </c>
      <c r="H368" s="126">
        <v>0.30709999999999998</v>
      </c>
      <c r="I368" s="122">
        <v>0.1764</v>
      </c>
      <c r="J368" s="122">
        <v>0.12889999999999999</v>
      </c>
      <c r="K368" s="122" t="s">
        <v>717</v>
      </c>
      <c r="L368" s="121">
        <v>5000</v>
      </c>
      <c r="M368" s="121">
        <v>500000</v>
      </c>
      <c r="N368" s="105">
        <v>44197</v>
      </c>
      <c r="O368" s="105">
        <v>44377</v>
      </c>
      <c r="P368" t="s">
        <v>718</v>
      </c>
    </row>
    <row r="369" spans="1:16" ht="15" customHeight="1" x14ac:dyDescent="0.3">
      <c r="A369" t="str">
        <f t="shared" si="6"/>
        <v>13-3-EW-SmartFIX – 2 Year Renewal</v>
      </c>
      <c r="B369" s="119" t="s">
        <v>13</v>
      </c>
      <c r="C369" s="119">
        <v>13</v>
      </c>
      <c r="D369" s="120" t="s">
        <v>22</v>
      </c>
      <c r="E369" s="120" t="s">
        <v>19</v>
      </c>
      <c r="F369" s="121" t="s">
        <v>16</v>
      </c>
      <c r="G369" s="121" t="s">
        <v>722</v>
      </c>
      <c r="H369" s="126">
        <v>0.30709999999999998</v>
      </c>
      <c r="I369" s="122">
        <v>0.252</v>
      </c>
      <c r="J369" s="122" t="s">
        <v>717</v>
      </c>
      <c r="K369" s="122">
        <v>0.252</v>
      </c>
      <c r="L369" s="121">
        <v>5000</v>
      </c>
      <c r="M369" s="121">
        <v>500000</v>
      </c>
      <c r="N369" s="105">
        <v>44197</v>
      </c>
      <c r="O369" s="105">
        <v>44377</v>
      </c>
      <c r="P369" t="s">
        <v>718</v>
      </c>
    </row>
    <row r="370" spans="1:16" ht="15" customHeight="1" x14ac:dyDescent="0.3">
      <c r="A370" t="str">
        <f t="shared" si="6"/>
        <v>13-4-3RATE-SmartFIX – 2 Year Renewal</v>
      </c>
      <c r="B370" s="119" t="s">
        <v>13</v>
      </c>
      <c r="C370" s="119">
        <v>13</v>
      </c>
      <c r="D370" s="120" t="s">
        <v>22</v>
      </c>
      <c r="E370" s="120" t="s">
        <v>719</v>
      </c>
      <c r="F370" s="121" t="s">
        <v>18</v>
      </c>
      <c r="G370" s="121" t="s">
        <v>722</v>
      </c>
      <c r="H370" s="126">
        <v>0.30709999999999998</v>
      </c>
      <c r="I370" s="122">
        <v>0.18410000000000001</v>
      </c>
      <c r="J370" s="122">
        <v>0.12659999999999999</v>
      </c>
      <c r="K370" s="122">
        <v>0.1701</v>
      </c>
      <c r="L370" s="121">
        <v>5000</v>
      </c>
      <c r="M370" s="121">
        <v>500000</v>
      </c>
      <c r="N370" s="105">
        <v>44197</v>
      </c>
      <c r="O370" s="105">
        <v>44377</v>
      </c>
      <c r="P370" t="s">
        <v>718</v>
      </c>
    </row>
    <row r="371" spans="1:16" ht="15" customHeight="1" x14ac:dyDescent="0.3">
      <c r="A371" t="str">
        <f t="shared" si="6"/>
        <v/>
      </c>
      <c r="B371" s="119" t="s">
        <v>13</v>
      </c>
      <c r="C371" s="119">
        <v>13</v>
      </c>
      <c r="D371" s="120" t="s">
        <v>22</v>
      </c>
      <c r="E371" s="120" t="s">
        <v>720</v>
      </c>
      <c r="F371" s="121" t="s">
        <v>18</v>
      </c>
      <c r="G371" s="121" t="s">
        <v>722</v>
      </c>
      <c r="H371" s="126">
        <v>0.30709999999999998</v>
      </c>
      <c r="I371" s="122" t="s">
        <v>717</v>
      </c>
      <c r="J371" s="122">
        <v>0.12889999999999999</v>
      </c>
      <c r="K371" s="122" t="s">
        <v>717</v>
      </c>
      <c r="L371" s="121">
        <v>5000</v>
      </c>
      <c r="M371" s="121">
        <v>500000</v>
      </c>
      <c r="N371" s="105">
        <v>44197</v>
      </c>
      <c r="O371" s="105">
        <v>44377</v>
      </c>
      <c r="P371" t="s">
        <v>718</v>
      </c>
    </row>
    <row r="372" spans="1:16" ht="15" customHeight="1" x14ac:dyDescent="0.3">
      <c r="A372" t="str">
        <f t="shared" si="6"/>
        <v>14-3-U-SmartFIX – 2 Year Renewal</v>
      </c>
      <c r="B372" s="119" t="s">
        <v>13</v>
      </c>
      <c r="C372" s="119">
        <v>14</v>
      </c>
      <c r="D372" s="120" t="s">
        <v>23</v>
      </c>
      <c r="E372" s="120" t="s">
        <v>716</v>
      </c>
      <c r="F372" s="121" t="s">
        <v>16</v>
      </c>
      <c r="G372" s="121" t="s">
        <v>722</v>
      </c>
      <c r="H372" s="126">
        <v>0.379</v>
      </c>
      <c r="I372" s="122">
        <v>0.154</v>
      </c>
      <c r="J372" s="122" t="s">
        <v>717</v>
      </c>
      <c r="K372" s="122" t="s">
        <v>717</v>
      </c>
      <c r="L372" s="121">
        <v>5000</v>
      </c>
      <c r="M372" s="121">
        <v>500000</v>
      </c>
      <c r="N372" s="105">
        <v>44197</v>
      </c>
      <c r="O372" s="105">
        <v>44377</v>
      </c>
      <c r="P372" t="s">
        <v>718</v>
      </c>
    </row>
    <row r="373" spans="1:16" ht="15" customHeight="1" x14ac:dyDescent="0.3">
      <c r="A373" t="str">
        <f t="shared" si="6"/>
        <v>14-4-E7-SmartFIX – 2 Year Renewal</v>
      </c>
      <c r="B373" s="119" t="s">
        <v>13</v>
      </c>
      <c r="C373" s="119">
        <v>14</v>
      </c>
      <c r="D373" s="120" t="s">
        <v>23</v>
      </c>
      <c r="E373" s="120" t="s">
        <v>17</v>
      </c>
      <c r="F373" s="121" t="s">
        <v>18</v>
      </c>
      <c r="G373" s="121" t="s">
        <v>722</v>
      </c>
      <c r="H373" s="126">
        <v>0.379</v>
      </c>
      <c r="I373" s="122">
        <v>0.16070000000000001</v>
      </c>
      <c r="J373" s="122">
        <v>0.1169</v>
      </c>
      <c r="K373" s="122" t="s">
        <v>717</v>
      </c>
      <c r="L373" s="121">
        <v>5000</v>
      </c>
      <c r="M373" s="121">
        <v>500000</v>
      </c>
      <c r="N373" s="105">
        <v>44197</v>
      </c>
      <c r="O373" s="105">
        <v>44377</v>
      </c>
      <c r="P373" t="s">
        <v>718</v>
      </c>
    </row>
    <row r="374" spans="1:16" ht="15" customHeight="1" x14ac:dyDescent="0.3">
      <c r="A374" t="str">
        <f t="shared" si="6"/>
        <v>14-3-EW-SmartFIX – 2 Year Renewal</v>
      </c>
      <c r="B374" s="119" t="s">
        <v>13</v>
      </c>
      <c r="C374" s="119">
        <v>14</v>
      </c>
      <c r="D374" s="120" t="s">
        <v>23</v>
      </c>
      <c r="E374" s="120" t="s">
        <v>19</v>
      </c>
      <c r="F374" s="121" t="s">
        <v>16</v>
      </c>
      <c r="G374" s="121" t="s">
        <v>722</v>
      </c>
      <c r="H374" s="126">
        <v>0.379</v>
      </c>
      <c r="I374" s="122">
        <v>0.1613</v>
      </c>
      <c r="J374" s="122" t="s">
        <v>717</v>
      </c>
      <c r="K374" s="122">
        <v>0.14330000000000001</v>
      </c>
      <c r="L374" s="121">
        <v>5000</v>
      </c>
      <c r="M374" s="121">
        <v>500000</v>
      </c>
      <c r="N374" s="105">
        <v>44197</v>
      </c>
      <c r="O374" s="105">
        <v>44377</v>
      </c>
      <c r="P374" t="s">
        <v>718</v>
      </c>
    </row>
    <row r="375" spans="1:16" ht="15" customHeight="1" x14ac:dyDescent="0.3">
      <c r="A375" t="str">
        <f t="shared" si="6"/>
        <v>14-4-3RATE-SmartFIX – 2 Year Renewal</v>
      </c>
      <c r="B375" s="119" t="s">
        <v>13</v>
      </c>
      <c r="C375" s="119">
        <v>14</v>
      </c>
      <c r="D375" s="120" t="s">
        <v>23</v>
      </c>
      <c r="E375" s="120" t="s">
        <v>719</v>
      </c>
      <c r="F375" s="121" t="s">
        <v>18</v>
      </c>
      <c r="G375" s="121" t="s">
        <v>722</v>
      </c>
      <c r="H375" s="126">
        <v>0.379</v>
      </c>
      <c r="I375" s="122">
        <v>0.252</v>
      </c>
      <c r="J375" s="122">
        <v>0.252</v>
      </c>
      <c r="K375" s="122">
        <v>0.252</v>
      </c>
      <c r="L375" s="121">
        <v>5000</v>
      </c>
      <c r="M375" s="121">
        <v>500000</v>
      </c>
      <c r="N375" s="105">
        <v>44197</v>
      </c>
      <c r="O375" s="105">
        <v>44377</v>
      </c>
      <c r="P375" t="s">
        <v>718</v>
      </c>
    </row>
    <row r="376" spans="1:16" ht="15" customHeight="1" x14ac:dyDescent="0.3">
      <c r="A376" t="str">
        <f t="shared" si="6"/>
        <v/>
      </c>
      <c r="B376" s="119" t="s">
        <v>13</v>
      </c>
      <c r="C376" s="119">
        <v>14</v>
      </c>
      <c r="D376" s="120" t="s">
        <v>23</v>
      </c>
      <c r="E376" s="120" t="s">
        <v>720</v>
      </c>
      <c r="F376" s="121" t="s">
        <v>18</v>
      </c>
      <c r="G376" s="121" t="s">
        <v>722</v>
      </c>
      <c r="H376" s="126">
        <v>0.379</v>
      </c>
      <c r="I376" s="122" t="s">
        <v>717</v>
      </c>
      <c r="J376" s="122">
        <v>0.14330000000000001</v>
      </c>
      <c r="K376" s="122" t="s">
        <v>717</v>
      </c>
      <c r="L376" s="121">
        <v>5000</v>
      </c>
      <c r="M376" s="121">
        <v>500000</v>
      </c>
      <c r="N376" s="105">
        <v>44197</v>
      </c>
      <c r="O376" s="105">
        <v>44377</v>
      </c>
      <c r="P376" t="s">
        <v>718</v>
      </c>
    </row>
    <row r="377" spans="1:16" ht="15" customHeight="1" x14ac:dyDescent="0.3">
      <c r="A377" t="str">
        <f t="shared" si="6"/>
        <v>15-3-U-SmartFIX – 2 Year Renewal</v>
      </c>
      <c r="B377" s="119" t="s">
        <v>13</v>
      </c>
      <c r="C377" s="119">
        <v>15</v>
      </c>
      <c r="D377" s="120" t="s">
        <v>24</v>
      </c>
      <c r="E377" s="120" t="s">
        <v>716</v>
      </c>
      <c r="F377" s="121" t="s">
        <v>16</v>
      </c>
      <c r="G377" s="121" t="s">
        <v>722</v>
      </c>
      <c r="H377" s="126">
        <v>0.3518</v>
      </c>
      <c r="I377" s="122">
        <v>0.1537</v>
      </c>
      <c r="J377" s="122" t="s">
        <v>717</v>
      </c>
      <c r="K377" s="122" t="s">
        <v>717</v>
      </c>
      <c r="L377" s="121">
        <v>5000</v>
      </c>
      <c r="M377" s="121">
        <v>500000</v>
      </c>
      <c r="N377" s="105">
        <v>44197</v>
      </c>
      <c r="O377" s="105">
        <v>44377</v>
      </c>
      <c r="P377" t="s">
        <v>718</v>
      </c>
    </row>
    <row r="378" spans="1:16" ht="15" customHeight="1" x14ac:dyDescent="0.3">
      <c r="A378" t="str">
        <f t="shared" si="6"/>
        <v>15-4-E7-SmartFIX – 2 Year Renewal</v>
      </c>
      <c r="B378" s="119" t="s">
        <v>13</v>
      </c>
      <c r="C378" s="119">
        <v>15</v>
      </c>
      <c r="D378" s="120" t="s">
        <v>24</v>
      </c>
      <c r="E378" s="120" t="s">
        <v>17</v>
      </c>
      <c r="F378" s="121" t="s">
        <v>18</v>
      </c>
      <c r="G378" s="121" t="s">
        <v>722</v>
      </c>
      <c r="H378" s="126">
        <v>0.3518</v>
      </c>
      <c r="I378" s="122">
        <v>0.15940000000000001</v>
      </c>
      <c r="J378" s="122">
        <v>0.11699999999999999</v>
      </c>
      <c r="K378" s="122" t="s">
        <v>717</v>
      </c>
      <c r="L378" s="121">
        <v>5000</v>
      </c>
      <c r="M378" s="121">
        <v>500000</v>
      </c>
      <c r="N378" s="105">
        <v>44197</v>
      </c>
      <c r="O378" s="105">
        <v>44377</v>
      </c>
      <c r="P378" t="s">
        <v>718</v>
      </c>
    </row>
    <row r="379" spans="1:16" ht="15" customHeight="1" x14ac:dyDescent="0.3">
      <c r="A379" t="str">
        <f t="shared" si="6"/>
        <v>15-3-EW-SmartFIX – 2 Year Renewal</v>
      </c>
      <c r="B379" s="119" t="s">
        <v>13</v>
      </c>
      <c r="C379" s="119">
        <v>15</v>
      </c>
      <c r="D379" s="120" t="s">
        <v>24</v>
      </c>
      <c r="E379" s="120" t="s">
        <v>19</v>
      </c>
      <c r="F379" s="121" t="s">
        <v>16</v>
      </c>
      <c r="G379" s="121" t="s">
        <v>722</v>
      </c>
      <c r="H379" s="126">
        <v>0.3518</v>
      </c>
      <c r="I379" s="122">
        <v>0.1638</v>
      </c>
      <c r="J379" s="122" t="s">
        <v>717</v>
      </c>
      <c r="K379" s="122">
        <v>0.1424</v>
      </c>
      <c r="L379" s="121">
        <v>5000</v>
      </c>
      <c r="M379" s="121">
        <v>500000</v>
      </c>
      <c r="N379" s="105">
        <v>44197</v>
      </c>
      <c r="O379" s="105">
        <v>44377</v>
      </c>
      <c r="P379" t="s">
        <v>718</v>
      </c>
    </row>
    <row r="380" spans="1:16" ht="15" customHeight="1" x14ac:dyDescent="0.3">
      <c r="A380" t="str">
        <f t="shared" si="6"/>
        <v>15-4-3RATE-SmartFIX – 2 Year Renewal</v>
      </c>
      <c r="B380" s="67" t="s">
        <v>13</v>
      </c>
      <c r="C380" s="67">
        <v>15</v>
      </c>
      <c r="D380" s="99" t="s">
        <v>24</v>
      </c>
      <c r="E380" s="67" t="s">
        <v>719</v>
      </c>
      <c r="F380" s="67" t="s">
        <v>18</v>
      </c>
      <c r="G380" s="67" t="s">
        <v>722</v>
      </c>
      <c r="H380" s="127">
        <v>0.3518</v>
      </c>
      <c r="I380" s="109">
        <v>0.252</v>
      </c>
      <c r="J380" s="109">
        <v>0.252</v>
      </c>
      <c r="K380" s="109">
        <v>0.252</v>
      </c>
      <c r="L380" s="67">
        <v>5000</v>
      </c>
      <c r="M380" s="67">
        <v>500000</v>
      </c>
      <c r="N380" s="105">
        <v>44197</v>
      </c>
      <c r="O380" s="105">
        <v>44377</v>
      </c>
      <c r="P380" t="s">
        <v>718</v>
      </c>
    </row>
    <row r="381" spans="1:16" ht="15" customHeight="1" x14ac:dyDescent="0.3">
      <c r="A381" t="str">
        <f t="shared" si="6"/>
        <v/>
      </c>
      <c r="B381" s="67" t="s">
        <v>13</v>
      </c>
      <c r="C381" s="67">
        <v>15</v>
      </c>
      <c r="D381" s="99" t="s">
        <v>24</v>
      </c>
      <c r="E381" s="67" t="s">
        <v>720</v>
      </c>
      <c r="F381" s="67" t="s">
        <v>18</v>
      </c>
      <c r="G381" s="67" t="s">
        <v>722</v>
      </c>
      <c r="H381" s="127">
        <v>0.3518</v>
      </c>
      <c r="I381" s="109" t="s">
        <v>717</v>
      </c>
      <c r="J381" s="109">
        <v>0.1424</v>
      </c>
      <c r="K381" s="109" t="s">
        <v>717</v>
      </c>
      <c r="L381" s="67">
        <v>5000</v>
      </c>
      <c r="M381" s="67">
        <v>500000</v>
      </c>
      <c r="N381" s="105">
        <v>44197</v>
      </c>
      <c r="O381" s="105">
        <v>44377</v>
      </c>
      <c r="P381" t="s">
        <v>718</v>
      </c>
    </row>
    <row r="382" spans="1:16" ht="15" customHeight="1" x14ac:dyDescent="0.3">
      <c r="A382" t="str">
        <f t="shared" si="6"/>
        <v>16-3-U-SmartFIX – 2 Year Renewal</v>
      </c>
      <c r="B382" s="67" t="s">
        <v>13</v>
      </c>
      <c r="C382" s="67">
        <v>16</v>
      </c>
      <c r="D382" s="99" t="s">
        <v>25</v>
      </c>
      <c r="E382" s="67" t="s">
        <v>716</v>
      </c>
      <c r="F382" s="67" t="s">
        <v>16</v>
      </c>
      <c r="G382" s="67" t="s">
        <v>722</v>
      </c>
      <c r="H382" s="127">
        <v>0.29780000000000001</v>
      </c>
      <c r="I382" s="109">
        <v>0.15590000000000001</v>
      </c>
      <c r="J382" s="109" t="s">
        <v>717</v>
      </c>
      <c r="K382" s="109" t="s">
        <v>717</v>
      </c>
      <c r="L382" s="67">
        <v>5000</v>
      </c>
      <c r="M382" s="67">
        <v>500000</v>
      </c>
      <c r="N382" s="105">
        <v>44197</v>
      </c>
      <c r="O382" s="105">
        <v>44377</v>
      </c>
      <c r="P382" t="s">
        <v>718</v>
      </c>
    </row>
    <row r="383" spans="1:16" ht="15" customHeight="1" x14ac:dyDescent="0.3">
      <c r="A383" t="str">
        <f t="shared" si="6"/>
        <v>16-4-E7-SmartFIX – 2 Year Renewal</v>
      </c>
      <c r="B383" s="67" t="s">
        <v>13</v>
      </c>
      <c r="C383" s="67">
        <v>16</v>
      </c>
      <c r="D383" s="99" t="s">
        <v>25</v>
      </c>
      <c r="E383" s="67" t="s">
        <v>17</v>
      </c>
      <c r="F383" s="67" t="s">
        <v>18</v>
      </c>
      <c r="G383" s="67" t="s">
        <v>722</v>
      </c>
      <c r="H383" s="127">
        <v>0.29780000000000001</v>
      </c>
      <c r="I383" s="109">
        <v>0.16140000000000002</v>
      </c>
      <c r="J383" s="109">
        <v>0.1177</v>
      </c>
      <c r="K383" s="109" t="s">
        <v>717</v>
      </c>
      <c r="L383" s="67">
        <v>5000</v>
      </c>
      <c r="M383" s="67">
        <v>500000</v>
      </c>
      <c r="N383" s="105">
        <v>44197</v>
      </c>
      <c r="O383" s="105">
        <v>44377</v>
      </c>
      <c r="P383" t="s">
        <v>718</v>
      </c>
    </row>
    <row r="384" spans="1:16" ht="15" customHeight="1" x14ac:dyDescent="0.3">
      <c r="A384" t="str">
        <f t="shared" si="6"/>
        <v>16-3-EW-SmartFIX – 2 Year Renewal</v>
      </c>
      <c r="B384" s="67" t="s">
        <v>13</v>
      </c>
      <c r="C384" s="67">
        <v>16</v>
      </c>
      <c r="D384" s="99" t="s">
        <v>25</v>
      </c>
      <c r="E384" s="67" t="s">
        <v>19</v>
      </c>
      <c r="F384" s="67" t="s">
        <v>16</v>
      </c>
      <c r="G384" s="67" t="s">
        <v>722</v>
      </c>
      <c r="H384" s="127">
        <v>0.29780000000000001</v>
      </c>
      <c r="I384" s="109">
        <v>0.16590000000000002</v>
      </c>
      <c r="J384" s="109" t="s">
        <v>717</v>
      </c>
      <c r="K384" s="109">
        <v>0.1439</v>
      </c>
      <c r="L384" s="67">
        <v>5000</v>
      </c>
      <c r="M384" s="67">
        <v>500000</v>
      </c>
      <c r="N384" s="105">
        <v>44197</v>
      </c>
      <c r="O384" s="105">
        <v>44377</v>
      </c>
      <c r="P384" t="s">
        <v>718</v>
      </c>
    </row>
    <row r="385" spans="1:16" ht="15" customHeight="1" x14ac:dyDescent="0.3">
      <c r="A385" t="str">
        <f t="shared" si="6"/>
        <v>16-4-3RATE-SmartFIX – 2 Year Renewal</v>
      </c>
      <c r="B385" s="67" t="s">
        <v>13</v>
      </c>
      <c r="C385" s="67">
        <v>16</v>
      </c>
      <c r="D385" s="99" t="s">
        <v>25</v>
      </c>
      <c r="E385" s="67" t="s">
        <v>719</v>
      </c>
      <c r="F385" s="67" t="s">
        <v>18</v>
      </c>
      <c r="G385" s="67" t="s">
        <v>722</v>
      </c>
      <c r="H385" s="127">
        <v>0.29780000000000001</v>
      </c>
      <c r="I385" s="109">
        <v>0.17150000000000001</v>
      </c>
      <c r="J385" s="109">
        <v>0.11660000000000001</v>
      </c>
      <c r="K385" s="109">
        <v>0.1462</v>
      </c>
      <c r="L385" s="67">
        <v>5000</v>
      </c>
      <c r="M385" s="67">
        <v>500000</v>
      </c>
      <c r="N385" s="105">
        <v>44197</v>
      </c>
      <c r="O385" s="105">
        <v>44377</v>
      </c>
      <c r="P385" t="s">
        <v>718</v>
      </c>
    </row>
    <row r="386" spans="1:16" ht="15" customHeight="1" x14ac:dyDescent="0.3">
      <c r="A386" t="str">
        <f t="shared" si="6"/>
        <v/>
      </c>
      <c r="B386" s="67" t="s">
        <v>13</v>
      </c>
      <c r="C386" s="67">
        <v>16</v>
      </c>
      <c r="D386" s="99" t="s">
        <v>25</v>
      </c>
      <c r="E386" s="67" t="s">
        <v>720</v>
      </c>
      <c r="F386" s="67" t="s">
        <v>18</v>
      </c>
      <c r="G386" s="67" t="s">
        <v>722</v>
      </c>
      <c r="H386" s="127">
        <v>0.29780000000000001</v>
      </c>
      <c r="I386" s="109" t="s">
        <v>717</v>
      </c>
      <c r="J386" s="109">
        <v>0.1439</v>
      </c>
      <c r="K386" s="109" t="s">
        <v>717</v>
      </c>
      <c r="L386" s="67">
        <v>5000</v>
      </c>
      <c r="M386" s="67">
        <v>500000</v>
      </c>
      <c r="N386" s="105">
        <v>44197</v>
      </c>
      <c r="O386" s="105">
        <v>44377</v>
      </c>
      <c r="P386" t="s">
        <v>718</v>
      </c>
    </row>
    <row r="387" spans="1:16" ht="15" customHeight="1" x14ac:dyDescent="0.3">
      <c r="A387" t="str">
        <f t="shared" si="6"/>
        <v>17-3-U-SmartFIX – 2 Year Renewal</v>
      </c>
      <c r="B387" s="67" t="s">
        <v>13</v>
      </c>
      <c r="C387" s="67">
        <v>17</v>
      </c>
      <c r="D387" s="99" t="s">
        <v>26</v>
      </c>
      <c r="E387" s="67" t="s">
        <v>716</v>
      </c>
      <c r="F387" s="67" t="s">
        <v>16</v>
      </c>
      <c r="G387" s="67" t="s">
        <v>722</v>
      </c>
      <c r="H387" s="127">
        <v>0.39229999999999998</v>
      </c>
      <c r="I387" s="109">
        <v>0.1588</v>
      </c>
      <c r="J387" s="109" t="s">
        <v>717</v>
      </c>
      <c r="K387" s="109" t="s">
        <v>717</v>
      </c>
      <c r="L387" s="67">
        <v>5000</v>
      </c>
      <c r="M387" s="67">
        <v>500000</v>
      </c>
      <c r="N387" s="105">
        <v>44197</v>
      </c>
      <c r="O387" s="105">
        <v>44377</v>
      </c>
      <c r="P387" t="s">
        <v>718</v>
      </c>
    </row>
    <row r="388" spans="1:16" ht="15" customHeight="1" x14ac:dyDescent="0.3">
      <c r="A388" t="str">
        <f t="shared" si="6"/>
        <v>17-4-E7-SmartFIX – 2 Year Renewal</v>
      </c>
      <c r="B388" s="67" t="s">
        <v>13</v>
      </c>
      <c r="C388" s="67">
        <v>17</v>
      </c>
      <c r="D388" s="99" t="s">
        <v>26</v>
      </c>
      <c r="E388" s="67" t="s">
        <v>17</v>
      </c>
      <c r="F388" s="67" t="s">
        <v>18</v>
      </c>
      <c r="G388" s="67" t="s">
        <v>722</v>
      </c>
      <c r="H388" s="127">
        <v>0.39229999999999998</v>
      </c>
      <c r="I388" s="109">
        <v>0.1699</v>
      </c>
      <c r="J388" s="109">
        <v>0.1263</v>
      </c>
      <c r="K388" s="109" t="s">
        <v>717</v>
      </c>
      <c r="L388" s="67">
        <v>5000</v>
      </c>
      <c r="M388" s="67">
        <v>500000</v>
      </c>
      <c r="N388" s="105">
        <v>44197</v>
      </c>
      <c r="O388" s="105">
        <v>44377</v>
      </c>
      <c r="P388" t="s">
        <v>718</v>
      </c>
    </row>
    <row r="389" spans="1:16" ht="15" customHeight="1" x14ac:dyDescent="0.3">
      <c r="A389" t="str">
        <f t="shared" si="6"/>
        <v>17-3-EW-SmartFIX – 2 Year Renewal</v>
      </c>
      <c r="B389" s="67" t="s">
        <v>13</v>
      </c>
      <c r="C389" s="67">
        <v>17</v>
      </c>
      <c r="D389" s="99" t="s">
        <v>26</v>
      </c>
      <c r="E389" s="67" t="s">
        <v>19</v>
      </c>
      <c r="F389" s="67" t="s">
        <v>16</v>
      </c>
      <c r="G389" s="67" t="s">
        <v>722</v>
      </c>
      <c r="H389" s="127">
        <v>0.39229999999999998</v>
      </c>
      <c r="I389" s="109">
        <v>0.1663</v>
      </c>
      <c r="J389" s="109" t="s">
        <v>717</v>
      </c>
      <c r="K389" s="109">
        <v>0.14899999999999999</v>
      </c>
      <c r="L389" s="67">
        <v>5000</v>
      </c>
      <c r="M389" s="67">
        <v>500000</v>
      </c>
      <c r="N389" s="105">
        <v>44197</v>
      </c>
      <c r="O389" s="105">
        <v>44377</v>
      </c>
      <c r="P389" t="s">
        <v>718</v>
      </c>
    </row>
    <row r="390" spans="1:16" ht="15" customHeight="1" x14ac:dyDescent="0.3">
      <c r="A390" t="str">
        <f t="shared" si="6"/>
        <v>17-4-3RATE-SmartFIX – 2 Year Renewal</v>
      </c>
      <c r="B390" s="67" t="s">
        <v>13</v>
      </c>
      <c r="C390" s="67">
        <v>17</v>
      </c>
      <c r="D390" s="99" t="s">
        <v>26</v>
      </c>
      <c r="E390" s="67" t="s">
        <v>719</v>
      </c>
      <c r="F390" s="67" t="s">
        <v>18</v>
      </c>
      <c r="G390" s="67" t="s">
        <v>722</v>
      </c>
      <c r="H390" s="127">
        <v>0.39229999999999998</v>
      </c>
      <c r="I390" s="109">
        <v>0.252</v>
      </c>
      <c r="J390" s="109">
        <v>0.252</v>
      </c>
      <c r="K390" s="109">
        <v>0.252</v>
      </c>
      <c r="L390" s="67">
        <v>5000</v>
      </c>
      <c r="M390" s="67">
        <v>500000</v>
      </c>
      <c r="N390" s="105">
        <v>44197</v>
      </c>
      <c r="O390" s="105">
        <v>44377</v>
      </c>
      <c r="P390" t="s">
        <v>718</v>
      </c>
    </row>
    <row r="391" spans="1:16" ht="15" customHeight="1" x14ac:dyDescent="0.3">
      <c r="A391" t="str">
        <f t="shared" si="6"/>
        <v/>
      </c>
      <c r="B391" s="67" t="s">
        <v>13</v>
      </c>
      <c r="C391" s="67">
        <v>17</v>
      </c>
      <c r="D391" s="99" t="s">
        <v>26</v>
      </c>
      <c r="E391" s="67" t="s">
        <v>720</v>
      </c>
      <c r="F391" s="67" t="s">
        <v>18</v>
      </c>
      <c r="G391" s="67" t="s">
        <v>722</v>
      </c>
      <c r="H391" s="127">
        <v>0.39229999999999998</v>
      </c>
      <c r="I391" s="109" t="s">
        <v>717</v>
      </c>
      <c r="J391" s="109">
        <v>0.14899999999999999</v>
      </c>
      <c r="K391" s="109" t="s">
        <v>717</v>
      </c>
      <c r="L391" s="67">
        <v>5000</v>
      </c>
      <c r="M391" s="67">
        <v>500000</v>
      </c>
      <c r="N391" s="105">
        <v>44197</v>
      </c>
      <c r="O391" s="105">
        <v>44377</v>
      </c>
      <c r="P391" t="s">
        <v>718</v>
      </c>
    </row>
    <row r="392" spans="1:16" ht="15" customHeight="1" x14ac:dyDescent="0.3">
      <c r="A392" t="str">
        <f t="shared" si="6"/>
        <v>18-3-U-SmartFIX – 2 Year Renewal</v>
      </c>
      <c r="B392" s="67" t="s">
        <v>13</v>
      </c>
      <c r="C392" s="67">
        <v>18</v>
      </c>
      <c r="D392" s="99" t="s">
        <v>27</v>
      </c>
      <c r="E392" s="67" t="s">
        <v>716</v>
      </c>
      <c r="F392" s="67" t="s">
        <v>16</v>
      </c>
      <c r="G392" s="67" t="s">
        <v>722</v>
      </c>
      <c r="H392" s="127">
        <v>0.3422</v>
      </c>
      <c r="I392" s="109">
        <v>0.15529999999999999</v>
      </c>
      <c r="J392" s="109" t="s">
        <v>717</v>
      </c>
      <c r="K392" s="109" t="s">
        <v>717</v>
      </c>
      <c r="L392" s="67">
        <v>5000</v>
      </c>
      <c r="M392" s="67">
        <v>500000</v>
      </c>
      <c r="N392" s="105">
        <v>44197</v>
      </c>
      <c r="O392" s="105">
        <v>44377</v>
      </c>
      <c r="P392" t="s">
        <v>718</v>
      </c>
    </row>
    <row r="393" spans="1:16" ht="15" customHeight="1" x14ac:dyDescent="0.3">
      <c r="A393" t="str">
        <f t="shared" si="6"/>
        <v>18-4-E7-SmartFIX – 2 Year Renewal</v>
      </c>
      <c r="B393" s="67" t="s">
        <v>13</v>
      </c>
      <c r="C393" s="67">
        <v>18</v>
      </c>
      <c r="D393" s="99" t="s">
        <v>27</v>
      </c>
      <c r="E393" s="67" t="s">
        <v>17</v>
      </c>
      <c r="F393" s="67" t="s">
        <v>18</v>
      </c>
      <c r="G393" s="67" t="s">
        <v>722</v>
      </c>
      <c r="H393" s="127">
        <v>0.3422</v>
      </c>
      <c r="I393" s="109">
        <v>0.1656</v>
      </c>
      <c r="J393" s="109">
        <v>0.12309999999999999</v>
      </c>
      <c r="K393" s="109" t="s">
        <v>717</v>
      </c>
      <c r="L393" s="67">
        <v>5000</v>
      </c>
      <c r="M393" s="67">
        <v>500000</v>
      </c>
      <c r="N393" s="105">
        <v>44197</v>
      </c>
      <c r="O393" s="105">
        <v>44377</v>
      </c>
      <c r="P393" t="s">
        <v>718</v>
      </c>
    </row>
    <row r="394" spans="1:16" ht="15" customHeight="1" x14ac:dyDescent="0.3">
      <c r="A394" t="str">
        <f t="shared" si="6"/>
        <v>18-3-EW-SmartFIX – 2 Year Renewal</v>
      </c>
      <c r="B394" s="67" t="s">
        <v>13</v>
      </c>
      <c r="C394" s="67">
        <v>18</v>
      </c>
      <c r="D394" s="99" t="s">
        <v>27</v>
      </c>
      <c r="E394" s="67" t="s">
        <v>19</v>
      </c>
      <c r="F394" s="67" t="s">
        <v>16</v>
      </c>
      <c r="G394" s="67" t="s">
        <v>722</v>
      </c>
      <c r="H394" s="127">
        <v>0.3422</v>
      </c>
      <c r="I394" s="109">
        <v>0.16300000000000001</v>
      </c>
      <c r="J394" s="109" t="s">
        <v>717</v>
      </c>
      <c r="K394" s="109">
        <v>0.14419999999999999</v>
      </c>
      <c r="L394" s="67">
        <v>5000</v>
      </c>
      <c r="M394" s="67">
        <v>500000</v>
      </c>
      <c r="N394" s="105">
        <v>44197</v>
      </c>
      <c r="O394" s="105">
        <v>44377</v>
      </c>
      <c r="P394" t="s">
        <v>718</v>
      </c>
    </row>
    <row r="395" spans="1:16" ht="15" customHeight="1" x14ac:dyDescent="0.3">
      <c r="A395" t="str">
        <f t="shared" si="6"/>
        <v>18-4-3RATE-SmartFIX – 2 Year Renewal</v>
      </c>
      <c r="B395" s="67" t="s">
        <v>13</v>
      </c>
      <c r="C395" s="67">
        <v>18</v>
      </c>
      <c r="D395" s="99" t="s">
        <v>27</v>
      </c>
      <c r="E395" s="67" t="s">
        <v>719</v>
      </c>
      <c r="F395" s="67" t="s">
        <v>18</v>
      </c>
      <c r="G395" s="67" t="s">
        <v>722</v>
      </c>
      <c r="H395" s="127">
        <v>0.3422</v>
      </c>
      <c r="I395" s="109">
        <v>0.252</v>
      </c>
      <c r="J395" s="109">
        <v>0.252</v>
      </c>
      <c r="K395" s="109">
        <v>0.252</v>
      </c>
      <c r="L395" s="67">
        <v>5000</v>
      </c>
      <c r="M395" s="67">
        <v>500000</v>
      </c>
      <c r="N395" s="105">
        <v>44197</v>
      </c>
      <c r="O395" s="105">
        <v>44377</v>
      </c>
      <c r="P395" t="s">
        <v>718</v>
      </c>
    </row>
    <row r="396" spans="1:16" ht="15" customHeight="1" x14ac:dyDescent="0.3">
      <c r="A396" t="str">
        <f t="shared" ref="A396:A459" si="7">IF(E396="OP","",CONCATENATE(C396,"-",RIGHT(F396,1),"-",IF(OR(E396="1 Rate MD",E396="DAY"),"U",IF(OR(E396="2 Rate MD",E396="E7"),"E7",IF(OR(E396="3 Rate MD (EW)",E396="EW"),"EW",IF(OR(E396="3 Rate MD",E396="EWN"),"3RATE",IF(E396="HH 2RATE (CT)","HH 2RATE (CT)",IF(E396="HH 2RATE (WC)","HH 2RATE (WC)",IF(E396="HH 1RATE (CT)","HH 1RATE (CT)",IF(E396="HH 1RATE (WC)","HH 1RATE (WC)")))))))),"-",G396))</f>
        <v/>
      </c>
      <c r="B396" s="67" t="s">
        <v>13</v>
      </c>
      <c r="C396" s="67">
        <v>18</v>
      </c>
      <c r="D396" s="99" t="s">
        <v>27</v>
      </c>
      <c r="E396" s="67" t="s">
        <v>720</v>
      </c>
      <c r="F396" s="67" t="s">
        <v>18</v>
      </c>
      <c r="G396" s="67" t="s">
        <v>722</v>
      </c>
      <c r="H396" s="127">
        <v>0.3422</v>
      </c>
      <c r="I396" s="109" t="s">
        <v>717</v>
      </c>
      <c r="J396" s="109">
        <v>0.14419999999999999</v>
      </c>
      <c r="K396" s="109" t="s">
        <v>717</v>
      </c>
      <c r="L396" s="67">
        <v>5000</v>
      </c>
      <c r="M396" s="67">
        <v>500000</v>
      </c>
      <c r="N396" s="105">
        <v>44197</v>
      </c>
      <c r="O396" s="105">
        <v>44377</v>
      </c>
      <c r="P396" t="s">
        <v>718</v>
      </c>
    </row>
    <row r="397" spans="1:16" ht="15" customHeight="1" x14ac:dyDescent="0.3">
      <c r="A397" t="str">
        <f t="shared" si="7"/>
        <v>19-3-U-SmartFIX – 2 Year Renewal</v>
      </c>
      <c r="B397" s="67" t="s">
        <v>13</v>
      </c>
      <c r="C397" s="67">
        <v>19</v>
      </c>
      <c r="D397" s="99" t="s">
        <v>28</v>
      </c>
      <c r="E397" s="67" t="s">
        <v>716</v>
      </c>
      <c r="F397" s="67" t="s">
        <v>16</v>
      </c>
      <c r="G397" s="67" t="s">
        <v>722</v>
      </c>
      <c r="H397" s="127">
        <v>0.32529999999999998</v>
      </c>
      <c r="I397" s="109">
        <v>0.15310000000000001</v>
      </c>
      <c r="J397" s="109" t="s">
        <v>717</v>
      </c>
      <c r="K397" s="109" t="s">
        <v>717</v>
      </c>
      <c r="L397" s="67">
        <v>5000</v>
      </c>
      <c r="M397" s="67">
        <v>500000</v>
      </c>
      <c r="N397" s="105">
        <v>44197</v>
      </c>
      <c r="O397" s="105">
        <v>44377</v>
      </c>
      <c r="P397" t="s">
        <v>718</v>
      </c>
    </row>
    <row r="398" spans="1:16" ht="15" customHeight="1" x14ac:dyDescent="0.3">
      <c r="A398" t="str">
        <f t="shared" si="7"/>
        <v>19-4-E7-SmartFIX – 2 Year Renewal</v>
      </c>
      <c r="B398" s="67" t="s">
        <v>13</v>
      </c>
      <c r="C398" s="67">
        <v>19</v>
      </c>
      <c r="D398" s="99" t="s">
        <v>28</v>
      </c>
      <c r="E398" s="67" t="s">
        <v>17</v>
      </c>
      <c r="F398" s="67" t="s">
        <v>18</v>
      </c>
      <c r="G398" s="67" t="s">
        <v>722</v>
      </c>
      <c r="H398" s="127">
        <v>0.32529999999999998</v>
      </c>
      <c r="I398" s="109">
        <v>0.16190000000000002</v>
      </c>
      <c r="J398" s="109">
        <v>0.1139</v>
      </c>
      <c r="K398" s="109" t="s">
        <v>717</v>
      </c>
      <c r="L398" s="67">
        <v>5000</v>
      </c>
      <c r="M398" s="67">
        <v>500000</v>
      </c>
      <c r="N398" s="105">
        <v>44197</v>
      </c>
      <c r="O398" s="105">
        <v>44377</v>
      </c>
      <c r="P398" t="s">
        <v>718</v>
      </c>
    </row>
    <row r="399" spans="1:16" ht="15" customHeight="1" x14ac:dyDescent="0.3">
      <c r="A399" t="str">
        <f t="shared" si="7"/>
        <v>19-3-EW-SmartFIX – 2 Year Renewal</v>
      </c>
      <c r="B399" s="67" t="s">
        <v>13</v>
      </c>
      <c r="C399" s="67">
        <v>19</v>
      </c>
      <c r="D399" s="99" t="s">
        <v>28</v>
      </c>
      <c r="E399" s="67" t="s">
        <v>19</v>
      </c>
      <c r="F399" s="67" t="s">
        <v>16</v>
      </c>
      <c r="G399" s="67" t="s">
        <v>722</v>
      </c>
      <c r="H399" s="127">
        <v>0.32529999999999998</v>
      </c>
      <c r="I399" s="109">
        <v>0.252</v>
      </c>
      <c r="J399" s="109" t="s">
        <v>717</v>
      </c>
      <c r="K399" s="109">
        <v>0.252</v>
      </c>
      <c r="L399" s="67">
        <v>5000</v>
      </c>
      <c r="M399" s="67">
        <v>500000</v>
      </c>
      <c r="N399" s="105">
        <v>44197</v>
      </c>
      <c r="O399" s="105">
        <v>44377</v>
      </c>
      <c r="P399" t="s">
        <v>718</v>
      </c>
    </row>
    <row r="400" spans="1:16" ht="15" customHeight="1" x14ac:dyDescent="0.3">
      <c r="A400" t="str">
        <f t="shared" si="7"/>
        <v>19-4-3RATE-SmartFIX – 2 Year Renewal</v>
      </c>
      <c r="B400" s="67" t="s">
        <v>13</v>
      </c>
      <c r="C400" s="67">
        <v>19</v>
      </c>
      <c r="D400" s="99" t="s">
        <v>28</v>
      </c>
      <c r="E400" s="67" t="s">
        <v>719</v>
      </c>
      <c r="F400" s="67" t="s">
        <v>18</v>
      </c>
      <c r="G400" s="67" t="s">
        <v>722</v>
      </c>
      <c r="H400" s="127">
        <v>0.32529999999999998</v>
      </c>
      <c r="I400" s="109">
        <v>0.17150000000000001</v>
      </c>
      <c r="J400" s="109">
        <v>0.11580000000000001</v>
      </c>
      <c r="K400" s="109">
        <v>0.1595</v>
      </c>
      <c r="L400" s="67">
        <v>5000</v>
      </c>
      <c r="M400" s="67">
        <v>500000</v>
      </c>
      <c r="N400" s="105">
        <v>44197</v>
      </c>
      <c r="O400" s="105">
        <v>44377</v>
      </c>
      <c r="P400" t="s">
        <v>718</v>
      </c>
    </row>
    <row r="401" spans="1:16" ht="15" customHeight="1" x14ac:dyDescent="0.3">
      <c r="A401" t="str">
        <f t="shared" si="7"/>
        <v/>
      </c>
      <c r="B401" s="67" t="s">
        <v>13</v>
      </c>
      <c r="C401" s="67">
        <v>19</v>
      </c>
      <c r="D401" s="99" t="s">
        <v>28</v>
      </c>
      <c r="E401" s="67" t="s">
        <v>720</v>
      </c>
      <c r="F401" s="67" t="s">
        <v>18</v>
      </c>
      <c r="G401" s="67" t="s">
        <v>722</v>
      </c>
      <c r="H401" s="127">
        <v>0.32529999999999998</v>
      </c>
      <c r="I401" s="109" t="s">
        <v>717</v>
      </c>
      <c r="J401" s="109">
        <v>0.1139</v>
      </c>
      <c r="K401" s="109" t="s">
        <v>717</v>
      </c>
      <c r="L401" s="67">
        <v>5000</v>
      </c>
      <c r="M401" s="67">
        <v>500000</v>
      </c>
      <c r="N401" s="105">
        <v>44197</v>
      </c>
      <c r="O401" s="105">
        <v>44377</v>
      </c>
      <c r="P401" t="s">
        <v>718</v>
      </c>
    </row>
    <row r="402" spans="1:16" ht="15" customHeight="1" x14ac:dyDescent="0.3">
      <c r="A402" t="str">
        <f t="shared" si="7"/>
        <v>20-3-U-SmartFIX – 2 Year Renewal</v>
      </c>
      <c r="B402" s="67" t="s">
        <v>13</v>
      </c>
      <c r="C402" s="67">
        <v>20</v>
      </c>
      <c r="D402" s="99" t="s">
        <v>29</v>
      </c>
      <c r="E402" s="67" t="s">
        <v>716</v>
      </c>
      <c r="F402" s="67" t="s">
        <v>16</v>
      </c>
      <c r="G402" s="67" t="s">
        <v>722</v>
      </c>
      <c r="H402" s="127">
        <v>0.32229999999999998</v>
      </c>
      <c r="I402" s="109">
        <v>0.15090000000000001</v>
      </c>
      <c r="J402" s="109" t="s">
        <v>717</v>
      </c>
      <c r="K402" s="109" t="s">
        <v>717</v>
      </c>
      <c r="L402" s="67">
        <v>5000</v>
      </c>
      <c r="M402" s="67">
        <v>500000</v>
      </c>
      <c r="N402" s="105">
        <v>44197</v>
      </c>
      <c r="O402" s="105">
        <v>44377</v>
      </c>
      <c r="P402" t="s">
        <v>718</v>
      </c>
    </row>
    <row r="403" spans="1:16" ht="15" customHeight="1" x14ac:dyDescent="0.3">
      <c r="A403" t="str">
        <f t="shared" si="7"/>
        <v>20-4-E7-SmartFIX – 2 Year Renewal</v>
      </c>
      <c r="B403" s="67" t="s">
        <v>13</v>
      </c>
      <c r="C403" s="67">
        <v>20</v>
      </c>
      <c r="D403" s="99" t="s">
        <v>29</v>
      </c>
      <c r="E403" s="67" t="s">
        <v>17</v>
      </c>
      <c r="F403" s="67" t="s">
        <v>18</v>
      </c>
      <c r="G403" s="67" t="s">
        <v>722</v>
      </c>
      <c r="H403" s="127">
        <v>0.32229999999999998</v>
      </c>
      <c r="I403" s="109">
        <v>0.16010000000000002</v>
      </c>
      <c r="J403" s="109">
        <v>0.1149</v>
      </c>
      <c r="K403" s="109" t="s">
        <v>717</v>
      </c>
      <c r="L403" s="67">
        <v>5000</v>
      </c>
      <c r="M403" s="67">
        <v>500000</v>
      </c>
      <c r="N403" s="105">
        <v>44197</v>
      </c>
      <c r="O403" s="105">
        <v>44377</v>
      </c>
      <c r="P403" t="s">
        <v>718</v>
      </c>
    </row>
    <row r="404" spans="1:16" ht="15" customHeight="1" x14ac:dyDescent="0.3">
      <c r="A404" t="str">
        <f t="shared" si="7"/>
        <v>20-3-EW-SmartFIX – 2 Year Renewal</v>
      </c>
      <c r="B404" s="67" t="s">
        <v>13</v>
      </c>
      <c r="C404" s="67">
        <v>20</v>
      </c>
      <c r="D404" s="99" t="s">
        <v>29</v>
      </c>
      <c r="E404" s="67" t="s">
        <v>19</v>
      </c>
      <c r="F404" s="67" t="s">
        <v>16</v>
      </c>
      <c r="G404" s="67" t="s">
        <v>722</v>
      </c>
      <c r="H404" s="127">
        <v>0.32229999999999998</v>
      </c>
      <c r="I404" s="109">
        <v>0.16010000000000002</v>
      </c>
      <c r="J404" s="109" t="s">
        <v>717</v>
      </c>
      <c r="K404" s="109">
        <v>0.13850000000000001</v>
      </c>
      <c r="L404" s="67">
        <v>5000</v>
      </c>
      <c r="M404" s="67">
        <v>500000</v>
      </c>
      <c r="N404" s="105">
        <v>44197</v>
      </c>
      <c r="O404" s="105">
        <v>44377</v>
      </c>
      <c r="P404" t="s">
        <v>718</v>
      </c>
    </row>
    <row r="405" spans="1:16" ht="15" customHeight="1" x14ac:dyDescent="0.3">
      <c r="A405" t="str">
        <f t="shared" si="7"/>
        <v>20-4-3RATE-SmartFIX – 2 Year Renewal</v>
      </c>
      <c r="B405" s="67" t="s">
        <v>13</v>
      </c>
      <c r="C405" s="67">
        <v>20</v>
      </c>
      <c r="D405" s="99" t="s">
        <v>29</v>
      </c>
      <c r="E405" s="67" t="s">
        <v>719</v>
      </c>
      <c r="F405" s="67" t="s">
        <v>18</v>
      </c>
      <c r="G405" s="67" t="s">
        <v>722</v>
      </c>
      <c r="H405" s="127">
        <v>0.32229999999999998</v>
      </c>
      <c r="I405" s="109">
        <v>0.17120000000000002</v>
      </c>
      <c r="J405" s="109">
        <v>0.1192</v>
      </c>
      <c r="K405" s="109">
        <v>0.15240000000000001</v>
      </c>
      <c r="L405" s="67">
        <v>5000</v>
      </c>
      <c r="M405" s="67">
        <v>500000</v>
      </c>
      <c r="N405" s="105">
        <v>44197</v>
      </c>
      <c r="O405" s="105">
        <v>44377</v>
      </c>
      <c r="P405" t="s">
        <v>718</v>
      </c>
    </row>
    <row r="406" spans="1:16" ht="15" customHeight="1" x14ac:dyDescent="0.3">
      <c r="A406" t="str">
        <f t="shared" si="7"/>
        <v/>
      </c>
      <c r="B406" s="67" t="s">
        <v>13</v>
      </c>
      <c r="C406" s="67">
        <v>20</v>
      </c>
      <c r="D406" s="99" t="s">
        <v>29</v>
      </c>
      <c r="E406" s="67" t="s">
        <v>720</v>
      </c>
      <c r="F406" s="67" t="s">
        <v>18</v>
      </c>
      <c r="G406" s="67" t="s">
        <v>722</v>
      </c>
      <c r="H406" s="127">
        <v>0.32229999999999998</v>
      </c>
      <c r="I406" s="109" t="s">
        <v>717</v>
      </c>
      <c r="J406" s="109">
        <v>0.13850000000000001</v>
      </c>
      <c r="K406" s="109" t="s">
        <v>717</v>
      </c>
      <c r="L406" s="67">
        <v>5000</v>
      </c>
      <c r="M406" s="67">
        <v>500000</v>
      </c>
      <c r="N406" s="105">
        <v>44197</v>
      </c>
      <c r="O406" s="105">
        <v>44377</v>
      </c>
      <c r="P406" t="s">
        <v>718</v>
      </c>
    </row>
    <row r="407" spans="1:16" ht="15" customHeight="1" x14ac:dyDescent="0.3">
      <c r="A407" t="str">
        <f t="shared" si="7"/>
        <v>21-3-U-SmartFIX – 2 Year Renewal</v>
      </c>
      <c r="B407" s="67" t="s">
        <v>13</v>
      </c>
      <c r="C407" s="67">
        <v>21</v>
      </c>
      <c r="D407" s="99" t="s">
        <v>30</v>
      </c>
      <c r="E407" s="67" t="s">
        <v>716</v>
      </c>
      <c r="F407" s="67" t="s">
        <v>16</v>
      </c>
      <c r="G407" s="67" t="s">
        <v>722</v>
      </c>
      <c r="H407" s="127">
        <v>0.4461</v>
      </c>
      <c r="I407" s="109">
        <v>0.153</v>
      </c>
      <c r="J407" s="109" t="s">
        <v>717</v>
      </c>
      <c r="K407" s="109" t="s">
        <v>717</v>
      </c>
      <c r="L407" s="67">
        <v>5000</v>
      </c>
      <c r="M407" s="67">
        <v>500000</v>
      </c>
      <c r="N407" s="105">
        <v>44197</v>
      </c>
      <c r="O407" s="105">
        <v>44377</v>
      </c>
      <c r="P407" t="s">
        <v>718</v>
      </c>
    </row>
    <row r="408" spans="1:16" ht="15" customHeight="1" x14ac:dyDescent="0.3">
      <c r="A408" t="str">
        <f t="shared" si="7"/>
        <v>21-4-E7-SmartFIX – 2 Year Renewal</v>
      </c>
      <c r="B408" s="67" t="s">
        <v>13</v>
      </c>
      <c r="C408" s="67">
        <v>21</v>
      </c>
      <c r="D408" s="99" t="s">
        <v>30</v>
      </c>
      <c r="E408" s="67" t="s">
        <v>17</v>
      </c>
      <c r="F408" s="67" t="s">
        <v>18</v>
      </c>
      <c r="G408" s="67" t="s">
        <v>722</v>
      </c>
      <c r="H408" s="127">
        <v>0.4461</v>
      </c>
      <c r="I408" s="109">
        <v>0.16020000000000001</v>
      </c>
      <c r="J408" s="109">
        <v>0.1195</v>
      </c>
      <c r="K408" s="109" t="s">
        <v>717</v>
      </c>
      <c r="L408" s="67">
        <v>5000</v>
      </c>
      <c r="M408" s="67">
        <v>500000</v>
      </c>
      <c r="N408" s="105">
        <v>44197</v>
      </c>
      <c r="O408" s="105">
        <v>44377</v>
      </c>
      <c r="P408" t="s">
        <v>718</v>
      </c>
    </row>
    <row r="409" spans="1:16" ht="15" customHeight="1" x14ac:dyDescent="0.3">
      <c r="A409" t="str">
        <f t="shared" si="7"/>
        <v>21-3-EW-SmartFIX – 2 Year Renewal</v>
      </c>
      <c r="B409" s="67" t="s">
        <v>13</v>
      </c>
      <c r="C409" s="67">
        <v>21</v>
      </c>
      <c r="D409" s="99" t="s">
        <v>30</v>
      </c>
      <c r="E409" s="67" t="s">
        <v>19</v>
      </c>
      <c r="F409" s="67" t="s">
        <v>16</v>
      </c>
      <c r="G409" s="67" t="s">
        <v>722</v>
      </c>
      <c r="H409" s="127">
        <v>0.4461</v>
      </c>
      <c r="I409" s="109">
        <v>0.16070000000000001</v>
      </c>
      <c r="J409" s="109" t="s">
        <v>717</v>
      </c>
      <c r="K409" s="109">
        <v>0.1424</v>
      </c>
      <c r="L409" s="67">
        <v>5000</v>
      </c>
      <c r="M409" s="67">
        <v>500000</v>
      </c>
      <c r="N409" s="105">
        <v>44197</v>
      </c>
      <c r="O409" s="105">
        <v>44377</v>
      </c>
      <c r="P409" t="s">
        <v>718</v>
      </c>
    </row>
    <row r="410" spans="1:16" ht="15" customHeight="1" x14ac:dyDescent="0.3">
      <c r="A410" t="str">
        <f t="shared" si="7"/>
        <v>21-4-3RATE-SmartFIX – 2 Year Renewal</v>
      </c>
      <c r="B410" s="67" t="s">
        <v>13</v>
      </c>
      <c r="C410" s="67">
        <v>21</v>
      </c>
      <c r="D410" s="99" t="s">
        <v>30</v>
      </c>
      <c r="E410" s="67" t="s">
        <v>719</v>
      </c>
      <c r="F410" s="67" t="s">
        <v>18</v>
      </c>
      <c r="G410" s="67" t="s">
        <v>722</v>
      </c>
      <c r="H410" s="127">
        <v>0.4461</v>
      </c>
      <c r="I410" s="109">
        <v>0.17220000000000002</v>
      </c>
      <c r="J410" s="109">
        <v>0.1205</v>
      </c>
      <c r="K410" s="109">
        <v>0.15640000000000001</v>
      </c>
      <c r="L410" s="67">
        <v>5000</v>
      </c>
      <c r="M410" s="67">
        <v>500000</v>
      </c>
      <c r="N410" s="105">
        <v>44197</v>
      </c>
      <c r="O410" s="105">
        <v>44377</v>
      </c>
      <c r="P410" t="s">
        <v>718</v>
      </c>
    </row>
    <row r="411" spans="1:16" ht="15" customHeight="1" x14ac:dyDescent="0.3">
      <c r="A411" t="str">
        <f t="shared" si="7"/>
        <v/>
      </c>
      <c r="B411" s="67" t="s">
        <v>13</v>
      </c>
      <c r="C411" s="67">
        <v>21</v>
      </c>
      <c r="D411" s="99" t="s">
        <v>30</v>
      </c>
      <c r="E411" s="67" t="s">
        <v>720</v>
      </c>
      <c r="F411" s="67" t="s">
        <v>18</v>
      </c>
      <c r="G411" s="67" t="s">
        <v>722</v>
      </c>
      <c r="H411" s="127">
        <v>0.4461</v>
      </c>
      <c r="I411" s="109" t="s">
        <v>717</v>
      </c>
      <c r="J411" s="109">
        <v>0.1424</v>
      </c>
      <c r="K411" s="109" t="s">
        <v>717</v>
      </c>
      <c r="L411" s="67">
        <v>5000</v>
      </c>
      <c r="M411" s="67">
        <v>500000</v>
      </c>
      <c r="N411" s="105">
        <v>44197</v>
      </c>
      <c r="O411" s="105">
        <v>44377</v>
      </c>
      <c r="P411" t="s">
        <v>718</v>
      </c>
    </row>
    <row r="412" spans="1:16" ht="15" customHeight="1" x14ac:dyDescent="0.3">
      <c r="A412" t="str">
        <f t="shared" si="7"/>
        <v>22-3-U-SmartFIX – 2 Year Renewal</v>
      </c>
      <c r="B412" s="67" t="s">
        <v>13</v>
      </c>
      <c r="C412" s="67">
        <v>22</v>
      </c>
      <c r="D412" s="99" t="s">
        <v>31</v>
      </c>
      <c r="E412" s="67" t="s">
        <v>716</v>
      </c>
      <c r="F412" s="67" t="s">
        <v>16</v>
      </c>
      <c r="G412" s="67" t="s">
        <v>722</v>
      </c>
      <c r="H412" s="127">
        <v>0.38469999999999999</v>
      </c>
      <c r="I412" s="109">
        <v>0.15629999999999999</v>
      </c>
      <c r="J412" s="109" t="s">
        <v>717</v>
      </c>
      <c r="K412" s="109" t="s">
        <v>717</v>
      </c>
      <c r="L412" s="67">
        <v>5000</v>
      </c>
      <c r="M412" s="67">
        <v>500000</v>
      </c>
      <c r="N412" s="105">
        <v>44197</v>
      </c>
      <c r="O412" s="105">
        <v>44377</v>
      </c>
      <c r="P412" t="s">
        <v>718</v>
      </c>
    </row>
    <row r="413" spans="1:16" ht="15" customHeight="1" x14ac:dyDescent="0.3">
      <c r="A413" t="str">
        <f t="shared" si="7"/>
        <v>22-4-E7-SmartFIX – 2 Year Renewal</v>
      </c>
      <c r="B413" s="67" t="s">
        <v>13</v>
      </c>
      <c r="C413" s="67">
        <v>22</v>
      </c>
      <c r="D413" s="99" t="s">
        <v>31</v>
      </c>
      <c r="E413" s="67" t="s">
        <v>17</v>
      </c>
      <c r="F413" s="67" t="s">
        <v>18</v>
      </c>
      <c r="G413" s="67" t="s">
        <v>722</v>
      </c>
      <c r="H413" s="127">
        <v>0.38469999999999999</v>
      </c>
      <c r="I413" s="109">
        <v>0.1651</v>
      </c>
      <c r="J413" s="109">
        <v>0.12659999999999999</v>
      </c>
      <c r="K413" s="109" t="s">
        <v>717</v>
      </c>
      <c r="L413" s="67">
        <v>5000</v>
      </c>
      <c r="M413" s="67">
        <v>500000</v>
      </c>
      <c r="N413" s="105">
        <v>44197</v>
      </c>
      <c r="O413" s="105">
        <v>44377</v>
      </c>
      <c r="P413" t="s">
        <v>718</v>
      </c>
    </row>
    <row r="414" spans="1:16" ht="15" customHeight="1" x14ac:dyDescent="0.3">
      <c r="A414" t="str">
        <f t="shared" si="7"/>
        <v>22-3-EW-SmartFIX – 2 Year Renewal</v>
      </c>
      <c r="B414" s="67" t="s">
        <v>13</v>
      </c>
      <c r="C414" s="67">
        <v>22</v>
      </c>
      <c r="D414" s="99" t="s">
        <v>31</v>
      </c>
      <c r="E414" s="67" t="s">
        <v>19</v>
      </c>
      <c r="F414" s="67" t="s">
        <v>16</v>
      </c>
      <c r="G414" s="67" t="s">
        <v>722</v>
      </c>
      <c r="H414" s="127">
        <v>0.38469999999999999</v>
      </c>
      <c r="I414" s="109">
        <v>0.16550000000000001</v>
      </c>
      <c r="J414" s="109" t="s">
        <v>717</v>
      </c>
      <c r="K414" s="109">
        <v>0.1449</v>
      </c>
      <c r="L414" s="67">
        <v>5000</v>
      </c>
      <c r="M414" s="67">
        <v>500000</v>
      </c>
      <c r="N414" s="105">
        <v>44197</v>
      </c>
      <c r="O414" s="105">
        <v>44377</v>
      </c>
      <c r="P414" t="s">
        <v>718</v>
      </c>
    </row>
    <row r="415" spans="1:16" ht="15" customHeight="1" x14ac:dyDescent="0.3">
      <c r="A415" t="str">
        <f t="shared" si="7"/>
        <v>22-4-3RATE-SmartFIX – 2 Year Renewal</v>
      </c>
      <c r="B415" s="67" t="s">
        <v>13</v>
      </c>
      <c r="C415" s="67">
        <v>22</v>
      </c>
      <c r="D415" s="99" t="s">
        <v>31</v>
      </c>
      <c r="E415" s="67" t="s">
        <v>719</v>
      </c>
      <c r="F415" s="67" t="s">
        <v>18</v>
      </c>
      <c r="G415" s="67" t="s">
        <v>722</v>
      </c>
      <c r="H415" s="127">
        <v>0.38469999999999999</v>
      </c>
      <c r="I415" s="109">
        <v>0.1731</v>
      </c>
      <c r="J415" s="109">
        <v>0.1195</v>
      </c>
      <c r="K415" s="109">
        <v>0.15970000000000001</v>
      </c>
      <c r="L415" s="67">
        <v>5000</v>
      </c>
      <c r="M415" s="67">
        <v>500000</v>
      </c>
      <c r="N415" s="105">
        <v>44197</v>
      </c>
      <c r="O415" s="105">
        <v>44377</v>
      </c>
      <c r="P415" t="s">
        <v>718</v>
      </c>
    </row>
    <row r="416" spans="1:16" ht="15" customHeight="1" x14ac:dyDescent="0.3">
      <c r="A416" t="str">
        <f t="shared" si="7"/>
        <v/>
      </c>
      <c r="B416" s="67" t="s">
        <v>13</v>
      </c>
      <c r="C416" s="67">
        <v>22</v>
      </c>
      <c r="D416" s="99" t="s">
        <v>31</v>
      </c>
      <c r="E416" s="67" t="s">
        <v>720</v>
      </c>
      <c r="F416" s="67" t="s">
        <v>18</v>
      </c>
      <c r="G416" s="67" t="s">
        <v>722</v>
      </c>
      <c r="H416" s="127">
        <v>0.38469999999999999</v>
      </c>
      <c r="I416" s="109" t="s">
        <v>717</v>
      </c>
      <c r="J416" s="109">
        <v>0.1449</v>
      </c>
      <c r="K416" s="109" t="s">
        <v>717</v>
      </c>
      <c r="L416" s="67">
        <v>5000</v>
      </c>
      <c r="M416" s="67">
        <v>500000</v>
      </c>
      <c r="N416" s="105">
        <v>44197</v>
      </c>
      <c r="O416" s="105">
        <v>44377</v>
      </c>
      <c r="P416" t="s">
        <v>718</v>
      </c>
    </row>
    <row r="417" spans="1:16" ht="15" customHeight="1" x14ac:dyDescent="0.3">
      <c r="A417" t="str">
        <f t="shared" si="7"/>
        <v>23-3-U-SmartFIX – 2 Year Renewal</v>
      </c>
      <c r="B417" s="67" t="s">
        <v>13</v>
      </c>
      <c r="C417" s="67">
        <v>23</v>
      </c>
      <c r="D417" s="99" t="s">
        <v>32</v>
      </c>
      <c r="E417" s="67" t="s">
        <v>716</v>
      </c>
      <c r="F417" s="67" t="s">
        <v>16</v>
      </c>
      <c r="G417" s="67" t="s">
        <v>722</v>
      </c>
      <c r="H417" s="127">
        <v>0.33789999999999998</v>
      </c>
      <c r="I417" s="109">
        <v>0.15180000000000002</v>
      </c>
      <c r="J417" s="109" t="s">
        <v>717</v>
      </c>
      <c r="K417" s="109" t="s">
        <v>717</v>
      </c>
      <c r="L417" s="67">
        <v>5000</v>
      </c>
      <c r="M417" s="67">
        <v>500000</v>
      </c>
      <c r="N417" s="105">
        <v>44197</v>
      </c>
      <c r="O417" s="105">
        <v>44377</v>
      </c>
      <c r="P417" t="s">
        <v>718</v>
      </c>
    </row>
    <row r="418" spans="1:16" ht="15" customHeight="1" x14ac:dyDescent="0.3">
      <c r="A418" t="str">
        <f t="shared" si="7"/>
        <v>23-4-E7-SmartFIX – 2 Year Renewal</v>
      </c>
      <c r="B418" s="67" t="s">
        <v>13</v>
      </c>
      <c r="C418" s="67">
        <v>23</v>
      </c>
      <c r="D418" s="99" t="s">
        <v>32</v>
      </c>
      <c r="E418" s="67" t="s">
        <v>17</v>
      </c>
      <c r="F418" s="67" t="s">
        <v>18</v>
      </c>
      <c r="G418" s="67" t="s">
        <v>722</v>
      </c>
      <c r="H418" s="127">
        <v>0.33789999999999998</v>
      </c>
      <c r="I418" s="109">
        <v>0.1575</v>
      </c>
      <c r="J418" s="109">
        <v>0.1162</v>
      </c>
      <c r="K418" s="109" t="s">
        <v>717</v>
      </c>
      <c r="L418" s="67">
        <v>5000</v>
      </c>
      <c r="M418" s="67">
        <v>500000</v>
      </c>
      <c r="N418" s="105">
        <v>44197</v>
      </c>
      <c r="O418" s="105">
        <v>44377</v>
      </c>
      <c r="P418" t="s">
        <v>718</v>
      </c>
    </row>
    <row r="419" spans="1:16" ht="15" customHeight="1" x14ac:dyDescent="0.3">
      <c r="A419" t="str">
        <f t="shared" si="7"/>
        <v>23-3-EW-SmartFIX – 2 Year Renewal</v>
      </c>
      <c r="B419" s="67" t="s">
        <v>13</v>
      </c>
      <c r="C419" s="67">
        <v>23</v>
      </c>
      <c r="D419" s="99" t="s">
        <v>32</v>
      </c>
      <c r="E419" s="67" t="s">
        <v>19</v>
      </c>
      <c r="F419" s="67" t="s">
        <v>16</v>
      </c>
      <c r="G419" s="67" t="s">
        <v>722</v>
      </c>
      <c r="H419" s="127">
        <v>0.33789999999999998</v>
      </c>
      <c r="I419" s="109">
        <v>0.1605</v>
      </c>
      <c r="J419" s="109" t="s">
        <v>717</v>
      </c>
      <c r="K419" s="109">
        <v>0.14000000000000001</v>
      </c>
      <c r="L419" s="67">
        <v>5000</v>
      </c>
      <c r="M419" s="67">
        <v>500000</v>
      </c>
      <c r="N419" s="105">
        <v>44197</v>
      </c>
      <c r="O419" s="105">
        <v>44377</v>
      </c>
      <c r="P419" t="s">
        <v>718</v>
      </c>
    </row>
    <row r="420" spans="1:16" ht="15" customHeight="1" x14ac:dyDescent="0.3">
      <c r="A420" t="str">
        <f t="shared" si="7"/>
        <v>23-4-3RATE-SmartFIX – 2 Year Renewal</v>
      </c>
      <c r="B420" s="67" t="s">
        <v>13</v>
      </c>
      <c r="C420" s="67">
        <v>23</v>
      </c>
      <c r="D420" s="99" t="s">
        <v>32</v>
      </c>
      <c r="E420" s="67" t="s">
        <v>719</v>
      </c>
      <c r="F420" s="67" t="s">
        <v>18</v>
      </c>
      <c r="G420" s="67" t="s">
        <v>722</v>
      </c>
      <c r="H420" s="127">
        <v>0.33789999999999998</v>
      </c>
      <c r="I420" s="109">
        <v>0.1696</v>
      </c>
      <c r="J420" s="109">
        <v>0.11940000000000001</v>
      </c>
      <c r="K420" s="109">
        <v>0.15080000000000002</v>
      </c>
      <c r="L420" s="67">
        <v>5000</v>
      </c>
      <c r="M420" s="67">
        <v>500000</v>
      </c>
      <c r="N420" s="105">
        <v>44197</v>
      </c>
      <c r="O420" s="105">
        <v>44377</v>
      </c>
      <c r="P420" t="s">
        <v>718</v>
      </c>
    </row>
    <row r="421" spans="1:16" ht="15" customHeight="1" x14ac:dyDescent="0.3">
      <c r="A421" t="str">
        <f t="shared" si="7"/>
        <v/>
      </c>
      <c r="B421" s="67" t="s">
        <v>13</v>
      </c>
      <c r="C421" s="67">
        <v>23</v>
      </c>
      <c r="D421" s="99" t="s">
        <v>32</v>
      </c>
      <c r="E421" s="67" t="s">
        <v>720</v>
      </c>
      <c r="F421" s="67" t="s">
        <v>18</v>
      </c>
      <c r="G421" s="67" t="s">
        <v>722</v>
      </c>
      <c r="H421" s="127">
        <v>0.33789999999999998</v>
      </c>
      <c r="I421" s="109" t="s">
        <v>717</v>
      </c>
      <c r="J421" s="109">
        <v>0.14000000000000001</v>
      </c>
      <c r="K421" s="109" t="s">
        <v>717</v>
      </c>
      <c r="L421" s="67">
        <v>5000</v>
      </c>
      <c r="M421" s="67">
        <v>500000</v>
      </c>
      <c r="N421" s="105">
        <v>44197</v>
      </c>
      <c r="O421" s="105">
        <v>44377</v>
      </c>
      <c r="P421" t="s">
        <v>718</v>
      </c>
    </row>
    <row r="422" spans="1:16" ht="15" customHeight="1" x14ac:dyDescent="0.3">
      <c r="A422" t="str">
        <f t="shared" si="7"/>
        <v>10-3-U-SmartTRACKER Renewal</v>
      </c>
      <c r="B422" s="67" t="s">
        <v>13</v>
      </c>
      <c r="C422" s="67">
        <v>10</v>
      </c>
      <c r="D422" s="99" t="s">
        <v>14</v>
      </c>
      <c r="E422" s="67" t="s">
        <v>716</v>
      </c>
      <c r="F422" s="67" t="s">
        <v>16</v>
      </c>
      <c r="G422" s="67" t="s">
        <v>723</v>
      </c>
      <c r="H422" s="127">
        <v>0.32900000000000001</v>
      </c>
      <c r="I422" s="109">
        <v>0.1525</v>
      </c>
      <c r="J422" s="109" t="s">
        <v>717</v>
      </c>
      <c r="K422" s="109" t="s">
        <v>717</v>
      </c>
      <c r="L422" s="67">
        <v>5000</v>
      </c>
      <c r="M422" s="67">
        <v>500000</v>
      </c>
      <c r="N422" s="105">
        <v>44197</v>
      </c>
      <c r="O422" s="105">
        <v>44377</v>
      </c>
      <c r="P422" t="s">
        <v>718</v>
      </c>
    </row>
    <row r="423" spans="1:16" ht="15" customHeight="1" x14ac:dyDescent="0.3">
      <c r="A423" t="str">
        <f t="shared" si="7"/>
        <v>10-4-E7-SmartTRACKER Renewal</v>
      </c>
      <c r="B423" s="67" t="s">
        <v>13</v>
      </c>
      <c r="C423" s="67">
        <v>10</v>
      </c>
      <c r="D423" s="99" t="s">
        <v>14</v>
      </c>
      <c r="E423" s="67" t="s">
        <v>17</v>
      </c>
      <c r="F423" s="67" t="s">
        <v>18</v>
      </c>
      <c r="G423" s="67" t="s">
        <v>723</v>
      </c>
      <c r="H423" s="127">
        <v>0.32900000000000001</v>
      </c>
      <c r="I423" s="109">
        <v>0.1618</v>
      </c>
      <c r="J423" s="109">
        <v>0.11299999999999999</v>
      </c>
      <c r="K423" s="109" t="s">
        <v>717</v>
      </c>
      <c r="L423" s="67">
        <v>5000</v>
      </c>
      <c r="M423" s="67">
        <v>500000</v>
      </c>
      <c r="N423" s="105">
        <v>44197</v>
      </c>
      <c r="O423" s="105">
        <v>44377</v>
      </c>
      <c r="P423" t="s">
        <v>718</v>
      </c>
    </row>
    <row r="424" spans="1:16" ht="15" customHeight="1" x14ac:dyDescent="0.3">
      <c r="A424" t="str">
        <f t="shared" si="7"/>
        <v>10-3-EW-SmartTRACKER Renewal</v>
      </c>
      <c r="B424" s="67" t="s">
        <v>13</v>
      </c>
      <c r="C424" s="67">
        <v>10</v>
      </c>
      <c r="D424" s="99" t="s">
        <v>14</v>
      </c>
      <c r="E424" s="67" t="s">
        <v>19</v>
      </c>
      <c r="F424" s="67" t="s">
        <v>16</v>
      </c>
      <c r="G424" s="67" t="s">
        <v>723</v>
      </c>
      <c r="H424" s="127">
        <v>0.32900000000000001</v>
      </c>
      <c r="I424" s="109">
        <v>0.1615</v>
      </c>
      <c r="J424" s="109" t="s">
        <v>717</v>
      </c>
      <c r="K424" s="109">
        <v>0.13900000000000001</v>
      </c>
      <c r="L424" s="67">
        <v>5000</v>
      </c>
      <c r="M424" s="67">
        <v>500000</v>
      </c>
      <c r="N424" s="105">
        <v>44197</v>
      </c>
      <c r="O424" s="105">
        <v>44377</v>
      </c>
      <c r="P424" t="s">
        <v>718</v>
      </c>
    </row>
    <row r="425" spans="1:16" ht="15" customHeight="1" x14ac:dyDescent="0.3">
      <c r="A425" t="str">
        <f t="shared" si="7"/>
        <v>10-4-3RATE-SmartTRACKER Renewal</v>
      </c>
      <c r="B425" s="67" t="s">
        <v>13</v>
      </c>
      <c r="C425" s="67">
        <v>10</v>
      </c>
      <c r="D425" s="99" t="s">
        <v>14</v>
      </c>
      <c r="E425" s="67" t="s">
        <v>719</v>
      </c>
      <c r="F425" s="67" t="s">
        <v>18</v>
      </c>
      <c r="G425" s="67" t="s">
        <v>723</v>
      </c>
      <c r="H425" s="127">
        <v>0.32900000000000001</v>
      </c>
      <c r="I425" s="109">
        <v>0.1721</v>
      </c>
      <c r="J425" s="109">
        <v>0.1124</v>
      </c>
      <c r="K425" s="109">
        <v>0.155</v>
      </c>
      <c r="L425" s="67">
        <v>5000</v>
      </c>
      <c r="M425" s="67">
        <v>500000</v>
      </c>
      <c r="N425" s="105">
        <v>44197</v>
      </c>
      <c r="O425" s="105">
        <v>44377</v>
      </c>
      <c r="P425" t="s">
        <v>718</v>
      </c>
    </row>
    <row r="426" spans="1:16" ht="15" customHeight="1" x14ac:dyDescent="0.3">
      <c r="A426" t="str">
        <f t="shared" si="7"/>
        <v/>
      </c>
      <c r="B426" s="67" t="s">
        <v>13</v>
      </c>
      <c r="C426" s="67">
        <v>10</v>
      </c>
      <c r="D426" s="99" t="s">
        <v>14</v>
      </c>
      <c r="E426" s="67" t="s">
        <v>720</v>
      </c>
      <c r="F426" s="67" t="s">
        <v>18</v>
      </c>
      <c r="G426" s="67" t="s">
        <v>723</v>
      </c>
      <c r="H426" s="127">
        <v>0.32900000000000001</v>
      </c>
      <c r="I426" s="109" t="s">
        <v>717</v>
      </c>
      <c r="J426" s="109">
        <v>0.13900000000000001</v>
      </c>
      <c r="K426" s="109" t="s">
        <v>717</v>
      </c>
      <c r="L426" s="67">
        <v>5000</v>
      </c>
      <c r="M426" s="67">
        <v>500000</v>
      </c>
      <c r="N426" s="105">
        <v>44197</v>
      </c>
      <c r="O426" s="105">
        <v>44377</v>
      </c>
      <c r="P426" t="s">
        <v>718</v>
      </c>
    </row>
    <row r="427" spans="1:16" ht="15" customHeight="1" x14ac:dyDescent="0.3">
      <c r="A427" t="str">
        <f t="shared" si="7"/>
        <v>11-3-U-SmartTRACKER Renewal</v>
      </c>
      <c r="B427" s="67" t="s">
        <v>13</v>
      </c>
      <c r="C427" s="67">
        <v>11</v>
      </c>
      <c r="D427" s="99" t="s">
        <v>20</v>
      </c>
      <c r="E427" s="67" t="s">
        <v>716</v>
      </c>
      <c r="F427" s="67" t="s">
        <v>16</v>
      </c>
      <c r="G427" s="67" t="s">
        <v>723</v>
      </c>
      <c r="H427" s="127">
        <v>0.33900000000000002</v>
      </c>
      <c r="I427" s="109">
        <v>0.152</v>
      </c>
      <c r="J427" s="109" t="s">
        <v>717</v>
      </c>
      <c r="K427" s="109" t="s">
        <v>717</v>
      </c>
      <c r="L427" s="67">
        <v>5000</v>
      </c>
      <c r="M427" s="67">
        <v>500000</v>
      </c>
      <c r="N427" s="105">
        <v>44197</v>
      </c>
      <c r="O427" s="105">
        <v>44377</v>
      </c>
      <c r="P427" t="s">
        <v>718</v>
      </c>
    </row>
    <row r="428" spans="1:16" ht="15" customHeight="1" x14ac:dyDescent="0.3">
      <c r="A428" t="str">
        <f t="shared" si="7"/>
        <v>11-4-E7-SmartTRACKER Renewal</v>
      </c>
      <c r="B428" s="67" t="s">
        <v>13</v>
      </c>
      <c r="C428" s="67">
        <v>11</v>
      </c>
      <c r="D428" s="99" t="s">
        <v>20</v>
      </c>
      <c r="E428" s="67" t="s">
        <v>17</v>
      </c>
      <c r="F428" s="67" t="s">
        <v>18</v>
      </c>
      <c r="G428" s="67" t="s">
        <v>723</v>
      </c>
      <c r="H428" s="127">
        <v>0.33900000000000002</v>
      </c>
      <c r="I428" s="109">
        <v>0.16040000000000001</v>
      </c>
      <c r="J428" s="109">
        <v>0.1187</v>
      </c>
      <c r="K428" s="109" t="s">
        <v>717</v>
      </c>
      <c r="L428" s="67">
        <v>5000</v>
      </c>
      <c r="M428" s="67">
        <v>500000</v>
      </c>
      <c r="N428" s="105">
        <v>44197</v>
      </c>
      <c r="O428" s="105">
        <v>44377</v>
      </c>
      <c r="P428" t="s">
        <v>718</v>
      </c>
    </row>
    <row r="429" spans="1:16" ht="15" customHeight="1" x14ac:dyDescent="0.3">
      <c r="A429" t="str">
        <f t="shared" si="7"/>
        <v>11-3-EW-SmartTRACKER Renewal</v>
      </c>
      <c r="B429" s="67" t="s">
        <v>13</v>
      </c>
      <c r="C429" s="67">
        <v>11</v>
      </c>
      <c r="D429" s="99" t="s">
        <v>20</v>
      </c>
      <c r="E429" s="67" t="s">
        <v>19</v>
      </c>
      <c r="F429" s="67" t="s">
        <v>16</v>
      </c>
      <c r="G429" s="67" t="s">
        <v>723</v>
      </c>
      <c r="H429" s="127">
        <v>0.33900000000000002</v>
      </c>
      <c r="I429" s="109">
        <v>0.16040000000000001</v>
      </c>
      <c r="J429" s="109" t="s">
        <v>717</v>
      </c>
      <c r="K429" s="109">
        <v>0.1389</v>
      </c>
      <c r="L429" s="67">
        <v>5000</v>
      </c>
      <c r="M429" s="67">
        <v>500000</v>
      </c>
      <c r="N429" s="105">
        <v>44197</v>
      </c>
      <c r="O429" s="105">
        <v>44377</v>
      </c>
      <c r="P429" t="s">
        <v>718</v>
      </c>
    </row>
    <row r="430" spans="1:16" ht="15" customHeight="1" x14ac:dyDescent="0.3">
      <c r="A430" t="str">
        <f t="shared" si="7"/>
        <v>11-4-3RATE-SmartTRACKER Renewal</v>
      </c>
      <c r="B430" s="67" t="s">
        <v>13</v>
      </c>
      <c r="C430" s="67">
        <v>11</v>
      </c>
      <c r="D430" s="99" t="s">
        <v>20</v>
      </c>
      <c r="E430" s="67" t="s">
        <v>719</v>
      </c>
      <c r="F430" s="67" t="s">
        <v>18</v>
      </c>
      <c r="G430" s="67" t="s">
        <v>723</v>
      </c>
      <c r="H430" s="127">
        <v>0.33900000000000002</v>
      </c>
      <c r="I430" s="109">
        <v>0.16770000000000002</v>
      </c>
      <c r="J430" s="109">
        <v>0.1132</v>
      </c>
      <c r="K430" s="109">
        <v>0.1472</v>
      </c>
      <c r="L430" s="67">
        <v>5000</v>
      </c>
      <c r="M430" s="67">
        <v>500000</v>
      </c>
      <c r="N430" s="105">
        <v>44197</v>
      </c>
      <c r="O430" s="105">
        <v>44377</v>
      </c>
      <c r="P430" t="s">
        <v>718</v>
      </c>
    </row>
    <row r="431" spans="1:16" ht="15" customHeight="1" x14ac:dyDescent="0.3">
      <c r="A431" t="str">
        <f t="shared" si="7"/>
        <v/>
      </c>
      <c r="B431" s="67" t="s">
        <v>13</v>
      </c>
      <c r="C431" s="67">
        <v>11</v>
      </c>
      <c r="D431" s="99" t="s">
        <v>20</v>
      </c>
      <c r="E431" s="67" t="s">
        <v>720</v>
      </c>
      <c r="F431" s="67" t="s">
        <v>18</v>
      </c>
      <c r="G431" s="67" t="s">
        <v>723</v>
      </c>
      <c r="H431" s="127">
        <v>0.33900000000000002</v>
      </c>
      <c r="I431" s="109" t="s">
        <v>717</v>
      </c>
      <c r="J431" s="109">
        <v>0.1389</v>
      </c>
      <c r="K431" s="109" t="s">
        <v>717</v>
      </c>
      <c r="L431" s="67">
        <v>5000</v>
      </c>
      <c r="M431" s="67">
        <v>500000</v>
      </c>
      <c r="N431" s="105">
        <v>44197</v>
      </c>
      <c r="O431" s="105">
        <v>44377</v>
      </c>
      <c r="P431" t="s">
        <v>718</v>
      </c>
    </row>
    <row r="432" spans="1:16" ht="15" customHeight="1" x14ac:dyDescent="0.3">
      <c r="A432" t="str">
        <f t="shared" si="7"/>
        <v>12-3-U-SmartTRACKER Renewal</v>
      </c>
      <c r="B432" s="67" t="s">
        <v>13</v>
      </c>
      <c r="C432" s="67">
        <v>12</v>
      </c>
      <c r="D432" s="99" t="s">
        <v>21</v>
      </c>
      <c r="E432" s="67" t="s">
        <v>716</v>
      </c>
      <c r="F432" s="67" t="s">
        <v>16</v>
      </c>
      <c r="G432" s="67" t="s">
        <v>723</v>
      </c>
      <c r="H432" s="127">
        <v>0.25590000000000002</v>
      </c>
      <c r="I432" s="109">
        <v>0.1449</v>
      </c>
      <c r="J432" s="109" t="s">
        <v>717</v>
      </c>
      <c r="K432" s="109" t="s">
        <v>717</v>
      </c>
      <c r="L432" s="67">
        <v>5000</v>
      </c>
      <c r="M432" s="67">
        <v>500000</v>
      </c>
      <c r="N432" s="105">
        <v>44197</v>
      </c>
      <c r="O432" s="105">
        <v>44377</v>
      </c>
      <c r="P432" t="s">
        <v>718</v>
      </c>
    </row>
    <row r="433" spans="1:16" ht="15" customHeight="1" x14ac:dyDescent="0.3">
      <c r="A433" t="str">
        <f t="shared" si="7"/>
        <v>12-4-E7-SmartTRACKER Renewal</v>
      </c>
      <c r="B433" s="67" t="s">
        <v>13</v>
      </c>
      <c r="C433" s="67">
        <v>12</v>
      </c>
      <c r="D433" s="99" t="s">
        <v>21</v>
      </c>
      <c r="E433" s="67" t="s">
        <v>17</v>
      </c>
      <c r="F433" s="67" t="s">
        <v>18</v>
      </c>
      <c r="G433" s="67" t="s">
        <v>723</v>
      </c>
      <c r="H433" s="127">
        <v>0.25590000000000002</v>
      </c>
      <c r="I433" s="109">
        <v>0.155</v>
      </c>
      <c r="J433" s="109">
        <v>0.1124</v>
      </c>
      <c r="K433" s="109" t="s">
        <v>717</v>
      </c>
      <c r="L433" s="67">
        <v>5000</v>
      </c>
      <c r="M433" s="67">
        <v>500000</v>
      </c>
      <c r="N433" s="105">
        <v>44197</v>
      </c>
      <c r="O433" s="105">
        <v>44377</v>
      </c>
      <c r="P433" t="s">
        <v>718</v>
      </c>
    </row>
    <row r="434" spans="1:16" ht="15" customHeight="1" x14ac:dyDescent="0.3">
      <c r="A434" t="str">
        <f t="shared" si="7"/>
        <v>12-3-EW-SmartTRACKER Renewal</v>
      </c>
      <c r="B434" s="67" t="s">
        <v>13</v>
      </c>
      <c r="C434" s="67">
        <v>12</v>
      </c>
      <c r="D434" s="99" t="s">
        <v>21</v>
      </c>
      <c r="E434" s="67" t="s">
        <v>19</v>
      </c>
      <c r="F434" s="67" t="s">
        <v>16</v>
      </c>
      <c r="G434" s="67" t="s">
        <v>723</v>
      </c>
      <c r="H434" s="127">
        <v>0.25590000000000002</v>
      </c>
      <c r="I434" s="109">
        <v>0.1532</v>
      </c>
      <c r="J434" s="109" t="s">
        <v>717</v>
      </c>
      <c r="K434" s="109">
        <v>0.1333</v>
      </c>
      <c r="L434" s="67">
        <v>5000</v>
      </c>
      <c r="M434" s="67">
        <v>500000</v>
      </c>
      <c r="N434" s="105">
        <v>44197</v>
      </c>
      <c r="O434" s="105">
        <v>44377</v>
      </c>
      <c r="P434" t="s">
        <v>718</v>
      </c>
    </row>
    <row r="435" spans="1:16" ht="15" customHeight="1" x14ac:dyDescent="0.3">
      <c r="A435" t="str">
        <f t="shared" si="7"/>
        <v>12-4-3RATE-SmartTRACKER Renewal</v>
      </c>
      <c r="B435" s="67" t="s">
        <v>13</v>
      </c>
      <c r="C435" s="67">
        <v>12</v>
      </c>
      <c r="D435" s="99" t="s">
        <v>21</v>
      </c>
      <c r="E435" s="67" t="s">
        <v>719</v>
      </c>
      <c r="F435" s="67" t="s">
        <v>18</v>
      </c>
      <c r="G435" s="67" t="s">
        <v>723</v>
      </c>
      <c r="H435" s="127">
        <v>0.25590000000000002</v>
      </c>
      <c r="I435" s="109">
        <v>0.252</v>
      </c>
      <c r="J435" s="109">
        <v>0.252</v>
      </c>
      <c r="K435" s="109">
        <v>0.252</v>
      </c>
      <c r="L435" s="67">
        <v>5000</v>
      </c>
      <c r="M435" s="67">
        <v>500000</v>
      </c>
      <c r="N435" s="105">
        <v>44197</v>
      </c>
      <c r="O435" s="105">
        <v>44377</v>
      </c>
      <c r="P435" t="s">
        <v>718</v>
      </c>
    </row>
    <row r="436" spans="1:16" ht="15" customHeight="1" x14ac:dyDescent="0.3">
      <c r="A436" t="str">
        <f t="shared" si="7"/>
        <v/>
      </c>
      <c r="B436" s="67" t="s">
        <v>13</v>
      </c>
      <c r="C436" s="67">
        <v>12</v>
      </c>
      <c r="D436" s="99" t="s">
        <v>21</v>
      </c>
      <c r="E436" s="67" t="s">
        <v>720</v>
      </c>
      <c r="F436" s="67" t="s">
        <v>18</v>
      </c>
      <c r="G436" s="67" t="s">
        <v>723</v>
      </c>
      <c r="H436" s="127">
        <v>0.25590000000000002</v>
      </c>
      <c r="I436" s="109" t="s">
        <v>717</v>
      </c>
      <c r="J436" s="109">
        <v>0.1333</v>
      </c>
      <c r="K436" s="109" t="s">
        <v>717</v>
      </c>
      <c r="L436" s="67">
        <v>5000</v>
      </c>
      <c r="M436" s="67">
        <v>500000</v>
      </c>
      <c r="N436" s="105">
        <v>44197</v>
      </c>
      <c r="O436" s="105">
        <v>44377</v>
      </c>
      <c r="P436" t="s">
        <v>718</v>
      </c>
    </row>
    <row r="437" spans="1:16" ht="15" customHeight="1" x14ac:dyDescent="0.3">
      <c r="A437" t="str">
        <f t="shared" si="7"/>
        <v>13-3-U-SmartTRACKER Renewal</v>
      </c>
      <c r="B437" s="67" t="s">
        <v>13</v>
      </c>
      <c r="C437" s="67">
        <v>13</v>
      </c>
      <c r="D437" s="99" t="s">
        <v>22</v>
      </c>
      <c r="E437" s="67" t="s">
        <v>716</v>
      </c>
      <c r="F437" s="67" t="s">
        <v>16</v>
      </c>
      <c r="G437" s="67" t="s">
        <v>723</v>
      </c>
      <c r="H437" s="127">
        <v>0.30109999999999998</v>
      </c>
      <c r="I437" s="109">
        <v>0.1699</v>
      </c>
      <c r="J437" s="109" t="s">
        <v>717</v>
      </c>
      <c r="K437" s="109" t="s">
        <v>717</v>
      </c>
      <c r="L437" s="67">
        <v>5000</v>
      </c>
      <c r="M437" s="67">
        <v>500000</v>
      </c>
      <c r="N437" s="105">
        <v>44197</v>
      </c>
      <c r="O437" s="105">
        <v>44377</v>
      </c>
      <c r="P437" t="s">
        <v>718</v>
      </c>
    </row>
    <row r="438" spans="1:16" ht="15" customHeight="1" x14ac:dyDescent="0.3">
      <c r="A438" t="str">
        <f t="shared" si="7"/>
        <v>13-4-E7-SmartTRACKER Renewal</v>
      </c>
      <c r="B438" s="67" t="s">
        <v>13</v>
      </c>
      <c r="C438" s="67">
        <v>13</v>
      </c>
      <c r="D438" s="99" t="s">
        <v>22</v>
      </c>
      <c r="E438" s="67" t="s">
        <v>17</v>
      </c>
      <c r="F438" s="67" t="s">
        <v>18</v>
      </c>
      <c r="G438" s="67" t="s">
        <v>723</v>
      </c>
      <c r="H438" s="127">
        <v>0.30109999999999998</v>
      </c>
      <c r="I438" s="109">
        <v>0.17910000000000001</v>
      </c>
      <c r="J438" s="109">
        <v>0.12970000000000001</v>
      </c>
      <c r="K438" s="109" t="s">
        <v>717</v>
      </c>
      <c r="L438" s="67">
        <v>5000</v>
      </c>
      <c r="M438" s="67">
        <v>500000</v>
      </c>
      <c r="N438" s="105">
        <v>44197</v>
      </c>
      <c r="O438" s="105">
        <v>44377</v>
      </c>
      <c r="P438" t="s">
        <v>718</v>
      </c>
    </row>
    <row r="439" spans="1:16" ht="15" customHeight="1" x14ac:dyDescent="0.3">
      <c r="A439" t="str">
        <f t="shared" si="7"/>
        <v>13-3-EW-SmartTRACKER Renewal</v>
      </c>
      <c r="B439" s="67" t="s">
        <v>13</v>
      </c>
      <c r="C439" s="67">
        <v>13</v>
      </c>
      <c r="D439" s="99" t="s">
        <v>22</v>
      </c>
      <c r="E439" s="67" t="s">
        <v>19</v>
      </c>
      <c r="F439" s="67" t="s">
        <v>16</v>
      </c>
      <c r="G439" s="67" t="s">
        <v>723</v>
      </c>
      <c r="H439" s="127">
        <v>0.30109999999999998</v>
      </c>
      <c r="I439" s="109">
        <v>0.252</v>
      </c>
      <c r="J439" s="109" t="s">
        <v>717</v>
      </c>
      <c r="K439" s="109">
        <v>0.252</v>
      </c>
      <c r="L439" s="67">
        <v>5000</v>
      </c>
      <c r="M439" s="67">
        <v>500000</v>
      </c>
      <c r="N439" s="105">
        <v>44197</v>
      </c>
      <c r="O439" s="105">
        <v>44377</v>
      </c>
      <c r="P439" t="s">
        <v>718</v>
      </c>
    </row>
    <row r="440" spans="1:16" ht="15" customHeight="1" x14ac:dyDescent="0.3">
      <c r="A440" t="str">
        <f t="shared" si="7"/>
        <v>13-4-3RATE-SmartTRACKER Renewal</v>
      </c>
      <c r="B440" s="67" t="s">
        <v>13</v>
      </c>
      <c r="C440" s="67">
        <v>13</v>
      </c>
      <c r="D440" s="99" t="s">
        <v>22</v>
      </c>
      <c r="E440" s="67" t="s">
        <v>719</v>
      </c>
      <c r="F440" s="67" t="s">
        <v>18</v>
      </c>
      <c r="G440" s="67" t="s">
        <v>723</v>
      </c>
      <c r="H440" s="127">
        <v>0.30109999999999998</v>
      </c>
      <c r="I440" s="109">
        <v>0.1837</v>
      </c>
      <c r="J440" s="109">
        <v>0.1263</v>
      </c>
      <c r="K440" s="109">
        <v>0.16970000000000002</v>
      </c>
      <c r="L440" s="67">
        <v>5000</v>
      </c>
      <c r="M440" s="67">
        <v>500000</v>
      </c>
      <c r="N440" s="105">
        <v>44197</v>
      </c>
      <c r="O440" s="105">
        <v>44377</v>
      </c>
      <c r="P440" t="s">
        <v>718</v>
      </c>
    </row>
    <row r="441" spans="1:16" ht="15" customHeight="1" x14ac:dyDescent="0.3">
      <c r="A441" t="str">
        <f t="shared" si="7"/>
        <v/>
      </c>
      <c r="B441" s="67" t="s">
        <v>13</v>
      </c>
      <c r="C441" s="67">
        <v>13</v>
      </c>
      <c r="D441" s="99" t="s">
        <v>22</v>
      </c>
      <c r="E441" s="67" t="s">
        <v>720</v>
      </c>
      <c r="F441" s="67" t="s">
        <v>18</v>
      </c>
      <c r="G441" s="67" t="s">
        <v>723</v>
      </c>
      <c r="H441" s="127">
        <v>0.30109999999999998</v>
      </c>
      <c r="I441" s="109" t="s">
        <v>717</v>
      </c>
      <c r="J441" s="109">
        <v>0.12970000000000001</v>
      </c>
      <c r="K441" s="109" t="s">
        <v>717</v>
      </c>
      <c r="L441" s="67">
        <v>5000</v>
      </c>
      <c r="M441" s="67">
        <v>500000</v>
      </c>
      <c r="N441" s="105">
        <v>44197</v>
      </c>
      <c r="O441" s="105">
        <v>44377</v>
      </c>
      <c r="P441" t="s">
        <v>718</v>
      </c>
    </row>
    <row r="442" spans="1:16" ht="15" customHeight="1" x14ac:dyDescent="0.3">
      <c r="A442" t="str">
        <f t="shared" si="7"/>
        <v>14-3-U-SmartTRACKER Renewal</v>
      </c>
      <c r="B442" s="67" t="s">
        <v>13</v>
      </c>
      <c r="C442" s="67">
        <v>14</v>
      </c>
      <c r="D442" s="99" t="s">
        <v>23</v>
      </c>
      <c r="E442" s="67" t="s">
        <v>716</v>
      </c>
      <c r="F442" s="67" t="s">
        <v>16</v>
      </c>
      <c r="G442" s="67" t="s">
        <v>723</v>
      </c>
      <c r="H442" s="127">
        <v>0.37159999999999999</v>
      </c>
      <c r="I442" s="109">
        <v>0.155</v>
      </c>
      <c r="J442" s="109" t="s">
        <v>717</v>
      </c>
      <c r="K442" s="109" t="s">
        <v>717</v>
      </c>
      <c r="L442" s="67">
        <v>5000</v>
      </c>
      <c r="M442" s="67">
        <v>500000</v>
      </c>
      <c r="N442" s="105">
        <v>44197</v>
      </c>
      <c r="O442" s="105">
        <v>44377</v>
      </c>
      <c r="P442" t="s">
        <v>718</v>
      </c>
    </row>
    <row r="443" spans="1:16" ht="15" customHeight="1" x14ac:dyDescent="0.3">
      <c r="A443" t="str">
        <f t="shared" si="7"/>
        <v>14-4-E7-SmartTRACKER Renewal</v>
      </c>
      <c r="B443" s="67" t="s">
        <v>13</v>
      </c>
      <c r="C443" s="67">
        <v>14</v>
      </c>
      <c r="D443" s="99" t="s">
        <v>23</v>
      </c>
      <c r="E443" s="67" t="s">
        <v>17</v>
      </c>
      <c r="F443" s="67" t="s">
        <v>18</v>
      </c>
      <c r="G443" s="67" t="s">
        <v>723</v>
      </c>
      <c r="H443" s="127">
        <v>0.37159999999999999</v>
      </c>
      <c r="I443" s="109">
        <v>0.1623</v>
      </c>
      <c r="J443" s="109">
        <v>0.11910000000000001</v>
      </c>
      <c r="K443" s="109" t="s">
        <v>717</v>
      </c>
      <c r="L443" s="67">
        <v>5000</v>
      </c>
      <c r="M443" s="67">
        <v>500000</v>
      </c>
      <c r="N443" s="105">
        <v>44197</v>
      </c>
      <c r="O443" s="105">
        <v>44377</v>
      </c>
      <c r="P443" t="s">
        <v>718</v>
      </c>
    </row>
    <row r="444" spans="1:16" ht="15" customHeight="1" x14ac:dyDescent="0.3">
      <c r="A444" t="str">
        <f t="shared" si="7"/>
        <v>14-3-EW-SmartTRACKER Renewal</v>
      </c>
      <c r="B444" s="67" t="s">
        <v>13</v>
      </c>
      <c r="C444" s="67">
        <v>14</v>
      </c>
      <c r="D444" s="99" t="s">
        <v>23</v>
      </c>
      <c r="E444" s="67" t="s">
        <v>19</v>
      </c>
      <c r="F444" s="67" t="s">
        <v>16</v>
      </c>
      <c r="G444" s="67" t="s">
        <v>723</v>
      </c>
      <c r="H444" s="127">
        <v>0.37159999999999999</v>
      </c>
      <c r="I444" s="109">
        <v>0.1623</v>
      </c>
      <c r="J444" s="109" t="s">
        <v>717</v>
      </c>
      <c r="K444" s="109">
        <v>0.14419999999999999</v>
      </c>
      <c r="L444" s="67">
        <v>5000</v>
      </c>
      <c r="M444" s="67">
        <v>500000</v>
      </c>
      <c r="N444" s="105">
        <v>44197</v>
      </c>
      <c r="O444" s="105">
        <v>44377</v>
      </c>
      <c r="P444" t="s">
        <v>718</v>
      </c>
    </row>
    <row r="445" spans="1:16" ht="15" customHeight="1" x14ac:dyDescent="0.3">
      <c r="A445" t="str">
        <f t="shared" si="7"/>
        <v>14-4-3RATE-SmartTRACKER Renewal</v>
      </c>
      <c r="B445" s="67" t="s">
        <v>13</v>
      </c>
      <c r="C445" s="67">
        <v>14</v>
      </c>
      <c r="D445" s="99" t="s">
        <v>23</v>
      </c>
      <c r="E445" s="67" t="s">
        <v>719</v>
      </c>
      <c r="F445" s="67" t="s">
        <v>18</v>
      </c>
      <c r="G445" s="67" t="s">
        <v>723</v>
      </c>
      <c r="H445" s="127">
        <v>0.37159999999999999</v>
      </c>
      <c r="I445" s="109">
        <v>0.252</v>
      </c>
      <c r="J445" s="109">
        <v>0.252</v>
      </c>
      <c r="K445" s="109">
        <v>0.252</v>
      </c>
      <c r="L445" s="67">
        <v>5000</v>
      </c>
      <c r="M445" s="67">
        <v>500000</v>
      </c>
      <c r="N445" s="105">
        <v>44197</v>
      </c>
      <c r="O445" s="105">
        <v>44377</v>
      </c>
      <c r="P445" t="s">
        <v>718</v>
      </c>
    </row>
    <row r="446" spans="1:16" ht="15" customHeight="1" x14ac:dyDescent="0.3">
      <c r="A446" t="str">
        <f t="shared" si="7"/>
        <v/>
      </c>
      <c r="B446" s="67" t="s">
        <v>13</v>
      </c>
      <c r="C446" s="67">
        <v>14</v>
      </c>
      <c r="D446" s="99" t="s">
        <v>23</v>
      </c>
      <c r="E446" s="67" t="s">
        <v>720</v>
      </c>
      <c r="F446" s="67" t="s">
        <v>18</v>
      </c>
      <c r="G446" s="67" t="s">
        <v>723</v>
      </c>
      <c r="H446" s="127">
        <v>0.37159999999999999</v>
      </c>
      <c r="I446" s="109" t="s">
        <v>717</v>
      </c>
      <c r="J446" s="109">
        <v>0.14419999999999999</v>
      </c>
      <c r="K446" s="109" t="s">
        <v>717</v>
      </c>
      <c r="L446" s="67">
        <v>5000</v>
      </c>
      <c r="M446" s="67">
        <v>500000</v>
      </c>
      <c r="N446" s="105">
        <v>44197</v>
      </c>
      <c r="O446" s="105">
        <v>44377</v>
      </c>
      <c r="P446" t="s">
        <v>718</v>
      </c>
    </row>
    <row r="447" spans="1:16" ht="15" customHeight="1" x14ac:dyDescent="0.3">
      <c r="A447" t="str">
        <f t="shared" si="7"/>
        <v>15-3-U-SmartTRACKER Renewal</v>
      </c>
      <c r="B447" s="67" t="s">
        <v>13</v>
      </c>
      <c r="C447" s="67">
        <v>15</v>
      </c>
      <c r="D447" s="99" t="s">
        <v>24</v>
      </c>
      <c r="E447" s="67" t="s">
        <v>716</v>
      </c>
      <c r="F447" s="67" t="s">
        <v>16</v>
      </c>
      <c r="G447" s="67" t="s">
        <v>723</v>
      </c>
      <c r="H447" s="127">
        <v>0.34489999999999998</v>
      </c>
      <c r="I447" s="109">
        <v>0.15390000000000001</v>
      </c>
      <c r="J447" s="109" t="s">
        <v>717</v>
      </c>
      <c r="K447" s="109" t="s">
        <v>717</v>
      </c>
      <c r="L447" s="67">
        <v>5000</v>
      </c>
      <c r="M447" s="67">
        <v>500000</v>
      </c>
      <c r="N447" s="105">
        <v>44197</v>
      </c>
      <c r="O447" s="105">
        <v>44377</v>
      </c>
      <c r="P447" t="s">
        <v>718</v>
      </c>
    </row>
    <row r="448" spans="1:16" ht="15" customHeight="1" x14ac:dyDescent="0.3">
      <c r="A448" t="str">
        <f t="shared" si="7"/>
        <v>15-4-E7-SmartTRACKER Renewal</v>
      </c>
      <c r="B448" s="67" t="s">
        <v>13</v>
      </c>
      <c r="C448" s="67">
        <v>15</v>
      </c>
      <c r="D448" s="99" t="s">
        <v>24</v>
      </c>
      <c r="E448" s="67" t="s">
        <v>17</v>
      </c>
      <c r="F448" s="67" t="s">
        <v>18</v>
      </c>
      <c r="G448" s="67" t="s">
        <v>723</v>
      </c>
      <c r="H448" s="127">
        <v>0.34489999999999998</v>
      </c>
      <c r="I448" s="109">
        <v>0.15970000000000001</v>
      </c>
      <c r="J448" s="109">
        <v>0.11860000000000001</v>
      </c>
      <c r="K448" s="109" t="s">
        <v>717</v>
      </c>
      <c r="L448" s="67">
        <v>5000</v>
      </c>
      <c r="M448" s="67">
        <v>500000</v>
      </c>
      <c r="N448" s="105">
        <v>44197</v>
      </c>
      <c r="O448" s="105">
        <v>44377</v>
      </c>
      <c r="P448" t="s">
        <v>718</v>
      </c>
    </row>
    <row r="449" spans="1:16" ht="15" customHeight="1" x14ac:dyDescent="0.3">
      <c r="A449" t="str">
        <f t="shared" si="7"/>
        <v>15-3-EW-SmartTRACKER Renewal</v>
      </c>
      <c r="B449" s="67" t="s">
        <v>13</v>
      </c>
      <c r="C449" s="67">
        <v>15</v>
      </c>
      <c r="D449" s="99" t="s">
        <v>24</v>
      </c>
      <c r="E449" s="67" t="s">
        <v>19</v>
      </c>
      <c r="F449" s="67" t="s">
        <v>16</v>
      </c>
      <c r="G449" s="67" t="s">
        <v>723</v>
      </c>
      <c r="H449" s="127">
        <v>0.34489999999999998</v>
      </c>
      <c r="I449" s="109">
        <v>0.16400000000000001</v>
      </c>
      <c r="J449" s="109" t="s">
        <v>717</v>
      </c>
      <c r="K449" s="109">
        <v>0.1426</v>
      </c>
      <c r="L449" s="67">
        <v>5000</v>
      </c>
      <c r="M449" s="67">
        <v>500000</v>
      </c>
      <c r="N449" s="105">
        <v>44197</v>
      </c>
      <c r="O449" s="105">
        <v>44377</v>
      </c>
      <c r="P449" t="s">
        <v>718</v>
      </c>
    </row>
    <row r="450" spans="1:16" ht="15" customHeight="1" x14ac:dyDescent="0.3">
      <c r="A450" t="str">
        <f t="shared" si="7"/>
        <v>15-4-3RATE-SmartTRACKER Renewal</v>
      </c>
      <c r="B450" s="67" t="s">
        <v>13</v>
      </c>
      <c r="C450" s="67">
        <v>15</v>
      </c>
      <c r="D450" s="99" t="s">
        <v>24</v>
      </c>
      <c r="E450" s="67" t="s">
        <v>719</v>
      </c>
      <c r="F450" s="67" t="s">
        <v>18</v>
      </c>
      <c r="G450" s="67" t="s">
        <v>723</v>
      </c>
      <c r="H450" s="127">
        <v>0.34489999999999998</v>
      </c>
      <c r="I450" s="109">
        <v>0.252</v>
      </c>
      <c r="J450" s="109">
        <v>0.252</v>
      </c>
      <c r="K450" s="109">
        <v>0.252</v>
      </c>
      <c r="L450" s="67">
        <v>5000</v>
      </c>
      <c r="M450" s="67">
        <v>500000</v>
      </c>
      <c r="N450" s="105">
        <v>44197</v>
      </c>
      <c r="O450" s="105">
        <v>44377</v>
      </c>
      <c r="P450" t="s">
        <v>718</v>
      </c>
    </row>
    <row r="451" spans="1:16" ht="15" customHeight="1" x14ac:dyDescent="0.3">
      <c r="A451" t="str">
        <f t="shared" si="7"/>
        <v/>
      </c>
      <c r="B451" s="67" t="s">
        <v>13</v>
      </c>
      <c r="C451" s="67">
        <v>15</v>
      </c>
      <c r="D451" s="99" t="s">
        <v>24</v>
      </c>
      <c r="E451" s="67" t="s">
        <v>720</v>
      </c>
      <c r="F451" s="67" t="s">
        <v>18</v>
      </c>
      <c r="G451" s="67" t="s">
        <v>723</v>
      </c>
      <c r="H451" s="127">
        <v>0.34489999999999998</v>
      </c>
      <c r="I451" s="109" t="s">
        <v>717</v>
      </c>
      <c r="J451" s="109">
        <v>0.1426</v>
      </c>
      <c r="K451" s="109" t="s">
        <v>717</v>
      </c>
      <c r="L451" s="67">
        <v>5000</v>
      </c>
      <c r="M451" s="67">
        <v>500000</v>
      </c>
      <c r="N451" s="105">
        <v>44197</v>
      </c>
      <c r="O451" s="105">
        <v>44377</v>
      </c>
      <c r="P451" t="s">
        <v>718</v>
      </c>
    </row>
    <row r="452" spans="1:16" ht="15" customHeight="1" x14ac:dyDescent="0.3">
      <c r="A452" t="str">
        <f t="shared" si="7"/>
        <v>16-3-U-SmartTRACKER Renewal</v>
      </c>
      <c r="B452" s="67" t="s">
        <v>13</v>
      </c>
      <c r="C452" s="67">
        <v>16</v>
      </c>
      <c r="D452" s="99" t="s">
        <v>25</v>
      </c>
      <c r="E452" s="67" t="s">
        <v>716</v>
      </c>
      <c r="F452" s="67" t="s">
        <v>16</v>
      </c>
      <c r="G452" s="67" t="s">
        <v>723</v>
      </c>
      <c r="H452" s="127">
        <v>0.29189999999999999</v>
      </c>
      <c r="I452" s="109">
        <v>0.15629999999999999</v>
      </c>
      <c r="J452" s="109" t="s">
        <v>717</v>
      </c>
      <c r="K452" s="109" t="s">
        <v>717</v>
      </c>
      <c r="L452" s="67">
        <v>5000</v>
      </c>
      <c r="M452" s="67">
        <v>500000</v>
      </c>
      <c r="N452" s="105">
        <v>44197</v>
      </c>
      <c r="O452" s="105">
        <v>44377</v>
      </c>
      <c r="P452" t="s">
        <v>718</v>
      </c>
    </row>
    <row r="453" spans="1:16" ht="15" customHeight="1" x14ac:dyDescent="0.3">
      <c r="A453" t="str">
        <f t="shared" si="7"/>
        <v>16-4-E7-SmartTRACKER Renewal</v>
      </c>
      <c r="B453" s="67" t="s">
        <v>13</v>
      </c>
      <c r="C453" s="67">
        <v>16</v>
      </c>
      <c r="D453" s="99" t="s">
        <v>25</v>
      </c>
      <c r="E453" s="67" t="s">
        <v>17</v>
      </c>
      <c r="F453" s="67" t="s">
        <v>18</v>
      </c>
      <c r="G453" s="67" t="s">
        <v>723</v>
      </c>
      <c r="H453" s="127">
        <v>0.29189999999999999</v>
      </c>
      <c r="I453" s="109">
        <v>0.16320000000000001</v>
      </c>
      <c r="J453" s="109">
        <v>0.12</v>
      </c>
      <c r="K453" s="109" t="s">
        <v>717</v>
      </c>
      <c r="L453" s="67">
        <v>5000</v>
      </c>
      <c r="M453" s="67">
        <v>500000</v>
      </c>
      <c r="N453" s="105">
        <v>44197</v>
      </c>
      <c r="O453" s="105">
        <v>44377</v>
      </c>
      <c r="P453" t="s">
        <v>718</v>
      </c>
    </row>
    <row r="454" spans="1:16" ht="15" customHeight="1" x14ac:dyDescent="0.3">
      <c r="A454" t="str">
        <f t="shared" si="7"/>
        <v>16-3-EW-SmartTRACKER Renewal</v>
      </c>
      <c r="B454" s="67" t="s">
        <v>13</v>
      </c>
      <c r="C454" s="67">
        <v>16</v>
      </c>
      <c r="D454" s="99" t="s">
        <v>25</v>
      </c>
      <c r="E454" s="67" t="s">
        <v>19</v>
      </c>
      <c r="F454" s="67" t="s">
        <v>16</v>
      </c>
      <c r="G454" s="67" t="s">
        <v>723</v>
      </c>
      <c r="H454" s="127">
        <v>0.29189999999999999</v>
      </c>
      <c r="I454" s="109">
        <v>0.1663</v>
      </c>
      <c r="J454" s="109" t="s">
        <v>717</v>
      </c>
      <c r="K454" s="109">
        <v>0.14430000000000001</v>
      </c>
      <c r="L454" s="67">
        <v>5000</v>
      </c>
      <c r="M454" s="67">
        <v>500000</v>
      </c>
      <c r="N454" s="105">
        <v>44197</v>
      </c>
      <c r="O454" s="105">
        <v>44377</v>
      </c>
      <c r="P454" t="s">
        <v>718</v>
      </c>
    </row>
    <row r="455" spans="1:16" ht="15" customHeight="1" x14ac:dyDescent="0.3">
      <c r="A455" t="str">
        <f t="shared" si="7"/>
        <v>16-4-3RATE-SmartTRACKER Renewal</v>
      </c>
      <c r="B455" s="67" t="s">
        <v>13</v>
      </c>
      <c r="C455" s="67">
        <v>16</v>
      </c>
      <c r="D455" s="99" t="s">
        <v>25</v>
      </c>
      <c r="E455" s="67" t="s">
        <v>719</v>
      </c>
      <c r="F455" s="67" t="s">
        <v>18</v>
      </c>
      <c r="G455" s="67" t="s">
        <v>723</v>
      </c>
      <c r="H455" s="127">
        <v>0.29189999999999999</v>
      </c>
      <c r="I455" s="109">
        <v>0.1719</v>
      </c>
      <c r="J455" s="109">
        <v>0.1169</v>
      </c>
      <c r="K455" s="109">
        <v>0.14660000000000001</v>
      </c>
      <c r="L455" s="67">
        <v>5000</v>
      </c>
      <c r="M455" s="67">
        <v>500000</v>
      </c>
      <c r="N455" s="105">
        <v>44197</v>
      </c>
      <c r="O455" s="105">
        <v>44377</v>
      </c>
      <c r="P455" t="s">
        <v>718</v>
      </c>
    </row>
    <row r="456" spans="1:16" ht="15" customHeight="1" x14ac:dyDescent="0.3">
      <c r="A456" t="str">
        <f t="shared" si="7"/>
        <v/>
      </c>
      <c r="B456" s="67" t="s">
        <v>13</v>
      </c>
      <c r="C456" s="67">
        <v>16</v>
      </c>
      <c r="D456" s="99" t="s">
        <v>25</v>
      </c>
      <c r="E456" s="67" t="s">
        <v>720</v>
      </c>
      <c r="F456" s="67" t="s">
        <v>18</v>
      </c>
      <c r="G456" s="67" t="s">
        <v>723</v>
      </c>
      <c r="H456" s="127">
        <v>0.29189999999999999</v>
      </c>
      <c r="I456" s="109" t="s">
        <v>717</v>
      </c>
      <c r="J456" s="109">
        <v>0.14430000000000001</v>
      </c>
      <c r="K456" s="109" t="s">
        <v>717</v>
      </c>
      <c r="L456" s="67">
        <v>5000</v>
      </c>
      <c r="M456" s="67">
        <v>500000</v>
      </c>
      <c r="N456" s="105">
        <v>44197</v>
      </c>
      <c r="O456" s="105">
        <v>44377</v>
      </c>
      <c r="P456" t="s">
        <v>718</v>
      </c>
    </row>
    <row r="457" spans="1:16" ht="15" customHeight="1" x14ac:dyDescent="0.3">
      <c r="A457" t="str">
        <f t="shared" si="7"/>
        <v>17-3-U-SmartTRACKER Renewal</v>
      </c>
      <c r="B457" s="67" t="s">
        <v>13</v>
      </c>
      <c r="C457" s="67">
        <v>17</v>
      </c>
      <c r="D457" s="99" t="s">
        <v>26</v>
      </c>
      <c r="E457" s="67" t="s">
        <v>716</v>
      </c>
      <c r="F457" s="67" t="s">
        <v>16</v>
      </c>
      <c r="G457" s="67" t="s">
        <v>723</v>
      </c>
      <c r="H457" s="127">
        <v>0.3846</v>
      </c>
      <c r="I457" s="109">
        <v>0.159</v>
      </c>
      <c r="J457" s="109" t="s">
        <v>717</v>
      </c>
      <c r="K457" s="109" t="s">
        <v>717</v>
      </c>
      <c r="L457" s="67">
        <v>5000</v>
      </c>
      <c r="M457" s="67">
        <v>500000</v>
      </c>
      <c r="N457" s="105">
        <v>44197</v>
      </c>
      <c r="O457" s="105">
        <v>44377</v>
      </c>
      <c r="P457" t="s">
        <v>718</v>
      </c>
    </row>
    <row r="458" spans="1:16" ht="15" customHeight="1" x14ac:dyDescent="0.3">
      <c r="A458" t="str">
        <f t="shared" si="7"/>
        <v>17-4-E7-SmartTRACKER Renewal</v>
      </c>
      <c r="B458" s="67" t="s">
        <v>13</v>
      </c>
      <c r="C458" s="67">
        <v>17</v>
      </c>
      <c r="D458" s="99" t="s">
        <v>26</v>
      </c>
      <c r="E458" s="67" t="s">
        <v>17</v>
      </c>
      <c r="F458" s="67" t="s">
        <v>18</v>
      </c>
      <c r="G458" s="67" t="s">
        <v>723</v>
      </c>
      <c r="H458" s="127">
        <v>0.3846</v>
      </c>
      <c r="I458" s="109">
        <v>0.17460000000000001</v>
      </c>
      <c r="J458" s="109">
        <v>0.12959999999999999</v>
      </c>
      <c r="K458" s="109" t="s">
        <v>717</v>
      </c>
      <c r="L458" s="67">
        <v>5000</v>
      </c>
      <c r="M458" s="67">
        <v>500000</v>
      </c>
      <c r="N458" s="105">
        <v>44197</v>
      </c>
      <c r="O458" s="105">
        <v>44377</v>
      </c>
      <c r="P458" t="s">
        <v>718</v>
      </c>
    </row>
    <row r="459" spans="1:16" ht="15" customHeight="1" x14ac:dyDescent="0.3">
      <c r="A459" t="str">
        <f t="shared" si="7"/>
        <v>17-3-EW-SmartTRACKER Renewal</v>
      </c>
      <c r="B459" s="67" t="s">
        <v>13</v>
      </c>
      <c r="C459" s="67">
        <v>17</v>
      </c>
      <c r="D459" s="99" t="s">
        <v>26</v>
      </c>
      <c r="E459" s="67" t="s">
        <v>19</v>
      </c>
      <c r="F459" s="67" t="s">
        <v>16</v>
      </c>
      <c r="G459" s="67" t="s">
        <v>723</v>
      </c>
      <c r="H459" s="127">
        <v>0.3846</v>
      </c>
      <c r="I459" s="109">
        <v>0.16650000000000001</v>
      </c>
      <c r="J459" s="109" t="s">
        <v>717</v>
      </c>
      <c r="K459" s="109">
        <v>0.1492</v>
      </c>
      <c r="L459" s="67">
        <v>5000</v>
      </c>
      <c r="M459" s="67">
        <v>500000</v>
      </c>
      <c r="N459" s="105">
        <v>44197</v>
      </c>
      <c r="O459" s="105">
        <v>44377</v>
      </c>
      <c r="P459" t="s">
        <v>718</v>
      </c>
    </row>
    <row r="460" spans="1:16" ht="15" customHeight="1" x14ac:dyDescent="0.3">
      <c r="A460" t="str">
        <f t="shared" ref="A460:A523" si="8">IF(E460="OP","",CONCATENATE(C460,"-",RIGHT(F460,1),"-",IF(OR(E460="1 Rate MD",E460="DAY"),"U",IF(OR(E460="2 Rate MD",E460="E7"),"E7",IF(OR(E460="3 Rate MD (EW)",E460="EW"),"EW",IF(OR(E460="3 Rate MD",E460="EWN"),"3RATE",IF(E460="HH 2RATE (CT)","HH 2RATE (CT)",IF(E460="HH 2RATE (WC)","HH 2RATE (WC)",IF(E460="HH 1RATE (CT)","HH 1RATE (CT)",IF(E460="HH 1RATE (WC)","HH 1RATE (WC)")))))))),"-",G460))</f>
        <v>17-4-3RATE-SmartTRACKER Renewal</v>
      </c>
      <c r="B460" s="67" t="s">
        <v>13</v>
      </c>
      <c r="C460" s="67">
        <v>17</v>
      </c>
      <c r="D460" s="99" t="s">
        <v>26</v>
      </c>
      <c r="E460" s="67" t="s">
        <v>719</v>
      </c>
      <c r="F460" s="67" t="s">
        <v>18</v>
      </c>
      <c r="G460" s="67" t="s">
        <v>723</v>
      </c>
      <c r="H460" s="127">
        <v>0.3846</v>
      </c>
      <c r="I460" s="109">
        <v>0.252</v>
      </c>
      <c r="J460" s="109">
        <v>0.252</v>
      </c>
      <c r="K460" s="109">
        <v>0.252</v>
      </c>
      <c r="L460" s="67">
        <v>5000</v>
      </c>
      <c r="M460" s="67">
        <v>500000</v>
      </c>
      <c r="N460" s="105">
        <v>44197</v>
      </c>
      <c r="O460" s="105">
        <v>44377</v>
      </c>
      <c r="P460" t="s">
        <v>718</v>
      </c>
    </row>
    <row r="461" spans="1:16" ht="15" customHeight="1" x14ac:dyDescent="0.3">
      <c r="A461" t="str">
        <f t="shared" si="8"/>
        <v/>
      </c>
      <c r="B461" s="67" t="s">
        <v>13</v>
      </c>
      <c r="C461" s="67">
        <v>17</v>
      </c>
      <c r="D461" s="99" t="s">
        <v>26</v>
      </c>
      <c r="E461" s="67" t="s">
        <v>720</v>
      </c>
      <c r="F461" s="67" t="s">
        <v>18</v>
      </c>
      <c r="G461" s="67" t="s">
        <v>723</v>
      </c>
      <c r="H461" s="127">
        <v>0.3846</v>
      </c>
      <c r="I461" s="109" t="s">
        <v>717</v>
      </c>
      <c r="J461" s="109">
        <v>0.1492</v>
      </c>
      <c r="K461" s="109" t="s">
        <v>717</v>
      </c>
      <c r="L461" s="67">
        <v>5000</v>
      </c>
      <c r="M461" s="67">
        <v>500000</v>
      </c>
      <c r="N461" s="105">
        <v>44197</v>
      </c>
      <c r="O461" s="105">
        <v>44377</v>
      </c>
      <c r="P461" t="s">
        <v>718</v>
      </c>
    </row>
    <row r="462" spans="1:16" ht="15" customHeight="1" x14ac:dyDescent="0.3">
      <c r="A462" t="str">
        <f t="shared" si="8"/>
        <v>18-3-U-SmartTRACKER Renewal</v>
      </c>
      <c r="B462" s="67" t="s">
        <v>13</v>
      </c>
      <c r="C462" s="67">
        <v>18</v>
      </c>
      <c r="D462" s="99" t="s">
        <v>27</v>
      </c>
      <c r="E462" s="67" t="s">
        <v>716</v>
      </c>
      <c r="F462" s="67" t="s">
        <v>16</v>
      </c>
      <c r="G462" s="67" t="s">
        <v>723</v>
      </c>
      <c r="H462" s="127">
        <v>0.33550000000000002</v>
      </c>
      <c r="I462" s="109">
        <v>0.15430000000000002</v>
      </c>
      <c r="J462" s="109" t="s">
        <v>717</v>
      </c>
      <c r="K462" s="109" t="s">
        <v>717</v>
      </c>
      <c r="L462" s="67">
        <v>5000</v>
      </c>
      <c r="M462" s="67">
        <v>500000</v>
      </c>
      <c r="N462" s="105">
        <v>44197</v>
      </c>
      <c r="O462" s="105">
        <v>44377</v>
      </c>
      <c r="P462" t="s">
        <v>718</v>
      </c>
    </row>
    <row r="463" spans="1:16" ht="15" customHeight="1" x14ac:dyDescent="0.3">
      <c r="A463" t="str">
        <f t="shared" si="8"/>
        <v>18-4-E7-SmartTRACKER Renewal</v>
      </c>
      <c r="B463" s="67" t="s">
        <v>13</v>
      </c>
      <c r="C463" s="67">
        <v>18</v>
      </c>
      <c r="D463" s="99" t="s">
        <v>27</v>
      </c>
      <c r="E463" s="67" t="s">
        <v>17</v>
      </c>
      <c r="F463" s="67" t="s">
        <v>18</v>
      </c>
      <c r="G463" s="67" t="s">
        <v>723</v>
      </c>
      <c r="H463" s="127">
        <v>0.33550000000000002</v>
      </c>
      <c r="I463" s="109">
        <v>0.16720000000000002</v>
      </c>
      <c r="J463" s="109">
        <v>0.12470000000000001</v>
      </c>
      <c r="K463" s="109" t="s">
        <v>717</v>
      </c>
      <c r="L463" s="67">
        <v>5000</v>
      </c>
      <c r="M463" s="67">
        <v>500000</v>
      </c>
      <c r="N463" s="105">
        <v>44197</v>
      </c>
      <c r="O463" s="105">
        <v>44377</v>
      </c>
      <c r="P463" t="s">
        <v>718</v>
      </c>
    </row>
    <row r="464" spans="1:16" ht="15" customHeight="1" x14ac:dyDescent="0.3">
      <c r="A464" t="str">
        <f t="shared" si="8"/>
        <v>18-3-EW-SmartTRACKER Renewal</v>
      </c>
      <c r="B464" s="67" t="s">
        <v>13</v>
      </c>
      <c r="C464" s="67">
        <v>18</v>
      </c>
      <c r="D464" s="99" t="s">
        <v>27</v>
      </c>
      <c r="E464" s="67" t="s">
        <v>19</v>
      </c>
      <c r="F464" s="67" t="s">
        <v>16</v>
      </c>
      <c r="G464" s="67" t="s">
        <v>723</v>
      </c>
      <c r="H464" s="127">
        <v>0.33550000000000002</v>
      </c>
      <c r="I464" s="109">
        <v>0.16190000000000002</v>
      </c>
      <c r="J464" s="109" t="s">
        <v>717</v>
      </c>
      <c r="K464" s="109">
        <v>0.14330000000000001</v>
      </c>
      <c r="L464" s="67">
        <v>5000</v>
      </c>
      <c r="M464" s="67">
        <v>500000</v>
      </c>
      <c r="N464" s="105">
        <v>44197</v>
      </c>
      <c r="O464" s="105">
        <v>44377</v>
      </c>
      <c r="P464" t="s">
        <v>718</v>
      </c>
    </row>
    <row r="465" spans="1:18" ht="15" customHeight="1" x14ac:dyDescent="0.3">
      <c r="A465" t="str">
        <f t="shared" si="8"/>
        <v>18-4-3RATE-SmartTRACKER Renewal</v>
      </c>
      <c r="B465" s="67" t="s">
        <v>13</v>
      </c>
      <c r="C465" s="67">
        <v>18</v>
      </c>
      <c r="D465" s="99" t="s">
        <v>27</v>
      </c>
      <c r="E465" s="67" t="s">
        <v>719</v>
      </c>
      <c r="F465" s="67" t="s">
        <v>18</v>
      </c>
      <c r="G465" s="67" t="s">
        <v>723</v>
      </c>
      <c r="H465" s="127">
        <v>0.33550000000000002</v>
      </c>
      <c r="I465" s="109">
        <v>0.252</v>
      </c>
      <c r="J465" s="109">
        <v>0.252</v>
      </c>
      <c r="K465" s="109">
        <v>0.252</v>
      </c>
      <c r="L465" s="67">
        <v>5000</v>
      </c>
      <c r="M465" s="67">
        <v>500000</v>
      </c>
      <c r="N465" s="105">
        <v>44197</v>
      </c>
      <c r="O465" s="105">
        <v>44377</v>
      </c>
      <c r="P465" t="s">
        <v>718</v>
      </c>
    </row>
    <row r="466" spans="1:18" ht="15" customHeight="1" x14ac:dyDescent="0.3">
      <c r="A466" t="str">
        <f t="shared" si="8"/>
        <v/>
      </c>
      <c r="B466" s="67" t="s">
        <v>13</v>
      </c>
      <c r="C466" s="67">
        <v>18</v>
      </c>
      <c r="D466" s="99" t="s">
        <v>27</v>
      </c>
      <c r="E466" s="67" t="s">
        <v>720</v>
      </c>
      <c r="F466" s="67" t="s">
        <v>18</v>
      </c>
      <c r="G466" s="67" t="s">
        <v>723</v>
      </c>
      <c r="H466" s="127">
        <v>0.33550000000000002</v>
      </c>
      <c r="I466" s="109" t="s">
        <v>717</v>
      </c>
      <c r="J466" s="109">
        <v>0.14330000000000001</v>
      </c>
      <c r="K466" s="109" t="s">
        <v>717</v>
      </c>
      <c r="L466" s="67">
        <v>5000</v>
      </c>
      <c r="M466" s="67">
        <v>500000</v>
      </c>
      <c r="N466" s="105">
        <v>44197</v>
      </c>
      <c r="O466" s="105">
        <v>44377</v>
      </c>
      <c r="P466" t="s">
        <v>718</v>
      </c>
    </row>
    <row r="467" spans="1:18" ht="15" customHeight="1" x14ac:dyDescent="0.3">
      <c r="A467" t="str">
        <f t="shared" si="8"/>
        <v>19-3-U-SmartTRACKER Renewal</v>
      </c>
      <c r="B467" s="67" t="s">
        <v>13</v>
      </c>
      <c r="C467" s="67">
        <v>19</v>
      </c>
      <c r="D467" s="99" t="s">
        <v>28</v>
      </c>
      <c r="E467" s="67" t="s">
        <v>716</v>
      </c>
      <c r="F467" s="67" t="s">
        <v>16</v>
      </c>
      <c r="G467" s="67" t="s">
        <v>723</v>
      </c>
      <c r="H467" s="127">
        <v>0.31890000000000002</v>
      </c>
      <c r="I467" s="109">
        <v>0.15480000000000002</v>
      </c>
      <c r="J467" s="109" t="s">
        <v>717</v>
      </c>
      <c r="K467" s="109" t="s">
        <v>717</v>
      </c>
      <c r="L467" s="67">
        <v>5000</v>
      </c>
      <c r="M467" s="67">
        <v>500000</v>
      </c>
      <c r="N467" s="105">
        <v>44197</v>
      </c>
      <c r="O467" s="105">
        <v>44377</v>
      </c>
      <c r="P467" t="s">
        <v>718</v>
      </c>
    </row>
    <row r="468" spans="1:18" ht="15" customHeight="1" x14ac:dyDescent="0.3">
      <c r="A468" t="str">
        <f t="shared" si="8"/>
        <v>19-4-E7-SmartTRACKER Renewal</v>
      </c>
      <c r="B468" s="67" t="s">
        <v>13</v>
      </c>
      <c r="C468" s="67">
        <v>19</v>
      </c>
      <c r="D468" s="99" t="s">
        <v>28</v>
      </c>
      <c r="E468" s="67" t="s">
        <v>17</v>
      </c>
      <c r="F468" s="67" t="s">
        <v>18</v>
      </c>
      <c r="G468" s="67" t="s">
        <v>723</v>
      </c>
      <c r="H468" s="127">
        <v>0.31890000000000002</v>
      </c>
      <c r="I468" s="109">
        <v>0.1633</v>
      </c>
      <c r="J468" s="109">
        <v>0.11580000000000001</v>
      </c>
      <c r="K468" s="109" t="s">
        <v>717</v>
      </c>
      <c r="L468" s="67">
        <v>5000</v>
      </c>
      <c r="M468" s="67">
        <v>500000</v>
      </c>
      <c r="N468" s="105">
        <v>44197</v>
      </c>
      <c r="O468" s="105">
        <v>44377</v>
      </c>
      <c r="P468" t="s">
        <v>718</v>
      </c>
    </row>
    <row r="469" spans="1:18" ht="15" customHeight="1" x14ac:dyDescent="0.3">
      <c r="A469" t="str">
        <f t="shared" si="8"/>
        <v>19-3-EW-SmartTRACKER Renewal</v>
      </c>
      <c r="B469" s="67" t="s">
        <v>13</v>
      </c>
      <c r="C469" s="67">
        <v>19</v>
      </c>
      <c r="D469" s="99" t="s">
        <v>28</v>
      </c>
      <c r="E469" s="67" t="s">
        <v>19</v>
      </c>
      <c r="F469" s="67" t="s">
        <v>16</v>
      </c>
      <c r="G469" s="67" t="s">
        <v>723</v>
      </c>
      <c r="H469" s="127">
        <v>0.31890000000000002</v>
      </c>
      <c r="I469" s="109">
        <v>0.252</v>
      </c>
      <c r="J469" s="109" t="s">
        <v>717</v>
      </c>
      <c r="K469" s="109">
        <v>0.252</v>
      </c>
      <c r="L469" s="67">
        <v>5000</v>
      </c>
      <c r="M469" s="67">
        <v>500000</v>
      </c>
      <c r="N469" s="105">
        <v>44197</v>
      </c>
      <c r="O469" s="105">
        <v>44377</v>
      </c>
      <c r="P469" t="s">
        <v>718</v>
      </c>
    </row>
    <row r="470" spans="1:18" ht="15" customHeight="1" x14ac:dyDescent="0.3">
      <c r="A470" t="str">
        <f t="shared" si="8"/>
        <v>19-4-3RATE-SmartTRACKER Renewal</v>
      </c>
      <c r="B470" s="67" t="s">
        <v>13</v>
      </c>
      <c r="C470" s="67">
        <v>19</v>
      </c>
      <c r="D470" s="99" t="s">
        <v>28</v>
      </c>
      <c r="E470" s="67" t="s">
        <v>719</v>
      </c>
      <c r="F470" s="67" t="s">
        <v>18</v>
      </c>
      <c r="G470" s="67" t="s">
        <v>723</v>
      </c>
      <c r="H470" s="127">
        <v>0.31890000000000002</v>
      </c>
      <c r="I470" s="109">
        <v>0.17350000000000002</v>
      </c>
      <c r="J470" s="109">
        <v>0.11710000000000001</v>
      </c>
      <c r="K470" s="109">
        <v>0.16120000000000001</v>
      </c>
      <c r="L470" s="67">
        <v>5000</v>
      </c>
      <c r="M470" s="67">
        <v>500000</v>
      </c>
      <c r="N470" s="105">
        <v>44197</v>
      </c>
      <c r="O470" s="105">
        <v>44377</v>
      </c>
      <c r="P470" t="s">
        <v>718</v>
      </c>
    </row>
    <row r="471" spans="1:18" ht="15" customHeight="1" x14ac:dyDescent="0.3">
      <c r="A471" t="str">
        <f t="shared" si="8"/>
        <v/>
      </c>
      <c r="B471" s="67" t="s">
        <v>13</v>
      </c>
      <c r="C471" s="67">
        <v>19</v>
      </c>
      <c r="D471" s="99" t="s">
        <v>28</v>
      </c>
      <c r="E471" s="67" t="s">
        <v>720</v>
      </c>
      <c r="F471" s="67" t="s">
        <v>18</v>
      </c>
      <c r="G471" s="67" t="s">
        <v>723</v>
      </c>
      <c r="H471" s="127">
        <v>0.31890000000000002</v>
      </c>
      <c r="I471" s="109" t="s">
        <v>717</v>
      </c>
      <c r="J471" s="109">
        <v>0.11580000000000001</v>
      </c>
      <c r="K471" s="109" t="s">
        <v>717</v>
      </c>
      <c r="L471" s="67">
        <v>5000</v>
      </c>
      <c r="M471" s="67">
        <v>500000</v>
      </c>
      <c r="N471" s="105">
        <v>44197</v>
      </c>
      <c r="O471" s="105">
        <v>44377</v>
      </c>
      <c r="P471" t="s">
        <v>718</v>
      </c>
    </row>
    <row r="472" spans="1:18" ht="15" customHeight="1" x14ac:dyDescent="0.3">
      <c r="A472" t="str">
        <f t="shared" si="8"/>
        <v>20-3-U-SmartTRACKER Renewal</v>
      </c>
      <c r="B472" s="67" t="s">
        <v>13</v>
      </c>
      <c r="C472" s="67">
        <v>20</v>
      </c>
      <c r="D472" s="99" t="s">
        <v>29</v>
      </c>
      <c r="E472" s="67" t="s">
        <v>716</v>
      </c>
      <c r="F472" s="67" t="s">
        <v>16</v>
      </c>
      <c r="G472" s="67" t="s">
        <v>723</v>
      </c>
      <c r="H472" s="127">
        <v>0.316</v>
      </c>
      <c r="I472" s="109">
        <v>0.15049999999999999</v>
      </c>
      <c r="J472" s="109" t="s">
        <v>717</v>
      </c>
      <c r="K472" s="109" t="s">
        <v>717</v>
      </c>
      <c r="L472" s="67">
        <v>5000</v>
      </c>
      <c r="M472" s="67">
        <v>500000</v>
      </c>
      <c r="N472" s="105">
        <v>44197</v>
      </c>
      <c r="O472" s="105">
        <v>44377</v>
      </c>
      <c r="P472" t="s">
        <v>718</v>
      </c>
    </row>
    <row r="473" spans="1:18" ht="15" customHeight="1" x14ac:dyDescent="0.3">
      <c r="A473" t="str">
        <f t="shared" si="8"/>
        <v>20-4-E7-SmartTRACKER Renewal</v>
      </c>
      <c r="B473" s="67" t="s">
        <v>13</v>
      </c>
      <c r="C473" s="67">
        <v>20</v>
      </c>
      <c r="D473" s="99" t="s">
        <v>29</v>
      </c>
      <c r="E473" s="67" t="s">
        <v>17</v>
      </c>
      <c r="F473" s="67" t="s">
        <v>18</v>
      </c>
      <c r="G473" s="67" t="s">
        <v>723</v>
      </c>
      <c r="H473" s="127">
        <v>0.316</v>
      </c>
      <c r="I473" s="109">
        <v>0.16159999999999999</v>
      </c>
      <c r="J473" s="109">
        <v>0.1177</v>
      </c>
      <c r="K473" s="109" t="s">
        <v>717</v>
      </c>
      <c r="L473" s="67">
        <v>5000</v>
      </c>
      <c r="M473" s="67">
        <v>500000</v>
      </c>
      <c r="N473" s="105">
        <v>44197</v>
      </c>
      <c r="O473" s="105">
        <v>44377</v>
      </c>
      <c r="P473" t="s">
        <v>718</v>
      </c>
      <c r="R473" s="105"/>
    </row>
    <row r="474" spans="1:18" ht="15" customHeight="1" x14ac:dyDescent="0.3">
      <c r="A474" t="str">
        <f t="shared" si="8"/>
        <v>20-3-EW-SmartTRACKER Renewal</v>
      </c>
      <c r="B474" s="67" t="s">
        <v>13</v>
      </c>
      <c r="C474" s="67">
        <v>20</v>
      </c>
      <c r="D474" s="99" t="s">
        <v>29</v>
      </c>
      <c r="E474" s="67" t="s">
        <v>19</v>
      </c>
      <c r="F474" s="67" t="s">
        <v>16</v>
      </c>
      <c r="G474" s="67" t="s">
        <v>723</v>
      </c>
      <c r="H474" s="127">
        <v>0.316</v>
      </c>
      <c r="I474" s="109">
        <v>0.15960000000000002</v>
      </c>
      <c r="J474" s="109" t="s">
        <v>717</v>
      </c>
      <c r="K474" s="109">
        <v>0.13820000000000002</v>
      </c>
      <c r="L474" s="67">
        <v>5000</v>
      </c>
      <c r="M474" s="67">
        <v>500000</v>
      </c>
      <c r="N474" s="105">
        <v>44197</v>
      </c>
      <c r="O474" s="105">
        <v>44377</v>
      </c>
      <c r="P474" t="s">
        <v>718</v>
      </c>
    </row>
    <row r="475" spans="1:18" ht="15" customHeight="1" x14ac:dyDescent="0.3">
      <c r="A475" t="str">
        <f t="shared" si="8"/>
        <v>20-4-3RATE-SmartTRACKER Renewal</v>
      </c>
      <c r="B475" s="67" t="s">
        <v>13</v>
      </c>
      <c r="C475" s="67">
        <v>20</v>
      </c>
      <c r="D475" s="99" t="s">
        <v>29</v>
      </c>
      <c r="E475" s="67" t="s">
        <v>719</v>
      </c>
      <c r="F475" s="67" t="s">
        <v>18</v>
      </c>
      <c r="G475" s="67" t="s">
        <v>723</v>
      </c>
      <c r="H475" s="127">
        <v>0.316</v>
      </c>
      <c r="I475" s="109">
        <v>0.17070000000000002</v>
      </c>
      <c r="J475" s="109">
        <v>0.11890000000000001</v>
      </c>
      <c r="K475" s="109">
        <v>0.152</v>
      </c>
      <c r="L475" s="67">
        <v>5000</v>
      </c>
      <c r="M475" s="67">
        <v>500000</v>
      </c>
      <c r="N475" s="105">
        <v>44197</v>
      </c>
      <c r="O475" s="105">
        <v>44377</v>
      </c>
      <c r="P475" t="s">
        <v>718</v>
      </c>
    </row>
    <row r="476" spans="1:18" ht="15" customHeight="1" x14ac:dyDescent="0.3">
      <c r="A476" t="str">
        <f t="shared" si="8"/>
        <v/>
      </c>
      <c r="B476" s="67" t="s">
        <v>13</v>
      </c>
      <c r="C476" s="67">
        <v>20</v>
      </c>
      <c r="D476" s="99" t="s">
        <v>29</v>
      </c>
      <c r="E476" s="67" t="s">
        <v>720</v>
      </c>
      <c r="F476" s="67" t="s">
        <v>18</v>
      </c>
      <c r="G476" s="67" t="s">
        <v>723</v>
      </c>
      <c r="H476" s="127">
        <v>0.316</v>
      </c>
      <c r="I476" s="109" t="s">
        <v>717</v>
      </c>
      <c r="J476" s="109">
        <v>0.13820000000000002</v>
      </c>
      <c r="K476" s="109" t="s">
        <v>717</v>
      </c>
      <c r="L476" s="67">
        <v>5000</v>
      </c>
      <c r="M476" s="67">
        <v>500000</v>
      </c>
      <c r="N476" s="105">
        <v>44197</v>
      </c>
      <c r="O476" s="105">
        <v>44377</v>
      </c>
      <c r="P476" t="s">
        <v>718</v>
      </c>
    </row>
    <row r="477" spans="1:18" ht="15" customHeight="1" x14ac:dyDescent="0.3">
      <c r="A477" t="str">
        <f t="shared" si="8"/>
        <v>21-3-U-SmartTRACKER Renewal</v>
      </c>
      <c r="B477" s="67" t="s">
        <v>13</v>
      </c>
      <c r="C477" s="67">
        <v>21</v>
      </c>
      <c r="D477" s="99" t="s">
        <v>30</v>
      </c>
      <c r="E477" s="67" t="s">
        <v>716</v>
      </c>
      <c r="F477" s="67" t="s">
        <v>16</v>
      </c>
      <c r="G477" s="67" t="s">
        <v>723</v>
      </c>
      <c r="H477" s="127">
        <v>0.43740000000000001</v>
      </c>
      <c r="I477" s="109">
        <v>0.15230000000000002</v>
      </c>
      <c r="J477" s="109" t="s">
        <v>717</v>
      </c>
      <c r="K477" s="109" t="s">
        <v>717</v>
      </c>
      <c r="L477" s="67">
        <v>5000</v>
      </c>
      <c r="M477" s="67">
        <v>500000</v>
      </c>
      <c r="N477" s="105">
        <v>44197</v>
      </c>
      <c r="O477" s="105">
        <v>44377</v>
      </c>
      <c r="P477" t="s">
        <v>718</v>
      </c>
    </row>
    <row r="478" spans="1:18" ht="15" customHeight="1" x14ac:dyDescent="0.3">
      <c r="A478" t="str">
        <f t="shared" si="8"/>
        <v>21-4-E7-SmartTRACKER Renewal</v>
      </c>
      <c r="B478" s="67" t="s">
        <v>13</v>
      </c>
      <c r="C478" s="67">
        <v>21</v>
      </c>
      <c r="D478" s="99" t="s">
        <v>30</v>
      </c>
      <c r="E478" s="67" t="s">
        <v>17</v>
      </c>
      <c r="F478" s="67" t="s">
        <v>18</v>
      </c>
      <c r="G478" s="67" t="s">
        <v>723</v>
      </c>
      <c r="H478" s="127">
        <v>0.43740000000000001</v>
      </c>
      <c r="I478" s="109">
        <v>0.16159999999999999</v>
      </c>
      <c r="J478" s="109">
        <v>0.12079999999999999</v>
      </c>
      <c r="K478" s="109" t="s">
        <v>717</v>
      </c>
      <c r="L478" s="67">
        <v>5000</v>
      </c>
      <c r="M478" s="67">
        <v>500000</v>
      </c>
      <c r="N478" s="105">
        <v>44197</v>
      </c>
      <c r="O478" s="105">
        <v>44377</v>
      </c>
      <c r="P478" t="s">
        <v>718</v>
      </c>
    </row>
    <row r="479" spans="1:18" ht="15" customHeight="1" x14ac:dyDescent="0.3">
      <c r="A479" t="str">
        <f t="shared" si="8"/>
        <v>21-3-EW-SmartTRACKER Renewal</v>
      </c>
      <c r="B479" s="67" t="s">
        <v>13</v>
      </c>
      <c r="C479" s="67">
        <v>21</v>
      </c>
      <c r="D479" s="99" t="s">
        <v>30</v>
      </c>
      <c r="E479" s="67" t="s">
        <v>19</v>
      </c>
      <c r="F479" s="67" t="s">
        <v>16</v>
      </c>
      <c r="G479" s="67" t="s">
        <v>723</v>
      </c>
      <c r="H479" s="127">
        <v>0.43740000000000001</v>
      </c>
      <c r="I479" s="109">
        <v>0.15990000000000001</v>
      </c>
      <c r="J479" s="109" t="s">
        <v>717</v>
      </c>
      <c r="K479" s="109">
        <v>0.14170000000000002</v>
      </c>
      <c r="L479" s="67">
        <v>5000</v>
      </c>
      <c r="M479" s="67">
        <v>500000</v>
      </c>
      <c r="N479" s="105">
        <v>44197</v>
      </c>
      <c r="O479" s="105">
        <v>44377</v>
      </c>
      <c r="P479" t="s">
        <v>718</v>
      </c>
    </row>
    <row r="480" spans="1:18" ht="15" customHeight="1" x14ac:dyDescent="0.3">
      <c r="A480" t="str">
        <f t="shared" si="8"/>
        <v>21-4-3RATE-SmartTRACKER Renewal</v>
      </c>
      <c r="B480" s="67" t="s">
        <v>13</v>
      </c>
      <c r="C480" s="67">
        <v>21</v>
      </c>
      <c r="D480" s="99" t="s">
        <v>30</v>
      </c>
      <c r="E480" s="67" t="s">
        <v>719</v>
      </c>
      <c r="F480" s="67" t="s">
        <v>18</v>
      </c>
      <c r="G480" s="67" t="s">
        <v>723</v>
      </c>
      <c r="H480" s="127">
        <v>0.43740000000000001</v>
      </c>
      <c r="I480" s="109">
        <v>0.1714</v>
      </c>
      <c r="J480" s="109">
        <v>0.12</v>
      </c>
      <c r="K480" s="109">
        <v>0.15570000000000001</v>
      </c>
      <c r="L480" s="67">
        <v>5000</v>
      </c>
      <c r="M480" s="67">
        <v>500000</v>
      </c>
      <c r="N480" s="105">
        <v>44197</v>
      </c>
      <c r="O480" s="105">
        <v>44377</v>
      </c>
      <c r="P480" t="s">
        <v>718</v>
      </c>
    </row>
    <row r="481" spans="1:16" ht="15" customHeight="1" x14ac:dyDescent="0.3">
      <c r="A481" t="str">
        <f t="shared" si="8"/>
        <v/>
      </c>
      <c r="B481" s="67" t="s">
        <v>13</v>
      </c>
      <c r="C481" s="67">
        <v>21</v>
      </c>
      <c r="D481" s="99" t="s">
        <v>30</v>
      </c>
      <c r="E481" s="67" t="s">
        <v>720</v>
      </c>
      <c r="F481" s="67" t="s">
        <v>18</v>
      </c>
      <c r="G481" s="67" t="s">
        <v>723</v>
      </c>
      <c r="H481" s="127">
        <v>0.43740000000000001</v>
      </c>
      <c r="I481" s="109" t="s">
        <v>717</v>
      </c>
      <c r="J481" s="109">
        <v>0.14170000000000002</v>
      </c>
      <c r="K481" s="109" t="s">
        <v>717</v>
      </c>
      <c r="L481" s="67">
        <v>5000</v>
      </c>
      <c r="M481" s="67">
        <v>500000</v>
      </c>
      <c r="N481" s="105">
        <v>44197</v>
      </c>
      <c r="O481" s="105">
        <v>44377</v>
      </c>
      <c r="P481" t="s">
        <v>718</v>
      </c>
    </row>
    <row r="482" spans="1:16" ht="15" customHeight="1" x14ac:dyDescent="0.3">
      <c r="A482" t="str">
        <f t="shared" si="8"/>
        <v>22-3-U-SmartTRACKER Renewal</v>
      </c>
      <c r="B482" s="67" t="s">
        <v>13</v>
      </c>
      <c r="C482" s="67">
        <v>22</v>
      </c>
      <c r="D482" s="99" t="s">
        <v>31</v>
      </c>
      <c r="E482" s="67" t="s">
        <v>716</v>
      </c>
      <c r="F482" s="67" t="s">
        <v>16</v>
      </c>
      <c r="G482" s="67" t="s">
        <v>723</v>
      </c>
      <c r="H482" s="127">
        <v>0.37709999999999999</v>
      </c>
      <c r="I482" s="109">
        <v>0.15870000000000001</v>
      </c>
      <c r="J482" s="109" t="s">
        <v>717</v>
      </c>
      <c r="K482" s="109" t="s">
        <v>717</v>
      </c>
      <c r="L482" s="67">
        <v>5000</v>
      </c>
      <c r="M482" s="67">
        <v>500000</v>
      </c>
      <c r="N482" s="105">
        <v>44197</v>
      </c>
      <c r="O482" s="105">
        <v>44377</v>
      </c>
      <c r="P482" t="s">
        <v>718</v>
      </c>
    </row>
    <row r="483" spans="1:16" ht="15" customHeight="1" x14ac:dyDescent="0.3">
      <c r="A483" t="str">
        <f t="shared" si="8"/>
        <v>22-4-E7-SmartTRACKER Renewal</v>
      </c>
      <c r="B483" s="67" t="s">
        <v>13</v>
      </c>
      <c r="C483" s="67">
        <v>22</v>
      </c>
      <c r="D483" s="99" t="s">
        <v>31</v>
      </c>
      <c r="E483" s="67" t="s">
        <v>17</v>
      </c>
      <c r="F483" s="67" t="s">
        <v>18</v>
      </c>
      <c r="G483" s="67" t="s">
        <v>723</v>
      </c>
      <c r="H483" s="127">
        <v>0.37709999999999999</v>
      </c>
      <c r="I483" s="109">
        <v>0.16690000000000002</v>
      </c>
      <c r="J483" s="109">
        <v>0.12659999999999999</v>
      </c>
      <c r="K483" s="109" t="s">
        <v>717</v>
      </c>
      <c r="L483" s="67">
        <v>5000</v>
      </c>
      <c r="M483" s="67">
        <v>500000</v>
      </c>
      <c r="N483" s="105">
        <v>44197</v>
      </c>
      <c r="O483" s="105">
        <v>44377</v>
      </c>
      <c r="P483" t="s">
        <v>718</v>
      </c>
    </row>
    <row r="484" spans="1:16" ht="15" customHeight="1" x14ac:dyDescent="0.3">
      <c r="A484" t="str">
        <f t="shared" si="8"/>
        <v>22-3-EW-SmartTRACKER Renewal</v>
      </c>
      <c r="B484" s="67" t="s">
        <v>13</v>
      </c>
      <c r="C484" s="67">
        <v>22</v>
      </c>
      <c r="D484" s="99" t="s">
        <v>31</v>
      </c>
      <c r="E484" s="67" t="s">
        <v>19</v>
      </c>
      <c r="F484" s="67" t="s">
        <v>16</v>
      </c>
      <c r="G484" s="67" t="s">
        <v>723</v>
      </c>
      <c r="H484" s="127">
        <v>0.37709999999999999</v>
      </c>
      <c r="I484" s="109">
        <v>0.16800000000000001</v>
      </c>
      <c r="J484" s="109" t="s">
        <v>717</v>
      </c>
      <c r="K484" s="109">
        <v>0.1472</v>
      </c>
      <c r="L484" s="67">
        <v>5000</v>
      </c>
      <c r="M484" s="67">
        <v>500000</v>
      </c>
      <c r="N484" s="105">
        <v>44197</v>
      </c>
      <c r="O484" s="105">
        <v>44377</v>
      </c>
      <c r="P484" t="s">
        <v>718</v>
      </c>
    </row>
    <row r="485" spans="1:16" ht="15" customHeight="1" x14ac:dyDescent="0.3">
      <c r="A485" t="str">
        <f t="shared" si="8"/>
        <v>22-4-3RATE-SmartTRACKER Renewal</v>
      </c>
      <c r="B485" s="67" t="s">
        <v>13</v>
      </c>
      <c r="C485" s="67">
        <v>22</v>
      </c>
      <c r="D485" s="99" t="s">
        <v>31</v>
      </c>
      <c r="E485" s="67" t="s">
        <v>719</v>
      </c>
      <c r="F485" s="67" t="s">
        <v>18</v>
      </c>
      <c r="G485" s="67" t="s">
        <v>723</v>
      </c>
      <c r="H485" s="127">
        <v>0.37709999999999999</v>
      </c>
      <c r="I485" s="109">
        <v>0.17580000000000001</v>
      </c>
      <c r="J485" s="109">
        <v>0.12129999999999999</v>
      </c>
      <c r="K485" s="109">
        <v>0.16209999999999999</v>
      </c>
      <c r="L485" s="67">
        <v>5000</v>
      </c>
      <c r="M485" s="67">
        <v>500000</v>
      </c>
      <c r="N485" s="105">
        <v>44197</v>
      </c>
      <c r="O485" s="105">
        <v>44377</v>
      </c>
      <c r="P485" t="s">
        <v>718</v>
      </c>
    </row>
    <row r="486" spans="1:16" ht="15" customHeight="1" x14ac:dyDescent="0.3">
      <c r="A486" t="str">
        <f t="shared" si="8"/>
        <v/>
      </c>
      <c r="B486" s="67" t="s">
        <v>13</v>
      </c>
      <c r="C486" s="67">
        <v>22</v>
      </c>
      <c r="D486" s="99" t="s">
        <v>31</v>
      </c>
      <c r="E486" s="67" t="s">
        <v>720</v>
      </c>
      <c r="F486" s="67" t="s">
        <v>18</v>
      </c>
      <c r="G486" s="67" t="s">
        <v>723</v>
      </c>
      <c r="H486" s="127">
        <v>0.37709999999999999</v>
      </c>
      <c r="I486" s="109" t="s">
        <v>717</v>
      </c>
      <c r="J486" s="109">
        <v>0.1472</v>
      </c>
      <c r="K486" s="109" t="s">
        <v>717</v>
      </c>
      <c r="L486" s="67">
        <v>5000</v>
      </c>
      <c r="M486" s="67">
        <v>500000</v>
      </c>
      <c r="N486" s="105">
        <v>44197</v>
      </c>
      <c r="O486" s="105">
        <v>44377</v>
      </c>
      <c r="P486" t="s">
        <v>718</v>
      </c>
    </row>
    <row r="487" spans="1:16" ht="15" customHeight="1" x14ac:dyDescent="0.3">
      <c r="A487" t="str">
        <f t="shared" si="8"/>
        <v>23-3-U-SmartTRACKER Renewal</v>
      </c>
      <c r="B487" s="67" t="s">
        <v>13</v>
      </c>
      <c r="C487" s="67">
        <v>23</v>
      </c>
      <c r="D487" s="99" t="s">
        <v>32</v>
      </c>
      <c r="E487" s="67" t="s">
        <v>716</v>
      </c>
      <c r="F487" s="67" t="s">
        <v>16</v>
      </c>
      <c r="G487" s="67" t="s">
        <v>723</v>
      </c>
      <c r="H487" s="127">
        <v>0.33129999999999998</v>
      </c>
      <c r="I487" s="109">
        <v>0.15210000000000001</v>
      </c>
      <c r="J487" s="109" t="s">
        <v>717</v>
      </c>
      <c r="K487" s="109" t="s">
        <v>717</v>
      </c>
      <c r="L487" s="67">
        <v>5000</v>
      </c>
      <c r="M487" s="67">
        <v>500000</v>
      </c>
      <c r="N487" s="105">
        <v>44197</v>
      </c>
      <c r="O487" s="105">
        <v>44377</v>
      </c>
      <c r="P487" t="s">
        <v>718</v>
      </c>
    </row>
    <row r="488" spans="1:16" ht="15" customHeight="1" x14ac:dyDescent="0.3">
      <c r="A488" t="str">
        <f t="shared" si="8"/>
        <v>23-4-E7-SmartTRACKER Renewal</v>
      </c>
      <c r="B488" s="67" t="s">
        <v>13</v>
      </c>
      <c r="C488" s="67">
        <v>23</v>
      </c>
      <c r="D488" s="99" t="s">
        <v>32</v>
      </c>
      <c r="E488" s="67" t="s">
        <v>17</v>
      </c>
      <c r="F488" s="67" t="s">
        <v>18</v>
      </c>
      <c r="G488" s="67" t="s">
        <v>723</v>
      </c>
      <c r="H488" s="127">
        <v>0.33129999999999998</v>
      </c>
      <c r="I488" s="109">
        <v>0.15810000000000002</v>
      </c>
      <c r="J488" s="109">
        <v>0.11679999999999999</v>
      </c>
      <c r="K488" s="109" t="s">
        <v>717</v>
      </c>
      <c r="L488" s="67">
        <v>5000</v>
      </c>
      <c r="M488" s="67">
        <v>500000</v>
      </c>
      <c r="N488" s="105">
        <v>44197</v>
      </c>
      <c r="O488" s="105">
        <v>44377</v>
      </c>
      <c r="P488" t="s">
        <v>718</v>
      </c>
    </row>
    <row r="489" spans="1:16" ht="15" customHeight="1" x14ac:dyDescent="0.3">
      <c r="A489" t="str">
        <f t="shared" si="8"/>
        <v>23-3-EW-SmartTRACKER Renewal</v>
      </c>
      <c r="B489" s="67" t="s">
        <v>13</v>
      </c>
      <c r="C489" s="67">
        <v>23</v>
      </c>
      <c r="D489" s="99" t="s">
        <v>32</v>
      </c>
      <c r="E489" s="67" t="s">
        <v>19</v>
      </c>
      <c r="F489" s="67" t="s">
        <v>16</v>
      </c>
      <c r="G489" s="67" t="s">
        <v>723</v>
      </c>
      <c r="H489" s="127">
        <v>0.33129999999999998</v>
      </c>
      <c r="I489" s="109">
        <v>0.1608</v>
      </c>
      <c r="J489" s="109" t="s">
        <v>717</v>
      </c>
      <c r="K489" s="109">
        <v>0.14030000000000001</v>
      </c>
      <c r="L489" s="67">
        <v>5000</v>
      </c>
      <c r="M489" s="67">
        <v>500000</v>
      </c>
      <c r="N489" s="105">
        <v>44197</v>
      </c>
      <c r="O489" s="105">
        <v>44377</v>
      </c>
      <c r="P489" t="s">
        <v>718</v>
      </c>
    </row>
    <row r="490" spans="1:16" ht="15" customHeight="1" x14ac:dyDescent="0.3">
      <c r="A490" t="str">
        <f t="shared" si="8"/>
        <v>23-4-3RATE-SmartTRACKER Renewal</v>
      </c>
      <c r="B490" s="67" t="s">
        <v>13</v>
      </c>
      <c r="C490" s="67">
        <v>23</v>
      </c>
      <c r="D490" s="99" t="s">
        <v>32</v>
      </c>
      <c r="E490" s="67" t="s">
        <v>719</v>
      </c>
      <c r="F490" s="67" t="s">
        <v>18</v>
      </c>
      <c r="G490" s="67" t="s">
        <v>723</v>
      </c>
      <c r="H490" s="127">
        <v>0.33129999999999998</v>
      </c>
      <c r="I490" s="109">
        <v>0.1699</v>
      </c>
      <c r="J490" s="109">
        <v>0.11960000000000001</v>
      </c>
      <c r="K490" s="109">
        <v>0.15110000000000001</v>
      </c>
      <c r="L490" s="67">
        <v>5000</v>
      </c>
      <c r="M490" s="67">
        <v>500000</v>
      </c>
      <c r="N490" s="105">
        <v>44197</v>
      </c>
      <c r="O490" s="105">
        <v>44377</v>
      </c>
      <c r="P490" t="s">
        <v>718</v>
      </c>
    </row>
    <row r="491" spans="1:16" ht="15" customHeight="1" x14ac:dyDescent="0.3">
      <c r="A491" t="str">
        <f t="shared" si="8"/>
        <v/>
      </c>
      <c r="B491" s="67" t="s">
        <v>13</v>
      </c>
      <c r="C491" s="67">
        <v>23</v>
      </c>
      <c r="D491" s="99" t="s">
        <v>32</v>
      </c>
      <c r="E491" s="67" t="s">
        <v>720</v>
      </c>
      <c r="F491" s="67" t="s">
        <v>18</v>
      </c>
      <c r="G491" s="67" t="s">
        <v>723</v>
      </c>
      <c r="H491" s="127">
        <v>0.33129999999999998</v>
      </c>
      <c r="I491" s="109" t="s">
        <v>717</v>
      </c>
      <c r="J491" s="109">
        <v>0.14030000000000001</v>
      </c>
      <c r="K491" s="109" t="s">
        <v>717</v>
      </c>
      <c r="L491" s="67">
        <v>5000</v>
      </c>
      <c r="M491" s="67">
        <v>500000</v>
      </c>
      <c r="N491" s="105">
        <v>44197</v>
      </c>
      <c r="O491" s="105">
        <v>44377</v>
      </c>
      <c r="P491" t="s">
        <v>718</v>
      </c>
    </row>
    <row r="492" spans="1:16" ht="15" customHeight="1" x14ac:dyDescent="0.3">
      <c r="A492" t="str">
        <f t="shared" si="8"/>
        <v>10-3-U-SmartTRACKER (Level 2)</v>
      </c>
      <c r="B492" s="67" t="s">
        <v>13</v>
      </c>
      <c r="C492" s="67">
        <v>10</v>
      </c>
      <c r="D492" s="99" t="s">
        <v>14</v>
      </c>
      <c r="E492" s="67" t="s">
        <v>716</v>
      </c>
      <c r="F492" s="67" t="s">
        <v>16</v>
      </c>
      <c r="G492" s="67" t="s">
        <v>724</v>
      </c>
      <c r="H492" s="127">
        <v>0.29909999999999998</v>
      </c>
      <c r="I492" s="109">
        <v>0.14749999999999999</v>
      </c>
      <c r="J492" s="109" t="s">
        <v>717</v>
      </c>
      <c r="K492" s="109" t="s">
        <v>717</v>
      </c>
      <c r="L492" s="67">
        <v>5000</v>
      </c>
      <c r="M492" s="67">
        <v>500000</v>
      </c>
      <c r="N492" s="105">
        <v>44378</v>
      </c>
      <c r="O492" s="105">
        <v>44561</v>
      </c>
      <c r="P492" t="s">
        <v>718</v>
      </c>
    </row>
    <row r="493" spans="1:16" ht="15" customHeight="1" x14ac:dyDescent="0.3">
      <c r="A493" t="str">
        <f t="shared" si="8"/>
        <v>10-4-E7-SmartTRACKER (Level 2)</v>
      </c>
      <c r="B493" s="67" t="s">
        <v>13</v>
      </c>
      <c r="C493" s="67">
        <v>10</v>
      </c>
      <c r="D493" s="99" t="s">
        <v>14</v>
      </c>
      <c r="E493" s="67" t="s">
        <v>17</v>
      </c>
      <c r="F493" s="67" t="s">
        <v>18</v>
      </c>
      <c r="G493" s="67" t="s">
        <v>724</v>
      </c>
      <c r="H493" s="127">
        <v>0.29909999999999998</v>
      </c>
      <c r="I493" s="109">
        <v>0.15679999999999999</v>
      </c>
      <c r="J493" s="109">
        <v>0.108</v>
      </c>
      <c r="K493" s="109" t="s">
        <v>717</v>
      </c>
      <c r="L493" s="67">
        <v>5000</v>
      </c>
      <c r="M493" s="67">
        <v>500000</v>
      </c>
      <c r="N493" s="105">
        <v>44378</v>
      </c>
      <c r="O493" s="105">
        <v>44561</v>
      </c>
      <c r="P493" t="s">
        <v>718</v>
      </c>
    </row>
    <row r="494" spans="1:16" ht="15" customHeight="1" x14ac:dyDescent="0.3">
      <c r="A494" t="str">
        <f t="shared" si="8"/>
        <v>10-3-EW-SmartTRACKER (Level 2)</v>
      </c>
      <c r="B494" s="67" t="s">
        <v>13</v>
      </c>
      <c r="C494" s="67">
        <v>10</v>
      </c>
      <c r="D494" s="99" t="s">
        <v>14</v>
      </c>
      <c r="E494" s="67" t="s">
        <v>19</v>
      </c>
      <c r="F494" s="67" t="s">
        <v>16</v>
      </c>
      <c r="G494" s="67" t="s">
        <v>724</v>
      </c>
      <c r="H494" s="127">
        <v>0.29909999999999998</v>
      </c>
      <c r="I494" s="109">
        <v>0.1565</v>
      </c>
      <c r="J494" s="109" t="s">
        <v>717</v>
      </c>
      <c r="K494" s="109">
        <v>0.13400000000000001</v>
      </c>
      <c r="L494" s="67">
        <v>5000</v>
      </c>
      <c r="M494" s="67">
        <v>500000</v>
      </c>
      <c r="N494" s="105">
        <v>44378</v>
      </c>
      <c r="O494" s="105">
        <v>44561</v>
      </c>
      <c r="P494" t="s">
        <v>718</v>
      </c>
    </row>
    <row r="495" spans="1:16" ht="15" customHeight="1" x14ac:dyDescent="0.3">
      <c r="A495" t="str">
        <f t="shared" si="8"/>
        <v>10-4-3RATE-SmartTRACKER (Level 2)</v>
      </c>
      <c r="B495" s="67" t="s">
        <v>13</v>
      </c>
      <c r="C495" s="67">
        <v>10</v>
      </c>
      <c r="D495" s="99" t="s">
        <v>14</v>
      </c>
      <c r="E495" s="67" t="s">
        <v>719</v>
      </c>
      <c r="F495" s="67" t="s">
        <v>18</v>
      </c>
      <c r="G495" s="67" t="s">
        <v>724</v>
      </c>
      <c r="H495" s="127">
        <v>0.29909999999999998</v>
      </c>
      <c r="I495" s="109">
        <v>0.1671</v>
      </c>
      <c r="J495" s="109">
        <v>0.1074</v>
      </c>
      <c r="K495" s="109">
        <v>0.15</v>
      </c>
      <c r="L495" s="67">
        <v>5000</v>
      </c>
      <c r="M495" s="67">
        <v>500000</v>
      </c>
      <c r="N495" s="105">
        <v>44378</v>
      </c>
      <c r="O495" s="105">
        <v>44561</v>
      </c>
      <c r="P495" t="s">
        <v>718</v>
      </c>
    </row>
    <row r="496" spans="1:16" ht="15" customHeight="1" x14ac:dyDescent="0.3">
      <c r="A496" t="str">
        <f t="shared" si="8"/>
        <v/>
      </c>
      <c r="B496" s="67" t="s">
        <v>13</v>
      </c>
      <c r="C496" s="67">
        <v>10</v>
      </c>
      <c r="D496" s="99" t="s">
        <v>14</v>
      </c>
      <c r="E496" s="67" t="s">
        <v>720</v>
      </c>
      <c r="F496" s="67" t="s">
        <v>18</v>
      </c>
      <c r="G496" s="67" t="s">
        <v>724</v>
      </c>
      <c r="H496" s="127">
        <v>0.29909999999999998</v>
      </c>
      <c r="I496" s="109" t="s">
        <v>717</v>
      </c>
      <c r="J496" s="109">
        <v>0.13400000000000001</v>
      </c>
      <c r="K496" s="109" t="s">
        <v>717</v>
      </c>
      <c r="L496" s="67">
        <v>5000</v>
      </c>
      <c r="M496" s="67">
        <v>500000</v>
      </c>
      <c r="N496" s="105">
        <v>44378</v>
      </c>
      <c r="O496" s="105">
        <v>44561</v>
      </c>
      <c r="P496" t="s">
        <v>718</v>
      </c>
    </row>
    <row r="497" spans="1:16" ht="15" customHeight="1" x14ac:dyDescent="0.3">
      <c r="A497" t="str">
        <f t="shared" si="8"/>
        <v>11-3-U-SmartTRACKER (Level 2)</v>
      </c>
      <c r="B497" s="67" t="s">
        <v>13</v>
      </c>
      <c r="C497" s="67">
        <v>11</v>
      </c>
      <c r="D497" s="99" t="s">
        <v>20</v>
      </c>
      <c r="E497" s="67" t="s">
        <v>716</v>
      </c>
      <c r="F497" s="67" t="s">
        <v>16</v>
      </c>
      <c r="G497" s="67" t="s">
        <v>724</v>
      </c>
      <c r="H497" s="127">
        <v>0.30819999999999997</v>
      </c>
      <c r="I497" s="109">
        <v>0.14699999999999999</v>
      </c>
      <c r="J497" s="109" t="s">
        <v>717</v>
      </c>
      <c r="K497" s="109" t="s">
        <v>717</v>
      </c>
      <c r="L497" s="67">
        <v>5000</v>
      </c>
      <c r="M497" s="67">
        <v>500000</v>
      </c>
      <c r="N497" s="105">
        <v>44378</v>
      </c>
      <c r="O497" s="105">
        <v>44561</v>
      </c>
      <c r="P497" t="s">
        <v>718</v>
      </c>
    </row>
    <row r="498" spans="1:16" ht="15" customHeight="1" x14ac:dyDescent="0.3">
      <c r="A498" t="str">
        <f t="shared" si="8"/>
        <v>11-4-E7-SmartTRACKER (Level 2)</v>
      </c>
      <c r="B498" s="67" t="s">
        <v>13</v>
      </c>
      <c r="C498" s="67">
        <v>11</v>
      </c>
      <c r="D498" s="99" t="s">
        <v>20</v>
      </c>
      <c r="E498" s="67" t="s">
        <v>17</v>
      </c>
      <c r="F498" s="67" t="s">
        <v>18</v>
      </c>
      <c r="G498" s="67" t="s">
        <v>724</v>
      </c>
      <c r="H498" s="127">
        <v>0.30819999999999997</v>
      </c>
      <c r="I498" s="109">
        <v>0.15540000000000001</v>
      </c>
      <c r="J498" s="109">
        <v>0.1137</v>
      </c>
      <c r="K498" s="109" t="s">
        <v>717</v>
      </c>
      <c r="L498" s="67">
        <v>5000</v>
      </c>
      <c r="M498" s="67">
        <v>500000</v>
      </c>
      <c r="N498" s="105">
        <v>44378</v>
      </c>
      <c r="O498" s="105">
        <v>44561</v>
      </c>
      <c r="P498" t="s">
        <v>718</v>
      </c>
    </row>
    <row r="499" spans="1:16" ht="15" customHeight="1" x14ac:dyDescent="0.3">
      <c r="A499" t="str">
        <f t="shared" si="8"/>
        <v>11-3-EW-SmartTRACKER (Level 2)</v>
      </c>
      <c r="B499" s="67" t="s">
        <v>13</v>
      </c>
      <c r="C499" s="67">
        <v>11</v>
      </c>
      <c r="D499" s="99" t="s">
        <v>20</v>
      </c>
      <c r="E499" s="67" t="s">
        <v>19</v>
      </c>
      <c r="F499" s="67" t="s">
        <v>16</v>
      </c>
      <c r="G499" s="67" t="s">
        <v>724</v>
      </c>
      <c r="H499" s="127">
        <v>0.30819999999999997</v>
      </c>
      <c r="I499" s="109">
        <v>0.15540000000000001</v>
      </c>
      <c r="J499" s="109" t="s">
        <v>717</v>
      </c>
      <c r="K499" s="109">
        <v>0.13389999999999999</v>
      </c>
      <c r="L499" s="67">
        <v>5000</v>
      </c>
      <c r="M499" s="67">
        <v>500000</v>
      </c>
      <c r="N499" s="105">
        <v>44378</v>
      </c>
      <c r="O499" s="105">
        <v>44561</v>
      </c>
      <c r="P499" t="s">
        <v>718</v>
      </c>
    </row>
    <row r="500" spans="1:16" ht="15" customHeight="1" x14ac:dyDescent="0.3">
      <c r="A500" t="str">
        <f t="shared" si="8"/>
        <v>11-4-3RATE-SmartTRACKER (Level 2)</v>
      </c>
      <c r="B500" s="67" t="s">
        <v>13</v>
      </c>
      <c r="C500" s="67">
        <v>11</v>
      </c>
      <c r="D500" s="99" t="s">
        <v>20</v>
      </c>
      <c r="E500" s="67" t="s">
        <v>719</v>
      </c>
      <c r="F500" s="67" t="s">
        <v>18</v>
      </c>
      <c r="G500" s="67" t="s">
        <v>724</v>
      </c>
      <c r="H500" s="127">
        <v>0.30819999999999997</v>
      </c>
      <c r="I500" s="109">
        <v>0.16270000000000001</v>
      </c>
      <c r="J500" s="109">
        <v>0.1082</v>
      </c>
      <c r="K500" s="109">
        <v>0.14219999999999999</v>
      </c>
      <c r="L500" s="67">
        <v>5000</v>
      </c>
      <c r="M500" s="67">
        <v>500000</v>
      </c>
      <c r="N500" s="105">
        <v>44378</v>
      </c>
      <c r="O500" s="105">
        <v>44561</v>
      </c>
      <c r="P500" t="s">
        <v>718</v>
      </c>
    </row>
    <row r="501" spans="1:16" ht="15" customHeight="1" x14ac:dyDescent="0.3">
      <c r="A501" t="str">
        <f t="shared" si="8"/>
        <v/>
      </c>
      <c r="B501" s="67" t="s">
        <v>13</v>
      </c>
      <c r="C501" s="67">
        <v>11</v>
      </c>
      <c r="D501" s="99" t="s">
        <v>20</v>
      </c>
      <c r="E501" s="67" t="s">
        <v>720</v>
      </c>
      <c r="F501" s="67" t="s">
        <v>18</v>
      </c>
      <c r="G501" s="67" t="s">
        <v>724</v>
      </c>
      <c r="H501" s="127">
        <v>0.30819999999999997</v>
      </c>
      <c r="I501" s="109" t="s">
        <v>717</v>
      </c>
      <c r="J501" s="109">
        <v>0.13389999999999999</v>
      </c>
      <c r="K501" s="109" t="s">
        <v>717</v>
      </c>
      <c r="L501" s="67">
        <v>5000</v>
      </c>
      <c r="M501" s="67">
        <v>500000</v>
      </c>
      <c r="N501" s="105">
        <v>44378</v>
      </c>
      <c r="O501" s="105">
        <v>44561</v>
      </c>
      <c r="P501" t="s">
        <v>718</v>
      </c>
    </row>
    <row r="502" spans="1:16" ht="15" customHeight="1" x14ac:dyDescent="0.3">
      <c r="A502" t="str">
        <f t="shared" si="8"/>
        <v>12-3-U-SmartTRACKER (Level 2)</v>
      </c>
      <c r="B502" s="67" t="s">
        <v>13</v>
      </c>
      <c r="C502" s="67">
        <v>12</v>
      </c>
      <c r="D502" s="99" t="s">
        <v>21</v>
      </c>
      <c r="E502" s="67" t="s">
        <v>716</v>
      </c>
      <c r="F502" s="67" t="s">
        <v>16</v>
      </c>
      <c r="G502" s="67" t="s">
        <v>724</v>
      </c>
      <c r="H502" s="127">
        <v>0.2326</v>
      </c>
      <c r="I502" s="109">
        <v>0.1399</v>
      </c>
      <c r="J502" s="109" t="s">
        <v>717</v>
      </c>
      <c r="K502" s="109" t="s">
        <v>717</v>
      </c>
      <c r="L502" s="67">
        <v>5000</v>
      </c>
      <c r="M502" s="67">
        <v>500000</v>
      </c>
      <c r="N502" s="105">
        <v>44378</v>
      </c>
      <c r="O502" s="105">
        <v>44561</v>
      </c>
      <c r="P502" t="s">
        <v>718</v>
      </c>
    </row>
    <row r="503" spans="1:16" ht="15" customHeight="1" x14ac:dyDescent="0.3">
      <c r="A503" t="str">
        <f t="shared" si="8"/>
        <v>12-4-E7-SmartTRACKER (Level 2)</v>
      </c>
      <c r="B503" s="67" t="s">
        <v>13</v>
      </c>
      <c r="C503" s="67">
        <v>12</v>
      </c>
      <c r="D503" s="99" t="s">
        <v>21</v>
      </c>
      <c r="E503" s="67" t="s">
        <v>17</v>
      </c>
      <c r="F503" s="67" t="s">
        <v>18</v>
      </c>
      <c r="G503" s="67" t="s">
        <v>724</v>
      </c>
      <c r="H503" s="127">
        <v>0.2326</v>
      </c>
      <c r="I503" s="109">
        <v>0.15</v>
      </c>
      <c r="J503" s="109">
        <v>0.1074</v>
      </c>
      <c r="K503" s="109" t="s">
        <v>717</v>
      </c>
      <c r="L503" s="67">
        <v>5000</v>
      </c>
      <c r="M503" s="67">
        <v>500000</v>
      </c>
      <c r="N503" s="105">
        <v>44378</v>
      </c>
      <c r="O503" s="105">
        <v>44561</v>
      </c>
      <c r="P503" t="s">
        <v>718</v>
      </c>
    </row>
    <row r="504" spans="1:16" ht="15" customHeight="1" x14ac:dyDescent="0.3">
      <c r="A504" t="str">
        <f t="shared" si="8"/>
        <v>12-3-EW-SmartTRACKER (Level 2)</v>
      </c>
      <c r="B504" s="67" t="s">
        <v>13</v>
      </c>
      <c r="C504" s="67">
        <v>12</v>
      </c>
      <c r="D504" s="99" t="s">
        <v>21</v>
      </c>
      <c r="E504" s="67" t="s">
        <v>19</v>
      </c>
      <c r="F504" s="67" t="s">
        <v>16</v>
      </c>
      <c r="G504" s="67" t="s">
        <v>724</v>
      </c>
      <c r="H504" s="127">
        <v>0.2326</v>
      </c>
      <c r="I504" s="109">
        <v>0.1482</v>
      </c>
      <c r="J504" s="109" t="s">
        <v>717</v>
      </c>
      <c r="K504" s="109">
        <v>0.1283</v>
      </c>
      <c r="L504" s="67">
        <v>5000</v>
      </c>
      <c r="M504" s="67">
        <v>500000</v>
      </c>
      <c r="N504" s="105">
        <v>44378</v>
      </c>
      <c r="O504" s="105">
        <v>44561</v>
      </c>
      <c r="P504" t="s">
        <v>718</v>
      </c>
    </row>
    <row r="505" spans="1:16" ht="15" customHeight="1" x14ac:dyDescent="0.3">
      <c r="A505" t="str">
        <f t="shared" si="8"/>
        <v>12-4-3RATE-SmartTRACKER (Level 2)</v>
      </c>
      <c r="B505" s="67" t="s">
        <v>13</v>
      </c>
      <c r="C505" s="67">
        <v>12</v>
      </c>
      <c r="D505" s="99" t="s">
        <v>21</v>
      </c>
      <c r="E505" s="67" t="s">
        <v>719</v>
      </c>
      <c r="F505" s="67" t="s">
        <v>18</v>
      </c>
      <c r="G505" s="67" t="s">
        <v>724</v>
      </c>
      <c r="H505" s="127">
        <v>0.2326</v>
      </c>
      <c r="I505" s="109">
        <v>0.24399999999999999</v>
      </c>
      <c r="J505" s="109">
        <v>0.24399999999999999</v>
      </c>
      <c r="K505" s="109">
        <v>0.24399999999999999</v>
      </c>
      <c r="L505" s="67">
        <v>5000</v>
      </c>
      <c r="M505" s="67">
        <v>500000</v>
      </c>
      <c r="N505" s="105">
        <v>44378</v>
      </c>
      <c r="O505" s="105">
        <v>44561</v>
      </c>
      <c r="P505" t="s">
        <v>718</v>
      </c>
    </row>
    <row r="506" spans="1:16" ht="15" customHeight="1" x14ac:dyDescent="0.3">
      <c r="A506" t="str">
        <f t="shared" si="8"/>
        <v/>
      </c>
      <c r="B506" s="67" t="s">
        <v>13</v>
      </c>
      <c r="C506" s="67">
        <v>12</v>
      </c>
      <c r="D506" s="99" t="s">
        <v>21</v>
      </c>
      <c r="E506" s="67" t="s">
        <v>720</v>
      </c>
      <c r="F506" s="67" t="s">
        <v>18</v>
      </c>
      <c r="G506" s="67" t="s">
        <v>724</v>
      </c>
      <c r="H506" s="127">
        <v>0.2326</v>
      </c>
      <c r="I506" s="109" t="s">
        <v>717</v>
      </c>
      <c r="J506" s="109">
        <v>0.1283</v>
      </c>
      <c r="K506" s="109" t="s">
        <v>717</v>
      </c>
      <c r="L506" s="67">
        <v>5000</v>
      </c>
      <c r="M506" s="67">
        <v>500000</v>
      </c>
      <c r="N506" s="105">
        <v>44378</v>
      </c>
      <c r="O506" s="105">
        <v>44561</v>
      </c>
      <c r="P506" t="s">
        <v>718</v>
      </c>
    </row>
    <row r="507" spans="1:16" ht="15" customHeight="1" x14ac:dyDescent="0.3">
      <c r="A507" t="str">
        <f t="shared" si="8"/>
        <v>13-3-U-SmartTRACKER (Level 2)</v>
      </c>
      <c r="B507" s="67" t="s">
        <v>13</v>
      </c>
      <c r="C507" s="67">
        <v>13</v>
      </c>
      <c r="D507" s="99" t="s">
        <v>22</v>
      </c>
      <c r="E507" s="67" t="s">
        <v>716</v>
      </c>
      <c r="F507" s="67" t="s">
        <v>16</v>
      </c>
      <c r="G507" s="67" t="s">
        <v>724</v>
      </c>
      <c r="H507" s="127">
        <v>0.2737</v>
      </c>
      <c r="I507" s="109">
        <v>0.16489999999999999</v>
      </c>
      <c r="J507" s="109" t="s">
        <v>717</v>
      </c>
      <c r="K507" s="109" t="s">
        <v>717</v>
      </c>
      <c r="L507" s="67">
        <v>5000</v>
      </c>
      <c r="M507" s="67">
        <v>500000</v>
      </c>
      <c r="N507" s="105">
        <v>44378</v>
      </c>
      <c r="O507" s="105">
        <v>44561</v>
      </c>
      <c r="P507" t="s">
        <v>718</v>
      </c>
    </row>
    <row r="508" spans="1:16" ht="15" customHeight="1" x14ac:dyDescent="0.3">
      <c r="A508" t="str">
        <f t="shared" si="8"/>
        <v>13-4-E7-SmartTRACKER (Level 2)</v>
      </c>
      <c r="B508" s="67" t="s">
        <v>13</v>
      </c>
      <c r="C508" s="67">
        <v>13</v>
      </c>
      <c r="D508" s="99" t="s">
        <v>22</v>
      </c>
      <c r="E508" s="67" t="s">
        <v>17</v>
      </c>
      <c r="F508" s="67" t="s">
        <v>18</v>
      </c>
      <c r="G508" s="67" t="s">
        <v>724</v>
      </c>
      <c r="H508" s="127">
        <v>0.2737</v>
      </c>
      <c r="I508" s="109">
        <v>0.1741</v>
      </c>
      <c r="J508" s="109">
        <v>0.12470000000000001</v>
      </c>
      <c r="K508" s="109" t="s">
        <v>717</v>
      </c>
      <c r="L508" s="67">
        <v>5000</v>
      </c>
      <c r="M508" s="67">
        <v>500000</v>
      </c>
      <c r="N508" s="105">
        <v>44378</v>
      </c>
      <c r="O508" s="105">
        <v>44561</v>
      </c>
      <c r="P508" t="s">
        <v>718</v>
      </c>
    </row>
    <row r="509" spans="1:16" ht="15" customHeight="1" x14ac:dyDescent="0.3">
      <c r="A509" t="str">
        <f t="shared" si="8"/>
        <v>13-3-EW-SmartTRACKER (Level 2)</v>
      </c>
      <c r="B509" s="67" t="s">
        <v>13</v>
      </c>
      <c r="C509" s="67">
        <v>13</v>
      </c>
      <c r="D509" s="99" t="s">
        <v>22</v>
      </c>
      <c r="E509" s="67" t="s">
        <v>19</v>
      </c>
      <c r="F509" s="67" t="s">
        <v>16</v>
      </c>
      <c r="G509" s="67" t="s">
        <v>724</v>
      </c>
      <c r="H509" s="127">
        <v>0.2737</v>
      </c>
      <c r="I509" s="109">
        <v>0.24399999999999999</v>
      </c>
      <c r="J509" s="109" t="s">
        <v>717</v>
      </c>
      <c r="K509" s="109">
        <v>0.24399999999999999</v>
      </c>
      <c r="L509" s="67">
        <v>5000</v>
      </c>
      <c r="M509" s="67">
        <v>500000</v>
      </c>
      <c r="N509" s="105">
        <v>44378</v>
      </c>
      <c r="O509" s="105">
        <v>44561</v>
      </c>
      <c r="P509" t="s">
        <v>718</v>
      </c>
    </row>
    <row r="510" spans="1:16" ht="15" customHeight="1" x14ac:dyDescent="0.3">
      <c r="A510" t="str">
        <f t="shared" si="8"/>
        <v>13-4-3RATE-SmartTRACKER (Level 2)</v>
      </c>
      <c r="B510" s="67" t="s">
        <v>13</v>
      </c>
      <c r="C510" s="67">
        <v>13</v>
      </c>
      <c r="D510" s="99" t="s">
        <v>22</v>
      </c>
      <c r="E510" s="67" t="s">
        <v>719</v>
      </c>
      <c r="F510" s="67" t="s">
        <v>18</v>
      </c>
      <c r="G510" s="67" t="s">
        <v>724</v>
      </c>
      <c r="H510" s="127">
        <v>0.2737</v>
      </c>
      <c r="I510" s="109">
        <v>0.1787</v>
      </c>
      <c r="J510" s="109">
        <v>0.12130000000000001</v>
      </c>
      <c r="K510" s="109">
        <v>0.16470000000000001</v>
      </c>
      <c r="L510" s="67">
        <v>5000</v>
      </c>
      <c r="M510" s="67">
        <v>500000</v>
      </c>
      <c r="N510" s="105">
        <v>44378</v>
      </c>
      <c r="O510" s="105">
        <v>44561</v>
      </c>
      <c r="P510" t="s">
        <v>718</v>
      </c>
    </row>
    <row r="511" spans="1:16" ht="15" customHeight="1" x14ac:dyDescent="0.3">
      <c r="A511" t="str">
        <f t="shared" si="8"/>
        <v/>
      </c>
      <c r="B511" s="67" t="s">
        <v>13</v>
      </c>
      <c r="C511" s="67">
        <v>13</v>
      </c>
      <c r="D511" s="99" t="s">
        <v>22</v>
      </c>
      <c r="E511" s="67" t="s">
        <v>720</v>
      </c>
      <c r="F511" s="67" t="s">
        <v>18</v>
      </c>
      <c r="G511" s="67" t="s">
        <v>724</v>
      </c>
      <c r="H511" s="127">
        <v>0.2737</v>
      </c>
      <c r="I511" s="109" t="s">
        <v>717</v>
      </c>
      <c r="J511" s="109">
        <v>0.12470000000000001</v>
      </c>
      <c r="K511" s="109" t="s">
        <v>717</v>
      </c>
      <c r="L511" s="67">
        <v>5000</v>
      </c>
      <c r="M511" s="67">
        <v>500000</v>
      </c>
      <c r="N511" s="105">
        <v>44378</v>
      </c>
      <c r="O511" s="105">
        <v>44561</v>
      </c>
      <c r="P511" t="s">
        <v>718</v>
      </c>
    </row>
    <row r="512" spans="1:16" ht="15" customHeight="1" x14ac:dyDescent="0.3">
      <c r="A512" t="str">
        <f t="shared" si="8"/>
        <v>14-3-U-SmartTRACKER (Level 2)</v>
      </c>
      <c r="B512" s="67" t="s">
        <v>13</v>
      </c>
      <c r="C512" s="67">
        <v>14</v>
      </c>
      <c r="D512" s="99" t="s">
        <v>23</v>
      </c>
      <c r="E512" s="67" t="s">
        <v>716</v>
      </c>
      <c r="F512" s="67" t="s">
        <v>16</v>
      </c>
      <c r="G512" s="67" t="s">
        <v>724</v>
      </c>
      <c r="H512" s="127">
        <v>0.33779999999999999</v>
      </c>
      <c r="I512" s="109">
        <v>0.15</v>
      </c>
      <c r="J512" s="109" t="s">
        <v>717</v>
      </c>
      <c r="K512" s="109" t="s">
        <v>717</v>
      </c>
      <c r="L512" s="67">
        <v>5000</v>
      </c>
      <c r="M512" s="67">
        <v>500000</v>
      </c>
      <c r="N512" s="105">
        <v>44378</v>
      </c>
      <c r="O512" s="105">
        <v>44561</v>
      </c>
      <c r="P512" t="s">
        <v>718</v>
      </c>
    </row>
    <row r="513" spans="1:16" ht="15" customHeight="1" x14ac:dyDescent="0.3">
      <c r="A513" t="str">
        <f t="shared" si="8"/>
        <v>14-4-E7-SmartTRACKER (Level 2)</v>
      </c>
      <c r="B513" s="67" t="s">
        <v>13</v>
      </c>
      <c r="C513" s="67">
        <v>14</v>
      </c>
      <c r="D513" s="99" t="s">
        <v>23</v>
      </c>
      <c r="E513" s="67" t="s">
        <v>17</v>
      </c>
      <c r="F513" s="67" t="s">
        <v>18</v>
      </c>
      <c r="G513" s="67" t="s">
        <v>724</v>
      </c>
      <c r="H513" s="127">
        <v>0.33779999999999999</v>
      </c>
      <c r="I513" s="109">
        <v>0.1573</v>
      </c>
      <c r="J513" s="109">
        <v>0.11409999999999999</v>
      </c>
      <c r="K513" s="109" t="s">
        <v>717</v>
      </c>
      <c r="L513" s="67">
        <v>5000</v>
      </c>
      <c r="M513" s="67">
        <v>500000</v>
      </c>
      <c r="N513" s="105">
        <v>44378</v>
      </c>
      <c r="O513" s="105">
        <v>44561</v>
      </c>
      <c r="P513" t="s">
        <v>718</v>
      </c>
    </row>
    <row r="514" spans="1:16" ht="15" customHeight="1" x14ac:dyDescent="0.3">
      <c r="A514" t="str">
        <f t="shared" si="8"/>
        <v>14-3-EW-SmartTRACKER (Level 2)</v>
      </c>
      <c r="B514" s="67" t="s">
        <v>13</v>
      </c>
      <c r="C514" s="67">
        <v>14</v>
      </c>
      <c r="D514" s="99" t="s">
        <v>23</v>
      </c>
      <c r="E514" s="67" t="s">
        <v>19</v>
      </c>
      <c r="F514" s="67" t="s">
        <v>16</v>
      </c>
      <c r="G514" s="67" t="s">
        <v>724</v>
      </c>
      <c r="H514" s="127">
        <v>0.33779999999999999</v>
      </c>
      <c r="I514" s="109">
        <v>0.1573</v>
      </c>
      <c r="J514" s="109" t="s">
        <v>717</v>
      </c>
      <c r="K514" s="109">
        <v>0.13919999999999999</v>
      </c>
      <c r="L514" s="67">
        <v>5000</v>
      </c>
      <c r="M514" s="67">
        <v>500000</v>
      </c>
      <c r="N514" s="105">
        <v>44378</v>
      </c>
      <c r="O514" s="105">
        <v>44561</v>
      </c>
      <c r="P514" t="s">
        <v>718</v>
      </c>
    </row>
    <row r="515" spans="1:16" ht="15" customHeight="1" x14ac:dyDescent="0.3">
      <c r="A515" t="str">
        <f t="shared" si="8"/>
        <v>14-4-3RATE-SmartTRACKER (Level 2)</v>
      </c>
      <c r="B515" s="67" t="s">
        <v>13</v>
      </c>
      <c r="C515" s="67">
        <v>14</v>
      </c>
      <c r="D515" s="99" t="s">
        <v>23</v>
      </c>
      <c r="E515" s="67" t="s">
        <v>719</v>
      </c>
      <c r="F515" s="67" t="s">
        <v>18</v>
      </c>
      <c r="G515" s="67" t="s">
        <v>724</v>
      </c>
      <c r="H515" s="127">
        <v>0.33779999999999999</v>
      </c>
      <c r="I515" s="109">
        <v>0.24399999999999999</v>
      </c>
      <c r="J515" s="109">
        <v>0.24399999999999999</v>
      </c>
      <c r="K515" s="109">
        <v>0.24399999999999999</v>
      </c>
      <c r="L515" s="67">
        <v>5000</v>
      </c>
      <c r="M515" s="67">
        <v>500000</v>
      </c>
      <c r="N515" s="105">
        <v>44378</v>
      </c>
      <c r="O515" s="105">
        <v>44561</v>
      </c>
      <c r="P515" t="s">
        <v>718</v>
      </c>
    </row>
    <row r="516" spans="1:16" ht="15" customHeight="1" x14ac:dyDescent="0.3">
      <c r="A516" t="str">
        <f t="shared" si="8"/>
        <v/>
      </c>
      <c r="B516" s="67" t="s">
        <v>13</v>
      </c>
      <c r="C516" s="67">
        <v>14</v>
      </c>
      <c r="D516" s="99" t="s">
        <v>23</v>
      </c>
      <c r="E516" s="67" t="s">
        <v>720</v>
      </c>
      <c r="F516" s="67" t="s">
        <v>18</v>
      </c>
      <c r="G516" s="67" t="s">
        <v>724</v>
      </c>
      <c r="H516" s="127">
        <v>0.33779999999999999</v>
      </c>
      <c r="I516" s="109" t="s">
        <v>717</v>
      </c>
      <c r="J516" s="109">
        <v>0.13919999999999999</v>
      </c>
      <c r="K516" s="109" t="s">
        <v>717</v>
      </c>
      <c r="L516" s="67">
        <v>5000</v>
      </c>
      <c r="M516" s="67">
        <v>500000</v>
      </c>
      <c r="N516" s="105">
        <v>44378</v>
      </c>
      <c r="O516" s="105">
        <v>44561</v>
      </c>
      <c r="P516" t="s">
        <v>718</v>
      </c>
    </row>
    <row r="517" spans="1:16" ht="15" customHeight="1" x14ac:dyDescent="0.3">
      <c r="A517" t="str">
        <f t="shared" si="8"/>
        <v>15-3-U-SmartTRACKER (Level 2)</v>
      </c>
      <c r="B517" s="67" t="s">
        <v>13</v>
      </c>
      <c r="C517" s="67">
        <v>15</v>
      </c>
      <c r="D517" s="99" t="s">
        <v>24</v>
      </c>
      <c r="E517" s="67" t="s">
        <v>716</v>
      </c>
      <c r="F517" s="67" t="s">
        <v>16</v>
      </c>
      <c r="G517" s="67" t="s">
        <v>724</v>
      </c>
      <c r="H517" s="127">
        <v>0.3135</v>
      </c>
      <c r="I517" s="109">
        <v>0.1489</v>
      </c>
      <c r="J517" s="109" t="s">
        <v>717</v>
      </c>
      <c r="K517" s="109" t="s">
        <v>717</v>
      </c>
      <c r="L517" s="67">
        <v>5000</v>
      </c>
      <c r="M517" s="67">
        <v>500000</v>
      </c>
      <c r="N517" s="105">
        <v>44378</v>
      </c>
      <c r="O517" s="105">
        <v>44561</v>
      </c>
      <c r="P517" t="s">
        <v>718</v>
      </c>
    </row>
    <row r="518" spans="1:16" ht="15" customHeight="1" x14ac:dyDescent="0.3">
      <c r="A518" t="str">
        <f t="shared" si="8"/>
        <v>15-4-E7-SmartTRACKER (Level 2)</v>
      </c>
      <c r="B518" s="67" t="s">
        <v>13</v>
      </c>
      <c r="C518" s="67">
        <v>15</v>
      </c>
      <c r="D518" s="99" t="s">
        <v>24</v>
      </c>
      <c r="E518" s="67" t="s">
        <v>17</v>
      </c>
      <c r="F518" s="67" t="s">
        <v>18</v>
      </c>
      <c r="G518" s="67" t="s">
        <v>724</v>
      </c>
      <c r="H518" s="127">
        <v>0.3135</v>
      </c>
      <c r="I518" s="109">
        <v>0.1547</v>
      </c>
      <c r="J518" s="109">
        <v>0.11360000000000001</v>
      </c>
      <c r="K518" s="109" t="s">
        <v>717</v>
      </c>
      <c r="L518" s="67">
        <v>5000</v>
      </c>
      <c r="M518" s="67">
        <v>500000</v>
      </c>
      <c r="N518" s="105">
        <v>44378</v>
      </c>
      <c r="O518" s="105">
        <v>44561</v>
      </c>
      <c r="P518" t="s">
        <v>718</v>
      </c>
    </row>
    <row r="519" spans="1:16" ht="15" customHeight="1" x14ac:dyDescent="0.3">
      <c r="A519" t="str">
        <f t="shared" si="8"/>
        <v>15-3-EW-SmartTRACKER (Level 2)</v>
      </c>
      <c r="B519" s="67" t="s">
        <v>13</v>
      </c>
      <c r="C519" s="67">
        <v>15</v>
      </c>
      <c r="D519" s="99" t="s">
        <v>24</v>
      </c>
      <c r="E519" s="67" t="s">
        <v>19</v>
      </c>
      <c r="F519" s="67" t="s">
        <v>16</v>
      </c>
      <c r="G519" s="67" t="s">
        <v>724</v>
      </c>
      <c r="H519" s="127">
        <v>0.3135</v>
      </c>
      <c r="I519" s="109">
        <v>0.159</v>
      </c>
      <c r="J519" s="109" t="s">
        <v>717</v>
      </c>
      <c r="K519" s="109">
        <v>0.1376</v>
      </c>
      <c r="L519" s="67">
        <v>5000</v>
      </c>
      <c r="M519" s="67">
        <v>500000</v>
      </c>
      <c r="N519" s="105">
        <v>44378</v>
      </c>
      <c r="O519" s="105">
        <v>44561</v>
      </c>
      <c r="P519" t="s">
        <v>718</v>
      </c>
    </row>
    <row r="520" spans="1:16" ht="15" customHeight="1" x14ac:dyDescent="0.3">
      <c r="A520" t="str">
        <f t="shared" si="8"/>
        <v>15-4-3RATE-SmartTRACKER (Level 2)</v>
      </c>
      <c r="B520" s="67" t="s">
        <v>13</v>
      </c>
      <c r="C520" s="67">
        <v>15</v>
      </c>
      <c r="D520" s="99" t="s">
        <v>24</v>
      </c>
      <c r="E520" s="67" t="s">
        <v>719</v>
      </c>
      <c r="F520" s="67" t="s">
        <v>18</v>
      </c>
      <c r="G520" s="67" t="s">
        <v>724</v>
      </c>
      <c r="H520" s="127">
        <v>0.3135</v>
      </c>
      <c r="I520" s="109">
        <v>0.24399999999999999</v>
      </c>
      <c r="J520" s="109">
        <v>0.24399999999999999</v>
      </c>
      <c r="K520" s="109">
        <v>0.24399999999999999</v>
      </c>
      <c r="L520" s="67">
        <v>5000</v>
      </c>
      <c r="M520" s="67">
        <v>500000</v>
      </c>
      <c r="N520" s="105">
        <v>44378</v>
      </c>
      <c r="O520" s="105">
        <v>44561</v>
      </c>
      <c r="P520" t="s">
        <v>718</v>
      </c>
    </row>
    <row r="521" spans="1:16" ht="15" customHeight="1" x14ac:dyDescent="0.3">
      <c r="A521" t="str">
        <f t="shared" si="8"/>
        <v/>
      </c>
      <c r="B521" s="67" t="s">
        <v>13</v>
      </c>
      <c r="C521" s="67">
        <v>15</v>
      </c>
      <c r="D521" s="99" t="s">
        <v>24</v>
      </c>
      <c r="E521" s="67" t="s">
        <v>720</v>
      </c>
      <c r="F521" s="67" t="s">
        <v>18</v>
      </c>
      <c r="G521" s="67" t="s">
        <v>724</v>
      </c>
      <c r="H521" s="127">
        <v>0.3135</v>
      </c>
      <c r="I521" s="109" t="s">
        <v>717</v>
      </c>
      <c r="J521" s="109">
        <v>0.1376</v>
      </c>
      <c r="K521" s="109" t="s">
        <v>717</v>
      </c>
      <c r="L521" s="67">
        <v>5000</v>
      </c>
      <c r="M521" s="67">
        <v>500000</v>
      </c>
      <c r="N521" s="105">
        <v>44378</v>
      </c>
      <c r="O521" s="105">
        <v>44561</v>
      </c>
      <c r="P521" t="s">
        <v>718</v>
      </c>
    </row>
    <row r="522" spans="1:16" ht="15" customHeight="1" x14ac:dyDescent="0.3">
      <c r="A522" t="str">
        <f t="shared" si="8"/>
        <v>16-3-U-SmartTRACKER (Level 2)</v>
      </c>
      <c r="B522" s="67" t="s">
        <v>13</v>
      </c>
      <c r="C522" s="67">
        <v>16</v>
      </c>
      <c r="D522" s="99" t="s">
        <v>25</v>
      </c>
      <c r="E522" s="67" t="s">
        <v>716</v>
      </c>
      <c r="F522" s="67" t="s">
        <v>16</v>
      </c>
      <c r="G522" s="67" t="s">
        <v>724</v>
      </c>
      <c r="H522" s="127">
        <v>0.26540000000000002</v>
      </c>
      <c r="I522" s="109">
        <v>0.15129999999999999</v>
      </c>
      <c r="J522" s="109" t="s">
        <v>717</v>
      </c>
      <c r="K522" s="109" t="s">
        <v>717</v>
      </c>
      <c r="L522" s="67">
        <v>5000</v>
      </c>
      <c r="M522" s="67">
        <v>500000</v>
      </c>
      <c r="N522" s="105">
        <v>44378</v>
      </c>
      <c r="O522" s="105">
        <v>44561</v>
      </c>
      <c r="P522" t="s">
        <v>718</v>
      </c>
    </row>
    <row r="523" spans="1:16" ht="15" customHeight="1" x14ac:dyDescent="0.3">
      <c r="A523" t="str">
        <f t="shared" si="8"/>
        <v>16-4-E7-SmartTRACKER (Level 2)</v>
      </c>
      <c r="B523" s="67" t="s">
        <v>13</v>
      </c>
      <c r="C523" s="67">
        <v>16</v>
      </c>
      <c r="D523" s="99" t="s">
        <v>25</v>
      </c>
      <c r="E523" s="67" t="s">
        <v>17</v>
      </c>
      <c r="F523" s="67" t="s">
        <v>18</v>
      </c>
      <c r="G523" s="67" t="s">
        <v>724</v>
      </c>
      <c r="H523" s="127">
        <v>0.26540000000000002</v>
      </c>
      <c r="I523" s="109">
        <v>0.15820000000000001</v>
      </c>
      <c r="J523" s="109">
        <v>0.115</v>
      </c>
      <c r="K523" s="109" t="s">
        <v>717</v>
      </c>
      <c r="L523" s="67">
        <v>5000</v>
      </c>
      <c r="M523" s="67">
        <v>500000</v>
      </c>
      <c r="N523" s="105">
        <v>44378</v>
      </c>
      <c r="O523" s="105">
        <v>44561</v>
      </c>
      <c r="P523" t="s">
        <v>718</v>
      </c>
    </row>
    <row r="524" spans="1:16" ht="15" customHeight="1" x14ac:dyDescent="0.3">
      <c r="A524" t="str">
        <f t="shared" ref="A524:A587" si="9">IF(E524="OP","",CONCATENATE(C524,"-",RIGHT(F524,1),"-",IF(OR(E524="1 Rate MD",E524="DAY"),"U",IF(OR(E524="2 Rate MD",E524="E7"),"E7",IF(OR(E524="3 Rate MD (EW)",E524="EW"),"EW",IF(OR(E524="3 Rate MD",E524="EWN"),"3RATE",IF(E524="HH 2RATE (CT)","HH 2RATE (CT)",IF(E524="HH 2RATE (WC)","HH 2RATE (WC)",IF(E524="HH 1RATE (CT)","HH 1RATE (CT)",IF(E524="HH 1RATE (WC)","HH 1RATE (WC)")))))))),"-",G524))</f>
        <v>16-3-EW-SmartTRACKER (Level 2)</v>
      </c>
      <c r="B524" s="67" t="s">
        <v>13</v>
      </c>
      <c r="C524" s="67">
        <v>16</v>
      </c>
      <c r="D524" s="99" t="s">
        <v>25</v>
      </c>
      <c r="E524" s="67" t="s">
        <v>19</v>
      </c>
      <c r="F524" s="67" t="s">
        <v>16</v>
      </c>
      <c r="G524" s="67" t="s">
        <v>724</v>
      </c>
      <c r="H524" s="127">
        <v>0.26540000000000002</v>
      </c>
      <c r="I524" s="109">
        <v>0.1613</v>
      </c>
      <c r="J524" s="109" t="s">
        <v>717</v>
      </c>
      <c r="K524" s="109">
        <v>0.13930000000000001</v>
      </c>
      <c r="L524" s="67">
        <v>5000</v>
      </c>
      <c r="M524" s="67">
        <v>500000</v>
      </c>
      <c r="N524" s="105">
        <v>44378</v>
      </c>
      <c r="O524" s="105">
        <v>44561</v>
      </c>
      <c r="P524" t="s">
        <v>718</v>
      </c>
    </row>
    <row r="525" spans="1:16" ht="15" customHeight="1" x14ac:dyDescent="0.3">
      <c r="A525" t="str">
        <f t="shared" si="9"/>
        <v>16-4-3RATE-SmartTRACKER (Level 2)</v>
      </c>
      <c r="B525" s="67" t="s">
        <v>13</v>
      </c>
      <c r="C525" s="67">
        <v>16</v>
      </c>
      <c r="D525" s="99" t="s">
        <v>25</v>
      </c>
      <c r="E525" s="67" t="s">
        <v>719</v>
      </c>
      <c r="F525" s="67" t="s">
        <v>18</v>
      </c>
      <c r="G525" s="67" t="s">
        <v>724</v>
      </c>
      <c r="H525" s="127">
        <v>0.26540000000000002</v>
      </c>
      <c r="I525" s="109">
        <v>0.16689999999999999</v>
      </c>
      <c r="J525" s="109">
        <v>0.1119</v>
      </c>
      <c r="K525" s="109">
        <v>0.1416</v>
      </c>
      <c r="L525" s="67">
        <v>5000</v>
      </c>
      <c r="M525" s="67">
        <v>500000</v>
      </c>
      <c r="N525" s="105">
        <v>44378</v>
      </c>
      <c r="O525" s="105">
        <v>44561</v>
      </c>
      <c r="P525" t="s">
        <v>718</v>
      </c>
    </row>
    <row r="526" spans="1:16" ht="15" customHeight="1" x14ac:dyDescent="0.3">
      <c r="A526" t="str">
        <f t="shared" si="9"/>
        <v/>
      </c>
      <c r="B526" s="67" t="s">
        <v>13</v>
      </c>
      <c r="C526" s="67">
        <v>16</v>
      </c>
      <c r="D526" s="99" t="s">
        <v>25</v>
      </c>
      <c r="E526" s="67" t="s">
        <v>720</v>
      </c>
      <c r="F526" s="67" t="s">
        <v>18</v>
      </c>
      <c r="G526" s="67" t="s">
        <v>724</v>
      </c>
      <c r="H526" s="127">
        <v>0.26540000000000002</v>
      </c>
      <c r="I526" s="109" t="s">
        <v>717</v>
      </c>
      <c r="J526" s="109">
        <v>0.13930000000000001</v>
      </c>
      <c r="K526" s="109" t="s">
        <v>717</v>
      </c>
      <c r="L526" s="67">
        <v>5000</v>
      </c>
      <c r="M526" s="67">
        <v>500000</v>
      </c>
      <c r="N526" s="105">
        <v>44378</v>
      </c>
      <c r="O526" s="105">
        <v>44561</v>
      </c>
      <c r="P526" t="s">
        <v>718</v>
      </c>
    </row>
    <row r="527" spans="1:16" ht="15" customHeight="1" x14ac:dyDescent="0.3">
      <c r="A527" t="str">
        <f t="shared" si="9"/>
        <v>17-3-U-SmartTRACKER (Level 2)</v>
      </c>
      <c r="B527" s="67" t="s">
        <v>13</v>
      </c>
      <c r="C527" s="67">
        <v>17</v>
      </c>
      <c r="D527" s="99" t="s">
        <v>26</v>
      </c>
      <c r="E527" s="67" t="s">
        <v>716</v>
      </c>
      <c r="F527" s="67" t="s">
        <v>16</v>
      </c>
      <c r="G527" s="67" t="s">
        <v>724</v>
      </c>
      <c r="H527" s="127">
        <v>0.34960000000000002</v>
      </c>
      <c r="I527" s="109">
        <v>0.154</v>
      </c>
      <c r="J527" s="109" t="s">
        <v>717</v>
      </c>
      <c r="K527" s="109" t="s">
        <v>717</v>
      </c>
      <c r="L527" s="67">
        <v>5000</v>
      </c>
      <c r="M527" s="67">
        <v>500000</v>
      </c>
      <c r="N527" s="105">
        <v>44378</v>
      </c>
      <c r="O527" s="105">
        <v>44561</v>
      </c>
      <c r="P527" t="s">
        <v>718</v>
      </c>
    </row>
    <row r="528" spans="1:16" ht="15" customHeight="1" x14ac:dyDescent="0.3">
      <c r="A528" t="str">
        <f t="shared" si="9"/>
        <v>17-4-E7-SmartTRACKER (Level 2)</v>
      </c>
      <c r="B528" s="67" t="s">
        <v>13</v>
      </c>
      <c r="C528" s="67">
        <v>17</v>
      </c>
      <c r="D528" s="99" t="s">
        <v>26</v>
      </c>
      <c r="E528" s="67" t="s">
        <v>17</v>
      </c>
      <c r="F528" s="67" t="s">
        <v>18</v>
      </c>
      <c r="G528" s="67" t="s">
        <v>724</v>
      </c>
      <c r="H528" s="127">
        <v>0.34960000000000002</v>
      </c>
      <c r="I528" s="109">
        <v>0.1696</v>
      </c>
      <c r="J528" s="109">
        <v>0.1246</v>
      </c>
      <c r="K528" s="109" t="s">
        <v>717</v>
      </c>
      <c r="L528" s="67">
        <v>5000</v>
      </c>
      <c r="M528" s="67">
        <v>500000</v>
      </c>
      <c r="N528" s="105">
        <v>44378</v>
      </c>
      <c r="O528" s="105">
        <v>44561</v>
      </c>
      <c r="P528" t="s">
        <v>718</v>
      </c>
    </row>
    <row r="529" spans="1:16" ht="15" customHeight="1" x14ac:dyDescent="0.3">
      <c r="A529" t="str">
        <f t="shared" si="9"/>
        <v>17-3-EW-SmartTRACKER (Level 2)</v>
      </c>
      <c r="B529" s="67" t="s">
        <v>13</v>
      </c>
      <c r="C529" s="67">
        <v>17</v>
      </c>
      <c r="D529" s="99" t="s">
        <v>26</v>
      </c>
      <c r="E529" s="67" t="s">
        <v>19</v>
      </c>
      <c r="F529" s="67" t="s">
        <v>16</v>
      </c>
      <c r="G529" s="67" t="s">
        <v>724</v>
      </c>
      <c r="H529" s="127">
        <v>0.34960000000000002</v>
      </c>
      <c r="I529" s="109">
        <v>0.1615</v>
      </c>
      <c r="J529" s="109" t="s">
        <v>717</v>
      </c>
      <c r="K529" s="109">
        <v>0.14419999999999999</v>
      </c>
      <c r="L529" s="67">
        <v>5000</v>
      </c>
      <c r="M529" s="67">
        <v>500000</v>
      </c>
      <c r="N529" s="105">
        <v>44378</v>
      </c>
      <c r="O529" s="105">
        <v>44561</v>
      </c>
      <c r="P529" t="s">
        <v>718</v>
      </c>
    </row>
    <row r="530" spans="1:16" ht="15" customHeight="1" x14ac:dyDescent="0.3">
      <c r="A530" t="str">
        <f t="shared" si="9"/>
        <v>17-4-3RATE-SmartTRACKER (Level 2)</v>
      </c>
      <c r="B530" s="67" t="s">
        <v>13</v>
      </c>
      <c r="C530" s="67">
        <v>17</v>
      </c>
      <c r="D530" s="99" t="s">
        <v>26</v>
      </c>
      <c r="E530" s="67" t="s">
        <v>719</v>
      </c>
      <c r="F530" s="67" t="s">
        <v>18</v>
      </c>
      <c r="G530" s="67" t="s">
        <v>724</v>
      </c>
      <c r="H530" s="127">
        <v>0.34960000000000002</v>
      </c>
      <c r="I530" s="109">
        <v>0.24399999999999999</v>
      </c>
      <c r="J530" s="109">
        <v>0.24399999999999999</v>
      </c>
      <c r="K530" s="109">
        <v>0.24399999999999999</v>
      </c>
      <c r="L530" s="67">
        <v>5000</v>
      </c>
      <c r="M530" s="67">
        <v>500000</v>
      </c>
      <c r="N530" s="105">
        <v>44378</v>
      </c>
      <c r="O530" s="105">
        <v>44561</v>
      </c>
      <c r="P530" t="s">
        <v>718</v>
      </c>
    </row>
    <row r="531" spans="1:16" ht="15" customHeight="1" x14ac:dyDescent="0.3">
      <c r="A531" t="str">
        <f t="shared" si="9"/>
        <v/>
      </c>
      <c r="B531" s="67" t="s">
        <v>13</v>
      </c>
      <c r="C531" s="67">
        <v>17</v>
      </c>
      <c r="D531" s="99" t="s">
        <v>26</v>
      </c>
      <c r="E531" s="67" t="s">
        <v>720</v>
      </c>
      <c r="F531" s="67" t="s">
        <v>18</v>
      </c>
      <c r="G531" s="67" t="s">
        <v>724</v>
      </c>
      <c r="H531" s="127">
        <v>0.34960000000000002</v>
      </c>
      <c r="I531" s="109" t="s">
        <v>717</v>
      </c>
      <c r="J531" s="109">
        <v>0.14419999999999999</v>
      </c>
      <c r="K531" s="109" t="s">
        <v>717</v>
      </c>
      <c r="L531" s="67">
        <v>5000</v>
      </c>
      <c r="M531" s="67">
        <v>500000</v>
      </c>
      <c r="N531" s="105">
        <v>44378</v>
      </c>
      <c r="O531" s="105">
        <v>44561</v>
      </c>
      <c r="P531" t="s">
        <v>718</v>
      </c>
    </row>
    <row r="532" spans="1:16" ht="15" customHeight="1" x14ac:dyDescent="0.3">
      <c r="A532" t="str">
        <f t="shared" si="9"/>
        <v>18-3-U-SmartTRACKER (Level 2)</v>
      </c>
      <c r="B532" s="67" t="s">
        <v>13</v>
      </c>
      <c r="C532" s="67">
        <v>18</v>
      </c>
      <c r="D532" s="99" t="s">
        <v>27</v>
      </c>
      <c r="E532" s="67" t="s">
        <v>716</v>
      </c>
      <c r="F532" s="67" t="s">
        <v>16</v>
      </c>
      <c r="G532" s="67" t="s">
        <v>724</v>
      </c>
      <c r="H532" s="127">
        <v>0.30499999999999999</v>
      </c>
      <c r="I532" s="109">
        <v>0.14929999999999999</v>
      </c>
      <c r="J532" s="109" t="s">
        <v>717</v>
      </c>
      <c r="K532" s="109" t="s">
        <v>717</v>
      </c>
      <c r="L532" s="67">
        <v>5000</v>
      </c>
      <c r="M532" s="67">
        <v>500000</v>
      </c>
      <c r="N532" s="105">
        <v>44378</v>
      </c>
      <c r="O532" s="105">
        <v>44561</v>
      </c>
      <c r="P532" t="s">
        <v>718</v>
      </c>
    </row>
    <row r="533" spans="1:16" ht="15" customHeight="1" x14ac:dyDescent="0.3">
      <c r="A533" t="str">
        <f t="shared" si="9"/>
        <v>18-4-E7-SmartTRACKER (Level 2)</v>
      </c>
      <c r="B533" s="67" t="s">
        <v>13</v>
      </c>
      <c r="C533" s="67">
        <v>18</v>
      </c>
      <c r="D533" s="99" t="s">
        <v>27</v>
      </c>
      <c r="E533" s="67" t="s">
        <v>17</v>
      </c>
      <c r="F533" s="67" t="s">
        <v>18</v>
      </c>
      <c r="G533" s="67" t="s">
        <v>724</v>
      </c>
      <c r="H533" s="127">
        <v>0.30499999999999999</v>
      </c>
      <c r="I533" s="109">
        <v>0.16220000000000001</v>
      </c>
      <c r="J533" s="109">
        <v>0.1197</v>
      </c>
      <c r="K533" s="109" t="s">
        <v>717</v>
      </c>
      <c r="L533" s="67">
        <v>5000</v>
      </c>
      <c r="M533" s="67">
        <v>500000</v>
      </c>
      <c r="N533" s="105">
        <v>44378</v>
      </c>
      <c r="O533" s="105">
        <v>44561</v>
      </c>
      <c r="P533" t="s">
        <v>718</v>
      </c>
    </row>
    <row r="534" spans="1:16" ht="15" customHeight="1" x14ac:dyDescent="0.3">
      <c r="A534" t="str">
        <f t="shared" si="9"/>
        <v>18-3-EW-SmartTRACKER (Level 2)</v>
      </c>
      <c r="B534" s="67" t="s">
        <v>13</v>
      </c>
      <c r="C534" s="67">
        <v>18</v>
      </c>
      <c r="D534" s="99" t="s">
        <v>27</v>
      </c>
      <c r="E534" s="67" t="s">
        <v>19</v>
      </c>
      <c r="F534" s="67" t="s">
        <v>16</v>
      </c>
      <c r="G534" s="67" t="s">
        <v>724</v>
      </c>
      <c r="H534" s="127">
        <v>0.30499999999999999</v>
      </c>
      <c r="I534" s="109">
        <v>0.15690000000000001</v>
      </c>
      <c r="J534" s="109" t="s">
        <v>717</v>
      </c>
      <c r="K534" s="109">
        <v>0.13830000000000001</v>
      </c>
      <c r="L534" s="67">
        <v>5000</v>
      </c>
      <c r="M534" s="67">
        <v>500000</v>
      </c>
      <c r="N534" s="105">
        <v>44378</v>
      </c>
      <c r="O534" s="105">
        <v>44561</v>
      </c>
      <c r="P534" t="s">
        <v>718</v>
      </c>
    </row>
    <row r="535" spans="1:16" ht="15" customHeight="1" x14ac:dyDescent="0.3">
      <c r="A535" t="str">
        <f t="shared" si="9"/>
        <v>18-4-3RATE-SmartTRACKER (Level 2)</v>
      </c>
      <c r="B535" s="67" t="s">
        <v>13</v>
      </c>
      <c r="C535" s="67">
        <v>18</v>
      </c>
      <c r="D535" s="99" t="s">
        <v>27</v>
      </c>
      <c r="E535" s="67" t="s">
        <v>719</v>
      </c>
      <c r="F535" s="67" t="s">
        <v>18</v>
      </c>
      <c r="G535" s="67" t="s">
        <v>724</v>
      </c>
      <c r="H535" s="127">
        <v>0.30499999999999999</v>
      </c>
      <c r="I535" s="109">
        <v>0.24399999999999999</v>
      </c>
      <c r="J535" s="109">
        <v>0.24399999999999999</v>
      </c>
      <c r="K535" s="109">
        <v>0.24399999999999999</v>
      </c>
      <c r="L535" s="67">
        <v>5000</v>
      </c>
      <c r="M535" s="67">
        <v>500000</v>
      </c>
      <c r="N535" s="105">
        <v>44378</v>
      </c>
      <c r="O535" s="105">
        <v>44561</v>
      </c>
      <c r="P535" t="s">
        <v>718</v>
      </c>
    </row>
    <row r="536" spans="1:16" ht="15" customHeight="1" x14ac:dyDescent="0.3">
      <c r="A536" t="str">
        <f t="shared" si="9"/>
        <v/>
      </c>
      <c r="B536" s="67" t="s">
        <v>13</v>
      </c>
      <c r="C536" s="67">
        <v>18</v>
      </c>
      <c r="D536" s="99" t="s">
        <v>27</v>
      </c>
      <c r="E536" s="67" t="s">
        <v>720</v>
      </c>
      <c r="F536" s="67" t="s">
        <v>18</v>
      </c>
      <c r="G536" s="67" t="s">
        <v>724</v>
      </c>
      <c r="H536" s="127">
        <v>0.30499999999999999</v>
      </c>
      <c r="I536" s="109" t="s">
        <v>717</v>
      </c>
      <c r="J536" s="109">
        <v>0.13830000000000001</v>
      </c>
      <c r="K536" s="109" t="s">
        <v>717</v>
      </c>
      <c r="L536" s="67">
        <v>5000</v>
      </c>
      <c r="M536" s="67">
        <v>500000</v>
      </c>
      <c r="N536" s="105">
        <v>44378</v>
      </c>
      <c r="O536" s="105">
        <v>44561</v>
      </c>
      <c r="P536" t="s">
        <v>718</v>
      </c>
    </row>
    <row r="537" spans="1:16" ht="15" customHeight="1" x14ac:dyDescent="0.3">
      <c r="A537" t="str">
        <f t="shared" si="9"/>
        <v>19-3-U-SmartTRACKER (Level 2)</v>
      </c>
      <c r="B537" s="67" t="s">
        <v>13</v>
      </c>
      <c r="C537" s="67">
        <v>19</v>
      </c>
      <c r="D537" s="99" t="s">
        <v>28</v>
      </c>
      <c r="E537" s="67" t="s">
        <v>716</v>
      </c>
      <c r="F537" s="67" t="s">
        <v>16</v>
      </c>
      <c r="G537" s="67" t="s">
        <v>724</v>
      </c>
      <c r="H537" s="127">
        <v>0.28989999999999999</v>
      </c>
      <c r="I537" s="109">
        <v>0.14979999999999999</v>
      </c>
      <c r="J537" s="109" t="s">
        <v>717</v>
      </c>
      <c r="K537" s="109" t="s">
        <v>717</v>
      </c>
      <c r="L537" s="67">
        <v>5000</v>
      </c>
      <c r="M537" s="67">
        <v>500000</v>
      </c>
      <c r="N537" s="105">
        <v>44378</v>
      </c>
      <c r="O537" s="105">
        <v>44561</v>
      </c>
      <c r="P537" t="s">
        <v>718</v>
      </c>
    </row>
    <row r="538" spans="1:16" ht="15" customHeight="1" x14ac:dyDescent="0.3">
      <c r="A538" t="str">
        <f t="shared" si="9"/>
        <v>19-4-E7-SmartTRACKER (Level 2)</v>
      </c>
      <c r="B538" s="67" t="s">
        <v>13</v>
      </c>
      <c r="C538" s="67">
        <v>19</v>
      </c>
      <c r="D538" s="99" t="s">
        <v>28</v>
      </c>
      <c r="E538" s="67" t="s">
        <v>17</v>
      </c>
      <c r="F538" s="67" t="s">
        <v>18</v>
      </c>
      <c r="G538" s="67" t="s">
        <v>724</v>
      </c>
      <c r="H538" s="127">
        <v>0.28989999999999999</v>
      </c>
      <c r="I538" s="109">
        <v>0.1583</v>
      </c>
      <c r="J538" s="109">
        <v>0.1108</v>
      </c>
      <c r="K538" s="109" t="s">
        <v>717</v>
      </c>
      <c r="L538" s="67">
        <v>5000</v>
      </c>
      <c r="M538" s="67">
        <v>500000</v>
      </c>
      <c r="N538" s="105">
        <v>44378</v>
      </c>
      <c r="O538" s="105">
        <v>44561</v>
      </c>
      <c r="P538" t="s">
        <v>718</v>
      </c>
    </row>
    <row r="539" spans="1:16" ht="15" customHeight="1" x14ac:dyDescent="0.3">
      <c r="A539" t="str">
        <f t="shared" si="9"/>
        <v>19-3-EW-SmartTRACKER (Level 2)</v>
      </c>
      <c r="B539" s="67" t="s">
        <v>13</v>
      </c>
      <c r="C539" s="67">
        <v>19</v>
      </c>
      <c r="D539" s="99" t="s">
        <v>28</v>
      </c>
      <c r="E539" s="67" t="s">
        <v>19</v>
      </c>
      <c r="F539" s="67" t="s">
        <v>16</v>
      </c>
      <c r="G539" s="67" t="s">
        <v>724</v>
      </c>
      <c r="H539" s="127">
        <v>0.28989999999999999</v>
      </c>
      <c r="I539" s="109">
        <v>0.24399999999999999</v>
      </c>
      <c r="J539" s="109" t="s">
        <v>717</v>
      </c>
      <c r="K539" s="109">
        <v>0.24399999999999999</v>
      </c>
      <c r="L539" s="67">
        <v>5000</v>
      </c>
      <c r="M539" s="67">
        <v>500000</v>
      </c>
      <c r="N539" s="105">
        <v>44378</v>
      </c>
      <c r="O539" s="105">
        <v>44561</v>
      </c>
      <c r="P539" t="s">
        <v>718</v>
      </c>
    </row>
    <row r="540" spans="1:16" ht="15" customHeight="1" x14ac:dyDescent="0.3">
      <c r="A540" t="str">
        <f t="shared" si="9"/>
        <v>19-4-3RATE-SmartTRACKER (Level 2)</v>
      </c>
      <c r="B540" s="67" t="s">
        <v>13</v>
      </c>
      <c r="C540" s="67">
        <v>19</v>
      </c>
      <c r="D540" s="99" t="s">
        <v>28</v>
      </c>
      <c r="E540" s="67" t="s">
        <v>719</v>
      </c>
      <c r="F540" s="67" t="s">
        <v>18</v>
      </c>
      <c r="G540" s="67" t="s">
        <v>724</v>
      </c>
      <c r="H540" s="127">
        <v>0.28989999999999999</v>
      </c>
      <c r="I540" s="109">
        <v>0.16850000000000001</v>
      </c>
      <c r="J540" s="109">
        <v>0.11210000000000001</v>
      </c>
      <c r="K540" s="109">
        <v>0.15620000000000001</v>
      </c>
      <c r="L540" s="67">
        <v>5000</v>
      </c>
      <c r="M540" s="67">
        <v>500000</v>
      </c>
      <c r="N540" s="105">
        <v>44378</v>
      </c>
      <c r="O540" s="105">
        <v>44561</v>
      </c>
      <c r="P540" t="s">
        <v>718</v>
      </c>
    </row>
    <row r="541" spans="1:16" ht="15" customHeight="1" x14ac:dyDescent="0.3">
      <c r="A541" t="str">
        <f t="shared" si="9"/>
        <v/>
      </c>
      <c r="B541" s="67" t="s">
        <v>13</v>
      </c>
      <c r="C541" s="67">
        <v>19</v>
      </c>
      <c r="D541" s="99" t="s">
        <v>28</v>
      </c>
      <c r="E541" s="67" t="s">
        <v>720</v>
      </c>
      <c r="F541" s="67" t="s">
        <v>18</v>
      </c>
      <c r="G541" s="67" t="s">
        <v>724</v>
      </c>
      <c r="H541" s="127">
        <v>0.28989999999999999</v>
      </c>
      <c r="I541" s="109" t="s">
        <v>717</v>
      </c>
      <c r="J541" s="109">
        <v>0.1108</v>
      </c>
      <c r="K541" s="109" t="s">
        <v>717</v>
      </c>
      <c r="L541" s="67">
        <v>5000</v>
      </c>
      <c r="M541" s="67">
        <v>500000</v>
      </c>
      <c r="N541" s="105">
        <v>44378</v>
      </c>
      <c r="O541" s="105">
        <v>44561</v>
      </c>
      <c r="P541" t="s">
        <v>718</v>
      </c>
    </row>
    <row r="542" spans="1:16" ht="15" customHeight="1" x14ac:dyDescent="0.3">
      <c r="A542" t="str">
        <f t="shared" si="9"/>
        <v>20-3-U-SmartTRACKER (Level 2)</v>
      </c>
      <c r="B542" s="67" t="s">
        <v>13</v>
      </c>
      <c r="C542" s="67">
        <v>20</v>
      </c>
      <c r="D542" s="99" t="s">
        <v>29</v>
      </c>
      <c r="E542" s="67" t="s">
        <v>716</v>
      </c>
      <c r="F542" s="67" t="s">
        <v>16</v>
      </c>
      <c r="G542" s="67" t="s">
        <v>724</v>
      </c>
      <c r="H542" s="127">
        <v>0.2873</v>
      </c>
      <c r="I542" s="109">
        <v>0.14549999999999999</v>
      </c>
      <c r="J542" s="109" t="s">
        <v>717</v>
      </c>
      <c r="K542" s="109" t="s">
        <v>717</v>
      </c>
      <c r="L542" s="67">
        <v>5000</v>
      </c>
      <c r="M542" s="67">
        <v>500000</v>
      </c>
      <c r="N542" s="105">
        <v>44378</v>
      </c>
      <c r="O542" s="105">
        <v>44561</v>
      </c>
      <c r="P542" t="s">
        <v>718</v>
      </c>
    </row>
    <row r="543" spans="1:16" ht="15" customHeight="1" x14ac:dyDescent="0.3">
      <c r="A543" t="str">
        <f t="shared" si="9"/>
        <v>20-4-E7-SmartTRACKER (Level 2)</v>
      </c>
      <c r="B543" s="67" t="s">
        <v>13</v>
      </c>
      <c r="C543" s="67">
        <v>20</v>
      </c>
      <c r="D543" s="99" t="s">
        <v>29</v>
      </c>
      <c r="E543" s="67" t="s">
        <v>17</v>
      </c>
      <c r="F543" s="67" t="s">
        <v>18</v>
      </c>
      <c r="G543" s="67" t="s">
        <v>724</v>
      </c>
      <c r="H543" s="127">
        <v>0.2873</v>
      </c>
      <c r="I543" s="109">
        <v>0.15659999999999999</v>
      </c>
      <c r="J543" s="109">
        <v>0.11269999999999999</v>
      </c>
      <c r="K543" s="109" t="s">
        <v>717</v>
      </c>
      <c r="L543" s="67">
        <v>5000</v>
      </c>
      <c r="M543" s="67">
        <v>500000</v>
      </c>
      <c r="N543" s="105">
        <v>44378</v>
      </c>
      <c r="O543" s="105">
        <v>44561</v>
      </c>
      <c r="P543" t="s">
        <v>718</v>
      </c>
    </row>
    <row r="544" spans="1:16" ht="15" customHeight="1" x14ac:dyDescent="0.3">
      <c r="A544" t="str">
        <f t="shared" si="9"/>
        <v>20-3-EW-SmartTRACKER (Level 2)</v>
      </c>
      <c r="B544" s="67" t="s">
        <v>13</v>
      </c>
      <c r="C544" s="67">
        <v>20</v>
      </c>
      <c r="D544" s="99" t="s">
        <v>29</v>
      </c>
      <c r="E544" s="67" t="s">
        <v>19</v>
      </c>
      <c r="F544" s="67" t="s">
        <v>16</v>
      </c>
      <c r="G544" s="67" t="s">
        <v>724</v>
      </c>
      <c r="H544" s="127">
        <v>0.2873</v>
      </c>
      <c r="I544" s="109">
        <v>0.15459999999999999</v>
      </c>
      <c r="J544" s="109" t="s">
        <v>717</v>
      </c>
      <c r="K544" s="109">
        <v>0.13320000000000001</v>
      </c>
      <c r="L544" s="67">
        <v>5000</v>
      </c>
      <c r="M544" s="67">
        <v>500000</v>
      </c>
      <c r="N544" s="105">
        <v>44378</v>
      </c>
      <c r="O544" s="105">
        <v>44561</v>
      </c>
      <c r="P544" t="s">
        <v>718</v>
      </c>
    </row>
    <row r="545" spans="1:16" ht="15" customHeight="1" x14ac:dyDescent="0.3">
      <c r="A545" t="str">
        <f t="shared" si="9"/>
        <v>20-4-3RATE-SmartTRACKER (Level 2)</v>
      </c>
      <c r="B545" s="67" t="s">
        <v>13</v>
      </c>
      <c r="C545" s="67">
        <v>20</v>
      </c>
      <c r="D545" s="99" t="s">
        <v>29</v>
      </c>
      <c r="E545" s="67" t="s">
        <v>719</v>
      </c>
      <c r="F545" s="67" t="s">
        <v>18</v>
      </c>
      <c r="G545" s="67" t="s">
        <v>724</v>
      </c>
      <c r="H545" s="127">
        <v>0.2873</v>
      </c>
      <c r="I545" s="109">
        <v>0.16569999999999999</v>
      </c>
      <c r="J545" s="109">
        <v>0.1139</v>
      </c>
      <c r="K545" s="109">
        <v>0.14699999999999999</v>
      </c>
      <c r="L545" s="67">
        <v>5000</v>
      </c>
      <c r="M545" s="67">
        <v>500000</v>
      </c>
      <c r="N545" s="105">
        <v>44378</v>
      </c>
      <c r="O545" s="105">
        <v>44561</v>
      </c>
      <c r="P545" t="s">
        <v>718</v>
      </c>
    </row>
    <row r="546" spans="1:16" ht="15" customHeight="1" x14ac:dyDescent="0.3">
      <c r="A546" t="str">
        <f t="shared" si="9"/>
        <v/>
      </c>
      <c r="B546" s="67" t="s">
        <v>13</v>
      </c>
      <c r="C546" s="67">
        <v>20</v>
      </c>
      <c r="D546" s="99" t="s">
        <v>29</v>
      </c>
      <c r="E546" s="67" t="s">
        <v>720</v>
      </c>
      <c r="F546" s="67" t="s">
        <v>18</v>
      </c>
      <c r="G546" s="67" t="s">
        <v>724</v>
      </c>
      <c r="H546" s="127">
        <v>0.2873</v>
      </c>
      <c r="I546" s="109" t="s">
        <v>717</v>
      </c>
      <c r="J546" s="109">
        <v>0.13320000000000001</v>
      </c>
      <c r="K546" s="109" t="s">
        <v>717</v>
      </c>
      <c r="L546" s="67">
        <v>5000</v>
      </c>
      <c r="M546" s="67">
        <v>500000</v>
      </c>
      <c r="N546" s="105">
        <v>44378</v>
      </c>
      <c r="O546" s="105">
        <v>44561</v>
      </c>
      <c r="P546" t="s">
        <v>718</v>
      </c>
    </row>
    <row r="547" spans="1:16" ht="15" customHeight="1" x14ac:dyDescent="0.3">
      <c r="A547" t="str">
        <f t="shared" si="9"/>
        <v>21-3-U-SmartTRACKER (Level 2)</v>
      </c>
      <c r="B547" s="67" t="s">
        <v>13</v>
      </c>
      <c r="C547" s="67">
        <v>21</v>
      </c>
      <c r="D547" s="99" t="s">
        <v>30</v>
      </c>
      <c r="E547" s="67" t="s">
        <v>716</v>
      </c>
      <c r="F547" s="67" t="s">
        <v>16</v>
      </c>
      <c r="G547" s="67" t="s">
        <v>724</v>
      </c>
      <c r="H547" s="127">
        <v>0.39760000000000001</v>
      </c>
      <c r="I547" s="109">
        <v>0.14729999999999999</v>
      </c>
      <c r="J547" s="109" t="s">
        <v>717</v>
      </c>
      <c r="K547" s="109" t="s">
        <v>717</v>
      </c>
      <c r="L547" s="67">
        <v>5000</v>
      </c>
      <c r="M547" s="67">
        <v>500000</v>
      </c>
      <c r="N547" s="105">
        <v>44378</v>
      </c>
      <c r="O547" s="105">
        <v>44561</v>
      </c>
      <c r="P547" t="s">
        <v>718</v>
      </c>
    </row>
    <row r="548" spans="1:16" ht="15" customHeight="1" x14ac:dyDescent="0.3">
      <c r="A548" t="str">
        <f t="shared" si="9"/>
        <v>21-4-E7-SmartTRACKER (Level 2)</v>
      </c>
      <c r="B548" s="67" t="s">
        <v>13</v>
      </c>
      <c r="C548" s="67">
        <v>21</v>
      </c>
      <c r="D548" s="99" t="s">
        <v>30</v>
      </c>
      <c r="E548" s="67" t="s">
        <v>17</v>
      </c>
      <c r="F548" s="67" t="s">
        <v>18</v>
      </c>
      <c r="G548" s="67" t="s">
        <v>724</v>
      </c>
      <c r="H548" s="127">
        <v>0.39760000000000001</v>
      </c>
      <c r="I548" s="109">
        <v>0.15659999999999999</v>
      </c>
      <c r="J548" s="109">
        <v>0.1158</v>
      </c>
      <c r="K548" s="109" t="s">
        <v>717</v>
      </c>
      <c r="L548" s="67">
        <v>5000</v>
      </c>
      <c r="M548" s="67">
        <v>500000</v>
      </c>
      <c r="N548" s="105">
        <v>44378</v>
      </c>
      <c r="O548" s="105">
        <v>44561</v>
      </c>
      <c r="P548" t="s">
        <v>718</v>
      </c>
    </row>
    <row r="549" spans="1:16" ht="15" customHeight="1" x14ac:dyDescent="0.3">
      <c r="A549" t="str">
        <f t="shared" si="9"/>
        <v>21-3-EW-SmartTRACKER (Level 2)</v>
      </c>
      <c r="B549" s="67" t="s">
        <v>13</v>
      </c>
      <c r="C549" s="67">
        <v>21</v>
      </c>
      <c r="D549" s="99" t="s">
        <v>30</v>
      </c>
      <c r="E549" s="67" t="s">
        <v>19</v>
      </c>
      <c r="F549" s="67" t="s">
        <v>16</v>
      </c>
      <c r="G549" s="67" t="s">
        <v>724</v>
      </c>
      <c r="H549" s="127">
        <v>0.39760000000000001</v>
      </c>
      <c r="I549" s="109">
        <v>0.15490000000000001</v>
      </c>
      <c r="J549" s="109" t="s">
        <v>717</v>
      </c>
      <c r="K549" s="109">
        <v>0.13669999999999999</v>
      </c>
      <c r="L549" s="67">
        <v>5000</v>
      </c>
      <c r="M549" s="67">
        <v>500000</v>
      </c>
      <c r="N549" s="105">
        <v>44378</v>
      </c>
      <c r="O549" s="105">
        <v>44561</v>
      </c>
      <c r="P549" t="s">
        <v>718</v>
      </c>
    </row>
    <row r="550" spans="1:16" ht="15" customHeight="1" x14ac:dyDescent="0.3">
      <c r="A550" t="str">
        <f t="shared" si="9"/>
        <v>21-4-3RATE-SmartTRACKER (Level 2)</v>
      </c>
      <c r="B550" s="67" t="s">
        <v>13</v>
      </c>
      <c r="C550" s="67">
        <v>21</v>
      </c>
      <c r="D550" s="99" t="s">
        <v>30</v>
      </c>
      <c r="E550" s="67" t="s">
        <v>719</v>
      </c>
      <c r="F550" s="67" t="s">
        <v>18</v>
      </c>
      <c r="G550" s="67" t="s">
        <v>724</v>
      </c>
      <c r="H550" s="127">
        <v>0.39760000000000001</v>
      </c>
      <c r="I550" s="109">
        <v>0.16639999999999999</v>
      </c>
      <c r="J550" s="109">
        <v>0.115</v>
      </c>
      <c r="K550" s="109">
        <v>0.1507</v>
      </c>
      <c r="L550" s="67">
        <v>5000</v>
      </c>
      <c r="M550" s="67">
        <v>500000</v>
      </c>
      <c r="N550" s="105">
        <v>44378</v>
      </c>
      <c r="O550" s="105">
        <v>44561</v>
      </c>
      <c r="P550" t="s">
        <v>718</v>
      </c>
    </row>
    <row r="551" spans="1:16" ht="15" customHeight="1" x14ac:dyDescent="0.3">
      <c r="A551" t="str">
        <f t="shared" si="9"/>
        <v/>
      </c>
      <c r="B551" s="67" t="s">
        <v>13</v>
      </c>
      <c r="C551" s="67">
        <v>21</v>
      </c>
      <c r="D551" s="99" t="s">
        <v>30</v>
      </c>
      <c r="E551" s="67" t="s">
        <v>720</v>
      </c>
      <c r="F551" s="67" t="s">
        <v>18</v>
      </c>
      <c r="G551" s="67" t="s">
        <v>724</v>
      </c>
      <c r="H551" s="127">
        <v>0.39760000000000001</v>
      </c>
      <c r="I551" s="109" t="s">
        <v>717</v>
      </c>
      <c r="J551" s="109">
        <v>0.13669999999999999</v>
      </c>
      <c r="K551" s="109" t="s">
        <v>717</v>
      </c>
      <c r="L551" s="67">
        <v>5000</v>
      </c>
      <c r="M551" s="67">
        <v>500000</v>
      </c>
      <c r="N551" s="105">
        <v>44378</v>
      </c>
      <c r="O551" s="105">
        <v>44561</v>
      </c>
      <c r="P551" t="s">
        <v>718</v>
      </c>
    </row>
    <row r="552" spans="1:16" ht="15" customHeight="1" x14ac:dyDescent="0.3">
      <c r="A552" t="str">
        <f t="shared" si="9"/>
        <v>22-3-U-SmartTRACKER (Level 2)</v>
      </c>
      <c r="B552" s="67" t="s">
        <v>13</v>
      </c>
      <c r="C552" s="67">
        <v>22</v>
      </c>
      <c r="D552" s="99" t="s">
        <v>31</v>
      </c>
      <c r="E552" s="67" t="s">
        <v>716</v>
      </c>
      <c r="F552" s="67" t="s">
        <v>16</v>
      </c>
      <c r="G552" s="67" t="s">
        <v>724</v>
      </c>
      <c r="H552" s="127">
        <v>0.34279999999999999</v>
      </c>
      <c r="I552" s="109">
        <v>0.1537</v>
      </c>
      <c r="J552" s="109" t="s">
        <v>717</v>
      </c>
      <c r="K552" s="109" t="s">
        <v>717</v>
      </c>
      <c r="L552" s="67">
        <v>5000</v>
      </c>
      <c r="M552" s="67">
        <v>500000</v>
      </c>
      <c r="N552" s="105">
        <v>44378</v>
      </c>
      <c r="O552" s="105">
        <v>44561</v>
      </c>
      <c r="P552" t="s">
        <v>718</v>
      </c>
    </row>
    <row r="553" spans="1:16" ht="15" customHeight="1" x14ac:dyDescent="0.3">
      <c r="A553" t="str">
        <f t="shared" si="9"/>
        <v>22-4-E7-SmartTRACKER (Level 2)</v>
      </c>
      <c r="B553" s="67" t="s">
        <v>13</v>
      </c>
      <c r="C553" s="67">
        <v>22</v>
      </c>
      <c r="D553" s="99" t="s">
        <v>31</v>
      </c>
      <c r="E553" s="67" t="s">
        <v>17</v>
      </c>
      <c r="F553" s="67" t="s">
        <v>18</v>
      </c>
      <c r="G553" s="67" t="s">
        <v>724</v>
      </c>
      <c r="H553" s="127">
        <v>0.34279999999999999</v>
      </c>
      <c r="I553" s="109">
        <v>0.16189999999999999</v>
      </c>
      <c r="J553" s="109">
        <v>0.1216</v>
      </c>
      <c r="K553" s="109" t="s">
        <v>717</v>
      </c>
      <c r="L553" s="67">
        <v>5000</v>
      </c>
      <c r="M553" s="67">
        <v>500000</v>
      </c>
      <c r="N553" s="105">
        <v>44378</v>
      </c>
      <c r="O553" s="105">
        <v>44561</v>
      </c>
      <c r="P553" t="s">
        <v>718</v>
      </c>
    </row>
    <row r="554" spans="1:16" ht="15" customHeight="1" x14ac:dyDescent="0.3">
      <c r="A554" t="str">
        <f t="shared" si="9"/>
        <v>22-3-EW-SmartTRACKER (Level 2)</v>
      </c>
      <c r="B554" s="67" t="s">
        <v>13</v>
      </c>
      <c r="C554" s="67">
        <v>22</v>
      </c>
      <c r="D554" s="99" t="s">
        <v>31</v>
      </c>
      <c r="E554" s="67" t="s">
        <v>19</v>
      </c>
      <c r="F554" s="67" t="s">
        <v>16</v>
      </c>
      <c r="G554" s="67" t="s">
        <v>724</v>
      </c>
      <c r="H554" s="127">
        <v>0.34279999999999999</v>
      </c>
      <c r="I554" s="109">
        <v>0.16300000000000001</v>
      </c>
      <c r="J554" s="109" t="s">
        <v>717</v>
      </c>
      <c r="K554" s="109">
        <v>0.14219999999999999</v>
      </c>
      <c r="L554" s="67">
        <v>5000</v>
      </c>
      <c r="M554" s="67">
        <v>500000</v>
      </c>
      <c r="N554" s="105">
        <v>44378</v>
      </c>
      <c r="O554" s="105">
        <v>44561</v>
      </c>
      <c r="P554" t="s">
        <v>718</v>
      </c>
    </row>
    <row r="555" spans="1:16" ht="15" customHeight="1" x14ac:dyDescent="0.3">
      <c r="A555" t="str">
        <f t="shared" si="9"/>
        <v>22-4-3RATE-SmartTRACKER (Level 2)</v>
      </c>
      <c r="B555" s="67" t="s">
        <v>13</v>
      </c>
      <c r="C555" s="67">
        <v>22</v>
      </c>
      <c r="D555" s="99" t="s">
        <v>31</v>
      </c>
      <c r="E555" s="67" t="s">
        <v>719</v>
      </c>
      <c r="F555" s="67" t="s">
        <v>18</v>
      </c>
      <c r="G555" s="67" t="s">
        <v>724</v>
      </c>
      <c r="H555" s="127">
        <v>0.34279999999999999</v>
      </c>
      <c r="I555" s="109">
        <v>0.17080000000000001</v>
      </c>
      <c r="J555" s="109">
        <v>0.1163</v>
      </c>
      <c r="K555" s="109">
        <v>0.15709999999999999</v>
      </c>
      <c r="L555" s="67">
        <v>5000</v>
      </c>
      <c r="M555" s="67">
        <v>500000</v>
      </c>
      <c r="N555" s="105">
        <v>44378</v>
      </c>
      <c r="O555" s="105">
        <v>44561</v>
      </c>
      <c r="P555" t="s">
        <v>718</v>
      </c>
    </row>
    <row r="556" spans="1:16" ht="15" customHeight="1" x14ac:dyDescent="0.3">
      <c r="A556" t="str">
        <f t="shared" si="9"/>
        <v/>
      </c>
      <c r="B556" s="67" t="s">
        <v>13</v>
      </c>
      <c r="C556" s="67">
        <v>22</v>
      </c>
      <c r="D556" s="99" t="s">
        <v>31</v>
      </c>
      <c r="E556" s="67" t="s">
        <v>720</v>
      </c>
      <c r="F556" s="67" t="s">
        <v>18</v>
      </c>
      <c r="G556" s="67" t="s">
        <v>724</v>
      </c>
      <c r="H556" s="127">
        <v>0.34279999999999999</v>
      </c>
      <c r="I556" s="109" t="s">
        <v>717</v>
      </c>
      <c r="J556" s="109">
        <v>0.14219999999999999</v>
      </c>
      <c r="K556" s="109" t="s">
        <v>717</v>
      </c>
      <c r="L556" s="67">
        <v>5000</v>
      </c>
      <c r="M556" s="67">
        <v>500000</v>
      </c>
      <c r="N556" s="105">
        <v>44378</v>
      </c>
      <c r="O556" s="105">
        <v>44561</v>
      </c>
      <c r="P556" t="s">
        <v>718</v>
      </c>
    </row>
    <row r="557" spans="1:16" ht="15" customHeight="1" x14ac:dyDescent="0.3">
      <c r="A557" t="str">
        <f t="shared" si="9"/>
        <v>23-3-U-SmartTRACKER (Level 2)</v>
      </c>
      <c r="B557" s="67" t="s">
        <v>13</v>
      </c>
      <c r="C557" s="67">
        <v>23</v>
      </c>
      <c r="D557" s="99" t="s">
        <v>32</v>
      </c>
      <c r="E557" s="67" t="s">
        <v>716</v>
      </c>
      <c r="F557" s="67" t="s">
        <v>16</v>
      </c>
      <c r="G557" s="67" t="s">
        <v>724</v>
      </c>
      <c r="H557" s="127">
        <v>0.30120000000000002</v>
      </c>
      <c r="I557" s="109">
        <v>0.14710000000000001</v>
      </c>
      <c r="J557" s="109" t="s">
        <v>717</v>
      </c>
      <c r="K557" s="109" t="s">
        <v>717</v>
      </c>
      <c r="L557" s="67">
        <v>5000</v>
      </c>
      <c r="M557" s="67">
        <v>500000</v>
      </c>
      <c r="N557" s="105">
        <v>44378</v>
      </c>
      <c r="O557" s="105">
        <v>44561</v>
      </c>
      <c r="P557" t="s">
        <v>718</v>
      </c>
    </row>
    <row r="558" spans="1:16" ht="15" customHeight="1" x14ac:dyDescent="0.3">
      <c r="A558" t="str">
        <f t="shared" si="9"/>
        <v>23-4-E7-SmartTRACKER (Level 2)</v>
      </c>
      <c r="B558" s="67" t="s">
        <v>13</v>
      </c>
      <c r="C558" s="67">
        <v>23</v>
      </c>
      <c r="D558" s="99" t="s">
        <v>32</v>
      </c>
      <c r="E558" s="67" t="s">
        <v>17</v>
      </c>
      <c r="F558" s="67" t="s">
        <v>18</v>
      </c>
      <c r="G558" s="67" t="s">
        <v>724</v>
      </c>
      <c r="H558" s="127">
        <v>0.30120000000000002</v>
      </c>
      <c r="I558" s="109">
        <v>0.15310000000000001</v>
      </c>
      <c r="J558" s="109">
        <v>0.1118</v>
      </c>
      <c r="K558" s="109" t="s">
        <v>717</v>
      </c>
      <c r="L558" s="67">
        <v>5000</v>
      </c>
      <c r="M558" s="67">
        <v>500000</v>
      </c>
      <c r="N558" s="105">
        <v>44378</v>
      </c>
      <c r="O558" s="105">
        <v>44561</v>
      </c>
      <c r="P558" t="s">
        <v>718</v>
      </c>
    </row>
    <row r="559" spans="1:16" ht="15" customHeight="1" x14ac:dyDescent="0.3">
      <c r="A559" t="str">
        <f t="shared" si="9"/>
        <v>23-3-EW-SmartTRACKER (Level 2)</v>
      </c>
      <c r="B559" s="67" t="s">
        <v>13</v>
      </c>
      <c r="C559" s="67">
        <v>23</v>
      </c>
      <c r="D559" s="99" t="s">
        <v>32</v>
      </c>
      <c r="E559" s="67" t="s">
        <v>19</v>
      </c>
      <c r="F559" s="67" t="s">
        <v>16</v>
      </c>
      <c r="G559" s="67" t="s">
        <v>724</v>
      </c>
      <c r="H559" s="127">
        <v>0.30120000000000002</v>
      </c>
      <c r="I559" s="109">
        <v>0.15579999999999999</v>
      </c>
      <c r="J559" s="109" t="s">
        <v>717</v>
      </c>
      <c r="K559" s="109">
        <v>0.1353</v>
      </c>
      <c r="L559" s="67">
        <v>5000</v>
      </c>
      <c r="M559" s="67">
        <v>500000</v>
      </c>
      <c r="N559" s="105">
        <v>44378</v>
      </c>
      <c r="O559" s="105">
        <v>44561</v>
      </c>
      <c r="P559" t="s">
        <v>718</v>
      </c>
    </row>
    <row r="560" spans="1:16" ht="15" customHeight="1" x14ac:dyDescent="0.3">
      <c r="A560" t="str">
        <f t="shared" si="9"/>
        <v>23-4-3RATE-SmartTRACKER (Level 2)</v>
      </c>
      <c r="B560" s="67" t="s">
        <v>13</v>
      </c>
      <c r="C560" s="67">
        <v>23</v>
      </c>
      <c r="D560" s="99" t="s">
        <v>32</v>
      </c>
      <c r="E560" s="67" t="s">
        <v>719</v>
      </c>
      <c r="F560" s="67" t="s">
        <v>18</v>
      </c>
      <c r="G560" s="67" t="s">
        <v>724</v>
      </c>
      <c r="H560" s="127">
        <v>0.30120000000000002</v>
      </c>
      <c r="I560" s="109">
        <v>0.16489999999999999</v>
      </c>
      <c r="J560" s="109">
        <v>0.11459999999999999</v>
      </c>
      <c r="K560" s="109">
        <v>0.14610000000000001</v>
      </c>
      <c r="L560" s="67">
        <v>5000</v>
      </c>
      <c r="M560" s="67">
        <v>500000</v>
      </c>
      <c r="N560" s="105">
        <v>44378</v>
      </c>
      <c r="O560" s="105">
        <v>44561</v>
      </c>
      <c r="P560" t="s">
        <v>718</v>
      </c>
    </row>
    <row r="561" spans="1:16" ht="15" customHeight="1" x14ac:dyDescent="0.3">
      <c r="A561" t="str">
        <f t="shared" si="9"/>
        <v/>
      </c>
      <c r="B561" s="67" t="s">
        <v>13</v>
      </c>
      <c r="C561" s="67">
        <v>23</v>
      </c>
      <c r="D561" s="99" t="s">
        <v>32</v>
      </c>
      <c r="E561" s="67" t="s">
        <v>720</v>
      </c>
      <c r="F561" s="67" t="s">
        <v>18</v>
      </c>
      <c r="G561" s="67" t="s">
        <v>724</v>
      </c>
      <c r="H561" s="127">
        <v>0.30120000000000002</v>
      </c>
      <c r="I561" s="109" t="s">
        <v>717</v>
      </c>
      <c r="J561" s="109">
        <v>0.1353</v>
      </c>
      <c r="K561" s="109" t="s">
        <v>717</v>
      </c>
      <c r="L561" s="67">
        <v>5000</v>
      </c>
      <c r="M561" s="67">
        <v>500000</v>
      </c>
      <c r="N561" s="105">
        <v>44378</v>
      </c>
      <c r="O561" s="105">
        <v>44561</v>
      </c>
      <c r="P561" t="s">
        <v>718</v>
      </c>
    </row>
    <row r="562" spans="1:16" ht="15" customHeight="1" x14ac:dyDescent="0.3">
      <c r="A562" t="str">
        <f t="shared" si="9"/>
        <v>10-3-U-SmartFIX – 1 Year (Level 2)</v>
      </c>
      <c r="B562" s="67" t="s">
        <v>13</v>
      </c>
      <c r="C562" s="67">
        <v>10</v>
      </c>
      <c r="D562" s="99" t="s">
        <v>14</v>
      </c>
      <c r="E562" s="67" t="s">
        <v>716</v>
      </c>
      <c r="F562" s="67" t="s">
        <v>16</v>
      </c>
      <c r="G562" s="67" t="s">
        <v>725</v>
      </c>
      <c r="H562" s="127">
        <v>0.29909999999999998</v>
      </c>
      <c r="I562" s="109">
        <v>0.14749999999999999</v>
      </c>
      <c r="J562" s="109" t="s">
        <v>717</v>
      </c>
      <c r="K562" s="109" t="s">
        <v>717</v>
      </c>
      <c r="L562" s="67">
        <v>5000</v>
      </c>
      <c r="M562" s="67">
        <v>500000</v>
      </c>
      <c r="N562" s="105">
        <v>44378</v>
      </c>
      <c r="O562" s="105">
        <v>44561</v>
      </c>
      <c r="P562" t="s">
        <v>718</v>
      </c>
    </row>
    <row r="563" spans="1:16" ht="15" customHeight="1" x14ac:dyDescent="0.3">
      <c r="A563" t="str">
        <f t="shared" si="9"/>
        <v>10-4-E7-SmartFIX – 1 Year (Level 2)</v>
      </c>
      <c r="B563" s="67" t="s">
        <v>13</v>
      </c>
      <c r="C563" s="67">
        <v>10</v>
      </c>
      <c r="D563" s="99" t="s">
        <v>14</v>
      </c>
      <c r="E563" s="67" t="s">
        <v>17</v>
      </c>
      <c r="F563" s="67" t="s">
        <v>18</v>
      </c>
      <c r="G563" s="67" t="s">
        <v>725</v>
      </c>
      <c r="H563" s="127">
        <v>0.29909999999999998</v>
      </c>
      <c r="I563" s="109">
        <v>0.15679999999999999</v>
      </c>
      <c r="J563" s="109">
        <v>0.108</v>
      </c>
      <c r="K563" s="109" t="s">
        <v>717</v>
      </c>
      <c r="L563" s="67">
        <v>5000</v>
      </c>
      <c r="M563" s="67">
        <v>500000</v>
      </c>
      <c r="N563" s="105">
        <v>44378</v>
      </c>
      <c r="O563" s="105">
        <v>44561</v>
      </c>
      <c r="P563" t="s">
        <v>718</v>
      </c>
    </row>
    <row r="564" spans="1:16" ht="15" customHeight="1" x14ac:dyDescent="0.3">
      <c r="A564" t="str">
        <f t="shared" si="9"/>
        <v>10-3-EW-SmartFIX – 1 Year (Level 2)</v>
      </c>
      <c r="B564" s="67" t="s">
        <v>13</v>
      </c>
      <c r="C564" s="67">
        <v>10</v>
      </c>
      <c r="D564" s="99" t="s">
        <v>14</v>
      </c>
      <c r="E564" s="67" t="s">
        <v>19</v>
      </c>
      <c r="F564" s="67" t="s">
        <v>16</v>
      </c>
      <c r="G564" s="67" t="s">
        <v>725</v>
      </c>
      <c r="H564" s="127">
        <v>0.29909999999999998</v>
      </c>
      <c r="I564" s="109">
        <v>0.1565</v>
      </c>
      <c r="J564" s="109" t="s">
        <v>717</v>
      </c>
      <c r="K564" s="109">
        <v>0.13400000000000001</v>
      </c>
      <c r="L564" s="67">
        <v>5000</v>
      </c>
      <c r="M564" s="67">
        <v>500000</v>
      </c>
      <c r="N564" s="105">
        <v>44378</v>
      </c>
      <c r="O564" s="105">
        <v>44561</v>
      </c>
      <c r="P564" t="s">
        <v>718</v>
      </c>
    </row>
    <row r="565" spans="1:16" ht="15" customHeight="1" x14ac:dyDescent="0.3">
      <c r="A565" t="str">
        <f t="shared" si="9"/>
        <v>10-4-3RATE-SmartFIX – 1 Year (Level 2)</v>
      </c>
      <c r="B565" s="67" t="s">
        <v>13</v>
      </c>
      <c r="C565" s="67">
        <v>10</v>
      </c>
      <c r="D565" s="99" t="s">
        <v>14</v>
      </c>
      <c r="E565" s="67" t="s">
        <v>719</v>
      </c>
      <c r="F565" s="67" t="s">
        <v>18</v>
      </c>
      <c r="G565" s="67" t="s">
        <v>725</v>
      </c>
      <c r="H565" s="127">
        <v>0.29909999999999998</v>
      </c>
      <c r="I565" s="109">
        <v>0.1671</v>
      </c>
      <c r="J565" s="109">
        <v>0.1074</v>
      </c>
      <c r="K565" s="109">
        <v>0.15</v>
      </c>
      <c r="L565" s="67">
        <v>5000</v>
      </c>
      <c r="M565" s="67">
        <v>500000</v>
      </c>
      <c r="N565" s="105">
        <v>44378</v>
      </c>
      <c r="O565" s="105">
        <v>44561</v>
      </c>
      <c r="P565" t="s">
        <v>718</v>
      </c>
    </row>
    <row r="566" spans="1:16" ht="15" customHeight="1" x14ac:dyDescent="0.3">
      <c r="A566" t="str">
        <f t="shared" si="9"/>
        <v/>
      </c>
      <c r="B566" s="67" t="s">
        <v>13</v>
      </c>
      <c r="C566" s="67">
        <v>10</v>
      </c>
      <c r="D566" s="99" t="s">
        <v>14</v>
      </c>
      <c r="E566" s="67" t="s">
        <v>720</v>
      </c>
      <c r="F566" s="67" t="s">
        <v>18</v>
      </c>
      <c r="G566" s="67" t="s">
        <v>725</v>
      </c>
      <c r="H566" s="127">
        <v>0.29909999999999998</v>
      </c>
      <c r="I566" s="109" t="s">
        <v>717</v>
      </c>
      <c r="J566" s="109">
        <v>0.13400000000000001</v>
      </c>
      <c r="K566" s="109" t="s">
        <v>717</v>
      </c>
      <c r="L566" s="67">
        <v>5000</v>
      </c>
      <c r="M566" s="67">
        <v>500000</v>
      </c>
      <c r="N566" s="105">
        <v>44378</v>
      </c>
      <c r="O566" s="105">
        <v>44561</v>
      </c>
      <c r="P566" t="s">
        <v>718</v>
      </c>
    </row>
    <row r="567" spans="1:16" ht="15" customHeight="1" x14ac:dyDescent="0.3">
      <c r="A567" t="str">
        <f t="shared" si="9"/>
        <v>11-3-U-SmartFIX – 1 Year (Level 2)</v>
      </c>
      <c r="B567" s="67" t="s">
        <v>13</v>
      </c>
      <c r="C567" s="67">
        <v>11</v>
      </c>
      <c r="D567" s="99" t="s">
        <v>20</v>
      </c>
      <c r="E567" s="67" t="s">
        <v>716</v>
      </c>
      <c r="F567" s="67" t="s">
        <v>16</v>
      </c>
      <c r="G567" s="67" t="s">
        <v>725</v>
      </c>
      <c r="H567" s="127">
        <v>0.30819999999999997</v>
      </c>
      <c r="I567" s="109">
        <v>0.14699999999999999</v>
      </c>
      <c r="J567" s="109" t="s">
        <v>717</v>
      </c>
      <c r="K567" s="109" t="s">
        <v>717</v>
      </c>
      <c r="L567" s="67">
        <v>5000</v>
      </c>
      <c r="M567" s="67">
        <v>500000</v>
      </c>
      <c r="N567" s="105">
        <v>44378</v>
      </c>
      <c r="O567" s="105">
        <v>44561</v>
      </c>
      <c r="P567" t="s">
        <v>718</v>
      </c>
    </row>
    <row r="568" spans="1:16" ht="15" customHeight="1" x14ac:dyDescent="0.3">
      <c r="A568" t="str">
        <f t="shared" si="9"/>
        <v>11-4-E7-SmartFIX – 1 Year (Level 2)</v>
      </c>
      <c r="B568" s="67" t="s">
        <v>13</v>
      </c>
      <c r="C568" s="67">
        <v>11</v>
      </c>
      <c r="D568" s="99" t="s">
        <v>20</v>
      </c>
      <c r="E568" s="67" t="s">
        <v>17</v>
      </c>
      <c r="F568" s="67" t="s">
        <v>18</v>
      </c>
      <c r="G568" s="67" t="s">
        <v>725</v>
      </c>
      <c r="H568" s="127">
        <v>0.30819999999999997</v>
      </c>
      <c r="I568" s="109">
        <v>0.15540000000000001</v>
      </c>
      <c r="J568" s="109">
        <v>0.1137</v>
      </c>
      <c r="K568" s="109" t="s">
        <v>717</v>
      </c>
      <c r="L568" s="67">
        <v>5000</v>
      </c>
      <c r="M568" s="67">
        <v>500000</v>
      </c>
      <c r="N568" s="105">
        <v>44378</v>
      </c>
      <c r="O568" s="105">
        <v>44561</v>
      </c>
      <c r="P568" t="s">
        <v>718</v>
      </c>
    </row>
    <row r="569" spans="1:16" ht="15" customHeight="1" x14ac:dyDescent="0.3">
      <c r="A569" t="str">
        <f t="shared" si="9"/>
        <v>11-3-EW-SmartFIX – 1 Year (Level 2)</v>
      </c>
      <c r="B569" s="67" t="s">
        <v>13</v>
      </c>
      <c r="C569" s="67">
        <v>11</v>
      </c>
      <c r="D569" s="99" t="s">
        <v>20</v>
      </c>
      <c r="E569" s="67" t="s">
        <v>19</v>
      </c>
      <c r="F569" s="67" t="s">
        <v>16</v>
      </c>
      <c r="G569" s="67" t="s">
        <v>725</v>
      </c>
      <c r="H569" s="127">
        <v>0.30819999999999997</v>
      </c>
      <c r="I569" s="109">
        <v>0.15540000000000001</v>
      </c>
      <c r="J569" s="109" t="s">
        <v>717</v>
      </c>
      <c r="K569" s="109">
        <v>0.13389999999999999</v>
      </c>
      <c r="L569" s="67">
        <v>5000</v>
      </c>
      <c r="M569" s="67">
        <v>500000</v>
      </c>
      <c r="N569" s="105">
        <v>44378</v>
      </c>
      <c r="O569" s="105">
        <v>44561</v>
      </c>
      <c r="P569" t="s">
        <v>718</v>
      </c>
    </row>
    <row r="570" spans="1:16" ht="15" customHeight="1" x14ac:dyDescent="0.3">
      <c r="A570" t="str">
        <f t="shared" si="9"/>
        <v>11-4-3RATE-SmartFIX – 1 Year (Level 2)</v>
      </c>
      <c r="B570" s="67" t="s">
        <v>13</v>
      </c>
      <c r="C570" s="67">
        <v>11</v>
      </c>
      <c r="D570" s="99" t="s">
        <v>20</v>
      </c>
      <c r="E570" s="67" t="s">
        <v>719</v>
      </c>
      <c r="F570" s="67" t="s">
        <v>18</v>
      </c>
      <c r="G570" s="67" t="s">
        <v>725</v>
      </c>
      <c r="H570" s="127">
        <v>0.30819999999999997</v>
      </c>
      <c r="I570" s="109">
        <v>0.16270000000000001</v>
      </c>
      <c r="J570" s="109">
        <v>0.1082</v>
      </c>
      <c r="K570" s="109">
        <v>0.14219999999999999</v>
      </c>
      <c r="L570" s="67">
        <v>5000</v>
      </c>
      <c r="M570" s="67">
        <v>500000</v>
      </c>
      <c r="N570" s="105">
        <v>44378</v>
      </c>
      <c r="O570" s="105">
        <v>44561</v>
      </c>
      <c r="P570" t="s">
        <v>718</v>
      </c>
    </row>
    <row r="571" spans="1:16" ht="15" customHeight="1" x14ac:dyDescent="0.3">
      <c r="A571" t="str">
        <f t="shared" si="9"/>
        <v/>
      </c>
      <c r="B571" s="67" t="s">
        <v>13</v>
      </c>
      <c r="C571" s="67">
        <v>11</v>
      </c>
      <c r="D571" s="99" t="s">
        <v>20</v>
      </c>
      <c r="E571" s="67" t="s">
        <v>720</v>
      </c>
      <c r="F571" s="67" t="s">
        <v>18</v>
      </c>
      <c r="G571" s="67" t="s">
        <v>725</v>
      </c>
      <c r="H571" s="127">
        <v>0.30819999999999997</v>
      </c>
      <c r="I571" s="109" t="s">
        <v>717</v>
      </c>
      <c r="J571" s="109">
        <v>0.13389999999999999</v>
      </c>
      <c r="K571" s="109" t="s">
        <v>717</v>
      </c>
      <c r="L571" s="67">
        <v>5000</v>
      </c>
      <c r="M571" s="67">
        <v>500000</v>
      </c>
      <c r="N571" s="105">
        <v>44378</v>
      </c>
      <c r="O571" s="105">
        <v>44561</v>
      </c>
      <c r="P571" t="s">
        <v>718</v>
      </c>
    </row>
    <row r="572" spans="1:16" ht="15" customHeight="1" x14ac:dyDescent="0.3">
      <c r="A572" t="str">
        <f t="shared" si="9"/>
        <v>12-3-U-SmartFIX – 1 Year (Level 2)</v>
      </c>
      <c r="B572" s="67" t="s">
        <v>13</v>
      </c>
      <c r="C572" s="67">
        <v>12</v>
      </c>
      <c r="D572" s="99" t="s">
        <v>21</v>
      </c>
      <c r="E572" s="67" t="s">
        <v>716</v>
      </c>
      <c r="F572" s="67" t="s">
        <v>16</v>
      </c>
      <c r="G572" s="67" t="s">
        <v>725</v>
      </c>
      <c r="H572" s="127">
        <v>0.2326</v>
      </c>
      <c r="I572" s="109">
        <v>0.1399</v>
      </c>
      <c r="J572" s="109" t="s">
        <v>717</v>
      </c>
      <c r="K572" s="109" t="s">
        <v>717</v>
      </c>
      <c r="L572" s="67">
        <v>5000</v>
      </c>
      <c r="M572" s="67">
        <v>500000</v>
      </c>
      <c r="N572" s="105">
        <v>44378</v>
      </c>
      <c r="O572" s="105">
        <v>44561</v>
      </c>
      <c r="P572" t="s">
        <v>718</v>
      </c>
    </row>
    <row r="573" spans="1:16" ht="15" customHeight="1" x14ac:dyDescent="0.3">
      <c r="A573" t="str">
        <f t="shared" si="9"/>
        <v>12-4-E7-SmartFIX – 1 Year (Level 2)</v>
      </c>
      <c r="B573" s="67" t="s">
        <v>13</v>
      </c>
      <c r="C573" s="67">
        <v>12</v>
      </c>
      <c r="D573" s="99" t="s">
        <v>21</v>
      </c>
      <c r="E573" s="67" t="s">
        <v>17</v>
      </c>
      <c r="F573" s="67" t="s">
        <v>18</v>
      </c>
      <c r="G573" s="67" t="s">
        <v>725</v>
      </c>
      <c r="H573" s="127">
        <v>0.2326</v>
      </c>
      <c r="I573" s="109">
        <v>0.15</v>
      </c>
      <c r="J573" s="109">
        <v>0.1074</v>
      </c>
      <c r="K573" s="109" t="s">
        <v>717</v>
      </c>
      <c r="L573" s="67">
        <v>5000</v>
      </c>
      <c r="M573" s="67">
        <v>500000</v>
      </c>
      <c r="N573" s="105">
        <v>44378</v>
      </c>
      <c r="O573" s="105">
        <v>44561</v>
      </c>
      <c r="P573" t="s">
        <v>718</v>
      </c>
    </row>
    <row r="574" spans="1:16" ht="15" customHeight="1" x14ac:dyDescent="0.3">
      <c r="A574" t="str">
        <f t="shared" si="9"/>
        <v>12-3-EW-SmartFIX – 1 Year (Level 2)</v>
      </c>
      <c r="B574" s="67" t="s">
        <v>13</v>
      </c>
      <c r="C574" s="67">
        <v>12</v>
      </c>
      <c r="D574" s="99" t="s">
        <v>21</v>
      </c>
      <c r="E574" s="67" t="s">
        <v>19</v>
      </c>
      <c r="F574" s="67" t="s">
        <v>16</v>
      </c>
      <c r="G574" s="67" t="s">
        <v>725</v>
      </c>
      <c r="H574" s="127">
        <v>0.2326</v>
      </c>
      <c r="I574" s="109">
        <v>0.1482</v>
      </c>
      <c r="J574" s="109" t="s">
        <v>717</v>
      </c>
      <c r="K574" s="109">
        <v>0.1283</v>
      </c>
      <c r="L574" s="67">
        <v>5000</v>
      </c>
      <c r="M574" s="67">
        <v>500000</v>
      </c>
      <c r="N574" s="105">
        <v>44378</v>
      </c>
      <c r="O574" s="105">
        <v>44561</v>
      </c>
      <c r="P574" t="s">
        <v>718</v>
      </c>
    </row>
    <row r="575" spans="1:16" ht="15" customHeight="1" x14ac:dyDescent="0.3">
      <c r="A575" t="str">
        <f t="shared" si="9"/>
        <v>12-4-3RATE-SmartFIX – 1 Year (Level 2)</v>
      </c>
      <c r="B575" s="67" t="s">
        <v>13</v>
      </c>
      <c r="C575" s="67">
        <v>12</v>
      </c>
      <c r="D575" s="99" t="s">
        <v>21</v>
      </c>
      <c r="E575" s="67" t="s">
        <v>719</v>
      </c>
      <c r="F575" s="67" t="s">
        <v>18</v>
      </c>
      <c r="G575" s="67" t="s">
        <v>725</v>
      </c>
      <c r="H575" s="127">
        <v>0.2326</v>
      </c>
      <c r="I575" s="109">
        <v>0.24399999999999999</v>
      </c>
      <c r="J575" s="109">
        <v>0.24399999999999999</v>
      </c>
      <c r="K575" s="109">
        <v>0.24399999999999999</v>
      </c>
      <c r="L575" s="67">
        <v>5000</v>
      </c>
      <c r="M575" s="67">
        <v>500000</v>
      </c>
      <c r="N575" s="105">
        <v>44378</v>
      </c>
      <c r="O575" s="105">
        <v>44561</v>
      </c>
      <c r="P575" t="s">
        <v>718</v>
      </c>
    </row>
    <row r="576" spans="1:16" ht="15" customHeight="1" x14ac:dyDescent="0.3">
      <c r="A576" t="str">
        <f t="shared" si="9"/>
        <v/>
      </c>
      <c r="B576" s="67" t="s">
        <v>13</v>
      </c>
      <c r="C576" s="67">
        <v>12</v>
      </c>
      <c r="D576" s="99" t="s">
        <v>21</v>
      </c>
      <c r="E576" s="67" t="s">
        <v>720</v>
      </c>
      <c r="F576" s="67" t="s">
        <v>18</v>
      </c>
      <c r="G576" s="67" t="s">
        <v>725</v>
      </c>
      <c r="H576" s="127">
        <v>0.2326</v>
      </c>
      <c r="I576" s="109" t="s">
        <v>717</v>
      </c>
      <c r="J576" s="109">
        <v>0.1283</v>
      </c>
      <c r="K576" s="109" t="s">
        <v>717</v>
      </c>
      <c r="L576" s="67">
        <v>5000</v>
      </c>
      <c r="M576" s="67">
        <v>500000</v>
      </c>
      <c r="N576" s="105">
        <v>44378</v>
      </c>
      <c r="O576" s="105">
        <v>44561</v>
      </c>
      <c r="P576" t="s">
        <v>718</v>
      </c>
    </row>
    <row r="577" spans="1:16" ht="15" customHeight="1" x14ac:dyDescent="0.3">
      <c r="A577" t="str">
        <f t="shared" si="9"/>
        <v>13-3-U-SmartFIX – 1 Year (Level 2)</v>
      </c>
      <c r="B577" s="67" t="s">
        <v>13</v>
      </c>
      <c r="C577" s="67">
        <v>13</v>
      </c>
      <c r="D577" s="99" t="s">
        <v>22</v>
      </c>
      <c r="E577" s="67" t="s">
        <v>716</v>
      </c>
      <c r="F577" s="67" t="s">
        <v>16</v>
      </c>
      <c r="G577" s="67" t="s">
        <v>725</v>
      </c>
      <c r="H577" s="127">
        <v>0.2737</v>
      </c>
      <c r="I577" s="109">
        <v>0.16489999999999999</v>
      </c>
      <c r="J577" s="109" t="s">
        <v>717</v>
      </c>
      <c r="K577" s="109" t="s">
        <v>717</v>
      </c>
      <c r="L577" s="67">
        <v>5000</v>
      </c>
      <c r="M577" s="67">
        <v>500000</v>
      </c>
      <c r="N577" s="105">
        <v>44378</v>
      </c>
      <c r="O577" s="105">
        <v>44561</v>
      </c>
      <c r="P577" t="s">
        <v>718</v>
      </c>
    </row>
    <row r="578" spans="1:16" ht="15" customHeight="1" x14ac:dyDescent="0.3">
      <c r="A578" t="str">
        <f t="shared" si="9"/>
        <v>13-4-E7-SmartFIX – 1 Year (Level 2)</v>
      </c>
      <c r="B578" s="67" t="s">
        <v>13</v>
      </c>
      <c r="C578" s="67">
        <v>13</v>
      </c>
      <c r="D578" s="99" t="s">
        <v>22</v>
      </c>
      <c r="E578" s="67" t="s">
        <v>17</v>
      </c>
      <c r="F578" s="67" t="s">
        <v>18</v>
      </c>
      <c r="G578" s="67" t="s">
        <v>725</v>
      </c>
      <c r="H578" s="127">
        <v>0.2737</v>
      </c>
      <c r="I578" s="109">
        <v>0.1741</v>
      </c>
      <c r="J578" s="109">
        <v>0.12470000000000001</v>
      </c>
      <c r="K578" s="109" t="s">
        <v>717</v>
      </c>
      <c r="L578" s="67">
        <v>5000</v>
      </c>
      <c r="M578" s="67">
        <v>500000</v>
      </c>
      <c r="N578" s="105">
        <v>44378</v>
      </c>
      <c r="O578" s="105">
        <v>44561</v>
      </c>
      <c r="P578" t="s">
        <v>718</v>
      </c>
    </row>
    <row r="579" spans="1:16" ht="15" customHeight="1" x14ac:dyDescent="0.3">
      <c r="A579" t="str">
        <f t="shared" si="9"/>
        <v>13-3-EW-SmartFIX – 1 Year (Level 2)</v>
      </c>
      <c r="B579" s="67" t="s">
        <v>13</v>
      </c>
      <c r="C579" s="67">
        <v>13</v>
      </c>
      <c r="D579" s="99" t="s">
        <v>22</v>
      </c>
      <c r="E579" s="67" t="s">
        <v>19</v>
      </c>
      <c r="F579" s="67" t="s">
        <v>16</v>
      </c>
      <c r="G579" s="67" t="s">
        <v>725</v>
      </c>
      <c r="H579" s="127">
        <v>0.2737</v>
      </c>
      <c r="I579" s="109">
        <v>0.24399999999999999</v>
      </c>
      <c r="J579" s="109" t="s">
        <v>717</v>
      </c>
      <c r="K579" s="109">
        <v>0.24399999999999999</v>
      </c>
      <c r="L579" s="67">
        <v>5000</v>
      </c>
      <c r="M579" s="67">
        <v>500000</v>
      </c>
      <c r="N579" s="105">
        <v>44378</v>
      </c>
      <c r="O579" s="105">
        <v>44561</v>
      </c>
      <c r="P579" t="s">
        <v>718</v>
      </c>
    </row>
    <row r="580" spans="1:16" ht="15" customHeight="1" x14ac:dyDescent="0.3">
      <c r="A580" t="str">
        <f t="shared" si="9"/>
        <v>13-4-3RATE-SmartFIX – 1 Year (Level 2)</v>
      </c>
      <c r="B580" s="67" t="s">
        <v>13</v>
      </c>
      <c r="C580" s="67">
        <v>13</v>
      </c>
      <c r="D580" s="99" t="s">
        <v>22</v>
      </c>
      <c r="E580" s="67" t="s">
        <v>719</v>
      </c>
      <c r="F580" s="67" t="s">
        <v>18</v>
      </c>
      <c r="G580" s="67" t="s">
        <v>725</v>
      </c>
      <c r="H580" s="127">
        <v>0.2737</v>
      </c>
      <c r="I580" s="109">
        <v>0.1787</v>
      </c>
      <c r="J580" s="109">
        <v>0.12130000000000001</v>
      </c>
      <c r="K580" s="109">
        <v>0.16470000000000001</v>
      </c>
      <c r="L580" s="67">
        <v>5000</v>
      </c>
      <c r="M580" s="67">
        <v>500000</v>
      </c>
      <c r="N580" s="105">
        <v>44378</v>
      </c>
      <c r="O580" s="105">
        <v>44561</v>
      </c>
      <c r="P580" t="s">
        <v>718</v>
      </c>
    </row>
    <row r="581" spans="1:16" ht="15" customHeight="1" x14ac:dyDescent="0.3">
      <c r="A581" t="str">
        <f t="shared" si="9"/>
        <v/>
      </c>
      <c r="B581" s="67" t="s">
        <v>13</v>
      </c>
      <c r="C581" s="67">
        <v>13</v>
      </c>
      <c r="D581" s="99" t="s">
        <v>22</v>
      </c>
      <c r="E581" s="67" t="s">
        <v>720</v>
      </c>
      <c r="F581" s="67" t="s">
        <v>18</v>
      </c>
      <c r="G581" s="67" t="s">
        <v>725</v>
      </c>
      <c r="H581" s="127">
        <v>0.2737</v>
      </c>
      <c r="I581" s="109" t="s">
        <v>717</v>
      </c>
      <c r="J581" s="109">
        <v>0.12470000000000001</v>
      </c>
      <c r="K581" s="109" t="s">
        <v>717</v>
      </c>
      <c r="L581" s="67">
        <v>5000</v>
      </c>
      <c r="M581" s="67">
        <v>500000</v>
      </c>
      <c r="N581" s="105">
        <v>44378</v>
      </c>
      <c r="O581" s="105">
        <v>44561</v>
      </c>
      <c r="P581" t="s">
        <v>718</v>
      </c>
    </row>
    <row r="582" spans="1:16" ht="15" customHeight="1" x14ac:dyDescent="0.3">
      <c r="A582" t="str">
        <f t="shared" si="9"/>
        <v>14-3-U-SmartFIX – 1 Year (Level 2)</v>
      </c>
      <c r="B582" s="67" t="s">
        <v>13</v>
      </c>
      <c r="C582" s="67">
        <v>14</v>
      </c>
      <c r="D582" s="99" t="s">
        <v>23</v>
      </c>
      <c r="E582" s="67" t="s">
        <v>716</v>
      </c>
      <c r="F582" s="67" t="s">
        <v>16</v>
      </c>
      <c r="G582" s="67" t="s">
        <v>725</v>
      </c>
      <c r="H582" s="127">
        <v>0.33779999999999999</v>
      </c>
      <c r="I582" s="109">
        <v>0.15</v>
      </c>
      <c r="J582" s="109" t="s">
        <v>717</v>
      </c>
      <c r="K582" s="109" t="s">
        <v>717</v>
      </c>
      <c r="L582" s="67">
        <v>5000</v>
      </c>
      <c r="M582" s="67">
        <v>500000</v>
      </c>
      <c r="N582" s="105">
        <v>44378</v>
      </c>
      <c r="O582" s="105">
        <v>44561</v>
      </c>
      <c r="P582" t="s">
        <v>718</v>
      </c>
    </row>
    <row r="583" spans="1:16" ht="15" customHeight="1" x14ac:dyDescent="0.3">
      <c r="A583" t="str">
        <f t="shared" si="9"/>
        <v>14-4-E7-SmartFIX – 1 Year (Level 2)</v>
      </c>
      <c r="B583" s="67" t="s">
        <v>13</v>
      </c>
      <c r="C583" s="67">
        <v>14</v>
      </c>
      <c r="D583" s="99" t="s">
        <v>23</v>
      </c>
      <c r="E583" s="67" t="s">
        <v>17</v>
      </c>
      <c r="F583" s="67" t="s">
        <v>18</v>
      </c>
      <c r="G583" s="67" t="s">
        <v>725</v>
      </c>
      <c r="H583" s="127">
        <v>0.33779999999999999</v>
      </c>
      <c r="I583" s="109">
        <v>0.1573</v>
      </c>
      <c r="J583" s="109">
        <v>0.11409999999999999</v>
      </c>
      <c r="K583" s="109" t="s">
        <v>717</v>
      </c>
      <c r="L583" s="67">
        <v>5000</v>
      </c>
      <c r="M583" s="67">
        <v>500000</v>
      </c>
      <c r="N583" s="105">
        <v>44378</v>
      </c>
      <c r="O583" s="105">
        <v>44561</v>
      </c>
      <c r="P583" t="s">
        <v>718</v>
      </c>
    </row>
    <row r="584" spans="1:16" ht="15" customHeight="1" x14ac:dyDescent="0.3">
      <c r="A584" t="str">
        <f t="shared" si="9"/>
        <v>14-3-EW-SmartFIX – 1 Year (Level 2)</v>
      </c>
      <c r="B584" s="67" t="s">
        <v>13</v>
      </c>
      <c r="C584" s="67">
        <v>14</v>
      </c>
      <c r="D584" s="99" t="s">
        <v>23</v>
      </c>
      <c r="E584" s="67" t="s">
        <v>19</v>
      </c>
      <c r="F584" s="67" t="s">
        <v>16</v>
      </c>
      <c r="G584" s="67" t="s">
        <v>725</v>
      </c>
      <c r="H584" s="127">
        <v>0.33779999999999999</v>
      </c>
      <c r="I584" s="109">
        <v>0.1573</v>
      </c>
      <c r="J584" s="109" t="s">
        <v>717</v>
      </c>
      <c r="K584" s="109">
        <v>0.13919999999999999</v>
      </c>
      <c r="L584" s="67">
        <v>5000</v>
      </c>
      <c r="M584" s="67">
        <v>500000</v>
      </c>
      <c r="N584" s="105">
        <v>44378</v>
      </c>
      <c r="O584" s="105">
        <v>44561</v>
      </c>
      <c r="P584" t="s">
        <v>718</v>
      </c>
    </row>
    <row r="585" spans="1:16" ht="15" customHeight="1" x14ac:dyDescent="0.3">
      <c r="A585" t="str">
        <f t="shared" si="9"/>
        <v>14-4-3RATE-SmartFIX – 1 Year (Level 2)</v>
      </c>
      <c r="B585" s="67" t="s">
        <v>13</v>
      </c>
      <c r="C585" s="67">
        <v>14</v>
      </c>
      <c r="D585" s="99" t="s">
        <v>23</v>
      </c>
      <c r="E585" s="67" t="s">
        <v>719</v>
      </c>
      <c r="F585" s="67" t="s">
        <v>18</v>
      </c>
      <c r="G585" s="67" t="s">
        <v>725</v>
      </c>
      <c r="H585" s="127">
        <v>0.33779999999999999</v>
      </c>
      <c r="I585" s="109">
        <v>0.24399999999999999</v>
      </c>
      <c r="J585" s="109">
        <v>0.24399999999999999</v>
      </c>
      <c r="K585" s="109">
        <v>0.24399999999999999</v>
      </c>
      <c r="L585" s="67">
        <v>5000</v>
      </c>
      <c r="M585" s="67">
        <v>500000</v>
      </c>
      <c r="N585" s="105">
        <v>44378</v>
      </c>
      <c r="O585" s="105">
        <v>44561</v>
      </c>
      <c r="P585" t="s">
        <v>718</v>
      </c>
    </row>
    <row r="586" spans="1:16" ht="15" customHeight="1" x14ac:dyDescent="0.3">
      <c r="A586" t="str">
        <f t="shared" si="9"/>
        <v/>
      </c>
      <c r="B586" s="67" t="s">
        <v>13</v>
      </c>
      <c r="C586" s="67">
        <v>14</v>
      </c>
      <c r="D586" s="99" t="s">
        <v>23</v>
      </c>
      <c r="E586" s="67" t="s">
        <v>720</v>
      </c>
      <c r="F586" s="67" t="s">
        <v>18</v>
      </c>
      <c r="G586" s="67" t="s">
        <v>725</v>
      </c>
      <c r="H586" s="127">
        <v>0.33779999999999999</v>
      </c>
      <c r="I586" s="109" t="s">
        <v>717</v>
      </c>
      <c r="J586" s="109">
        <v>0.13919999999999999</v>
      </c>
      <c r="K586" s="109" t="s">
        <v>717</v>
      </c>
      <c r="L586" s="67">
        <v>5000</v>
      </c>
      <c r="M586" s="67">
        <v>500000</v>
      </c>
      <c r="N586" s="105">
        <v>44378</v>
      </c>
      <c r="O586" s="105">
        <v>44561</v>
      </c>
      <c r="P586" t="s">
        <v>718</v>
      </c>
    </row>
    <row r="587" spans="1:16" ht="15" customHeight="1" x14ac:dyDescent="0.3">
      <c r="A587" t="str">
        <f t="shared" si="9"/>
        <v>15-3-U-SmartFIX – 1 Year (Level 2)</v>
      </c>
      <c r="B587" s="67" t="s">
        <v>13</v>
      </c>
      <c r="C587" s="67">
        <v>15</v>
      </c>
      <c r="D587" s="99" t="s">
        <v>24</v>
      </c>
      <c r="E587" s="67" t="s">
        <v>716</v>
      </c>
      <c r="F587" s="67" t="s">
        <v>16</v>
      </c>
      <c r="G587" s="67" t="s">
        <v>725</v>
      </c>
      <c r="H587" s="127">
        <v>0.3135</v>
      </c>
      <c r="I587" s="109">
        <v>0.1489</v>
      </c>
      <c r="J587" s="109" t="s">
        <v>717</v>
      </c>
      <c r="K587" s="109" t="s">
        <v>717</v>
      </c>
      <c r="L587" s="67">
        <v>5000</v>
      </c>
      <c r="M587" s="67">
        <v>500000</v>
      </c>
      <c r="N587" s="105">
        <v>44378</v>
      </c>
      <c r="O587" s="105">
        <v>44561</v>
      </c>
      <c r="P587" t="s">
        <v>718</v>
      </c>
    </row>
    <row r="588" spans="1:16" ht="15" customHeight="1" x14ac:dyDescent="0.3">
      <c r="A588" t="str">
        <f t="shared" ref="A588:A651" si="10">IF(E588="OP","",CONCATENATE(C588,"-",RIGHT(F588,1),"-",IF(OR(E588="1 Rate MD",E588="DAY"),"U",IF(OR(E588="2 Rate MD",E588="E7"),"E7",IF(OR(E588="3 Rate MD (EW)",E588="EW"),"EW",IF(OR(E588="3 Rate MD",E588="EWN"),"3RATE",IF(E588="HH 2RATE (CT)","HH 2RATE (CT)",IF(E588="HH 2RATE (WC)","HH 2RATE (WC)",IF(E588="HH 1RATE (CT)","HH 1RATE (CT)",IF(E588="HH 1RATE (WC)","HH 1RATE (WC)")))))))),"-",G588))</f>
        <v>15-4-E7-SmartFIX – 1 Year (Level 2)</v>
      </c>
      <c r="B588" s="67" t="s">
        <v>13</v>
      </c>
      <c r="C588" s="67">
        <v>15</v>
      </c>
      <c r="D588" s="99" t="s">
        <v>24</v>
      </c>
      <c r="E588" s="67" t="s">
        <v>17</v>
      </c>
      <c r="F588" s="67" t="s">
        <v>18</v>
      </c>
      <c r="G588" s="67" t="s">
        <v>725</v>
      </c>
      <c r="H588" s="127">
        <v>0.3135</v>
      </c>
      <c r="I588" s="109">
        <v>0.1547</v>
      </c>
      <c r="J588" s="109">
        <v>0.11360000000000001</v>
      </c>
      <c r="K588" s="109" t="s">
        <v>717</v>
      </c>
      <c r="L588" s="67">
        <v>5000</v>
      </c>
      <c r="M588" s="67">
        <v>500000</v>
      </c>
      <c r="N588" s="105">
        <v>44378</v>
      </c>
      <c r="O588" s="105">
        <v>44561</v>
      </c>
      <c r="P588" t="s">
        <v>718</v>
      </c>
    </row>
    <row r="589" spans="1:16" ht="15" customHeight="1" x14ac:dyDescent="0.3">
      <c r="A589" t="str">
        <f t="shared" si="10"/>
        <v>15-3-EW-SmartFIX – 1 Year (Level 2)</v>
      </c>
      <c r="B589" s="67" t="s">
        <v>13</v>
      </c>
      <c r="C589" s="67">
        <v>15</v>
      </c>
      <c r="D589" s="99" t="s">
        <v>24</v>
      </c>
      <c r="E589" s="67" t="s">
        <v>19</v>
      </c>
      <c r="F589" s="67" t="s">
        <v>16</v>
      </c>
      <c r="G589" s="67" t="s">
        <v>725</v>
      </c>
      <c r="H589" s="127">
        <v>0.3135</v>
      </c>
      <c r="I589" s="109">
        <v>0.159</v>
      </c>
      <c r="J589" s="109" t="s">
        <v>717</v>
      </c>
      <c r="K589" s="109">
        <v>0.1376</v>
      </c>
      <c r="L589" s="67">
        <v>5000</v>
      </c>
      <c r="M589" s="67">
        <v>500000</v>
      </c>
      <c r="N589" s="105">
        <v>44378</v>
      </c>
      <c r="O589" s="105">
        <v>44561</v>
      </c>
      <c r="P589" t="s">
        <v>718</v>
      </c>
    </row>
    <row r="590" spans="1:16" ht="15" customHeight="1" x14ac:dyDescent="0.3">
      <c r="A590" t="str">
        <f t="shared" si="10"/>
        <v>15-4-3RATE-SmartFIX – 1 Year (Level 2)</v>
      </c>
      <c r="B590" s="67" t="s">
        <v>13</v>
      </c>
      <c r="C590" s="67">
        <v>15</v>
      </c>
      <c r="D590" s="99" t="s">
        <v>24</v>
      </c>
      <c r="E590" s="67" t="s">
        <v>719</v>
      </c>
      <c r="F590" s="67" t="s">
        <v>18</v>
      </c>
      <c r="G590" s="67" t="s">
        <v>725</v>
      </c>
      <c r="H590" s="127">
        <v>0.3135</v>
      </c>
      <c r="I590" s="109">
        <v>0.24399999999999999</v>
      </c>
      <c r="J590" s="109">
        <v>0.24399999999999999</v>
      </c>
      <c r="K590" s="109">
        <v>0.24399999999999999</v>
      </c>
      <c r="L590" s="67">
        <v>5000</v>
      </c>
      <c r="M590" s="67">
        <v>500000</v>
      </c>
      <c r="N590" s="105">
        <v>44378</v>
      </c>
      <c r="O590" s="105">
        <v>44561</v>
      </c>
      <c r="P590" t="s">
        <v>718</v>
      </c>
    </row>
    <row r="591" spans="1:16" ht="15" customHeight="1" x14ac:dyDescent="0.3">
      <c r="A591" t="str">
        <f t="shared" si="10"/>
        <v/>
      </c>
      <c r="B591" s="67" t="s">
        <v>13</v>
      </c>
      <c r="C591" s="67">
        <v>15</v>
      </c>
      <c r="D591" s="99" t="s">
        <v>24</v>
      </c>
      <c r="E591" s="67" t="s">
        <v>720</v>
      </c>
      <c r="F591" s="67" t="s">
        <v>18</v>
      </c>
      <c r="G591" s="67" t="s">
        <v>725</v>
      </c>
      <c r="H591" s="127">
        <v>0.3135</v>
      </c>
      <c r="I591" s="109" t="s">
        <v>717</v>
      </c>
      <c r="J591" s="109">
        <v>0.1376</v>
      </c>
      <c r="K591" s="109" t="s">
        <v>717</v>
      </c>
      <c r="L591" s="67">
        <v>5000</v>
      </c>
      <c r="M591" s="67">
        <v>500000</v>
      </c>
      <c r="N591" s="105">
        <v>44378</v>
      </c>
      <c r="O591" s="105">
        <v>44561</v>
      </c>
      <c r="P591" t="s">
        <v>718</v>
      </c>
    </row>
    <row r="592" spans="1:16" ht="15" customHeight="1" x14ac:dyDescent="0.3">
      <c r="A592" t="str">
        <f t="shared" si="10"/>
        <v>16-3-U-SmartFIX – 1 Year (Level 2)</v>
      </c>
      <c r="B592" s="67" t="s">
        <v>13</v>
      </c>
      <c r="C592" s="67">
        <v>16</v>
      </c>
      <c r="D592" s="99" t="s">
        <v>25</v>
      </c>
      <c r="E592" s="67" t="s">
        <v>716</v>
      </c>
      <c r="F592" s="67" t="s">
        <v>16</v>
      </c>
      <c r="G592" s="67" t="s">
        <v>725</v>
      </c>
      <c r="H592" s="127">
        <v>0.26540000000000002</v>
      </c>
      <c r="I592" s="109">
        <v>0.15129999999999999</v>
      </c>
      <c r="J592" s="109" t="s">
        <v>717</v>
      </c>
      <c r="K592" s="109" t="s">
        <v>717</v>
      </c>
      <c r="L592" s="67">
        <v>5000</v>
      </c>
      <c r="M592" s="67">
        <v>500000</v>
      </c>
      <c r="N592" s="105">
        <v>44378</v>
      </c>
      <c r="O592" s="105">
        <v>44561</v>
      </c>
      <c r="P592" t="s">
        <v>718</v>
      </c>
    </row>
    <row r="593" spans="1:16" ht="15" customHeight="1" x14ac:dyDescent="0.3">
      <c r="A593" t="str">
        <f t="shared" si="10"/>
        <v>16-4-E7-SmartFIX – 1 Year (Level 2)</v>
      </c>
      <c r="B593" s="67" t="s">
        <v>13</v>
      </c>
      <c r="C593" s="67">
        <v>16</v>
      </c>
      <c r="D593" s="99" t="s">
        <v>25</v>
      </c>
      <c r="E593" s="67" t="s">
        <v>17</v>
      </c>
      <c r="F593" s="67" t="s">
        <v>18</v>
      </c>
      <c r="G593" s="67" t="s">
        <v>725</v>
      </c>
      <c r="H593" s="127">
        <v>0.26540000000000002</v>
      </c>
      <c r="I593" s="109">
        <v>0.15820000000000001</v>
      </c>
      <c r="J593" s="109">
        <v>0.115</v>
      </c>
      <c r="K593" s="109" t="s">
        <v>717</v>
      </c>
      <c r="L593" s="67">
        <v>5000</v>
      </c>
      <c r="M593" s="67">
        <v>500000</v>
      </c>
      <c r="N593" s="105">
        <v>44378</v>
      </c>
      <c r="O593" s="105">
        <v>44561</v>
      </c>
      <c r="P593" t="s">
        <v>718</v>
      </c>
    </row>
    <row r="594" spans="1:16" ht="15" customHeight="1" x14ac:dyDescent="0.3">
      <c r="A594" t="str">
        <f t="shared" si="10"/>
        <v>16-3-EW-SmartFIX – 1 Year (Level 2)</v>
      </c>
      <c r="B594" s="67" t="s">
        <v>13</v>
      </c>
      <c r="C594" s="67">
        <v>16</v>
      </c>
      <c r="D594" s="99" t="s">
        <v>25</v>
      </c>
      <c r="E594" s="67" t="s">
        <v>19</v>
      </c>
      <c r="F594" s="67" t="s">
        <v>16</v>
      </c>
      <c r="G594" s="67" t="s">
        <v>725</v>
      </c>
      <c r="H594" s="127">
        <v>0.26540000000000002</v>
      </c>
      <c r="I594" s="109">
        <v>0.1613</v>
      </c>
      <c r="J594" s="109" t="s">
        <v>717</v>
      </c>
      <c r="K594" s="109">
        <v>0.13930000000000001</v>
      </c>
      <c r="L594" s="67">
        <v>5000</v>
      </c>
      <c r="M594" s="67">
        <v>500000</v>
      </c>
      <c r="N594" s="105">
        <v>44378</v>
      </c>
      <c r="O594" s="105">
        <v>44561</v>
      </c>
      <c r="P594" t="s">
        <v>718</v>
      </c>
    </row>
    <row r="595" spans="1:16" ht="15" customHeight="1" x14ac:dyDescent="0.3">
      <c r="A595" t="str">
        <f t="shared" si="10"/>
        <v>16-4-3RATE-SmartFIX – 1 Year (Level 2)</v>
      </c>
      <c r="B595" s="67" t="s">
        <v>13</v>
      </c>
      <c r="C595" s="67">
        <v>16</v>
      </c>
      <c r="D595" s="99" t="s">
        <v>25</v>
      </c>
      <c r="E595" s="67" t="s">
        <v>719</v>
      </c>
      <c r="F595" s="67" t="s">
        <v>18</v>
      </c>
      <c r="G595" s="67" t="s">
        <v>725</v>
      </c>
      <c r="H595" s="127">
        <v>0.26540000000000002</v>
      </c>
      <c r="I595" s="109">
        <v>0.16689999999999999</v>
      </c>
      <c r="J595" s="109">
        <v>0.1119</v>
      </c>
      <c r="K595" s="109">
        <v>0.1416</v>
      </c>
      <c r="L595" s="67">
        <v>5000</v>
      </c>
      <c r="M595" s="67">
        <v>500000</v>
      </c>
      <c r="N595" s="105">
        <v>44378</v>
      </c>
      <c r="O595" s="105">
        <v>44561</v>
      </c>
      <c r="P595" t="s">
        <v>718</v>
      </c>
    </row>
    <row r="596" spans="1:16" ht="15" customHeight="1" x14ac:dyDescent="0.3">
      <c r="A596" t="str">
        <f t="shared" si="10"/>
        <v/>
      </c>
      <c r="B596" s="67" t="s">
        <v>13</v>
      </c>
      <c r="C596" s="67">
        <v>16</v>
      </c>
      <c r="D596" s="99" t="s">
        <v>25</v>
      </c>
      <c r="E596" s="67" t="s">
        <v>720</v>
      </c>
      <c r="F596" s="67" t="s">
        <v>18</v>
      </c>
      <c r="G596" s="67" t="s">
        <v>725</v>
      </c>
      <c r="H596" s="127">
        <v>0.26540000000000002</v>
      </c>
      <c r="I596" s="109" t="s">
        <v>717</v>
      </c>
      <c r="J596" s="109">
        <v>0.13930000000000001</v>
      </c>
      <c r="K596" s="109" t="s">
        <v>717</v>
      </c>
      <c r="L596" s="67">
        <v>5000</v>
      </c>
      <c r="M596" s="67">
        <v>500000</v>
      </c>
      <c r="N596" s="105">
        <v>44378</v>
      </c>
      <c r="O596" s="105">
        <v>44561</v>
      </c>
      <c r="P596" t="s">
        <v>718</v>
      </c>
    </row>
    <row r="597" spans="1:16" ht="15" customHeight="1" x14ac:dyDescent="0.3">
      <c r="A597" t="str">
        <f t="shared" si="10"/>
        <v>17-3-U-SmartFIX – 1 Year (Level 2)</v>
      </c>
      <c r="B597" s="67" t="s">
        <v>13</v>
      </c>
      <c r="C597" s="67">
        <v>17</v>
      </c>
      <c r="D597" s="99" t="s">
        <v>26</v>
      </c>
      <c r="E597" s="67" t="s">
        <v>716</v>
      </c>
      <c r="F597" s="67" t="s">
        <v>16</v>
      </c>
      <c r="G597" s="67" t="s">
        <v>725</v>
      </c>
      <c r="H597" s="127">
        <v>0.34960000000000002</v>
      </c>
      <c r="I597" s="109">
        <v>0.154</v>
      </c>
      <c r="J597" s="109" t="s">
        <v>717</v>
      </c>
      <c r="K597" s="109" t="s">
        <v>717</v>
      </c>
      <c r="L597" s="67">
        <v>5000</v>
      </c>
      <c r="M597" s="67">
        <v>500000</v>
      </c>
      <c r="N597" s="105">
        <v>44378</v>
      </c>
      <c r="O597" s="105">
        <v>44561</v>
      </c>
      <c r="P597" t="s">
        <v>718</v>
      </c>
    </row>
    <row r="598" spans="1:16" ht="15" customHeight="1" x14ac:dyDescent="0.3">
      <c r="A598" t="str">
        <f t="shared" si="10"/>
        <v>17-4-E7-SmartFIX – 1 Year (Level 2)</v>
      </c>
      <c r="B598" s="67" t="s">
        <v>13</v>
      </c>
      <c r="C598" s="67">
        <v>17</v>
      </c>
      <c r="D598" s="99" t="s">
        <v>26</v>
      </c>
      <c r="E598" s="67" t="s">
        <v>17</v>
      </c>
      <c r="F598" s="67" t="s">
        <v>18</v>
      </c>
      <c r="G598" s="67" t="s">
        <v>725</v>
      </c>
      <c r="H598" s="127">
        <v>0.34960000000000002</v>
      </c>
      <c r="I598" s="109">
        <v>0.1696</v>
      </c>
      <c r="J598" s="109">
        <v>0.1246</v>
      </c>
      <c r="K598" s="109" t="s">
        <v>717</v>
      </c>
      <c r="L598" s="67">
        <v>5000</v>
      </c>
      <c r="M598" s="67">
        <v>500000</v>
      </c>
      <c r="N598" s="105">
        <v>44378</v>
      </c>
      <c r="O598" s="105">
        <v>44561</v>
      </c>
      <c r="P598" t="s">
        <v>718</v>
      </c>
    </row>
    <row r="599" spans="1:16" ht="15" customHeight="1" x14ac:dyDescent="0.3">
      <c r="A599" t="str">
        <f t="shared" si="10"/>
        <v>17-3-EW-SmartFIX – 1 Year (Level 2)</v>
      </c>
      <c r="B599" s="67" t="s">
        <v>13</v>
      </c>
      <c r="C599" s="67">
        <v>17</v>
      </c>
      <c r="D599" s="99" t="s">
        <v>26</v>
      </c>
      <c r="E599" s="67" t="s">
        <v>19</v>
      </c>
      <c r="F599" s="67" t="s">
        <v>16</v>
      </c>
      <c r="G599" s="67" t="s">
        <v>725</v>
      </c>
      <c r="H599" s="127">
        <v>0.34960000000000002</v>
      </c>
      <c r="I599" s="109">
        <v>0.1615</v>
      </c>
      <c r="J599" s="109" t="s">
        <v>717</v>
      </c>
      <c r="K599" s="109">
        <v>0.14419999999999999</v>
      </c>
      <c r="L599" s="67">
        <v>5000</v>
      </c>
      <c r="M599" s="67">
        <v>500000</v>
      </c>
      <c r="N599" s="105">
        <v>44378</v>
      </c>
      <c r="O599" s="105">
        <v>44561</v>
      </c>
      <c r="P599" t="s">
        <v>718</v>
      </c>
    </row>
    <row r="600" spans="1:16" ht="15" customHeight="1" x14ac:dyDescent="0.3">
      <c r="A600" t="str">
        <f t="shared" si="10"/>
        <v>17-4-3RATE-SmartFIX – 1 Year (Level 2)</v>
      </c>
      <c r="B600" s="67" t="s">
        <v>13</v>
      </c>
      <c r="C600" s="67">
        <v>17</v>
      </c>
      <c r="D600" s="99" t="s">
        <v>26</v>
      </c>
      <c r="E600" s="67" t="s">
        <v>719</v>
      </c>
      <c r="F600" s="67" t="s">
        <v>18</v>
      </c>
      <c r="G600" s="67" t="s">
        <v>725</v>
      </c>
      <c r="H600" s="127">
        <v>0.34960000000000002</v>
      </c>
      <c r="I600" s="109">
        <v>0.24399999999999999</v>
      </c>
      <c r="J600" s="109">
        <v>0.24399999999999999</v>
      </c>
      <c r="K600" s="109">
        <v>0.24399999999999999</v>
      </c>
      <c r="L600" s="67">
        <v>5000</v>
      </c>
      <c r="M600" s="67">
        <v>500000</v>
      </c>
      <c r="N600" s="105">
        <v>44378</v>
      </c>
      <c r="O600" s="105">
        <v>44561</v>
      </c>
      <c r="P600" t="s">
        <v>718</v>
      </c>
    </row>
    <row r="601" spans="1:16" ht="15" customHeight="1" x14ac:dyDescent="0.3">
      <c r="A601" t="str">
        <f t="shared" si="10"/>
        <v/>
      </c>
      <c r="B601" s="67" t="s">
        <v>13</v>
      </c>
      <c r="C601" s="67">
        <v>17</v>
      </c>
      <c r="D601" s="99" t="s">
        <v>26</v>
      </c>
      <c r="E601" s="67" t="s">
        <v>720</v>
      </c>
      <c r="F601" s="67" t="s">
        <v>18</v>
      </c>
      <c r="G601" s="67" t="s">
        <v>725</v>
      </c>
      <c r="H601" s="127">
        <v>0.34960000000000002</v>
      </c>
      <c r="I601" s="109" t="s">
        <v>717</v>
      </c>
      <c r="J601" s="109">
        <v>0.14419999999999999</v>
      </c>
      <c r="K601" s="109" t="s">
        <v>717</v>
      </c>
      <c r="L601" s="67">
        <v>5000</v>
      </c>
      <c r="M601" s="67">
        <v>500000</v>
      </c>
      <c r="N601" s="105">
        <v>44378</v>
      </c>
      <c r="O601" s="105">
        <v>44561</v>
      </c>
      <c r="P601" t="s">
        <v>718</v>
      </c>
    </row>
    <row r="602" spans="1:16" ht="15" customHeight="1" x14ac:dyDescent="0.3">
      <c r="A602" t="str">
        <f t="shared" si="10"/>
        <v>18-3-U-SmartFIX – 1 Year (Level 2)</v>
      </c>
      <c r="B602" s="67" t="s">
        <v>13</v>
      </c>
      <c r="C602" s="67">
        <v>18</v>
      </c>
      <c r="D602" s="99" t="s">
        <v>27</v>
      </c>
      <c r="E602" s="67" t="s">
        <v>716</v>
      </c>
      <c r="F602" s="67" t="s">
        <v>16</v>
      </c>
      <c r="G602" s="67" t="s">
        <v>725</v>
      </c>
      <c r="H602" s="127">
        <v>0.30499999999999999</v>
      </c>
      <c r="I602" s="109">
        <v>0.14929999999999999</v>
      </c>
      <c r="J602" s="109" t="s">
        <v>717</v>
      </c>
      <c r="K602" s="109" t="s">
        <v>717</v>
      </c>
      <c r="L602" s="67">
        <v>5000</v>
      </c>
      <c r="M602" s="67">
        <v>500000</v>
      </c>
      <c r="N602" s="105">
        <v>44378</v>
      </c>
      <c r="O602" s="105">
        <v>44561</v>
      </c>
      <c r="P602" t="s">
        <v>718</v>
      </c>
    </row>
    <row r="603" spans="1:16" ht="15" customHeight="1" x14ac:dyDescent="0.3">
      <c r="A603" t="str">
        <f t="shared" si="10"/>
        <v>18-4-E7-SmartFIX – 1 Year (Level 2)</v>
      </c>
      <c r="B603" s="67" t="s">
        <v>13</v>
      </c>
      <c r="C603" s="67">
        <v>18</v>
      </c>
      <c r="D603" s="99" t="s">
        <v>27</v>
      </c>
      <c r="E603" s="67" t="s">
        <v>17</v>
      </c>
      <c r="F603" s="67" t="s">
        <v>18</v>
      </c>
      <c r="G603" s="67" t="s">
        <v>725</v>
      </c>
      <c r="H603" s="127">
        <v>0.30499999999999999</v>
      </c>
      <c r="I603" s="109">
        <v>0.16220000000000001</v>
      </c>
      <c r="J603" s="109">
        <v>0.1197</v>
      </c>
      <c r="K603" s="109" t="s">
        <v>717</v>
      </c>
      <c r="L603" s="67">
        <v>5000</v>
      </c>
      <c r="M603" s="67">
        <v>500000</v>
      </c>
      <c r="N603" s="105">
        <v>44378</v>
      </c>
      <c r="O603" s="105">
        <v>44561</v>
      </c>
      <c r="P603" t="s">
        <v>718</v>
      </c>
    </row>
    <row r="604" spans="1:16" ht="15" customHeight="1" x14ac:dyDescent="0.3">
      <c r="A604" t="str">
        <f t="shared" si="10"/>
        <v>18-3-EW-SmartFIX – 1 Year (Level 2)</v>
      </c>
      <c r="B604" s="67" t="s">
        <v>13</v>
      </c>
      <c r="C604" s="67">
        <v>18</v>
      </c>
      <c r="D604" s="99" t="s">
        <v>27</v>
      </c>
      <c r="E604" s="67" t="s">
        <v>19</v>
      </c>
      <c r="F604" s="67" t="s">
        <v>16</v>
      </c>
      <c r="G604" s="67" t="s">
        <v>725</v>
      </c>
      <c r="H604" s="127">
        <v>0.30499999999999999</v>
      </c>
      <c r="I604" s="109">
        <v>0.15690000000000001</v>
      </c>
      <c r="J604" s="109" t="s">
        <v>717</v>
      </c>
      <c r="K604" s="109">
        <v>0.13830000000000001</v>
      </c>
      <c r="L604" s="67">
        <v>5000</v>
      </c>
      <c r="M604" s="67">
        <v>500000</v>
      </c>
      <c r="N604" s="105">
        <v>44378</v>
      </c>
      <c r="O604" s="105">
        <v>44561</v>
      </c>
      <c r="P604" t="s">
        <v>718</v>
      </c>
    </row>
    <row r="605" spans="1:16" ht="15" customHeight="1" x14ac:dyDescent="0.3">
      <c r="A605" t="str">
        <f t="shared" si="10"/>
        <v>18-4-3RATE-SmartFIX – 1 Year (Level 2)</v>
      </c>
      <c r="B605" s="67" t="s">
        <v>13</v>
      </c>
      <c r="C605" s="67">
        <v>18</v>
      </c>
      <c r="D605" s="99" t="s">
        <v>27</v>
      </c>
      <c r="E605" s="67" t="s">
        <v>719</v>
      </c>
      <c r="F605" s="67" t="s">
        <v>18</v>
      </c>
      <c r="G605" s="67" t="s">
        <v>725</v>
      </c>
      <c r="H605" s="127">
        <v>0.30499999999999999</v>
      </c>
      <c r="I605" s="109">
        <v>0.24399999999999999</v>
      </c>
      <c r="J605" s="109">
        <v>0.24399999999999999</v>
      </c>
      <c r="K605" s="109">
        <v>0.24399999999999999</v>
      </c>
      <c r="L605" s="67">
        <v>5000</v>
      </c>
      <c r="M605" s="67">
        <v>500000</v>
      </c>
      <c r="N605" s="105">
        <v>44378</v>
      </c>
      <c r="O605" s="105">
        <v>44561</v>
      </c>
      <c r="P605" t="s">
        <v>718</v>
      </c>
    </row>
    <row r="606" spans="1:16" ht="15" customHeight="1" x14ac:dyDescent="0.3">
      <c r="A606" t="str">
        <f t="shared" si="10"/>
        <v/>
      </c>
      <c r="B606" s="67" t="s">
        <v>13</v>
      </c>
      <c r="C606" s="67">
        <v>18</v>
      </c>
      <c r="D606" s="99" t="s">
        <v>27</v>
      </c>
      <c r="E606" s="67" t="s">
        <v>720</v>
      </c>
      <c r="F606" s="67" t="s">
        <v>18</v>
      </c>
      <c r="G606" s="67" t="s">
        <v>725</v>
      </c>
      <c r="H606" s="127">
        <v>0.30499999999999999</v>
      </c>
      <c r="I606" s="109" t="s">
        <v>717</v>
      </c>
      <c r="J606" s="109">
        <v>0.13830000000000001</v>
      </c>
      <c r="K606" s="109" t="s">
        <v>717</v>
      </c>
      <c r="L606" s="67">
        <v>5000</v>
      </c>
      <c r="M606" s="67">
        <v>500000</v>
      </c>
      <c r="N606" s="105">
        <v>44378</v>
      </c>
      <c r="O606" s="105">
        <v>44561</v>
      </c>
      <c r="P606" t="s">
        <v>718</v>
      </c>
    </row>
    <row r="607" spans="1:16" ht="15" customHeight="1" x14ac:dyDescent="0.3">
      <c r="A607" t="str">
        <f t="shared" si="10"/>
        <v>19-3-U-SmartFIX – 1 Year (Level 2)</v>
      </c>
      <c r="B607" s="67" t="s">
        <v>13</v>
      </c>
      <c r="C607" s="67">
        <v>19</v>
      </c>
      <c r="D607" s="99" t="s">
        <v>28</v>
      </c>
      <c r="E607" s="67" t="s">
        <v>716</v>
      </c>
      <c r="F607" s="67" t="s">
        <v>16</v>
      </c>
      <c r="G607" s="67" t="s">
        <v>725</v>
      </c>
      <c r="H607" s="127">
        <v>0.28989999999999999</v>
      </c>
      <c r="I607" s="109">
        <v>0.14979999999999999</v>
      </c>
      <c r="J607" s="109" t="s">
        <v>717</v>
      </c>
      <c r="K607" s="109" t="s">
        <v>717</v>
      </c>
      <c r="L607" s="67">
        <v>5000</v>
      </c>
      <c r="M607" s="67">
        <v>500000</v>
      </c>
      <c r="N607" s="105">
        <v>44378</v>
      </c>
      <c r="O607" s="105">
        <v>44561</v>
      </c>
      <c r="P607" t="s">
        <v>718</v>
      </c>
    </row>
    <row r="608" spans="1:16" ht="15" customHeight="1" x14ac:dyDescent="0.3">
      <c r="A608" t="str">
        <f t="shared" si="10"/>
        <v>19-4-E7-SmartFIX – 1 Year (Level 2)</v>
      </c>
      <c r="B608" s="67" t="s">
        <v>13</v>
      </c>
      <c r="C608" s="67">
        <v>19</v>
      </c>
      <c r="D608" s="99" t="s">
        <v>28</v>
      </c>
      <c r="E608" s="67" t="s">
        <v>17</v>
      </c>
      <c r="F608" s="67" t="s">
        <v>18</v>
      </c>
      <c r="G608" s="67" t="s">
        <v>725</v>
      </c>
      <c r="H608" s="127">
        <v>0.28989999999999999</v>
      </c>
      <c r="I608" s="109">
        <v>0.1583</v>
      </c>
      <c r="J608" s="109">
        <v>0.1108</v>
      </c>
      <c r="K608" s="109" t="s">
        <v>717</v>
      </c>
      <c r="L608" s="67">
        <v>5000</v>
      </c>
      <c r="M608" s="67">
        <v>500000</v>
      </c>
      <c r="N608" s="105">
        <v>44378</v>
      </c>
      <c r="O608" s="105">
        <v>44561</v>
      </c>
      <c r="P608" t="s">
        <v>718</v>
      </c>
    </row>
    <row r="609" spans="1:16" ht="15" customHeight="1" x14ac:dyDescent="0.3">
      <c r="A609" t="str">
        <f t="shared" si="10"/>
        <v>19-3-EW-SmartFIX – 1 Year (Level 2)</v>
      </c>
      <c r="B609" s="67" t="s">
        <v>13</v>
      </c>
      <c r="C609" s="67">
        <v>19</v>
      </c>
      <c r="D609" s="99" t="s">
        <v>28</v>
      </c>
      <c r="E609" s="67" t="s">
        <v>19</v>
      </c>
      <c r="F609" s="67" t="s">
        <v>16</v>
      </c>
      <c r="G609" s="67" t="s">
        <v>725</v>
      </c>
      <c r="H609" s="127">
        <v>0.28989999999999999</v>
      </c>
      <c r="I609" s="109">
        <v>0.24399999999999999</v>
      </c>
      <c r="J609" s="109" t="s">
        <v>717</v>
      </c>
      <c r="K609" s="109">
        <v>0.24399999999999999</v>
      </c>
      <c r="L609" s="67">
        <v>5000</v>
      </c>
      <c r="M609" s="67">
        <v>500000</v>
      </c>
      <c r="N609" s="105">
        <v>44378</v>
      </c>
      <c r="O609" s="105">
        <v>44561</v>
      </c>
      <c r="P609" t="s">
        <v>718</v>
      </c>
    </row>
    <row r="610" spans="1:16" ht="15" customHeight="1" x14ac:dyDescent="0.3">
      <c r="A610" t="str">
        <f t="shared" si="10"/>
        <v>19-4-3RATE-SmartFIX – 1 Year (Level 2)</v>
      </c>
      <c r="B610" s="67" t="s">
        <v>13</v>
      </c>
      <c r="C610" s="67">
        <v>19</v>
      </c>
      <c r="D610" s="99" t="s">
        <v>28</v>
      </c>
      <c r="E610" s="67" t="s">
        <v>719</v>
      </c>
      <c r="F610" s="67" t="s">
        <v>18</v>
      </c>
      <c r="G610" s="67" t="s">
        <v>725</v>
      </c>
      <c r="H610" s="127">
        <v>0.28989999999999999</v>
      </c>
      <c r="I610" s="109">
        <v>0.16850000000000001</v>
      </c>
      <c r="J610" s="109">
        <v>0.11210000000000001</v>
      </c>
      <c r="K610" s="109">
        <v>0.15620000000000001</v>
      </c>
      <c r="L610" s="67">
        <v>5000</v>
      </c>
      <c r="M610" s="67">
        <v>500000</v>
      </c>
      <c r="N610" s="105">
        <v>44378</v>
      </c>
      <c r="O610" s="105">
        <v>44561</v>
      </c>
      <c r="P610" t="s">
        <v>718</v>
      </c>
    </row>
    <row r="611" spans="1:16" ht="15" customHeight="1" x14ac:dyDescent="0.3">
      <c r="A611" t="str">
        <f t="shared" si="10"/>
        <v/>
      </c>
      <c r="B611" s="67" t="s">
        <v>13</v>
      </c>
      <c r="C611" s="67">
        <v>19</v>
      </c>
      <c r="D611" s="99" t="s">
        <v>28</v>
      </c>
      <c r="E611" s="67" t="s">
        <v>720</v>
      </c>
      <c r="F611" s="67" t="s">
        <v>18</v>
      </c>
      <c r="G611" s="67" t="s">
        <v>725</v>
      </c>
      <c r="H611" s="127">
        <v>0.28989999999999999</v>
      </c>
      <c r="I611" s="109" t="s">
        <v>717</v>
      </c>
      <c r="J611" s="109">
        <v>0.1108</v>
      </c>
      <c r="K611" s="109" t="s">
        <v>717</v>
      </c>
      <c r="L611" s="67">
        <v>5000</v>
      </c>
      <c r="M611" s="67">
        <v>500000</v>
      </c>
      <c r="N611" s="105">
        <v>44378</v>
      </c>
      <c r="O611" s="105">
        <v>44561</v>
      </c>
      <c r="P611" t="s">
        <v>718</v>
      </c>
    </row>
    <row r="612" spans="1:16" ht="15" customHeight="1" x14ac:dyDescent="0.3">
      <c r="A612" t="str">
        <f t="shared" si="10"/>
        <v>20-3-U-SmartFIX – 1 Year (Level 2)</v>
      </c>
      <c r="B612" s="67" t="s">
        <v>13</v>
      </c>
      <c r="C612" s="67">
        <v>20</v>
      </c>
      <c r="D612" s="99" t="s">
        <v>29</v>
      </c>
      <c r="E612" s="67" t="s">
        <v>716</v>
      </c>
      <c r="F612" s="67" t="s">
        <v>16</v>
      </c>
      <c r="G612" s="67" t="s">
        <v>725</v>
      </c>
      <c r="H612" s="127">
        <v>0.2873</v>
      </c>
      <c r="I612" s="109">
        <v>0.14549999999999999</v>
      </c>
      <c r="J612" s="109" t="s">
        <v>717</v>
      </c>
      <c r="K612" s="109" t="s">
        <v>717</v>
      </c>
      <c r="L612" s="67">
        <v>5000</v>
      </c>
      <c r="M612" s="67">
        <v>500000</v>
      </c>
      <c r="N612" s="105">
        <v>44378</v>
      </c>
      <c r="O612" s="105">
        <v>44561</v>
      </c>
      <c r="P612" t="s">
        <v>718</v>
      </c>
    </row>
    <row r="613" spans="1:16" ht="15" customHeight="1" x14ac:dyDescent="0.3">
      <c r="A613" t="str">
        <f t="shared" si="10"/>
        <v>20-4-E7-SmartFIX – 1 Year (Level 2)</v>
      </c>
      <c r="B613" s="67" t="s">
        <v>13</v>
      </c>
      <c r="C613" s="67">
        <v>20</v>
      </c>
      <c r="D613" s="99" t="s">
        <v>29</v>
      </c>
      <c r="E613" s="67" t="s">
        <v>17</v>
      </c>
      <c r="F613" s="67" t="s">
        <v>18</v>
      </c>
      <c r="G613" s="67" t="s">
        <v>725</v>
      </c>
      <c r="H613" s="127">
        <v>0.2873</v>
      </c>
      <c r="I613" s="109">
        <v>0.15659999999999999</v>
      </c>
      <c r="J613" s="109">
        <v>0.11269999999999999</v>
      </c>
      <c r="K613" s="109" t="s">
        <v>717</v>
      </c>
      <c r="L613" s="67">
        <v>5000</v>
      </c>
      <c r="M613" s="67">
        <v>500000</v>
      </c>
      <c r="N613" s="105">
        <v>44378</v>
      </c>
      <c r="O613" s="105">
        <v>44561</v>
      </c>
      <c r="P613" t="s">
        <v>718</v>
      </c>
    </row>
    <row r="614" spans="1:16" ht="15" customHeight="1" x14ac:dyDescent="0.3">
      <c r="A614" t="str">
        <f t="shared" si="10"/>
        <v>20-3-EW-SmartFIX – 1 Year (Level 2)</v>
      </c>
      <c r="B614" s="67" t="s">
        <v>13</v>
      </c>
      <c r="C614" s="67">
        <v>20</v>
      </c>
      <c r="D614" s="99" t="s">
        <v>29</v>
      </c>
      <c r="E614" s="67" t="s">
        <v>19</v>
      </c>
      <c r="F614" s="67" t="s">
        <v>16</v>
      </c>
      <c r="G614" s="67" t="s">
        <v>725</v>
      </c>
      <c r="H614" s="127">
        <v>0.2873</v>
      </c>
      <c r="I614" s="109">
        <v>0.15459999999999999</v>
      </c>
      <c r="J614" s="109" t="s">
        <v>717</v>
      </c>
      <c r="K614" s="109">
        <v>0.13320000000000001</v>
      </c>
      <c r="L614" s="67">
        <v>5000</v>
      </c>
      <c r="M614" s="67">
        <v>500000</v>
      </c>
      <c r="N614" s="105">
        <v>44378</v>
      </c>
      <c r="O614" s="105">
        <v>44561</v>
      </c>
      <c r="P614" t="s">
        <v>718</v>
      </c>
    </row>
    <row r="615" spans="1:16" ht="15" customHeight="1" x14ac:dyDescent="0.3">
      <c r="A615" t="str">
        <f t="shared" si="10"/>
        <v>20-4-3RATE-SmartFIX – 1 Year (Level 2)</v>
      </c>
      <c r="B615" s="67" t="s">
        <v>13</v>
      </c>
      <c r="C615" s="67">
        <v>20</v>
      </c>
      <c r="D615" s="99" t="s">
        <v>29</v>
      </c>
      <c r="E615" s="67" t="s">
        <v>719</v>
      </c>
      <c r="F615" s="67" t="s">
        <v>18</v>
      </c>
      <c r="G615" s="67" t="s">
        <v>725</v>
      </c>
      <c r="H615" s="127">
        <v>0.2873</v>
      </c>
      <c r="I615" s="109">
        <v>0.16569999999999999</v>
      </c>
      <c r="J615" s="109">
        <v>0.1139</v>
      </c>
      <c r="K615" s="109">
        <v>0.14699999999999999</v>
      </c>
      <c r="L615" s="67">
        <v>5000</v>
      </c>
      <c r="M615" s="67">
        <v>500000</v>
      </c>
      <c r="N615" s="105">
        <v>44378</v>
      </c>
      <c r="O615" s="105">
        <v>44561</v>
      </c>
      <c r="P615" t="s">
        <v>718</v>
      </c>
    </row>
    <row r="616" spans="1:16" ht="15" customHeight="1" x14ac:dyDescent="0.3">
      <c r="A616" t="str">
        <f t="shared" si="10"/>
        <v/>
      </c>
      <c r="B616" s="67" t="s">
        <v>13</v>
      </c>
      <c r="C616" s="67">
        <v>20</v>
      </c>
      <c r="D616" s="99" t="s">
        <v>29</v>
      </c>
      <c r="E616" s="67" t="s">
        <v>720</v>
      </c>
      <c r="F616" s="67" t="s">
        <v>18</v>
      </c>
      <c r="G616" s="67" t="s">
        <v>725</v>
      </c>
      <c r="H616" s="127">
        <v>0.2873</v>
      </c>
      <c r="I616" s="109" t="s">
        <v>717</v>
      </c>
      <c r="J616" s="109">
        <v>0.13320000000000001</v>
      </c>
      <c r="K616" s="109" t="s">
        <v>717</v>
      </c>
      <c r="L616" s="67">
        <v>5000</v>
      </c>
      <c r="M616" s="67">
        <v>500000</v>
      </c>
      <c r="N616" s="105">
        <v>44378</v>
      </c>
      <c r="O616" s="105">
        <v>44561</v>
      </c>
      <c r="P616" t="s">
        <v>718</v>
      </c>
    </row>
    <row r="617" spans="1:16" ht="15" customHeight="1" x14ac:dyDescent="0.3">
      <c r="A617" t="str">
        <f t="shared" si="10"/>
        <v>21-3-U-SmartFIX – 1 Year (Level 2)</v>
      </c>
      <c r="B617" s="67" t="s">
        <v>13</v>
      </c>
      <c r="C617" s="67">
        <v>21</v>
      </c>
      <c r="D617" s="99" t="s">
        <v>30</v>
      </c>
      <c r="E617" s="67" t="s">
        <v>716</v>
      </c>
      <c r="F617" s="67" t="s">
        <v>16</v>
      </c>
      <c r="G617" s="67" t="s">
        <v>725</v>
      </c>
      <c r="H617" s="39">
        <v>0.39760000000000001</v>
      </c>
      <c r="I617" s="109">
        <v>0.14729999999999999</v>
      </c>
      <c r="J617" s="109" t="s">
        <v>717</v>
      </c>
      <c r="K617" s="109" t="s">
        <v>717</v>
      </c>
      <c r="L617" s="67">
        <v>5000</v>
      </c>
      <c r="M617" s="67">
        <v>500000</v>
      </c>
      <c r="N617" s="105">
        <v>44378</v>
      </c>
      <c r="O617" s="105">
        <v>44561</v>
      </c>
      <c r="P617" t="s">
        <v>718</v>
      </c>
    </row>
    <row r="618" spans="1:16" ht="15" customHeight="1" x14ac:dyDescent="0.3">
      <c r="A618" t="str">
        <f t="shared" si="10"/>
        <v>21-4-E7-SmartFIX – 1 Year (Level 2)</v>
      </c>
      <c r="B618" s="67" t="s">
        <v>13</v>
      </c>
      <c r="C618" s="67">
        <v>21</v>
      </c>
      <c r="D618" s="99" t="s">
        <v>30</v>
      </c>
      <c r="E618" s="67" t="s">
        <v>17</v>
      </c>
      <c r="F618" s="67" t="s">
        <v>18</v>
      </c>
      <c r="G618" s="67" t="s">
        <v>725</v>
      </c>
      <c r="H618" s="39">
        <v>0.39760000000000001</v>
      </c>
      <c r="I618" s="109">
        <v>0.15659999999999999</v>
      </c>
      <c r="J618" s="109">
        <v>0.1158</v>
      </c>
      <c r="K618" s="109" t="s">
        <v>717</v>
      </c>
      <c r="L618" s="67">
        <v>5000</v>
      </c>
      <c r="M618" s="67">
        <v>500000</v>
      </c>
      <c r="N618" s="105">
        <v>44378</v>
      </c>
      <c r="O618" s="105">
        <v>44561</v>
      </c>
      <c r="P618" t="s">
        <v>718</v>
      </c>
    </row>
    <row r="619" spans="1:16" ht="15" customHeight="1" x14ac:dyDescent="0.3">
      <c r="A619" t="str">
        <f t="shared" si="10"/>
        <v>21-3-EW-SmartFIX – 1 Year (Level 2)</v>
      </c>
      <c r="B619" s="67" t="s">
        <v>13</v>
      </c>
      <c r="C619" s="67">
        <v>21</v>
      </c>
      <c r="D619" s="99" t="s">
        <v>30</v>
      </c>
      <c r="E619" s="67" t="s">
        <v>19</v>
      </c>
      <c r="F619" s="67" t="s">
        <v>16</v>
      </c>
      <c r="G619" s="67" t="s">
        <v>725</v>
      </c>
      <c r="H619" s="39">
        <v>0.39760000000000001</v>
      </c>
      <c r="I619" s="109">
        <v>0.15490000000000001</v>
      </c>
      <c r="J619" s="109" t="s">
        <v>717</v>
      </c>
      <c r="K619" s="109">
        <v>0.13669999999999999</v>
      </c>
      <c r="L619" s="67">
        <v>5000</v>
      </c>
      <c r="M619" s="67">
        <v>500000</v>
      </c>
      <c r="N619" s="105">
        <v>44378</v>
      </c>
      <c r="O619" s="105">
        <v>44561</v>
      </c>
      <c r="P619" t="s">
        <v>718</v>
      </c>
    </row>
    <row r="620" spans="1:16" ht="15" customHeight="1" x14ac:dyDescent="0.3">
      <c r="A620" t="str">
        <f t="shared" si="10"/>
        <v>21-4-3RATE-SmartFIX – 1 Year (Level 2)</v>
      </c>
      <c r="B620" s="67" t="s">
        <v>13</v>
      </c>
      <c r="C620" s="67">
        <v>21</v>
      </c>
      <c r="D620" s="99" t="s">
        <v>30</v>
      </c>
      <c r="E620" s="67" t="s">
        <v>719</v>
      </c>
      <c r="F620" s="67" t="s">
        <v>18</v>
      </c>
      <c r="G620" s="67" t="s">
        <v>725</v>
      </c>
      <c r="H620" s="39">
        <v>0.39760000000000001</v>
      </c>
      <c r="I620" s="109">
        <v>0.16639999999999999</v>
      </c>
      <c r="J620" s="109">
        <v>0.115</v>
      </c>
      <c r="K620" s="109">
        <v>0.1507</v>
      </c>
      <c r="L620" s="67">
        <v>5000</v>
      </c>
      <c r="M620" s="67">
        <v>500000</v>
      </c>
      <c r="N620" s="105">
        <v>44378</v>
      </c>
      <c r="O620" s="105">
        <v>44561</v>
      </c>
      <c r="P620" t="s">
        <v>718</v>
      </c>
    </row>
    <row r="621" spans="1:16" ht="15" customHeight="1" x14ac:dyDescent="0.3">
      <c r="A621" t="str">
        <f t="shared" si="10"/>
        <v/>
      </c>
      <c r="B621" s="67" t="s">
        <v>13</v>
      </c>
      <c r="C621" s="67">
        <v>21</v>
      </c>
      <c r="D621" s="99" t="s">
        <v>30</v>
      </c>
      <c r="E621" s="67" t="s">
        <v>720</v>
      </c>
      <c r="F621" s="67" t="s">
        <v>18</v>
      </c>
      <c r="G621" s="67" t="s">
        <v>725</v>
      </c>
      <c r="H621" s="39">
        <v>0.39760000000000001</v>
      </c>
      <c r="I621" s="109" t="s">
        <v>717</v>
      </c>
      <c r="J621" s="109">
        <v>0.13669999999999999</v>
      </c>
      <c r="K621" s="109" t="s">
        <v>717</v>
      </c>
      <c r="L621" s="67">
        <v>5000</v>
      </c>
      <c r="M621" s="67">
        <v>500000</v>
      </c>
      <c r="N621" s="105">
        <v>44378</v>
      </c>
      <c r="O621" s="105">
        <v>44561</v>
      </c>
      <c r="P621" t="s">
        <v>718</v>
      </c>
    </row>
    <row r="622" spans="1:16" ht="15" customHeight="1" x14ac:dyDescent="0.3">
      <c r="A622" t="str">
        <f t="shared" si="10"/>
        <v>22-3-U-SmartFIX – 1 Year (Level 2)</v>
      </c>
      <c r="B622" s="67" t="s">
        <v>13</v>
      </c>
      <c r="C622" s="67">
        <v>22</v>
      </c>
      <c r="D622" s="99" t="s">
        <v>31</v>
      </c>
      <c r="E622" s="67" t="s">
        <v>716</v>
      </c>
      <c r="F622" s="67" t="s">
        <v>16</v>
      </c>
      <c r="G622" s="67" t="s">
        <v>725</v>
      </c>
      <c r="H622" s="39">
        <v>0.34279999999999999</v>
      </c>
      <c r="I622" s="109">
        <v>0.1537</v>
      </c>
      <c r="J622" s="109" t="s">
        <v>717</v>
      </c>
      <c r="K622" s="109" t="s">
        <v>717</v>
      </c>
      <c r="L622" s="67">
        <v>5000</v>
      </c>
      <c r="M622" s="67">
        <v>500000</v>
      </c>
      <c r="N622" s="105">
        <v>44378</v>
      </c>
      <c r="O622" s="105">
        <v>44561</v>
      </c>
      <c r="P622" t="s">
        <v>718</v>
      </c>
    </row>
    <row r="623" spans="1:16" ht="15" customHeight="1" x14ac:dyDescent="0.3">
      <c r="A623" t="str">
        <f t="shared" si="10"/>
        <v>22-4-E7-SmartFIX – 1 Year (Level 2)</v>
      </c>
      <c r="B623" s="67" t="s">
        <v>13</v>
      </c>
      <c r="C623" s="67">
        <v>22</v>
      </c>
      <c r="D623" s="99" t="s">
        <v>31</v>
      </c>
      <c r="E623" s="67" t="s">
        <v>17</v>
      </c>
      <c r="F623" s="67" t="s">
        <v>18</v>
      </c>
      <c r="G623" s="67" t="s">
        <v>725</v>
      </c>
      <c r="H623" s="39">
        <v>0.34279999999999999</v>
      </c>
      <c r="I623" s="109">
        <v>0.16189999999999999</v>
      </c>
      <c r="J623" s="109">
        <v>0.1216</v>
      </c>
      <c r="K623" s="109" t="s">
        <v>717</v>
      </c>
      <c r="L623" s="67">
        <v>5000</v>
      </c>
      <c r="M623" s="67">
        <v>500000</v>
      </c>
      <c r="N623" s="105">
        <v>44378</v>
      </c>
      <c r="O623" s="105">
        <v>44561</v>
      </c>
      <c r="P623" t="s">
        <v>718</v>
      </c>
    </row>
    <row r="624" spans="1:16" ht="15" customHeight="1" x14ac:dyDescent="0.3">
      <c r="A624" t="str">
        <f t="shared" si="10"/>
        <v>22-3-EW-SmartFIX – 1 Year (Level 2)</v>
      </c>
      <c r="B624" s="67" t="s">
        <v>13</v>
      </c>
      <c r="C624" s="67">
        <v>22</v>
      </c>
      <c r="D624" s="99" t="s">
        <v>31</v>
      </c>
      <c r="E624" s="67" t="s">
        <v>19</v>
      </c>
      <c r="F624" s="67" t="s">
        <v>16</v>
      </c>
      <c r="G624" s="67" t="s">
        <v>725</v>
      </c>
      <c r="H624" s="39">
        <v>0.34279999999999999</v>
      </c>
      <c r="I624" s="109">
        <v>0.16300000000000001</v>
      </c>
      <c r="J624" s="109" t="s">
        <v>717</v>
      </c>
      <c r="K624" s="109">
        <v>0.14219999999999999</v>
      </c>
      <c r="L624" s="67">
        <v>5000</v>
      </c>
      <c r="M624" s="67">
        <v>500000</v>
      </c>
      <c r="N624" s="105">
        <v>44378</v>
      </c>
      <c r="O624" s="105">
        <v>44561</v>
      </c>
      <c r="P624" t="s">
        <v>718</v>
      </c>
    </row>
    <row r="625" spans="1:16" ht="15" customHeight="1" x14ac:dyDescent="0.3">
      <c r="A625" t="str">
        <f t="shared" si="10"/>
        <v>22-4-3RATE-SmartFIX – 1 Year (Level 2)</v>
      </c>
      <c r="B625" s="67" t="s">
        <v>13</v>
      </c>
      <c r="C625" s="67">
        <v>22</v>
      </c>
      <c r="D625" s="99" t="s">
        <v>31</v>
      </c>
      <c r="E625" s="67" t="s">
        <v>719</v>
      </c>
      <c r="F625" s="67" t="s">
        <v>18</v>
      </c>
      <c r="G625" s="67" t="s">
        <v>725</v>
      </c>
      <c r="H625" s="127">
        <v>0.34279999999999999</v>
      </c>
      <c r="I625" s="109">
        <v>0.17080000000000001</v>
      </c>
      <c r="J625" s="109">
        <v>0.1163</v>
      </c>
      <c r="K625" s="109">
        <v>0.15709999999999999</v>
      </c>
      <c r="L625" s="67">
        <v>5000</v>
      </c>
      <c r="M625" s="67">
        <v>500000</v>
      </c>
      <c r="N625" s="105">
        <v>44378</v>
      </c>
      <c r="O625" s="105">
        <v>44561</v>
      </c>
      <c r="P625" t="s">
        <v>718</v>
      </c>
    </row>
    <row r="626" spans="1:16" ht="15" customHeight="1" x14ac:dyDescent="0.3">
      <c r="A626" t="str">
        <f t="shared" si="10"/>
        <v/>
      </c>
      <c r="B626" s="67" t="s">
        <v>13</v>
      </c>
      <c r="C626" s="67">
        <v>22</v>
      </c>
      <c r="D626" s="99" t="s">
        <v>31</v>
      </c>
      <c r="E626" s="67" t="s">
        <v>720</v>
      </c>
      <c r="F626" s="67" t="s">
        <v>18</v>
      </c>
      <c r="G626" s="67" t="s">
        <v>725</v>
      </c>
      <c r="H626" s="127">
        <v>0.34279999999999999</v>
      </c>
      <c r="I626" s="109" t="s">
        <v>717</v>
      </c>
      <c r="J626" s="109">
        <v>0.14219999999999999</v>
      </c>
      <c r="K626" s="109" t="s">
        <v>717</v>
      </c>
      <c r="L626" s="67">
        <v>5000</v>
      </c>
      <c r="M626" s="67">
        <v>500000</v>
      </c>
      <c r="N626" s="105">
        <v>44378</v>
      </c>
      <c r="O626" s="105">
        <v>44561</v>
      </c>
      <c r="P626" t="s">
        <v>718</v>
      </c>
    </row>
    <row r="627" spans="1:16" ht="15" customHeight="1" x14ac:dyDescent="0.3">
      <c r="A627" t="str">
        <f t="shared" si="10"/>
        <v>23-3-U-SmartFIX – 1 Year (Level 2)</v>
      </c>
      <c r="B627" s="67" t="s">
        <v>13</v>
      </c>
      <c r="C627" s="67">
        <v>23</v>
      </c>
      <c r="D627" s="99" t="s">
        <v>32</v>
      </c>
      <c r="E627" s="67" t="s">
        <v>716</v>
      </c>
      <c r="F627" s="67" t="s">
        <v>16</v>
      </c>
      <c r="G627" s="67" t="s">
        <v>725</v>
      </c>
      <c r="H627" s="127">
        <v>0.30120000000000002</v>
      </c>
      <c r="I627" s="109">
        <v>0.14710000000000001</v>
      </c>
      <c r="J627" s="109" t="s">
        <v>717</v>
      </c>
      <c r="K627" s="109" t="s">
        <v>717</v>
      </c>
      <c r="L627" s="67">
        <v>5000</v>
      </c>
      <c r="M627" s="67">
        <v>500000</v>
      </c>
      <c r="N627" s="105">
        <v>44378</v>
      </c>
      <c r="O627" s="105">
        <v>44561</v>
      </c>
      <c r="P627" t="s">
        <v>718</v>
      </c>
    </row>
    <row r="628" spans="1:16" ht="15" customHeight="1" x14ac:dyDescent="0.3">
      <c r="A628" t="str">
        <f t="shared" si="10"/>
        <v>23-4-E7-SmartFIX – 1 Year (Level 2)</v>
      </c>
      <c r="B628" s="67" t="s">
        <v>13</v>
      </c>
      <c r="C628" s="67">
        <v>23</v>
      </c>
      <c r="D628" s="99" t="s">
        <v>32</v>
      </c>
      <c r="E628" s="67" t="s">
        <v>17</v>
      </c>
      <c r="F628" s="67" t="s">
        <v>18</v>
      </c>
      <c r="G628" s="67" t="s">
        <v>725</v>
      </c>
      <c r="H628" s="127">
        <v>0.30120000000000002</v>
      </c>
      <c r="I628" s="109">
        <v>0.15310000000000001</v>
      </c>
      <c r="J628" s="109">
        <v>0.1118</v>
      </c>
      <c r="K628" s="109" t="s">
        <v>717</v>
      </c>
      <c r="L628" s="67">
        <v>5000</v>
      </c>
      <c r="M628" s="67">
        <v>500000</v>
      </c>
      <c r="N628" s="105">
        <v>44378</v>
      </c>
      <c r="O628" s="105">
        <v>44561</v>
      </c>
      <c r="P628" t="s">
        <v>718</v>
      </c>
    </row>
    <row r="629" spans="1:16" ht="15" customHeight="1" x14ac:dyDescent="0.3">
      <c r="A629" t="str">
        <f t="shared" si="10"/>
        <v>23-3-EW-SmartFIX – 1 Year (Level 2)</v>
      </c>
      <c r="B629" s="67" t="s">
        <v>13</v>
      </c>
      <c r="C629" s="67">
        <v>23</v>
      </c>
      <c r="D629" s="99" t="s">
        <v>32</v>
      </c>
      <c r="E629" s="67" t="s">
        <v>19</v>
      </c>
      <c r="F629" s="67" t="s">
        <v>16</v>
      </c>
      <c r="G629" s="67" t="s">
        <v>725</v>
      </c>
      <c r="H629" s="127">
        <v>0.30120000000000002</v>
      </c>
      <c r="I629" s="109">
        <v>0.15579999999999999</v>
      </c>
      <c r="J629" s="109" t="s">
        <v>717</v>
      </c>
      <c r="K629" s="109">
        <v>0.1353</v>
      </c>
      <c r="L629" s="67">
        <v>5000</v>
      </c>
      <c r="M629" s="67">
        <v>500000</v>
      </c>
      <c r="N629" s="105">
        <v>44378</v>
      </c>
      <c r="O629" s="105">
        <v>44561</v>
      </c>
      <c r="P629" t="s">
        <v>718</v>
      </c>
    </row>
    <row r="630" spans="1:16" ht="15" customHeight="1" x14ac:dyDescent="0.3">
      <c r="A630" t="str">
        <f t="shared" si="10"/>
        <v>23-4-3RATE-SmartFIX – 1 Year (Level 2)</v>
      </c>
      <c r="B630" s="67" t="s">
        <v>13</v>
      </c>
      <c r="C630" s="67">
        <v>23</v>
      </c>
      <c r="D630" s="99" t="s">
        <v>32</v>
      </c>
      <c r="E630" s="67" t="s">
        <v>719</v>
      </c>
      <c r="F630" s="67" t="s">
        <v>18</v>
      </c>
      <c r="G630" s="67" t="s">
        <v>725</v>
      </c>
      <c r="H630" s="127">
        <v>0.30120000000000002</v>
      </c>
      <c r="I630" s="109">
        <v>0.16489999999999999</v>
      </c>
      <c r="J630" s="109">
        <v>0.11459999999999999</v>
      </c>
      <c r="K630" s="109">
        <v>0.14610000000000001</v>
      </c>
      <c r="L630" s="67">
        <v>5000</v>
      </c>
      <c r="M630" s="67">
        <v>500000</v>
      </c>
      <c r="N630" s="105">
        <v>44378</v>
      </c>
      <c r="O630" s="105">
        <v>44561</v>
      </c>
      <c r="P630" t="s">
        <v>718</v>
      </c>
    </row>
    <row r="631" spans="1:16" ht="15" customHeight="1" x14ac:dyDescent="0.3">
      <c r="A631" t="str">
        <f t="shared" si="10"/>
        <v/>
      </c>
      <c r="B631" s="67" t="s">
        <v>13</v>
      </c>
      <c r="C631" s="67">
        <v>23</v>
      </c>
      <c r="D631" s="99" t="s">
        <v>32</v>
      </c>
      <c r="E631" s="67" t="s">
        <v>720</v>
      </c>
      <c r="F631" s="67" t="s">
        <v>18</v>
      </c>
      <c r="G631" s="67" t="s">
        <v>725</v>
      </c>
      <c r="H631" s="127">
        <v>0.30120000000000002</v>
      </c>
      <c r="I631" s="109" t="s">
        <v>717</v>
      </c>
      <c r="J631" s="109">
        <v>0.1353</v>
      </c>
      <c r="K631" s="109" t="s">
        <v>717</v>
      </c>
      <c r="L631" s="67">
        <v>5000</v>
      </c>
      <c r="M631" s="67">
        <v>500000</v>
      </c>
      <c r="N631" s="105">
        <v>44378</v>
      </c>
      <c r="O631" s="105">
        <v>44561</v>
      </c>
      <c r="P631" t="s">
        <v>718</v>
      </c>
    </row>
    <row r="632" spans="1:16" ht="15" customHeight="1" x14ac:dyDescent="0.3">
      <c r="A632" t="str">
        <f t="shared" si="10"/>
        <v>10-3-U-SmartFIX – 2 Year (Level 2)</v>
      </c>
      <c r="B632" s="67" t="s">
        <v>13</v>
      </c>
      <c r="C632" s="67">
        <v>10</v>
      </c>
      <c r="D632" s="99" t="s">
        <v>14</v>
      </c>
      <c r="E632" s="67" t="s">
        <v>716</v>
      </c>
      <c r="F632" s="67" t="s">
        <v>16</v>
      </c>
      <c r="G632" s="67" t="s">
        <v>726</v>
      </c>
      <c r="H632" s="127">
        <v>0.30509999999999998</v>
      </c>
      <c r="I632" s="109">
        <v>0.14749999999999999</v>
      </c>
      <c r="J632" s="109" t="s">
        <v>717</v>
      </c>
      <c r="K632" s="109" t="s">
        <v>717</v>
      </c>
      <c r="L632" s="67">
        <v>5000</v>
      </c>
      <c r="M632" s="67">
        <v>500000</v>
      </c>
      <c r="N632" s="105">
        <v>44378</v>
      </c>
      <c r="O632" s="105">
        <v>44561</v>
      </c>
      <c r="P632" t="s">
        <v>718</v>
      </c>
    </row>
    <row r="633" spans="1:16" ht="15" customHeight="1" x14ac:dyDescent="0.3">
      <c r="A633" t="str">
        <f t="shared" si="10"/>
        <v>10-4-E7-SmartFIX – 2 Year (Level 2)</v>
      </c>
      <c r="B633" s="67" t="s">
        <v>13</v>
      </c>
      <c r="C633" s="67">
        <v>10</v>
      </c>
      <c r="D633" s="99" t="s">
        <v>14</v>
      </c>
      <c r="E633" s="67" t="s">
        <v>17</v>
      </c>
      <c r="F633" s="67" t="s">
        <v>18</v>
      </c>
      <c r="G633" s="67" t="s">
        <v>726</v>
      </c>
      <c r="H633" s="127">
        <v>0.30509999999999998</v>
      </c>
      <c r="I633" s="109">
        <v>0.15659999999999999</v>
      </c>
      <c r="J633" s="109">
        <v>0.1077</v>
      </c>
      <c r="K633" s="109" t="s">
        <v>717</v>
      </c>
      <c r="L633" s="67">
        <v>5000</v>
      </c>
      <c r="M633" s="67">
        <v>500000</v>
      </c>
      <c r="N633" s="105">
        <v>44378</v>
      </c>
      <c r="O633" s="105">
        <v>44561</v>
      </c>
      <c r="P633" t="s">
        <v>718</v>
      </c>
    </row>
    <row r="634" spans="1:16" ht="15" customHeight="1" x14ac:dyDescent="0.3">
      <c r="A634" t="str">
        <f t="shared" si="10"/>
        <v>10-3-EW-SmartFIX – 2 Year (Level 2)</v>
      </c>
      <c r="B634" s="67" t="s">
        <v>13</v>
      </c>
      <c r="C634" s="67">
        <v>10</v>
      </c>
      <c r="D634" s="99" t="s">
        <v>14</v>
      </c>
      <c r="E634" s="67" t="s">
        <v>19</v>
      </c>
      <c r="F634" s="67" t="s">
        <v>16</v>
      </c>
      <c r="G634" s="67" t="s">
        <v>726</v>
      </c>
      <c r="H634" s="127">
        <v>0.30509999999999998</v>
      </c>
      <c r="I634" s="109">
        <v>0.15629999999999999</v>
      </c>
      <c r="J634" s="109" t="s">
        <v>717</v>
      </c>
      <c r="K634" s="109">
        <v>0.13420000000000001</v>
      </c>
      <c r="L634" s="67">
        <v>5000</v>
      </c>
      <c r="M634" s="67">
        <v>500000</v>
      </c>
      <c r="N634" s="105">
        <v>44378</v>
      </c>
      <c r="O634" s="105">
        <v>44561</v>
      </c>
      <c r="P634" t="s">
        <v>718</v>
      </c>
    </row>
    <row r="635" spans="1:16" ht="15" customHeight="1" x14ac:dyDescent="0.3">
      <c r="A635" t="str">
        <f t="shared" si="10"/>
        <v>10-4-3RATE-SmartFIX – 2 Year (Level 2)</v>
      </c>
      <c r="B635" s="67" t="s">
        <v>13</v>
      </c>
      <c r="C635" s="67">
        <v>10</v>
      </c>
      <c r="D635" s="99" t="s">
        <v>14</v>
      </c>
      <c r="E635" s="67" t="s">
        <v>719</v>
      </c>
      <c r="F635" s="67" t="s">
        <v>18</v>
      </c>
      <c r="G635" s="67" t="s">
        <v>726</v>
      </c>
      <c r="H635" s="127">
        <v>0.30509999999999998</v>
      </c>
      <c r="I635" s="109">
        <v>0.1668</v>
      </c>
      <c r="J635" s="109">
        <v>0.1079</v>
      </c>
      <c r="K635" s="109">
        <v>0.15</v>
      </c>
      <c r="L635" s="67">
        <v>5000</v>
      </c>
      <c r="M635" s="67">
        <v>500000</v>
      </c>
      <c r="N635" s="105">
        <v>44378</v>
      </c>
      <c r="O635" s="105">
        <v>44561</v>
      </c>
      <c r="P635" t="s">
        <v>718</v>
      </c>
    </row>
    <row r="636" spans="1:16" ht="15" customHeight="1" x14ac:dyDescent="0.3">
      <c r="A636" t="str">
        <f t="shared" si="10"/>
        <v/>
      </c>
      <c r="B636" s="67" t="s">
        <v>13</v>
      </c>
      <c r="C636" s="67">
        <v>10</v>
      </c>
      <c r="D636" s="99" t="s">
        <v>14</v>
      </c>
      <c r="E636" s="67" t="s">
        <v>720</v>
      </c>
      <c r="F636" s="67" t="s">
        <v>18</v>
      </c>
      <c r="G636" s="67" t="s">
        <v>726</v>
      </c>
      <c r="H636" s="127">
        <v>0.30509999999999998</v>
      </c>
      <c r="I636" s="109" t="s">
        <v>717</v>
      </c>
      <c r="J636" s="109">
        <v>0.13420000000000001</v>
      </c>
      <c r="K636" s="109" t="s">
        <v>717</v>
      </c>
      <c r="L636" s="67">
        <v>5000</v>
      </c>
      <c r="M636" s="67">
        <v>500000</v>
      </c>
      <c r="N636" s="105">
        <v>44378</v>
      </c>
      <c r="O636" s="105">
        <v>44561</v>
      </c>
      <c r="P636" t="s">
        <v>718</v>
      </c>
    </row>
    <row r="637" spans="1:16" ht="15" customHeight="1" x14ac:dyDescent="0.3">
      <c r="A637" t="str">
        <f t="shared" si="10"/>
        <v>11-3-U-SmartFIX – 2 Year (Level 2)</v>
      </c>
      <c r="B637" s="67" t="s">
        <v>13</v>
      </c>
      <c r="C637" s="67">
        <v>11</v>
      </c>
      <c r="D637" s="99" t="s">
        <v>20</v>
      </c>
      <c r="E637" s="67" t="s">
        <v>716</v>
      </c>
      <c r="F637" s="67" t="s">
        <v>16</v>
      </c>
      <c r="G637" s="67" t="s">
        <v>726</v>
      </c>
      <c r="H637" s="127">
        <v>0.31440000000000001</v>
      </c>
      <c r="I637" s="109">
        <v>0.14779999999999999</v>
      </c>
      <c r="J637" s="109" t="s">
        <v>717</v>
      </c>
      <c r="K637" s="109" t="s">
        <v>717</v>
      </c>
      <c r="L637" s="67">
        <v>5000</v>
      </c>
      <c r="M637" s="67">
        <v>500000</v>
      </c>
      <c r="N637" s="105">
        <v>44378</v>
      </c>
      <c r="O637" s="105">
        <v>44561</v>
      </c>
      <c r="P637" t="s">
        <v>718</v>
      </c>
    </row>
    <row r="638" spans="1:16" ht="15" customHeight="1" x14ac:dyDescent="0.3">
      <c r="A638" t="str">
        <f t="shared" si="10"/>
        <v>11-4-E7-SmartFIX – 2 Year (Level 2)</v>
      </c>
      <c r="B638" s="67" t="s">
        <v>13</v>
      </c>
      <c r="C638" s="67">
        <v>11</v>
      </c>
      <c r="D638" s="99" t="s">
        <v>20</v>
      </c>
      <c r="E638" s="67" t="s">
        <v>17</v>
      </c>
      <c r="F638" s="67" t="s">
        <v>18</v>
      </c>
      <c r="G638" s="67" t="s">
        <v>726</v>
      </c>
      <c r="H638" s="127">
        <v>0.31440000000000001</v>
      </c>
      <c r="I638" s="109">
        <v>0.15390000000000001</v>
      </c>
      <c r="J638" s="109">
        <v>0.1111</v>
      </c>
      <c r="K638" s="109" t="s">
        <v>717</v>
      </c>
      <c r="L638" s="67">
        <v>5000</v>
      </c>
      <c r="M638" s="67">
        <v>500000</v>
      </c>
      <c r="N638" s="105">
        <v>44378</v>
      </c>
      <c r="O638" s="105">
        <v>44561</v>
      </c>
      <c r="P638" t="s">
        <v>718</v>
      </c>
    </row>
    <row r="639" spans="1:16" ht="15" customHeight="1" x14ac:dyDescent="0.3">
      <c r="A639" t="str">
        <f t="shared" si="10"/>
        <v>11-3-EW-SmartFIX – 2 Year (Level 2)</v>
      </c>
      <c r="B639" s="67" t="s">
        <v>13</v>
      </c>
      <c r="C639" s="67">
        <v>11</v>
      </c>
      <c r="D639" s="99" t="s">
        <v>20</v>
      </c>
      <c r="E639" s="67" t="s">
        <v>19</v>
      </c>
      <c r="F639" s="67" t="s">
        <v>16</v>
      </c>
      <c r="G639" s="67" t="s">
        <v>726</v>
      </c>
      <c r="H639" s="127">
        <v>0.31440000000000001</v>
      </c>
      <c r="I639" s="109">
        <v>0.15609999999999999</v>
      </c>
      <c r="J639" s="109" t="s">
        <v>717</v>
      </c>
      <c r="K639" s="109">
        <v>0.13489999999999999</v>
      </c>
      <c r="L639" s="67">
        <v>5000</v>
      </c>
      <c r="M639" s="67">
        <v>500000</v>
      </c>
      <c r="N639" s="105">
        <v>44378</v>
      </c>
      <c r="O639" s="105">
        <v>44561</v>
      </c>
      <c r="P639" t="s">
        <v>718</v>
      </c>
    </row>
    <row r="640" spans="1:16" ht="15" customHeight="1" x14ac:dyDescent="0.3">
      <c r="A640" t="str">
        <f t="shared" si="10"/>
        <v>11-4-3RATE-SmartFIX – 2 Year (Level 2)</v>
      </c>
      <c r="B640" s="67" t="s">
        <v>13</v>
      </c>
      <c r="C640" s="67">
        <v>11</v>
      </c>
      <c r="D640" s="99" t="s">
        <v>20</v>
      </c>
      <c r="E640" s="67" t="s">
        <v>719</v>
      </c>
      <c r="F640" s="67" t="s">
        <v>18</v>
      </c>
      <c r="G640" s="67" t="s">
        <v>726</v>
      </c>
      <c r="H640" s="127">
        <v>0.31440000000000001</v>
      </c>
      <c r="I640" s="109">
        <v>0.16339999999999999</v>
      </c>
      <c r="J640" s="109">
        <v>0.1094</v>
      </c>
      <c r="K640" s="109">
        <v>0.1431</v>
      </c>
      <c r="L640" s="67">
        <v>5000</v>
      </c>
      <c r="M640" s="67">
        <v>500000</v>
      </c>
      <c r="N640" s="105">
        <v>44378</v>
      </c>
      <c r="O640" s="105">
        <v>44561</v>
      </c>
      <c r="P640" t="s">
        <v>718</v>
      </c>
    </row>
    <row r="641" spans="1:16" ht="15" customHeight="1" x14ac:dyDescent="0.3">
      <c r="A641" t="str">
        <f t="shared" si="10"/>
        <v/>
      </c>
      <c r="B641" s="67" t="s">
        <v>13</v>
      </c>
      <c r="C641" s="67">
        <v>11</v>
      </c>
      <c r="D641" s="99" t="s">
        <v>20</v>
      </c>
      <c r="E641" s="67" t="s">
        <v>720</v>
      </c>
      <c r="F641" s="67" t="s">
        <v>18</v>
      </c>
      <c r="G641" s="67" t="s">
        <v>726</v>
      </c>
      <c r="H641" s="127">
        <v>0.31440000000000001</v>
      </c>
      <c r="I641" s="109" t="s">
        <v>717</v>
      </c>
      <c r="J641" s="109">
        <v>0.13489999999999999</v>
      </c>
      <c r="K641" s="109" t="s">
        <v>717</v>
      </c>
      <c r="L641" s="67">
        <v>5000</v>
      </c>
      <c r="M641" s="67">
        <v>500000</v>
      </c>
      <c r="N641" s="105">
        <v>44378</v>
      </c>
      <c r="O641" s="105">
        <v>44561</v>
      </c>
      <c r="P641" t="s">
        <v>718</v>
      </c>
    </row>
    <row r="642" spans="1:16" ht="15" customHeight="1" x14ac:dyDescent="0.3">
      <c r="A642" t="str">
        <f t="shared" si="10"/>
        <v>12-3-U-SmartFIX – 2 Year (Level 2)</v>
      </c>
      <c r="B642" s="67" t="s">
        <v>13</v>
      </c>
      <c r="C642" s="67">
        <v>12</v>
      </c>
      <c r="D642" s="99" t="s">
        <v>21</v>
      </c>
      <c r="E642" s="67" t="s">
        <v>716</v>
      </c>
      <c r="F642" s="67" t="s">
        <v>16</v>
      </c>
      <c r="G642" s="67" t="s">
        <v>726</v>
      </c>
      <c r="H642" s="127">
        <v>0.23719999999999999</v>
      </c>
      <c r="I642" s="109">
        <v>0.14169999999999999</v>
      </c>
      <c r="J642" s="109" t="s">
        <v>717</v>
      </c>
      <c r="K642" s="109" t="s">
        <v>717</v>
      </c>
      <c r="L642" s="67">
        <v>5000</v>
      </c>
      <c r="M642" s="67">
        <v>500000</v>
      </c>
      <c r="N642" s="105">
        <v>44378</v>
      </c>
      <c r="O642" s="105">
        <v>44561</v>
      </c>
      <c r="P642" t="s">
        <v>718</v>
      </c>
    </row>
    <row r="643" spans="1:16" ht="15" customHeight="1" x14ac:dyDescent="0.3">
      <c r="A643" t="str">
        <f t="shared" si="10"/>
        <v>12-4-E7-SmartFIX – 2 Year (Level 2)</v>
      </c>
      <c r="B643" s="67" t="s">
        <v>13</v>
      </c>
      <c r="C643" s="67">
        <v>12</v>
      </c>
      <c r="D643" s="99" t="s">
        <v>21</v>
      </c>
      <c r="E643" s="67" t="s">
        <v>17</v>
      </c>
      <c r="F643" s="67" t="s">
        <v>18</v>
      </c>
      <c r="G643" s="67" t="s">
        <v>726</v>
      </c>
      <c r="H643" s="127">
        <v>0.23719999999999999</v>
      </c>
      <c r="I643" s="109">
        <v>0.15310000000000001</v>
      </c>
      <c r="J643" s="109">
        <v>0.10929999999999999</v>
      </c>
      <c r="K643" s="109" t="s">
        <v>717</v>
      </c>
      <c r="L643" s="67">
        <v>5000</v>
      </c>
      <c r="M643" s="67">
        <v>500000</v>
      </c>
      <c r="N643" s="105">
        <v>44378</v>
      </c>
      <c r="O643" s="105">
        <v>44561</v>
      </c>
      <c r="P643" t="s">
        <v>718</v>
      </c>
    </row>
    <row r="644" spans="1:16" ht="15" customHeight="1" x14ac:dyDescent="0.3">
      <c r="A644" t="str">
        <f t="shared" si="10"/>
        <v>12-3-EW-SmartFIX – 2 Year (Level 2)</v>
      </c>
      <c r="B644" s="67" t="s">
        <v>13</v>
      </c>
      <c r="C644" s="67">
        <v>12</v>
      </c>
      <c r="D644" s="99" t="s">
        <v>21</v>
      </c>
      <c r="E644" s="67" t="s">
        <v>19</v>
      </c>
      <c r="F644" s="67" t="s">
        <v>16</v>
      </c>
      <c r="G644" s="67" t="s">
        <v>726</v>
      </c>
      <c r="H644" s="127">
        <v>0.23719999999999999</v>
      </c>
      <c r="I644" s="109">
        <v>0.15</v>
      </c>
      <c r="J644" s="109" t="s">
        <v>717</v>
      </c>
      <c r="K644" s="109">
        <v>0.13009999999999999</v>
      </c>
      <c r="L644" s="67">
        <v>5000</v>
      </c>
      <c r="M644" s="67">
        <v>500000</v>
      </c>
      <c r="N644" s="105">
        <v>44378</v>
      </c>
      <c r="O644" s="105">
        <v>44561</v>
      </c>
      <c r="P644" t="s">
        <v>718</v>
      </c>
    </row>
    <row r="645" spans="1:16" ht="15" customHeight="1" x14ac:dyDescent="0.3">
      <c r="A645" t="str">
        <f t="shared" si="10"/>
        <v>12-4-3RATE-SmartFIX – 2 Year (Level 2)</v>
      </c>
      <c r="B645" s="67" t="s">
        <v>13</v>
      </c>
      <c r="C645" s="67">
        <v>12</v>
      </c>
      <c r="D645" s="99" t="s">
        <v>21</v>
      </c>
      <c r="E645" s="67" t="s">
        <v>719</v>
      </c>
      <c r="F645" s="67" t="s">
        <v>18</v>
      </c>
      <c r="G645" s="67" t="s">
        <v>726</v>
      </c>
      <c r="H645" s="127">
        <v>0.23719999999999999</v>
      </c>
      <c r="I645" s="109">
        <v>0.24399999999999999</v>
      </c>
      <c r="J645" s="109">
        <v>0.24399999999999999</v>
      </c>
      <c r="K645" s="109">
        <v>0.24399999999999999</v>
      </c>
      <c r="L645" s="67">
        <v>5000</v>
      </c>
      <c r="M645" s="67">
        <v>500000</v>
      </c>
      <c r="N645" s="105">
        <v>44378</v>
      </c>
      <c r="O645" s="105">
        <v>44561</v>
      </c>
      <c r="P645" t="s">
        <v>718</v>
      </c>
    </row>
    <row r="646" spans="1:16" ht="15" customHeight="1" x14ac:dyDescent="0.3">
      <c r="A646" t="str">
        <f t="shared" si="10"/>
        <v/>
      </c>
      <c r="B646" s="67" t="s">
        <v>13</v>
      </c>
      <c r="C646" s="67">
        <v>12</v>
      </c>
      <c r="D646" s="99" t="s">
        <v>21</v>
      </c>
      <c r="E646" s="67" t="s">
        <v>720</v>
      </c>
      <c r="F646" s="67" t="s">
        <v>18</v>
      </c>
      <c r="G646" s="67" t="s">
        <v>726</v>
      </c>
      <c r="H646" s="127">
        <v>0.23719999999999999</v>
      </c>
      <c r="I646" s="109" t="s">
        <v>717</v>
      </c>
      <c r="J646" s="109">
        <v>0.13009999999999999</v>
      </c>
      <c r="K646" s="109" t="s">
        <v>717</v>
      </c>
      <c r="L646" s="67">
        <v>5000</v>
      </c>
      <c r="M646" s="67">
        <v>500000</v>
      </c>
      <c r="N646" s="105">
        <v>44378</v>
      </c>
      <c r="O646" s="105">
        <v>44561</v>
      </c>
      <c r="P646" t="s">
        <v>718</v>
      </c>
    </row>
    <row r="647" spans="1:16" ht="15" customHeight="1" x14ac:dyDescent="0.3">
      <c r="A647" t="str">
        <f t="shared" si="10"/>
        <v>13-3-U-SmartFIX – 2 Year (Level 2)</v>
      </c>
      <c r="B647" s="67" t="s">
        <v>13</v>
      </c>
      <c r="C647" s="67">
        <v>13</v>
      </c>
      <c r="D647" s="99" t="s">
        <v>22</v>
      </c>
      <c r="E647" s="67" t="s">
        <v>716</v>
      </c>
      <c r="F647" s="67" t="s">
        <v>16</v>
      </c>
      <c r="G647" s="67" t="s">
        <v>726</v>
      </c>
      <c r="H647" s="127">
        <v>0.2792</v>
      </c>
      <c r="I647" s="109">
        <v>0.1673</v>
      </c>
      <c r="J647" s="109" t="s">
        <v>717</v>
      </c>
      <c r="K647" s="109" t="s">
        <v>717</v>
      </c>
      <c r="L647" s="67">
        <v>5000</v>
      </c>
      <c r="M647" s="67">
        <v>500000</v>
      </c>
      <c r="N647" s="105">
        <v>44378</v>
      </c>
      <c r="O647" s="105">
        <v>44561</v>
      </c>
      <c r="P647" t="s">
        <v>718</v>
      </c>
    </row>
    <row r="648" spans="1:16" ht="15" customHeight="1" x14ac:dyDescent="0.3">
      <c r="A648" t="str">
        <f t="shared" si="10"/>
        <v>13-4-E7-SmartFIX – 2 Year (Level 2)</v>
      </c>
      <c r="B648" s="67" t="s">
        <v>13</v>
      </c>
      <c r="C648" s="67">
        <v>13</v>
      </c>
      <c r="D648" s="99" t="s">
        <v>22</v>
      </c>
      <c r="E648" s="67" t="s">
        <v>17</v>
      </c>
      <c r="F648" s="67" t="s">
        <v>18</v>
      </c>
      <c r="G648" s="67" t="s">
        <v>726</v>
      </c>
      <c r="H648" s="127">
        <v>0.2792</v>
      </c>
      <c r="I648" s="109">
        <v>0.1734</v>
      </c>
      <c r="J648" s="109">
        <v>0.12590000000000001</v>
      </c>
      <c r="K648" s="109" t="s">
        <v>717</v>
      </c>
      <c r="L648" s="67">
        <v>5000</v>
      </c>
      <c r="M648" s="67">
        <v>500000</v>
      </c>
      <c r="N648" s="105">
        <v>44378</v>
      </c>
      <c r="O648" s="105">
        <v>44561</v>
      </c>
      <c r="P648" t="s">
        <v>718</v>
      </c>
    </row>
    <row r="649" spans="1:16" ht="15" customHeight="1" x14ac:dyDescent="0.3">
      <c r="A649" t="str">
        <f t="shared" si="10"/>
        <v>13-3-EW-SmartFIX – 2 Year (Level 2)</v>
      </c>
      <c r="B649" s="67" t="s">
        <v>13</v>
      </c>
      <c r="C649" s="67">
        <v>13</v>
      </c>
      <c r="D649" s="99" t="s">
        <v>22</v>
      </c>
      <c r="E649" s="67" t="s">
        <v>19</v>
      </c>
      <c r="F649" s="67" t="s">
        <v>16</v>
      </c>
      <c r="G649" s="67" t="s">
        <v>726</v>
      </c>
      <c r="H649" s="127">
        <v>0.2792</v>
      </c>
      <c r="I649" s="109">
        <v>0.24399999999999999</v>
      </c>
      <c r="J649" s="109" t="s">
        <v>717</v>
      </c>
      <c r="K649" s="109">
        <v>0.24399999999999999</v>
      </c>
      <c r="L649" s="67">
        <v>5000</v>
      </c>
      <c r="M649" s="67">
        <v>500000</v>
      </c>
      <c r="N649" s="105">
        <v>44378</v>
      </c>
      <c r="O649" s="105">
        <v>44561</v>
      </c>
      <c r="P649" t="s">
        <v>718</v>
      </c>
    </row>
    <row r="650" spans="1:16" ht="15" customHeight="1" x14ac:dyDescent="0.3">
      <c r="A650" t="str">
        <f t="shared" si="10"/>
        <v>13-4-3RATE-SmartFIX – 2 Year (Level 2)</v>
      </c>
      <c r="B650" s="67" t="s">
        <v>13</v>
      </c>
      <c r="C650" s="67">
        <v>13</v>
      </c>
      <c r="D650" s="99" t="s">
        <v>22</v>
      </c>
      <c r="E650" s="67" t="s">
        <v>719</v>
      </c>
      <c r="F650" s="67" t="s">
        <v>18</v>
      </c>
      <c r="G650" s="67" t="s">
        <v>726</v>
      </c>
      <c r="H650" s="127">
        <v>0.2792</v>
      </c>
      <c r="I650" s="109">
        <v>0.18110000000000001</v>
      </c>
      <c r="J650" s="109">
        <v>0.1236</v>
      </c>
      <c r="K650" s="109">
        <v>0.1671</v>
      </c>
      <c r="L650" s="67">
        <v>5000</v>
      </c>
      <c r="M650" s="67">
        <v>500000</v>
      </c>
      <c r="N650" s="105">
        <v>44378</v>
      </c>
      <c r="O650" s="105">
        <v>44561</v>
      </c>
      <c r="P650" t="s">
        <v>718</v>
      </c>
    </row>
    <row r="651" spans="1:16" ht="15" customHeight="1" x14ac:dyDescent="0.3">
      <c r="A651" t="str">
        <f t="shared" si="10"/>
        <v/>
      </c>
      <c r="B651" s="67" t="s">
        <v>13</v>
      </c>
      <c r="C651" s="67">
        <v>13</v>
      </c>
      <c r="D651" s="99" t="s">
        <v>22</v>
      </c>
      <c r="E651" s="67" t="s">
        <v>720</v>
      </c>
      <c r="F651" s="67" t="s">
        <v>18</v>
      </c>
      <c r="G651" s="67" t="s">
        <v>726</v>
      </c>
      <c r="H651" s="127">
        <v>0.2792</v>
      </c>
      <c r="I651" s="109" t="s">
        <v>717</v>
      </c>
      <c r="J651" s="109">
        <v>0.12590000000000001</v>
      </c>
      <c r="K651" s="109" t="s">
        <v>717</v>
      </c>
      <c r="L651" s="67">
        <v>5000</v>
      </c>
      <c r="M651" s="67">
        <v>500000</v>
      </c>
      <c r="N651" s="105">
        <v>44378</v>
      </c>
      <c r="O651" s="105">
        <v>44561</v>
      </c>
      <c r="P651" t="s">
        <v>718</v>
      </c>
    </row>
    <row r="652" spans="1:16" ht="15" customHeight="1" x14ac:dyDescent="0.3">
      <c r="A652" t="str">
        <f t="shared" ref="A652:A715" si="11">IF(E652="OP","",CONCATENATE(C652,"-",RIGHT(F652,1),"-",IF(OR(E652="1 Rate MD",E652="DAY"),"U",IF(OR(E652="2 Rate MD",E652="E7"),"E7",IF(OR(E652="3 Rate MD (EW)",E652="EW"),"EW",IF(OR(E652="3 Rate MD",E652="EWN"),"3RATE",IF(E652="HH 2RATE (CT)","HH 2RATE (CT)",IF(E652="HH 2RATE (WC)","HH 2RATE (WC)",IF(E652="HH 1RATE (CT)","HH 1RATE (CT)",IF(E652="HH 1RATE (WC)","HH 1RATE (WC)")))))))),"-",G652))</f>
        <v>14-3-U-SmartFIX – 2 Year (Level 2)</v>
      </c>
      <c r="B652" s="67" t="s">
        <v>13</v>
      </c>
      <c r="C652" s="67">
        <v>14</v>
      </c>
      <c r="D652" s="99" t="s">
        <v>23</v>
      </c>
      <c r="E652" s="67" t="s">
        <v>716</v>
      </c>
      <c r="F652" s="67" t="s">
        <v>16</v>
      </c>
      <c r="G652" s="67" t="s">
        <v>726</v>
      </c>
      <c r="H652" s="127">
        <v>0.34449999999999997</v>
      </c>
      <c r="I652" s="109">
        <v>0.151</v>
      </c>
      <c r="J652" s="109" t="s">
        <v>717</v>
      </c>
      <c r="K652" s="109" t="s">
        <v>717</v>
      </c>
      <c r="L652" s="67">
        <v>5000</v>
      </c>
      <c r="M652" s="67">
        <v>500000</v>
      </c>
      <c r="N652" s="105">
        <v>44378</v>
      </c>
      <c r="O652" s="105">
        <v>44561</v>
      </c>
      <c r="P652" t="s">
        <v>718</v>
      </c>
    </row>
    <row r="653" spans="1:16" ht="15" customHeight="1" x14ac:dyDescent="0.3">
      <c r="A653" t="str">
        <f t="shared" si="11"/>
        <v>14-4-E7-SmartFIX – 2 Year (Level 2)</v>
      </c>
      <c r="B653" s="67" t="s">
        <v>13</v>
      </c>
      <c r="C653" s="67">
        <v>14</v>
      </c>
      <c r="D653" s="99" t="s">
        <v>23</v>
      </c>
      <c r="E653" s="67" t="s">
        <v>17</v>
      </c>
      <c r="F653" s="67" t="s">
        <v>18</v>
      </c>
      <c r="G653" s="67" t="s">
        <v>726</v>
      </c>
      <c r="H653" s="127">
        <v>0.34449999999999997</v>
      </c>
      <c r="I653" s="109">
        <v>0.15770000000000001</v>
      </c>
      <c r="J653" s="109">
        <v>0.1139</v>
      </c>
      <c r="K653" s="109" t="s">
        <v>717</v>
      </c>
      <c r="L653" s="67">
        <v>5000</v>
      </c>
      <c r="M653" s="67">
        <v>500000</v>
      </c>
      <c r="N653" s="105">
        <v>44378</v>
      </c>
      <c r="O653" s="105">
        <v>44561</v>
      </c>
      <c r="P653" t="s">
        <v>718</v>
      </c>
    </row>
    <row r="654" spans="1:16" ht="15" customHeight="1" x14ac:dyDescent="0.3">
      <c r="A654" t="str">
        <f t="shared" si="11"/>
        <v>14-3-EW-SmartFIX – 2 Year (Level 2)</v>
      </c>
      <c r="B654" s="67" t="s">
        <v>13</v>
      </c>
      <c r="C654" s="67">
        <v>14</v>
      </c>
      <c r="D654" s="99" t="s">
        <v>23</v>
      </c>
      <c r="E654" s="67" t="s">
        <v>19</v>
      </c>
      <c r="F654" s="67" t="s">
        <v>16</v>
      </c>
      <c r="G654" s="67" t="s">
        <v>726</v>
      </c>
      <c r="H654" s="127">
        <v>0.34449999999999997</v>
      </c>
      <c r="I654" s="109">
        <v>0.1583</v>
      </c>
      <c r="J654" s="109" t="s">
        <v>717</v>
      </c>
      <c r="K654" s="109">
        <v>0.14030000000000001</v>
      </c>
      <c r="L654" s="67">
        <v>5000</v>
      </c>
      <c r="M654" s="67">
        <v>500000</v>
      </c>
      <c r="N654" s="105">
        <v>44378</v>
      </c>
      <c r="O654" s="105">
        <v>44561</v>
      </c>
      <c r="P654" t="s">
        <v>718</v>
      </c>
    </row>
    <row r="655" spans="1:16" ht="15" customHeight="1" x14ac:dyDescent="0.3">
      <c r="A655" t="str">
        <f t="shared" si="11"/>
        <v>14-4-3RATE-SmartFIX – 2 Year (Level 2)</v>
      </c>
      <c r="B655" s="67" t="s">
        <v>13</v>
      </c>
      <c r="C655" s="67">
        <v>14</v>
      </c>
      <c r="D655" s="99" t="s">
        <v>23</v>
      </c>
      <c r="E655" s="67" t="s">
        <v>719</v>
      </c>
      <c r="F655" s="67" t="s">
        <v>18</v>
      </c>
      <c r="G655" s="67" t="s">
        <v>726</v>
      </c>
      <c r="H655" s="127">
        <v>0.34449999999999997</v>
      </c>
      <c r="I655" s="109">
        <v>0.24399999999999999</v>
      </c>
      <c r="J655" s="109">
        <v>0.24399999999999999</v>
      </c>
      <c r="K655" s="109">
        <v>0.24399999999999999</v>
      </c>
      <c r="L655" s="67">
        <v>5000</v>
      </c>
      <c r="M655" s="67">
        <v>500000</v>
      </c>
      <c r="N655" s="105">
        <v>44378</v>
      </c>
      <c r="O655" s="105">
        <v>44561</v>
      </c>
      <c r="P655" t="s">
        <v>718</v>
      </c>
    </row>
    <row r="656" spans="1:16" ht="15" customHeight="1" x14ac:dyDescent="0.3">
      <c r="A656" t="str">
        <f t="shared" si="11"/>
        <v/>
      </c>
      <c r="B656" s="67" t="s">
        <v>13</v>
      </c>
      <c r="C656" s="67">
        <v>14</v>
      </c>
      <c r="D656" s="99" t="s">
        <v>23</v>
      </c>
      <c r="E656" s="67" t="s">
        <v>720</v>
      </c>
      <c r="F656" s="67" t="s">
        <v>18</v>
      </c>
      <c r="G656" s="67" t="s">
        <v>726</v>
      </c>
      <c r="H656" s="127">
        <v>0.34449999999999997</v>
      </c>
      <c r="I656" s="109" t="s">
        <v>717</v>
      </c>
      <c r="J656" s="109">
        <v>0.14030000000000001</v>
      </c>
      <c r="K656" s="109" t="s">
        <v>717</v>
      </c>
      <c r="L656" s="67">
        <v>5000</v>
      </c>
      <c r="M656" s="67">
        <v>500000</v>
      </c>
      <c r="N656" s="105">
        <v>44378</v>
      </c>
      <c r="O656" s="105">
        <v>44561</v>
      </c>
      <c r="P656" t="s">
        <v>718</v>
      </c>
    </row>
    <row r="657" spans="1:16" ht="15" customHeight="1" x14ac:dyDescent="0.3">
      <c r="A657" t="str">
        <f t="shared" si="11"/>
        <v>15-3-U-SmartFIX – 2 Year (Level 2)</v>
      </c>
      <c r="B657" s="67" t="s">
        <v>13</v>
      </c>
      <c r="C657" s="67">
        <v>15</v>
      </c>
      <c r="D657" s="99" t="s">
        <v>24</v>
      </c>
      <c r="E657" s="67" t="s">
        <v>716</v>
      </c>
      <c r="F657" s="67" t="s">
        <v>16</v>
      </c>
      <c r="G657" s="67" t="s">
        <v>726</v>
      </c>
      <c r="H657" s="127">
        <v>0.31979999999999997</v>
      </c>
      <c r="I657" s="109">
        <v>0.1507</v>
      </c>
      <c r="J657" s="109" t="s">
        <v>717</v>
      </c>
      <c r="K657" s="109" t="s">
        <v>717</v>
      </c>
      <c r="L657" s="67">
        <v>5000</v>
      </c>
      <c r="M657" s="67">
        <v>500000</v>
      </c>
      <c r="N657" s="105">
        <v>44378</v>
      </c>
      <c r="O657" s="105">
        <v>44561</v>
      </c>
      <c r="P657" t="s">
        <v>718</v>
      </c>
    </row>
    <row r="658" spans="1:16" ht="15" customHeight="1" x14ac:dyDescent="0.3">
      <c r="A658" t="str">
        <f t="shared" si="11"/>
        <v>15-4-E7-SmartFIX – 2 Year (Level 2)</v>
      </c>
      <c r="B658" s="67" t="s">
        <v>13</v>
      </c>
      <c r="C658" s="67">
        <v>15</v>
      </c>
      <c r="D658" s="99" t="s">
        <v>24</v>
      </c>
      <c r="E658" s="67" t="s">
        <v>17</v>
      </c>
      <c r="F658" s="67" t="s">
        <v>18</v>
      </c>
      <c r="G658" s="67" t="s">
        <v>726</v>
      </c>
      <c r="H658" s="127">
        <v>0.31979999999999997</v>
      </c>
      <c r="I658" s="109">
        <v>0.15640000000000001</v>
      </c>
      <c r="J658" s="109">
        <v>0.114</v>
      </c>
      <c r="K658" s="109" t="s">
        <v>717</v>
      </c>
      <c r="L658" s="67">
        <v>5000</v>
      </c>
      <c r="M658" s="67">
        <v>500000</v>
      </c>
      <c r="N658" s="105">
        <v>44378</v>
      </c>
      <c r="O658" s="105">
        <v>44561</v>
      </c>
      <c r="P658" t="s">
        <v>718</v>
      </c>
    </row>
    <row r="659" spans="1:16" ht="15" customHeight="1" x14ac:dyDescent="0.3">
      <c r="A659" t="str">
        <f t="shared" si="11"/>
        <v>15-3-EW-SmartFIX – 2 Year (Level 2)</v>
      </c>
      <c r="B659" s="67" t="s">
        <v>13</v>
      </c>
      <c r="C659" s="67">
        <v>15</v>
      </c>
      <c r="D659" s="99" t="s">
        <v>24</v>
      </c>
      <c r="E659" s="67" t="s">
        <v>19</v>
      </c>
      <c r="F659" s="67" t="s">
        <v>16</v>
      </c>
      <c r="G659" s="67" t="s">
        <v>726</v>
      </c>
      <c r="H659" s="127">
        <v>0.31979999999999997</v>
      </c>
      <c r="I659" s="109">
        <v>0.1608</v>
      </c>
      <c r="J659" s="109" t="s">
        <v>717</v>
      </c>
      <c r="K659" s="109">
        <v>0.1394</v>
      </c>
      <c r="L659" s="67">
        <v>5000</v>
      </c>
      <c r="M659" s="67">
        <v>500000</v>
      </c>
      <c r="N659" s="105">
        <v>44378</v>
      </c>
      <c r="O659" s="105">
        <v>44561</v>
      </c>
      <c r="P659" t="s">
        <v>718</v>
      </c>
    </row>
    <row r="660" spans="1:16" ht="15" customHeight="1" x14ac:dyDescent="0.3">
      <c r="A660" t="str">
        <f t="shared" si="11"/>
        <v>15-4-3RATE-SmartFIX – 2 Year (Level 2)</v>
      </c>
      <c r="B660" s="67" t="s">
        <v>13</v>
      </c>
      <c r="C660" s="67">
        <v>15</v>
      </c>
      <c r="D660" s="99" t="s">
        <v>24</v>
      </c>
      <c r="E660" s="67" t="s">
        <v>719</v>
      </c>
      <c r="F660" s="67" t="s">
        <v>18</v>
      </c>
      <c r="G660" s="67" t="s">
        <v>726</v>
      </c>
      <c r="H660" s="127">
        <v>0.31979999999999997</v>
      </c>
      <c r="I660" s="109">
        <v>0.24399999999999999</v>
      </c>
      <c r="J660" s="109">
        <v>0.24399999999999999</v>
      </c>
      <c r="K660" s="109">
        <v>0.24399999999999999</v>
      </c>
      <c r="L660" s="67">
        <v>5000</v>
      </c>
      <c r="M660" s="67">
        <v>500000</v>
      </c>
      <c r="N660" s="105">
        <v>44378</v>
      </c>
      <c r="O660" s="105">
        <v>44561</v>
      </c>
      <c r="P660" t="s">
        <v>718</v>
      </c>
    </row>
    <row r="661" spans="1:16" ht="15" customHeight="1" x14ac:dyDescent="0.3">
      <c r="A661" t="str">
        <f t="shared" si="11"/>
        <v/>
      </c>
      <c r="B661" s="67" t="s">
        <v>13</v>
      </c>
      <c r="C661" s="67">
        <v>15</v>
      </c>
      <c r="D661" s="99" t="s">
        <v>24</v>
      </c>
      <c r="E661" s="67" t="s">
        <v>720</v>
      </c>
      <c r="F661" s="67" t="s">
        <v>18</v>
      </c>
      <c r="G661" s="67" t="s">
        <v>726</v>
      </c>
      <c r="H661" s="127">
        <v>0.31979999999999997</v>
      </c>
      <c r="I661" s="109" t="s">
        <v>717</v>
      </c>
      <c r="J661" s="109">
        <v>0.1394</v>
      </c>
      <c r="K661" s="109" t="s">
        <v>717</v>
      </c>
      <c r="L661" s="67">
        <v>5000</v>
      </c>
      <c r="M661" s="67">
        <v>500000</v>
      </c>
      <c r="N661" s="105">
        <v>44378</v>
      </c>
      <c r="O661" s="105">
        <v>44561</v>
      </c>
      <c r="P661" t="s">
        <v>718</v>
      </c>
    </row>
    <row r="662" spans="1:16" ht="15" customHeight="1" x14ac:dyDescent="0.3">
      <c r="A662" t="str">
        <f t="shared" si="11"/>
        <v>16-3-U-SmartFIX – 2 Year (Level 2)</v>
      </c>
      <c r="B662" s="67" t="s">
        <v>13</v>
      </c>
      <c r="C662" s="67">
        <v>16</v>
      </c>
      <c r="D662" s="99" t="s">
        <v>25</v>
      </c>
      <c r="E662" s="67" t="s">
        <v>716</v>
      </c>
      <c r="F662" s="67" t="s">
        <v>16</v>
      </c>
      <c r="G662" s="67" t="s">
        <v>726</v>
      </c>
      <c r="H662" s="127">
        <v>0.2707</v>
      </c>
      <c r="I662" s="109">
        <v>0.15290000000000001</v>
      </c>
      <c r="J662" s="109" t="s">
        <v>717</v>
      </c>
      <c r="K662" s="109" t="s">
        <v>717</v>
      </c>
      <c r="L662" s="67">
        <v>5000</v>
      </c>
      <c r="M662" s="67">
        <v>500000</v>
      </c>
      <c r="N662" s="105">
        <v>44378</v>
      </c>
      <c r="O662" s="105">
        <v>44561</v>
      </c>
      <c r="P662" t="s">
        <v>718</v>
      </c>
    </row>
    <row r="663" spans="1:16" ht="15" customHeight="1" x14ac:dyDescent="0.3">
      <c r="A663" t="str">
        <f t="shared" si="11"/>
        <v>16-4-E7-SmartFIX – 2 Year (Level 2)</v>
      </c>
      <c r="B663" s="67" t="s">
        <v>13</v>
      </c>
      <c r="C663" s="67">
        <v>16</v>
      </c>
      <c r="D663" s="99" t="s">
        <v>25</v>
      </c>
      <c r="E663" s="67" t="s">
        <v>17</v>
      </c>
      <c r="F663" s="67" t="s">
        <v>18</v>
      </c>
      <c r="G663" s="67" t="s">
        <v>726</v>
      </c>
      <c r="H663" s="127">
        <v>0.2707</v>
      </c>
      <c r="I663" s="109">
        <v>0.15840000000000001</v>
      </c>
      <c r="J663" s="109">
        <v>0.1147</v>
      </c>
      <c r="K663" s="109" t="s">
        <v>717</v>
      </c>
      <c r="L663" s="67">
        <v>5000</v>
      </c>
      <c r="M663" s="67">
        <v>500000</v>
      </c>
      <c r="N663" s="105">
        <v>44378</v>
      </c>
      <c r="O663" s="105">
        <v>44561</v>
      </c>
      <c r="P663" t="s">
        <v>718</v>
      </c>
    </row>
    <row r="664" spans="1:16" ht="15" customHeight="1" x14ac:dyDescent="0.3">
      <c r="A664" t="str">
        <f t="shared" si="11"/>
        <v>16-3-EW-SmartFIX – 2 Year (Level 2)</v>
      </c>
      <c r="B664" s="67" t="s">
        <v>13</v>
      </c>
      <c r="C664" s="67">
        <v>16</v>
      </c>
      <c r="D664" s="99" t="s">
        <v>25</v>
      </c>
      <c r="E664" s="67" t="s">
        <v>19</v>
      </c>
      <c r="F664" s="67" t="s">
        <v>16</v>
      </c>
      <c r="G664" s="67" t="s">
        <v>726</v>
      </c>
      <c r="H664" s="127">
        <v>0.2707</v>
      </c>
      <c r="I664" s="109">
        <v>0.16289999999999999</v>
      </c>
      <c r="J664" s="109" t="s">
        <v>717</v>
      </c>
      <c r="K664" s="109">
        <v>0.1409</v>
      </c>
      <c r="L664" s="67">
        <v>5000</v>
      </c>
      <c r="M664" s="67">
        <v>500000</v>
      </c>
      <c r="N664" s="105">
        <v>44378</v>
      </c>
      <c r="O664" s="105">
        <v>44561</v>
      </c>
      <c r="P664" t="s">
        <v>718</v>
      </c>
    </row>
    <row r="665" spans="1:16" ht="15" customHeight="1" x14ac:dyDescent="0.3">
      <c r="A665" t="str">
        <f t="shared" si="11"/>
        <v>16-4-3RATE-SmartFIX – 2 Year (Level 2)</v>
      </c>
      <c r="B665" s="67" t="s">
        <v>13</v>
      </c>
      <c r="C665" s="67">
        <v>16</v>
      </c>
      <c r="D665" s="99" t="s">
        <v>25</v>
      </c>
      <c r="E665" s="67" t="s">
        <v>719</v>
      </c>
      <c r="F665" s="67" t="s">
        <v>18</v>
      </c>
      <c r="G665" s="67" t="s">
        <v>726</v>
      </c>
      <c r="H665" s="127">
        <v>0.2707</v>
      </c>
      <c r="I665" s="109">
        <v>0.16850000000000001</v>
      </c>
      <c r="J665" s="109">
        <v>0.11360000000000001</v>
      </c>
      <c r="K665" s="109">
        <v>0.14319999999999999</v>
      </c>
      <c r="L665" s="67">
        <v>5000</v>
      </c>
      <c r="M665" s="67">
        <v>500000</v>
      </c>
      <c r="N665" s="105">
        <v>44378</v>
      </c>
      <c r="O665" s="105">
        <v>44561</v>
      </c>
      <c r="P665" t="s">
        <v>718</v>
      </c>
    </row>
    <row r="666" spans="1:16" ht="15" customHeight="1" x14ac:dyDescent="0.3">
      <c r="A666" t="str">
        <f t="shared" si="11"/>
        <v/>
      </c>
      <c r="B666" s="67" t="s">
        <v>13</v>
      </c>
      <c r="C666" s="67">
        <v>16</v>
      </c>
      <c r="D666" s="99" t="s">
        <v>25</v>
      </c>
      <c r="E666" s="67" t="s">
        <v>720</v>
      </c>
      <c r="F666" s="67" t="s">
        <v>18</v>
      </c>
      <c r="G666" s="67" t="s">
        <v>726</v>
      </c>
      <c r="H666" s="127">
        <v>0.2707</v>
      </c>
      <c r="I666" s="109" t="s">
        <v>717</v>
      </c>
      <c r="J666" s="109">
        <v>0.1409</v>
      </c>
      <c r="K666" s="109" t="s">
        <v>717</v>
      </c>
      <c r="L666" s="67">
        <v>5000</v>
      </c>
      <c r="M666" s="67">
        <v>500000</v>
      </c>
      <c r="N666" s="105">
        <v>44378</v>
      </c>
      <c r="O666" s="105">
        <v>44561</v>
      </c>
      <c r="P666" t="s">
        <v>718</v>
      </c>
    </row>
    <row r="667" spans="1:16" ht="15" customHeight="1" x14ac:dyDescent="0.3">
      <c r="A667" t="str">
        <f t="shared" si="11"/>
        <v>17-3-U-SmartFIX – 2 Year (Level 2)</v>
      </c>
      <c r="B667" s="67" t="s">
        <v>13</v>
      </c>
      <c r="C667" s="67">
        <v>17</v>
      </c>
      <c r="D667" s="99" t="s">
        <v>26</v>
      </c>
      <c r="E667" s="67" t="s">
        <v>716</v>
      </c>
      <c r="F667" s="67" t="s">
        <v>16</v>
      </c>
      <c r="G667" s="67" t="s">
        <v>726</v>
      </c>
      <c r="H667" s="127">
        <v>0.35659999999999997</v>
      </c>
      <c r="I667" s="109">
        <v>0.15579999999999999</v>
      </c>
      <c r="J667" s="109" t="s">
        <v>717</v>
      </c>
      <c r="K667" s="109" t="s">
        <v>717</v>
      </c>
      <c r="L667" s="67">
        <v>5000</v>
      </c>
      <c r="M667" s="67">
        <v>500000</v>
      </c>
      <c r="N667" s="105">
        <v>44378</v>
      </c>
      <c r="O667" s="105">
        <v>44561</v>
      </c>
      <c r="P667" t="s">
        <v>718</v>
      </c>
    </row>
    <row r="668" spans="1:16" ht="15" customHeight="1" x14ac:dyDescent="0.3">
      <c r="A668" t="str">
        <f t="shared" si="11"/>
        <v>17-4-E7-SmartFIX – 2 Year (Level 2)</v>
      </c>
      <c r="B668" s="67" t="s">
        <v>13</v>
      </c>
      <c r="C668" s="67">
        <v>17</v>
      </c>
      <c r="D668" s="99" t="s">
        <v>26</v>
      </c>
      <c r="E668" s="67" t="s">
        <v>17</v>
      </c>
      <c r="F668" s="67" t="s">
        <v>18</v>
      </c>
      <c r="G668" s="67" t="s">
        <v>726</v>
      </c>
      <c r="H668" s="127">
        <v>0.35659999999999997</v>
      </c>
      <c r="I668" s="109">
        <v>0.16689999999999999</v>
      </c>
      <c r="J668" s="109">
        <v>0.12330000000000001</v>
      </c>
      <c r="K668" s="109" t="s">
        <v>717</v>
      </c>
      <c r="L668" s="67">
        <v>5000</v>
      </c>
      <c r="M668" s="67">
        <v>500000</v>
      </c>
      <c r="N668" s="105">
        <v>44378</v>
      </c>
      <c r="O668" s="105">
        <v>44561</v>
      </c>
      <c r="P668" t="s">
        <v>718</v>
      </c>
    </row>
    <row r="669" spans="1:16" ht="15" customHeight="1" x14ac:dyDescent="0.3">
      <c r="A669" t="str">
        <f t="shared" si="11"/>
        <v>17-3-EW-SmartFIX – 2 Year (Level 2)</v>
      </c>
      <c r="B669" s="67" t="s">
        <v>13</v>
      </c>
      <c r="C669" s="67">
        <v>17</v>
      </c>
      <c r="D669" s="99" t="s">
        <v>26</v>
      </c>
      <c r="E669" s="67" t="s">
        <v>19</v>
      </c>
      <c r="F669" s="67" t="s">
        <v>16</v>
      </c>
      <c r="G669" s="67" t="s">
        <v>726</v>
      </c>
      <c r="H669" s="127">
        <v>0.35659999999999997</v>
      </c>
      <c r="I669" s="109">
        <v>0.1633</v>
      </c>
      <c r="J669" s="109" t="s">
        <v>717</v>
      </c>
      <c r="K669" s="109">
        <v>0.14599999999999999</v>
      </c>
      <c r="L669" s="67">
        <v>5000</v>
      </c>
      <c r="M669" s="67">
        <v>500000</v>
      </c>
      <c r="N669" s="105">
        <v>44378</v>
      </c>
      <c r="O669" s="105">
        <v>44561</v>
      </c>
      <c r="P669" t="s">
        <v>718</v>
      </c>
    </row>
    <row r="670" spans="1:16" ht="15" customHeight="1" x14ac:dyDescent="0.3">
      <c r="A670" t="str">
        <f t="shared" si="11"/>
        <v>17-4-3RATE-SmartFIX – 2 Year (Level 2)</v>
      </c>
      <c r="B670" s="67" t="s">
        <v>13</v>
      </c>
      <c r="C670" s="67">
        <v>17</v>
      </c>
      <c r="D670" s="99" t="s">
        <v>26</v>
      </c>
      <c r="E670" s="67" t="s">
        <v>719</v>
      </c>
      <c r="F670" s="67" t="s">
        <v>18</v>
      </c>
      <c r="G670" s="67" t="s">
        <v>726</v>
      </c>
      <c r="H670" s="127">
        <v>0.35659999999999997</v>
      </c>
      <c r="I670" s="109">
        <v>0.24399999999999999</v>
      </c>
      <c r="J670" s="109">
        <v>0.24399999999999999</v>
      </c>
      <c r="K670" s="109">
        <v>0.24399999999999999</v>
      </c>
      <c r="L670" s="67">
        <v>5000</v>
      </c>
      <c r="M670" s="67">
        <v>500000</v>
      </c>
      <c r="N670" s="105">
        <v>44378</v>
      </c>
      <c r="O670" s="105">
        <v>44561</v>
      </c>
      <c r="P670" t="s">
        <v>718</v>
      </c>
    </row>
    <row r="671" spans="1:16" ht="15" customHeight="1" x14ac:dyDescent="0.3">
      <c r="A671" t="str">
        <f t="shared" si="11"/>
        <v/>
      </c>
      <c r="B671" s="67" t="s">
        <v>13</v>
      </c>
      <c r="C671" s="67">
        <v>17</v>
      </c>
      <c r="D671" s="99" t="s">
        <v>26</v>
      </c>
      <c r="E671" s="67" t="s">
        <v>720</v>
      </c>
      <c r="F671" s="67" t="s">
        <v>18</v>
      </c>
      <c r="G671" s="67" t="s">
        <v>726</v>
      </c>
      <c r="H671" s="127">
        <v>0.35659999999999997</v>
      </c>
      <c r="I671" s="109" t="s">
        <v>717</v>
      </c>
      <c r="J671" s="109">
        <v>0.14599999999999999</v>
      </c>
      <c r="K671" s="109" t="s">
        <v>717</v>
      </c>
      <c r="L671" s="67">
        <v>5000</v>
      </c>
      <c r="M671" s="67">
        <v>500000</v>
      </c>
      <c r="N671" s="105">
        <v>44378</v>
      </c>
      <c r="O671" s="105">
        <v>44561</v>
      </c>
      <c r="P671" t="s">
        <v>718</v>
      </c>
    </row>
    <row r="672" spans="1:16" ht="15" customHeight="1" x14ac:dyDescent="0.3">
      <c r="A672" t="str">
        <f t="shared" si="11"/>
        <v>18-3-U-SmartFIX – 2 Year (Level 2)</v>
      </c>
      <c r="B672" s="67" t="s">
        <v>13</v>
      </c>
      <c r="C672" s="67">
        <v>18</v>
      </c>
      <c r="D672" s="99" t="s">
        <v>27</v>
      </c>
      <c r="E672" s="67" t="s">
        <v>716</v>
      </c>
      <c r="F672" s="67" t="s">
        <v>16</v>
      </c>
      <c r="G672" s="67" t="s">
        <v>726</v>
      </c>
      <c r="H672" s="127">
        <v>0.31109999999999999</v>
      </c>
      <c r="I672" s="109">
        <v>0.15229999999999999</v>
      </c>
      <c r="J672" s="109" t="s">
        <v>717</v>
      </c>
      <c r="K672" s="109" t="s">
        <v>717</v>
      </c>
      <c r="L672" s="67">
        <v>5000</v>
      </c>
      <c r="M672" s="67">
        <v>500000</v>
      </c>
      <c r="N672" s="105">
        <v>44378</v>
      </c>
      <c r="O672" s="105">
        <v>44561</v>
      </c>
      <c r="P672" t="s">
        <v>718</v>
      </c>
    </row>
    <row r="673" spans="1:16" ht="15" customHeight="1" x14ac:dyDescent="0.3">
      <c r="A673" t="str">
        <f t="shared" si="11"/>
        <v>18-4-E7-SmartFIX – 2 Year (Level 2)</v>
      </c>
      <c r="B673" s="67" t="s">
        <v>13</v>
      </c>
      <c r="C673" s="67">
        <v>18</v>
      </c>
      <c r="D673" s="99" t="s">
        <v>27</v>
      </c>
      <c r="E673" s="67" t="s">
        <v>17</v>
      </c>
      <c r="F673" s="67" t="s">
        <v>18</v>
      </c>
      <c r="G673" s="67" t="s">
        <v>726</v>
      </c>
      <c r="H673" s="127">
        <v>0.31109999999999999</v>
      </c>
      <c r="I673" s="109">
        <v>0.16259999999999999</v>
      </c>
      <c r="J673" s="109">
        <v>0.1201</v>
      </c>
      <c r="K673" s="109" t="s">
        <v>717</v>
      </c>
      <c r="L673" s="67">
        <v>5000</v>
      </c>
      <c r="M673" s="67">
        <v>500000</v>
      </c>
      <c r="N673" s="105">
        <v>44378</v>
      </c>
      <c r="O673" s="105">
        <v>44561</v>
      </c>
      <c r="P673" t="s">
        <v>718</v>
      </c>
    </row>
    <row r="674" spans="1:16" ht="15" customHeight="1" x14ac:dyDescent="0.3">
      <c r="A674" t="str">
        <f t="shared" si="11"/>
        <v>18-3-EW-SmartFIX – 2 Year (Level 2)</v>
      </c>
      <c r="B674" s="67" t="s">
        <v>13</v>
      </c>
      <c r="C674" s="67">
        <v>18</v>
      </c>
      <c r="D674" s="99" t="s">
        <v>27</v>
      </c>
      <c r="E674" s="67" t="s">
        <v>19</v>
      </c>
      <c r="F674" s="67" t="s">
        <v>16</v>
      </c>
      <c r="G674" s="67" t="s">
        <v>726</v>
      </c>
      <c r="H674" s="127">
        <v>0.31109999999999999</v>
      </c>
      <c r="I674" s="109">
        <v>0.16</v>
      </c>
      <c r="J674" s="109" t="s">
        <v>717</v>
      </c>
      <c r="K674" s="109">
        <v>0.14119999999999999</v>
      </c>
      <c r="L674" s="67">
        <v>5000</v>
      </c>
      <c r="M674" s="67">
        <v>500000</v>
      </c>
      <c r="N674" s="105">
        <v>44378</v>
      </c>
      <c r="O674" s="105">
        <v>44561</v>
      </c>
      <c r="P674" t="s">
        <v>718</v>
      </c>
    </row>
    <row r="675" spans="1:16" ht="15" customHeight="1" x14ac:dyDescent="0.3">
      <c r="A675" t="str">
        <f t="shared" si="11"/>
        <v>18-4-3RATE-SmartFIX – 2 Year (Level 2)</v>
      </c>
      <c r="B675" s="67" t="s">
        <v>13</v>
      </c>
      <c r="C675" s="67">
        <v>18</v>
      </c>
      <c r="D675" s="99" t="s">
        <v>27</v>
      </c>
      <c r="E675" s="67" t="s">
        <v>719</v>
      </c>
      <c r="F675" s="67" t="s">
        <v>18</v>
      </c>
      <c r="G675" s="67" t="s">
        <v>726</v>
      </c>
      <c r="H675" s="127">
        <v>0.31109999999999999</v>
      </c>
      <c r="I675" s="109">
        <v>0.24399999999999999</v>
      </c>
      <c r="J675" s="109">
        <v>0.24399999999999999</v>
      </c>
      <c r="K675" s="109">
        <v>0.24399999999999999</v>
      </c>
      <c r="L675" s="67">
        <v>5000</v>
      </c>
      <c r="M675" s="67">
        <v>500000</v>
      </c>
      <c r="N675" s="105">
        <v>44378</v>
      </c>
      <c r="O675" s="105">
        <v>44561</v>
      </c>
      <c r="P675" t="s">
        <v>718</v>
      </c>
    </row>
    <row r="676" spans="1:16" ht="15" customHeight="1" x14ac:dyDescent="0.3">
      <c r="A676" t="str">
        <f t="shared" si="11"/>
        <v/>
      </c>
      <c r="B676" s="67" t="s">
        <v>13</v>
      </c>
      <c r="C676" s="67">
        <v>18</v>
      </c>
      <c r="D676" s="99" t="s">
        <v>27</v>
      </c>
      <c r="E676" s="67" t="s">
        <v>720</v>
      </c>
      <c r="F676" s="67" t="s">
        <v>18</v>
      </c>
      <c r="G676" s="67" t="s">
        <v>726</v>
      </c>
      <c r="H676" s="127">
        <v>0.31109999999999999</v>
      </c>
      <c r="I676" s="109" t="s">
        <v>717</v>
      </c>
      <c r="J676" s="109">
        <v>0.14119999999999999</v>
      </c>
      <c r="K676" s="109" t="s">
        <v>717</v>
      </c>
      <c r="L676" s="67">
        <v>5000</v>
      </c>
      <c r="M676" s="67">
        <v>500000</v>
      </c>
      <c r="N676" s="105">
        <v>44378</v>
      </c>
      <c r="O676" s="105">
        <v>44561</v>
      </c>
      <c r="P676" t="s">
        <v>718</v>
      </c>
    </row>
    <row r="677" spans="1:16" ht="15" customHeight="1" x14ac:dyDescent="0.3">
      <c r="A677" t="str">
        <f t="shared" si="11"/>
        <v>19-3-U-SmartFIX – 2 Year (Level 2)</v>
      </c>
      <c r="B677" s="67" t="s">
        <v>13</v>
      </c>
      <c r="C677" s="67">
        <v>19</v>
      </c>
      <c r="D677" s="99" t="s">
        <v>28</v>
      </c>
      <c r="E677" s="67" t="s">
        <v>716</v>
      </c>
      <c r="F677" s="67" t="s">
        <v>16</v>
      </c>
      <c r="G677" s="67" t="s">
        <v>726</v>
      </c>
      <c r="H677" s="127">
        <v>0.29570000000000002</v>
      </c>
      <c r="I677" s="109">
        <v>0.15010000000000001</v>
      </c>
      <c r="J677" s="109" t="s">
        <v>717</v>
      </c>
      <c r="K677" s="109" t="s">
        <v>717</v>
      </c>
      <c r="L677" s="67">
        <v>5000</v>
      </c>
      <c r="M677" s="67">
        <v>500000</v>
      </c>
      <c r="N677" s="105">
        <v>44378</v>
      </c>
      <c r="O677" s="105">
        <v>44561</v>
      </c>
      <c r="P677" t="s">
        <v>718</v>
      </c>
    </row>
    <row r="678" spans="1:16" ht="15" customHeight="1" x14ac:dyDescent="0.3">
      <c r="A678" t="str">
        <f t="shared" si="11"/>
        <v>19-4-E7-SmartFIX – 2 Year (Level 2)</v>
      </c>
      <c r="B678" s="67" t="s">
        <v>13</v>
      </c>
      <c r="C678" s="67">
        <v>19</v>
      </c>
      <c r="D678" s="99" t="s">
        <v>28</v>
      </c>
      <c r="E678" s="67" t="s">
        <v>17</v>
      </c>
      <c r="F678" s="67" t="s">
        <v>18</v>
      </c>
      <c r="G678" s="67" t="s">
        <v>726</v>
      </c>
      <c r="H678" s="127">
        <v>0.29570000000000002</v>
      </c>
      <c r="I678" s="109">
        <v>0.15890000000000001</v>
      </c>
      <c r="J678" s="109">
        <v>0.1109</v>
      </c>
      <c r="K678" s="109" t="s">
        <v>717</v>
      </c>
      <c r="L678" s="67">
        <v>5000</v>
      </c>
      <c r="M678" s="67">
        <v>500000</v>
      </c>
      <c r="N678" s="105">
        <v>44378</v>
      </c>
      <c r="O678" s="105">
        <v>44561</v>
      </c>
      <c r="P678" t="s">
        <v>718</v>
      </c>
    </row>
    <row r="679" spans="1:16" ht="15" customHeight="1" x14ac:dyDescent="0.3">
      <c r="A679" t="str">
        <f t="shared" si="11"/>
        <v>19-3-EW-SmartFIX – 2 Year (Level 2)</v>
      </c>
      <c r="B679" s="67" t="s">
        <v>13</v>
      </c>
      <c r="C679" s="67">
        <v>19</v>
      </c>
      <c r="D679" s="99" t="s">
        <v>28</v>
      </c>
      <c r="E679" s="67" t="s">
        <v>19</v>
      </c>
      <c r="F679" s="67" t="s">
        <v>16</v>
      </c>
      <c r="G679" s="67" t="s">
        <v>726</v>
      </c>
      <c r="H679" s="127">
        <v>0.29570000000000002</v>
      </c>
      <c r="I679" s="109">
        <v>0.24399999999999999</v>
      </c>
      <c r="J679" s="109" t="s">
        <v>717</v>
      </c>
      <c r="K679" s="109">
        <v>0.24399999999999999</v>
      </c>
      <c r="L679" s="67">
        <v>5000</v>
      </c>
      <c r="M679" s="67">
        <v>500000</v>
      </c>
      <c r="N679" s="105">
        <v>44378</v>
      </c>
      <c r="O679" s="105">
        <v>44561</v>
      </c>
      <c r="P679" t="s">
        <v>718</v>
      </c>
    </row>
    <row r="680" spans="1:16" ht="15" customHeight="1" x14ac:dyDescent="0.3">
      <c r="A680" t="str">
        <f t="shared" si="11"/>
        <v>19-4-3RATE-SmartFIX – 2 Year (Level 2)</v>
      </c>
      <c r="B680" s="67" t="s">
        <v>13</v>
      </c>
      <c r="C680" s="67">
        <v>19</v>
      </c>
      <c r="D680" s="99" t="s">
        <v>28</v>
      </c>
      <c r="E680" s="67" t="s">
        <v>719</v>
      </c>
      <c r="F680" s="67" t="s">
        <v>18</v>
      </c>
      <c r="G680" s="67" t="s">
        <v>726</v>
      </c>
      <c r="H680" s="127">
        <v>0.29570000000000002</v>
      </c>
      <c r="I680" s="109">
        <v>0.16850000000000001</v>
      </c>
      <c r="J680" s="109">
        <v>0.1128</v>
      </c>
      <c r="K680" s="109">
        <v>0.1565</v>
      </c>
      <c r="L680" s="67">
        <v>5000</v>
      </c>
      <c r="M680" s="67">
        <v>500000</v>
      </c>
      <c r="N680" s="105">
        <v>44378</v>
      </c>
      <c r="O680" s="105">
        <v>44561</v>
      </c>
      <c r="P680" t="s">
        <v>718</v>
      </c>
    </row>
    <row r="681" spans="1:16" ht="15" customHeight="1" x14ac:dyDescent="0.3">
      <c r="A681" t="str">
        <f t="shared" si="11"/>
        <v/>
      </c>
      <c r="B681" s="67" t="s">
        <v>13</v>
      </c>
      <c r="C681" s="67">
        <v>19</v>
      </c>
      <c r="D681" s="99" t="s">
        <v>28</v>
      </c>
      <c r="E681" s="67" t="s">
        <v>720</v>
      </c>
      <c r="F681" s="67" t="s">
        <v>18</v>
      </c>
      <c r="G681" s="67" t="s">
        <v>726</v>
      </c>
      <c r="H681" s="127">
        <v>0.29570000000000002</v>
      </c>
      <c r="I681" s="109" t="s">
        <v>717</v>
      </c>
      <c r="J681" s="109">
        <v>0.1109</v>
      </c>
      <c r="K681" s="109" t="s">
        <v>717</v>
      </c>
      <c r="L681" s="67">
        <v>5000</v>
      </c>
      <c r="M681" s="67">
        <v>500000</v>
      </c>
      <c r="N681" s="105">
        <v>44378</v>
      </c>
      <c r="O681" s="105">
        <v>44561</v>
      </c>
      <c r="P681" t="s">
        <v>718</v>
      </c>
    </row>
    <row r="682" spans="1:16" ht="15" customHeight="1" x14ac:dyDescent="0.3">
      <c r="A682" t="str">
        <f t="shared" si="11"/>
        <v>20-3-U-SmartFIX – 2 Year (Level 2)</v>
      </c>
      <c r="B682" s="67" t="s">
        <v>13</v>
      </c>
      <c r="C682" s="67">
        <v>20</v>
      </c>
      <c r="D682" s="99" t="s">
        <v>29</v>
      </c>
      <c r="E682" s="67" t="s">
        <v>716</v>
      </c>
      <c r="F682" s="67" t="s">
        <v>16</v>
      </c>
      <c r="G682" s="67" t="s">
        <v>726</v>
      </c>
      <c r="H682" s="127">
        <v>0.29299999999999998</v>
      </c>
      <c r="I682" s="109">
        <v>0.1479</v>
      </c>
      <c r="J682" s="109" t="s">
        <v>717</v>
      </c>
      <c r="K682" s="109" t="s">
        <v>717</v>
      </c>
      <c r="L682" s="67">
        <v>5000</v>
      </c>
      <c r="M682" s="67">
        <v>500000</v>
      </c>
      <c r="N682" s="105">
        <v>44378</v>
      </c>
      <c r="O682" s="105">
        <v>44561</v>
      </c>
      <c r="P682" t="s">
        <v>718</v>
      </c>
    </row>
    <row r="683" spans="1:16" ht="15" customHeight="1" x14ac:dyDescent="0.3">
      <c r="A683" t="str">
        <f t="shared" si="11"/>
        <v>20-4-E7-SmartFIX – 2 Year (Level 2)</v>
      </c>
      <c r="B683" s="67" t="s">
        <v>13</v>
      </c>
      <c r="C683" s="67">
        <v>20</v>
      </c>
      <c r="D683" s="99" t="s">
        <v>29</v>
      </c>
      <c r="E683" s="67" t="s">
        <v>17</v>
      </c>
      <c r="F683" s="67" t="s">
        <v>18</v>
      </c>
      <c r="G683" s="67" t="s">
        <v>726</v>
      </c>
      <c r="H683" s="127">
        <v>0.29299999999999998</v>
      </c>
      <c r="I683" s="109">
        <v>0.15709999999999999</v>
      </c>
      <c r="J683" s="109">
        <v>0.1119</v>
      </c>
      <c r="K683" s="109" t="s">
        <v>717</v>
      </c>
      <c r="L683" s="67">
        <v>5000</v>
      </c>
      <c r="M683" s="67">
        <v>500000</v>
      </c>
      <c r="N683" s="105">
        <v>44378</v>
      </c>
      <c r="O683" s="105">
        <v>44561</v>
      </c>
      <c r="P683" t="s">
        <v>718</v>
      </c>
    </row>
    <row r="684" spans="1:16" ht="15" customHeight="1" x14ac:dyDescent="0.3">
      <c r="A684" t="str">
        <f t="shared" si="11"/>
        <v>20-3-EW-SmartFIX – 2 Year (Level 2)</v>
      </c>
      <c r="B684" s="67" t="s">
        <v>13</v>
      </c>
      <c r="C684" s="67">
        <v>20</v>
      </c>
      <c r="D684" s="99" t="s">
        <v>29</v>
      </c>
      <c r="E684" s="67" t="s">
        <v>19</v>
      </c>
      <c r="F684" s="67" t="s">
        <v>16</v>
      </c>
      <c r="G684" s="67" t="s">
        <v>726</v>
      </c>
      <c r="H684" s="127">
        <v>0.29299999999999998</v>
      </c>
      <c r="I684" s="109">
        <v>0.15709999999999999</v>
      </c>
      <c r="J684" s="109" t="s">
        <v>717</v>
      </c>
      <c r="K684" s="109">
        <v>0.13550000000000001</v>
      </c>
      <c r="L684" s="67">
        <v>5000</v>
      </c>
      <c r="M684" s="67">
        <v>500000</v>
      </c>
      <c r="N684" s="105">
        <v>44378</v>
      </c>
      <c r="O684" s="105">
        <v>44561</v>
      </c>
      <c r="P684" t="s">
        <v>718</v>
      </c>
    </row>
    <row r="685" spans="1:16" ht="15" customHeight="1" x14ac:dyDescent="0.3">
      <c r="A685" t="str">
        <f t="shared" si="11"/>
        <v>20-4-3RATE-SmartFIX – 2 Year (Level 2)</v>
      </c>
      <c r="B685" s="67" t="s">
        <v>13</v>
      </c>
      <c r="C685" s="67">
        <v>20</v>
      </c>
      <c r="D685" s="99" t="s">
        <v>29</v>
      </c>
      <c r="E685" s="67" t="s">
        <v>719</v>
      </c>
      <c r="F685" s="67" t="s">
        <v>18</v>
      </c>
      <c r="G685" s="67" t="s">
        <v>726</v>
      </c>
      <c r="H685" s="127">
        <v>0.29299999999999998</v>
      </c>
      <c r="I685" s="109">
        <v>0.16819999999999999</v>
      </c>
      <c r="J685" s="109">
        <v>0.1162</v>
      </c>
      <c r="K685" s="109">
        <v>0.14940000000000001</v>
      </c>
      <c r="L685" s="67">
        <v>5000</v>
      </c>
      <c r="M685" s="67">
        <v>500000</v>
      </c>
      <c r="N685" s="105">
        <v>44378</v>
      </c>
      <c r="O685" s="105">
        <v>44561</v>
      </c>
      <c r="P685" t="s">
        <v>718</v>
      </c>
    </row>
    <row r="686" spans="1:16" ht="15" customHeight="1" x14ac:dyDescent="0.3">
      <c r="A686" t="str">
        <f t="shared" si="11"/>
        <v/>
      </c>
      <c r="B686" s="67" t="s">
        <v>13</v>
      </c>
      <c r="C686" s="67">
        <v>20</v>
      </c>
      <c r="D686" s="99" t="s">
        <v>29</v>
      </c>
      <c r="E686" s="67" t="s">
        <v>720</v>
      </c>
      <c r="F686" s="67" t="s">
        <v>18</v>
      </c>
      <c r="G686" s="67" t="s">
        <v>726</v>
      </c>
      <c r="H686" s="127">
        <v>0.29299999999999998</v>
      </c>
      <c r="I686" s="109" t="s">
        <v>717</v>
      </c>
      <c r="J686" s="109">
        <v>0.13550000000000001</v>
      </c>
      <c r="K686" s="109" t="s">
        <v>717</v>
      </c>
      <c r="L686" s="67">
        <v>5000</v>
      </c>
      <c r="M686" s="67">
        <v>500000</v>
      </c>
      <c r="N686" s="105">
        <v>44378</v>
      </c>
      <c r="O686" s="105">
        <v>44561</v>
      </c>
      <c r="P686" t="s">
        <v>718</v>
      </c>
    </row>
    <row r="687" spans="1:16" ht="15" customHeight="1" x14ac:dyDescent="0.3">
      <c r="A687" t="str">
        <f t="shared" si="11"/>
        <v>21-3-U-SmartFIX – 2 Year (Level 2)</v>
      </c>
      <c r="B687" s="67" t="s">
        <v>13</v>
      </c>
      <c r="C687" s="67">
        <v>21</v>
      </c>
      <c r="D687" s="99" t="s">
        <v>30</v>
      </c>
      <c r="E687" s="67" t="s">
        <v>716</v>
      </c>
      <c r="F687" s="67" t="s">
        <v>16</v>
      </c>
      <c r="G687" s="67" t="s">
        <v>726</v>
      </c>
      <c r="H687" s="127">
        <v>0.40550000000000003</v>
      </c>
      <c r="I687" s="109">
        <v>0.15</v>
      </c>
      <c r="J687" s="109" t="s">
        <v>717</v>
      </c>
      <c r="K687" s="109" t="s">
        <v>717</v>
      </c>
      <c r="L687" s="67">
        <v>5000</v>
      </c>
      <c r="M687" s="67">
        <v>500000</v>
      </c>
      <c r="N687" s="105">
        <v>44378</v>
      </c>
      <c r="O687" s="105">
        <v>44561</v>
      </c>
      <c r="P687" t="s">
        <v>718</v>
      </c>
    </row>
    <row r="688" spans="1:16" ht="15" customHeight="1" x14ac:dyDescent="0.3">
      <c r="A688" t="str">
        <f t="shared" si="11"/>
        <v>21-4-E7-SmartFIX – 2 Year (Level 2)</v>
      </c>
      <c r="B688" s="67" t="s">
        <v>13</v>
      </c>
      <c r="C688" s="67">
        <v>21</v>
      </c>
      <c r="D688" s="99" t="s">
        <v>30</v>
      </c>
      <c r="E688" s="67" t="s">
        <v>17</v>
      </c>
      <c r="F688" s="67" t="s">
        <v>18</v>
      </c>
      <c r="G688" s="67" t="s">
        <v>726</v>
      </c>
      <c r="H688" s="127">
        <v>0.40550000000000003</v>
      </c>
      <c r="I688" s="109">
        <v>0.15720000000000001</v>
      </c>
      <c r="J688" s="109">
        <v>0.11650000000000001</v>
      </c>
      <c r="K688" s="109" t="s">
        <v>717</v>
      </c>
      <c r="L688" s="67">
        <v>5000</v>
      </c>
      <c r="M688" s="67">
        <v>500000</v>
      </c>
      <c r="N688" s="105">
        <v>44378</v>
      </c>
      <c r="O688" s="105">
        <v>44561</v>
      </c>
      <c r="P688" t="s">
        <v>718</v>
      </c>
    </row>
    <row r="689" spans="1:16" ht="15" customHeight="1" x14ac:dyDescent="0.3">
      <c r="A689" t="str">
        <f t="shared" si="11"/>
        <v>21-3-EW-SmartFIX – 2 Year (Level 2)</v>
      </c>
      <c r="B689" s="67" t="s">
        <v>13</v>
      </c>
      <c r="C689" s="67">
        <v>21</v>
      </c>
      <c r="D689" s="99" t="s">
        <v>30</v>
      </c>
      <c r="E689" s="67" t="s">
        <v>19</v>
      </c>
      <c r="F689" s="67" t="s">
        <v>16</v>
      </c>
      <c r="G689" s="67" t="s">
        <v>726</v>
      </c>
      <c r="H689" s="127">
        <v>0.40550000000000003</v>
      </c>
      <c r="I689" s="109">
        <v>0.15770000000000001</v>
      </c>
      <c r="J689" s="109" t="s">
        <v>717</v>
      </c>
      <c r="K689" s="109">
        <v>0.1394</v>
      </c>
      <c r="L689" s="67">
        <v>5000</v>
      </c>
      <c r="M689" s="67">
        <v>500000</v>
      </c>
      <c r="N689" s="105">
        <v>44378</v>
      </c>
      <c r="O689" s="105">
        <v>44561</v>
      </c>
      <c r="P689" t="s">
        <v>718</v>
      </c>
    </row>
    <row r="690" spans="1:16" ht="15" customHeight="1" x14ac:dyDescent="0.3">
      <c r="A690" t="str">
        <f t="shared" si="11"/>
        <v>21-4-3RATE-SmartFIX – 2 Year (Level 2)</v>
      </c>
      <c r="B690" s="67" t="s">
        <v>13</v>
      </c>
      <c r="C690" s="67">
        <v>21</v>
      </c>
      <c r="D690" s="99" t="s">
        <v>30</v>
      </c>
      <c r="E690" s="67" t="s">
        <v>719</v>
      </c>
      <c r="F690" s="67" t="s">
        <v>18</v>
      </c>
      <c r="G690" s="67" t="s">
        <v>726</v>
      </c>
      <c r="H690" s="127">
        <v>0.40550000000000003</v>
      </c>
      <c r="I690" s="109">
        <v>0.16919999999999999</v>
      </c>
      <c r="J690" s="109">
        <v>0.11749999999999999</v>
      </c>
      <c r="K690" s="109">
        <v>0.15340000000000001</v>
      </c>
      <c r="L690" s="67">
        <v>5000</v>
      </c>
      <c r="M690" s="67">
        <v>500000</v>
      </c>
      <c r="N690" s="105">
        <v>44378</v>
      </c>
      <c r="O690" s="105">
        <v>44561</v>
      </c>
      <c r="P690" t="s">
        <v>718</v>
      </c>
    </row>
    <row r="691" spans="1:16" ht="15" customHeight="1" x14ac:dyDescent="0.3">
      <c r="A691" t="str">
        <f t="shared" si="11"/>
        <v/>
      </c>
      <c r="B691" s="67" t="s">
        <v>13</v>
      </c>
      <c r="C691" s="67">
        <v>21</v>
      </c>
      <c r="D691" s="99" t="s">
        <v>30</v>
      </c>
      <c r="E691" s="67" t="s">
        <v>720</v>
      </c>
      <c r="F691" s="67" t="s">
        <v>18</v>
      </c>
      <c r="G691" s="67" t="s">
        <v>726</v>
      </c>
      <c r="H691" s="127">
        <v>0.40550000000000003</v>
      </c>
      <c r="I691" s="109" t="s">
        <v>717</v>
      </c>
      <c r="J691" s="109">
        <v>0.1394</v>
      </c>
      <c r="K691" s="109" t="s">
        <v>717</v>
      </c>
      <c r="L691" s="67">
        <v>5000</v>
      </c>
      <c r="M691" s="67">
        <v>500000</v>
      </c>
      <c r="N691" s="105">
        <v>44378</v>
      </c>
      <c r="O691" s="105">
        <v>44561</v>
      </c>
      <c r="P691" t="s">
        <v>718</v>
      </c>
    </row>
    <row r="692" spans="1:16" ht="15" customHeight="1" x14ac:dyDescent="0.3">
      <c r="A692" t="str">
        <f t="shared" si="11"/>
        <v>22-3-U-SmartFIX – 2 Year (Level 2)</v>
      </c>
      <c r="B692" s="67" t="s">
        <v>13</v>
      </c>
      <c r="C692" s="67">
        <v>22</v>
      </c>
      <c r="D692" s="99" t="s">
        <v>31</v>
      </c>
      <c r="E692" s="67" t="s">
        <v>716</v>
      </c>
      <c r="F692" s="67" t="s">
        <v>16</v>
      </c>
      <c r="G692" s="67" t="s">
        <v>726</v>
      </c>
      <c r="H692" s="127">
        <v>0.34970000000000001</v>
      </c>
      <c r="I692" s="109">
        <v>0.15329999999999999</v>
      </c>
      <c r="J692" s="109" t="s">
        <v>717</v>
      </c>
      <c r="K692" s="109" t="s">
        <v>717</v>
      </c>
      <c r="L692" s="67">
        <v>5000</v>
      </c>
      <c r="M692" s="67">
        <v>500000</v>
      </c>
      <c r="N692" s="105">
        <v>44378</v>
      </c>
      <c r="O692" s="105">
        <v>44561</v>
      </c>
      <c r="P692" t="s">
        <v>718</v>
      </c>
    </row>
    <row r="693" spans="1:16" ht="15" customHeight="1" x14ac:dyDescent="0.3">
      <c r="A693" t="str">
        <f t="shared" si="11"/>
        <v>22-4-E7-SmartFIX – 2 Year (Level 2)</v>
      </c>
      <c r="B693" s="67" t="s">
        <v>13</v>
      </c>
      <c r="C693" s="67">
        <v>22</v>
      </c>
      <c r="D693" s="99" t="s">
        <v>31</v>
      </c>
      <c r="E693" s="67" t="s">
        <v>17</v>
      </c>
      <c r="F693" s="67" t="s">
        <v>18</v>
      </c>
      <c r="G693" s="67" t="s">
        <v>726</v>
      </c>
      <c r="H693" s="127">
        <v>0.34970000000000001</v>
      </c>
      <c r="I693" s="109">
        <v>0.16209999999999999</v>
      </c>
      <c r="J693" s="109">
        <v>0.1236</v>
      </c>
      <c r="K693" s="109" t="s">
        <v>717</v>
      </c>
      <c r="L693" s="67">
        <v>5000</v>
      </c>
      <c r="M693" s="67">
        <v>500000</v>
      </c>
      <c r="N693" s="105">
        <v>44378</v>
      </c>
      <c r="O693" s="105">
        <v>44561</v>
      </c>
      <c r="P693" t="s">
        <v>718</v>
      </c>
    </row>
    <row r="694" spans="1:16" ht="15" customHeight="1" x14ac:dyDescent="0.3">
      <c r="A694" t="str">
        <f t="shared" si="11"/>
        <v>22-3-EW-SmartFIX – 2 Year (Level 2)</v>
      </c>
      <c r="B694" s="67" t="s">
        <v>13</v>
      </c>
      <c r="C694" s="67">
        <v>22</v>
      </c>
      <c r="D694" s="99" t="s">
        <v>31</v>
      </c>
      <c r="E694" s="67" t="s">
        <v>19</v>
      </c>
      <c r="F694" s="67" t="s">
        <v>16</v>
      </c>
      <c r="G694" s="67" t="s">
        <v>726</v>
      </c>
      <c r="H694" s="127">
        <v>0.34970000000000001</v>
      </c>
      <c r="I694" s="109">
        <v>0.16250000000000001</v>
      </c>
      <c r="J694" s="109" t="s">
        <v>717</v>
      </c>
      <c r="K694" s="109">
        <v>0.1419</v>
      </c>
      <c r="L694" s="67">
        <v>5000</v>
      </c>
      <c r="M694" s="67">
        <v>500000</v>
      </c>
      <c r="N694" s="105">
        <v>44378</v>
      </c>
      <c r="O694" s="105">
        <v>44561</v>
      </c>
      <c r="P694" t="s">
        <v>718</v>
      </c>
    </row>
    <row r="695" spans="1:16" ht="15" customHeight="1" x14ac:dyDescent="0.3">
      <c r="A695" t="str">
        <f t="shared" si="11"/>
        <v>22-4-3RATE-SmartFIX – 2 Year (Level 2)</v>
      </c>
      <c r="B695" s="67" t="s">
        <v>13</v>
      </c>
      <c r="C695" s="67">
        <v>22</v>
      </c>
      <c r="D695" s="99" t="s">
        <v>31</v>
      </c>
      <c r="E695" s="67" t="s">
        <v>719</v>
      </c>
      <c r="F695" s="67" t="s">
        <v>18</v>
      </c>
      <c r="G695" s="67" t="s">
        <v>726</v>
      </c>
      <c r="H695" s="127">
        <v>0.34970000000000001</v>
      </c>
      <c r="I695" s="109">
        <v>0.1701</v>
      </c>
      <c r="J695" s="109">
        <v>0.11650000000000001</v>
      </c>
      <c r="K695" s="109">
        <v>0.15670000000000001</v>
      </c>
      <c r="L695" s="67">
        <v>5000</v>
      </c>
      <c r="M695" s="67">
        <v>500000</v>
      </c>
      <c r="N695" s="105">
        <v>44378</v>
      </c>
      <c r="O695" s="105">
        <v>44561</v>
      </c>
      <c r="P695" t="s">
        <v>718</v>
      </c>
    </row>
    <row r="696" spans="1:16" ht="15" customHeight="1" x14ac:dyDescent="0.3">
      <c r="A696" t="str">
        <f t="shared" si="11"/>
        <v/>
      </c>
      <c r="B696" s="67" t="s">
        <v>13</v>
      </c>
      <c r="C696" s="67">
        <v>22</v>
      </c>
      <c r="D696" s="99" t="s">
        <v>31</v>
      </c>
      <c r="E696" s="67" t="s">
        <v>720</v>
      </c>
      <c r="F696" s="67" t="s">
        <v>18</v>
      </c>
      <c r="G696" s="67" t="s">
        <v>726</v>
      </c>
      <c r="H696" s="127">
        <v>0.34970000000000001</v>
      </c>
      <c r="I696" s="109" t="s">
        <v>717</v>
      </c>
      <c r="J696" s="109">
        <v>0.1419</v>
      </c>
      <c r="K696" s="109" t="s">
        <v>717</v>
      </c>
      <c r="L696" s="67">
        <v>5000</v>
      </c>
      <c r="M696" s="67">
        <v>500000</v>
      </c>
      <c r="N696" s="105">
        <v>44378</v>
      </c>
      <c r="O696" s="105">
        <v>44561</v>
      </c>
      <c r="P696" t="s">
        <v>718</v>
      </c>
    </row>
    <row r="697" spans="1:16" ht="15" customHeight="1" x14ac:dyDescent="0.3">
      <c r="A697" t="str">
        <f t="shared" si="11"/>
        <v>23-3-U-SmartFIX – 2 Year (Level 2)</v>
      </c>
      <c r="B697" s="67" t="s">
        <v>13</v>
      </c>
      <c r="C697" s="67">
        <v>23</v>
      </c>
      <c r="D697" s="99" t="s">
        <v>32</v>
      </c>
      <c r="E697" s="67" t="s">
        <v>716</v>
      </c>
      <c r="F697" s="67" t="s">
        <v>16</v>
      </c>
      <c r="G697" s="67" t="s">
        <v>726</v>
      </c>
      <c r="H697" s="127">
        <v>0.30719999999999997</v>
      </c>
      <c r="I697" s="109">
        <v>0.14879999999999999</v>
      </c>
      <c r="J697" s="109" t="s">
        <v>717</v>
      </c>
      <c r="K697" s="109" t="s">
        <v>717</v>
      </c>
      <c r="L697" s="67">
        <v>5000</v>
      </c>
      <c r="M697" s="67">
        <v>500000</v>
      </c>
      <c r="N697" s="105">
        <v>44378</v>
      </c>
      <c r="O697" s="105">
        <v>44561</v>
      </c>
      <c r="P697" t="s">
        <v>718</v>
      </c>
    </row>
    <row r="698" spans="1:16" ht="15" customHeight="1" x14ac:dyDescent="0.3">
      <c r="A698" t="str">
        <f t="shared" si="11"/>
        <v>23-4-E7-SmartFIX – 2 Year (Level 2)</v>
      </c>
      <c r="B698" s="67" t="s">
        <v>13</v>
      </c>
      <c r="C698" s="67">
        <v>23</v>
      </c>
      <c r="D698" s="99" t="s">
        <v>32</v>
      </c>
      <c r="E698" s="67" t="s">
        <v>17</v>
      </c>
      <c r="F698" s="67" t="s">
        <v>18</v>
      </c>
      <c r="G698" s="67" t="s">
        <v>726</v>
      </c>
      <c r="H698" s="127">
        <v>0.30719999999999997</v>
      </c>
      <c r="I698" s="109">
        <v>0.1545</v>
      </c>
      <c r="J698" s="109">
        <v>0.1132</v>
      </c>
      <c r="K698" s="109" t="s">
        <v>717</v>
      </c>
      <c r="L698" s="67">
        <v>5000</v>
      </c>
      <c r="M698" s="67">
        <v>500000</v>
      </c>
      <c r="N698" s="105">
        <v>44378</v>
      </c>
      <c r="O698" s="105">
        <v>44561</v>
      </c>
      <c r="P698" t="s">
        <v>718</v>
      </c>
    </row>
    <row r="699" spans="1:16" ht="15" customHeight="1" x14ac:dyDescent="0.3">
      <c r="A699" t="str">
        <f t="shared" si="11"/>
        <v>23-3-EW-SmartFIX – 2 Year (Level 2)</v>
      </c>
      <c r="B699" s="67" t="s">
        <v>13</v>
      </c>
      <c r="C699" s="67">
        <v>23</v>
      </c>
      <c r="D699" s="99" t="s">
        <v>32</v>
      </c>
      <c r="E699" s="67" t="s">
        <v>19</v>
      </c>
      <c r="F699" s="67" t="s">
        <v>16</v>
      </c>
      <c r="G699" s="67" t="s">
        <v>726</v>
      </c>
      <c r="H699" s="127">
        <v>0.30719999999999997</v>
      </c>
      <c r="I699" s="109">
        <v>0.1575</v>
      </c>
      <c r="J699" s="109" t="s">
        <v>717</v>
      </c>
      <c r="K699" s="109">
        <v>0.13700000000000001</v>
      </c>
      <c r="L699" s="67">
        <v>5000</v>
      </c>
      <c r="M699" s="67">
        <v>500000</v>
      </c>
      <c r="N699" s="105">
        <v>44378</v>
      </c>
      <c r="O699" s="105">
        <v>44561</v>
      </c>
      <c r="P699" t="s">
        <v>718</v>
      </c>
    </row>
    <row r="700" spans="1:16" ht="15" customHeight="1" x14ac:dyDescent="0.3">
      <c r="A700" t="str">
        <f t="shared" si="11"/>
        <v>23-4-3RATE-SmartFIX – 2 Year (Level 2)</v>
      </c>
      <c r="B700" s="67" t="s">
        <v>13</v>
      </c>
      <c r="C700" s="67">
        <v>23</v>
      </c>
      <c r="D700" s="99" t="s">
        <v>32</v>
      </c>
      <c r="E700" s="67" t="s">
        <v>719</v>
      </c>
      <c r="F700" s="67" t="s">
        <v>18</v>
      </c>
      <c r="G700" s="67" t="s">
        <v>726</v>
      </c>
      <c r="H700" s="127">
        <v>0.30719999999999997</v>
      </c>
      <c r="I700" s="109">
        <v>0.1666</v>
      </c>
      <c r="J700" s="109">
        <v>0.1164</v>
      </c>
      <c r="K700" s="109">
        <v>0.14779999999999999</v>
      </c>
      <c r="L700" s="67">
        <v>5000</v>
      </c>
      <c r="M700" s="67">
        <v>500000</v>
      </c>
      <c r="N700" s="105">
        <v>44378</v>
      </c>
      <c r="O700" s="105">
        <v>44561</v>
      </c>
      <c r="P700" t="s">
        <v>718</v>
      </c>
    </row>
    <row r="701" spans="1:16" ht="15" customHeight="1" x14ac:dyDescent="0.3">
      <c r="A701" t="str">
        <f t="shared" si="11"/>
        <v/>
      </c>
      <c r="B701" s="67" t="s">
        <v>13</v>
      </c>
      <c r="C701" s="67">
        <v>23</v>
      </c>
      <c r="D701" s="99" t="s">
        <v>32</v>
      </c>
      <c r="E701" s="67" t="s">
        <v>720</v>
      </c>
      <c r="F701" s="67" t="s">
        <v>18</v>
      </c>
      <c r="G701" s="67" t="s">
        <v>726</v>
      </c>
      <c r="H701" s="127">
        <v>0.30719999999999997</v>
      </c>
      <c r="I701" s="109" t="s">
        <v>717</v>
      </c>
      <c r="J701" s="109">
        <v>0.13700000000000001</v>
      </c>
      <c r="K701" s="109" t="s">
        <v>717</v>
      </c>
      <c r="L701" s="67">
        <v>5000</v>
      </c>
      <c r="M701" s="67">
        <v>500000</v>
      </c>
      <c r="N701" s="105">
        <v>44378</v>
      </c>
      <c r="O701" s="105">
        <v>44561</v>
      </c>
      <c r="P701" t="s">
        <v>718</v>
      </c>
    </row>
    <row r="702" spans="1:16" ht="15" customHeight="1" x14ac:dyDescent="0.3">
      <c r="A702" t="str">
        <f t="shared" si="11"/>
        <v>10-3-U-SmartFIX – 3 Year (Level 2)</v>
      </c>
      <c r="B702" s="67" t="s">
        <v>13</v>
      </c>
      <c r="C702" s="67">
        <v>10</v>
      </c>
      <c r="D702" s="99" t="s">
        <v>14</v>
      </c>
      <c r="E702" s="67" t="s">
        <v>716</v>
      </c>
      <c r="F702" s="67" t="s">
        <v>16</v>
      </c>
      <c r="G702" s="67" t="s">
        <v>727</v>
      </c>
      <c r="H702" s="127">
        <v>0.31119999999999998</v>
      </c>
      <c r="I702" s="109">
        <v>0.15</v>
      </c>
      <c r="J702" s="109" t="s">
        <v>717</v>
      </c>
      <c r="K702" s="109" t="s">
        <v>717</v>
      </c>
      <c r="L702" s="67">
        <v>5000</v>
      </c>
      <c r="M702" s="67">
        <v>500000</v>
      </c>
      <c r="N702" s="105">
        <v>44378</v>
      </c>
      <c r="O702" s="105">
        <v>44561</v>
      </c>
      <c r="P702" t="s">
        <v>718</v>
      </c>
    </row>
    <row r="703" spans="1:16" ht="15" customHeight="1" x14ac:dyDescent="0.3">
      <c r="A703" t="str">
        <f t="shared" si="11"/>
        <v>10-4-E7-SmartFIX – 3 Year (Level 2)</v>
      </c>
      <c r="B703" s="67" t="s">
        <v>13</v>
      </c>
      <c r="C703" s="67">
        <v>10</v>
      </c>
      <c r="D703" s="99" t="s">
        <v>14</v>
      </c>
      <c r="E703" s="67" t="s">
        <v>17</v>
      </c>
      <c r="F703" s="67" t="s">
        <v>18</v>
      </c>
      <c r="G703" s="67" t="s">
        <v>727</v>
      </c>
      <c r="H703" s="127">
        <v>0.31119999999999998</v>
      </c>
      <c r="I703" s="109">
        <v>0.16</v>
      </c>
      <c r="J703" s="109">
        <v>0.10970000000000001</v>
      </c>
      <c r="K703" s="109" t="s">
        <v>717</v>
      </c>
      <c r="L703" s="67">
        <v>5000</v>
      </c>
      <c r="M703" s="67">
        <v>500000</v>
      </c>
      <c r="N703" s="105">
        <v>44378</v>
      </c>
      <c r="O703" s="105">
        <v>44561</v>
      </c>
      <c r="P703" t="s">
        <v>718</v>
      </c>
    </row>
    <row r="704" spans="1:16" ht="15" customHeight="1" x14ac:dyDescent="0.3">
      <c r="A704" t="str">
        <f t="shared" si="11"/>
        <v>10-3-EW-SmartFIX – 3 Year (Level 2)</v>
      </c>
      <c r="B704" s="67" t="s">
        <v>13</v>
      </c>
      <c r="C704" s="67">
        <v>10</v>
      </c>
      <c r="D704" s="99" t="s">
        <v>14</v>
      </c>
      <c r="E704" s="67" t="s">
        <v>19</v>
      </c>
      <c r="F704" s="67" t="s">
        <v>16</v>
      </c>
      <c r="G704" s="67" t="s">
        <v>727</v>
      </c>
      <c r="H704" s="127">
        <v>0.31119999999999998</v>
      </c>
      <c r="I704" s="109">
        <v>0.159</v>
      </c>
      <c r="J704" s="109" t="s">
        <v>717</v>
      </c>
      <c r="K704" s="109">
        <v>0.13639999999999999</v>
      </c>
      <c r="L704" s="67">
        <v>5000</v>
      </c>
      <c r="M704" s="67">
        <v>500000</v>
      </c>
      <c r="N704" s="105">
        <v>44378</v>
      </c>
      <c r="O704" s="105">
        <v>44561</v>
      </c>
      <c r="P704" t="s">
        <v>718</v>
      </c>
    </row>
    <row r="705" spans="1:16" ht="15" customHeight="1" x14ac:dyDescent="0.3">
      <c r="A705" t="str">
        <f t="shared" si="11"/>
        <v>10-4-3RATE-SmartFIX – 3 Year (Level 2)</v>
      </c>
      <c r="B705" s="67" t="s">
        <v>13</v>
      </c>
      <c r="C705" s="67">
        <v>10</v>
      </c>
      <c r="D705" s="99" t="s">
        <v>14</v>
      </c>
      <c r="E705" s="67" t="s">
        <v>719</v>
      </c>
      <c r="F705" s="67" t="s">
        <v>18</v>
      </c>
      <c r="G705" s="67" t="s">
        <v>727</v>
      </c>
      <c r="H705" s="127">
        <v>0.31119999999999998</v>
      </c>
      <c r="I705" s="109">
        <v>0.1696</v>
      </c>
      <c r="J705" s="109">
        <v>0.10970000000000001</v>
      </c>
      <c r="K705" s="109">
        <v>0.1525</v>
      </c>
      <c r="L705" s="67">
        <v>5000</v>
      </c>
      <c r="M705" s="67">
        <v>500000</v>
      </c>
      <c r="N705" s="105">
        <v>44378</v>
      </c>
      <c r="O705" s="105">
        <v>44561</v>
      </c>
      <c r="P705" t="s">
        <v>718</v>
      </c>
    </row>
    <row r="706" spans="1:16" ht="15" customHeight="1" x14ac:dyDescent="0.3">
      <c r="A706" t="str">
        <f t="shared" si="11"/>
        <v/>
      </c>
      <c r="B706" s="67" t="s">
        <v>13</v>
      </c>
      <c r="C706" s="67">
        <v>10</v>
      </c>
      <c r="D706" s="99" t="s">
        <v>14</v>
      </c>
      <c r="E706" s="67" t="s">
        <v>720</v>
      </c>
      <c r="F706" s="67" t="s">
        <v>18</v>
      </c>
      <c r="G706" s="67" t="s">
        <v>727</v>
      </c>
      <c r="H706" s="127">
        <v>0.31119999999999998</v>
      </c>
      <c r="I706" s="109" t="s">
        <v>717</v>
      </c>
      <c r="J706" s="109">
        <v>0.13639999999999999</v>
      </c>
      <c r="K706" s="109" t="s">
        <v>717</v>
      </c>
      <c r="L706" s="67">
        <v>5000</v>
      </c>
      <c r="M706" s="67">
        <v>500000</v>
      </c>
      <c r="N706" s="105">
        <v>44378</v>
      </c>
      <c r="O706" s="105">
        <v>44561</v>
      </c>
      <c r="P706" t="s">
        <v>718</v>
      </c>
    </row>
    <row r="707" spans="1:16" ht="15" customHeight="1" x14ac:dyDescent="0.3">
      <c r="A707" t="str">
        <f t="shared" si="11"/>
        <v>11-3-U-SmartFIX – 3 Year (Level 2)</v>
      </c>
      <c r="B707" s="67" t="s">
        <v>13</v>
      </c>
      <c r="C707" s="67">
        <v>11</v>
      </c>
      <c r="D707" s="99" t="s">
        <v>20</v>
      </c>
      <c r="E707" s="67" t="s">
        <v>716</v>
      </c>
      <c r="F707" s="67" t="s">
        <v>16</v>
      </c>
      <c r="G707" s="67" t="s">
        <v>727</v>
      </c>
      <c r="H707" s="127">
        <v>0.32069999999999999</v>
      </c>
      <c r="I707" s="109">
        <v>0.15029999999999999</v>
      </c>
      <c r="J707" s="109" t="s">
        <v>717</v>
      </c>
      <c r="K707" s="109" t="s">
        <v>717</v>
      </c>
      <c r="L707" s="67">
        <v>5000</v>
      </c>
      <c r="M707" s="67">
        <v>500000</v>
      </c>
      <c r="N707" s="105">
        <v>44378</v>
      </c>
      <c r="O707" s="105">
        <v>44561</v>
      </c>
      <c r="P707" t="s">
        <v>718</v>
      </c>
    </row>
    <row r="708" spans="1:16" ht="15" customHeight="1" x14ac:dyDescent="0.3">
      <c r="A708" t="str">
        <f t="shared" si="11"/>
        <v>11-4-E7-SmartFIX – 3 Year (Level 2)</v>
      </c>
      <c r="B708" s="67" t="s">
        <v>13</v>
      </c>
      <c r="C708" s="67">
        <v>11</v>
      </c>
      <c r="D708" s="99" t="s">
        <v>20</v>
      </c>
      <c r="E708" s="67" t="s">
        <v>17</v>
      </c>
      <c r="F708" s="67" t="s">
        <v>18</v>
      </c>
      <c r="G708" s="67" t="s">
        <v>727</v>
      </c>
      <c r="H708" s="127">
        <v>0.32069999999999999</v>
      </c>
      <c r="I708" s="109">
        <v>0.1578</v>
      </c>
      <c r="J708" s="109">
        <v>0.11360000000000001</v>
      </c>
      <c r="K708" s="109" t="s">
        <v>717</v>
      </c>
      <c r="L708" s="67">
        <v>5000</v>
      </c>
      <c r="M708" s="67">
        <v>500000</v>
      </c>
      <c r="N708" s="105">
        <v>44378</v>
      </c>
      <c r="O708" s="105">
        <v>44561</v>
      </c>
      <c r="P708" t="s">
        <v>718</v>
      </c>
    </row>
    <row r="709" spans="1:16" ht="15" customHeight="1" x14ac:dyDescent="0.3">
      <c r="A709" t="str">
        <f t="shared" si="11"/>
        <v>11-3-EW-SmartFIX – 3 Year (Level 2)</v>
      </c>
      <c r="B709" s="67" t="s">
        <v>13</v>
      </c>
      <c r="C709" s="67">
        <v>11</v>
      </c>
      <c r="D709" s="99" t="s">
        <v>20</v>
      </c>
      <c r="E709" s="67" t="s">
        <v>19</v>
      </c>
      <c r="F709" s="67" t="s">
        <v>16</v>
      </c>
      <c r="G709" s="67" t="s">
        <v>727</v>
      </c>
      <c r="H709" s="127">
        <v>0.32069999999999999</v>
      </c>
      <c r="I709" s="109">
        <v>0.1588</v>
      </c>
      <c r="J709" s="109" t="s">
        <v>717</v>
      </c>
      <c r="K709" s="109">
        <v>0.1371</v>
      </c>
      <c r="L709" s="67">
        <v>5000</v>
      </c>
      <c r="M709" s="67">
        <v>500000</v>
      </c>
      <c r="N709" s="105">
        <v>44378</v>
      </c>
      <c r="O709" s="105">
        <v>44561</v>
      </c>
      <c r="P709" t="s">
        <v>718</v>
      </c>
    </row>
    <row r="710" spans="1:16" ht="15" customHeight="1" x14ac:dyDescent="0.3">
      <c r="A710" t="str">
        <f t="shared" si="11"/>
        <v>11-4-3RATE-SmartFIX – 3 Year (Level 2)</v>
      </c>
      <c r="B710" s="67" t="s">
        <v>13</v>
      </c>
      <c r="C710" s="67">
        <v>11</v>
      </c>
      <c r="D710" s="99" t="s">
        <v>20</v>
      </c>
      <c r="E710" s="67" t="s">
        <v>719</v>
      </c>
      <c r="F710" s="67" t="s">
        <v>18</v>
      </c>
      <c r="G710" s="67" t="s">
        <v>727</v>
      </c>
      <c r="H710" s="127">
        <v>0.32069999999999999</v>
      </c>
      <c r="I710" s="109">
        <v>0.1661</v>
      </c>
      <c r="J710" s="109">
        <v>0.11119999999999999</v>
      </c>
      <c r="K710" s="109">
        <v>0.14549999999999999</v>
      </c>
      <c r="L710" s="67">
        <v>5000</v>
      </c>
      <c r="M710" s="67">
        <v>500000</v>
      </c>
      <c r="N710" s="105">
        <v>44378</v>
      </c>
      <c r="O710" s="105">
        <v>44561</v>
      </c>
      <c r="P710" t="s">
        <v>718</v>
      </c>
    </row>
    <row r="711" spans="1:16" ht="15" customHeight="1" x14ac:dyDescent="0.3">
      <c r="A711" t="str">
        <f t="shared" si="11"/>
        <v/>
      </c>
      <c r="B711" s="67" t="s">
        <v>13</v>
      </c>
      <c r="C711" s="67">
        <v>11</v>
      </c>
      <c r="D711" s="99" t="s">
        <v>20</v>
      </c>
      <c r="E711" s="67" t="s">
        <v>720</v>
      </c>
      <c r="F711" s="67" t="s">
        <v>18</v>
      </c>
      <c r="G711" s="67" t="s">
        <v>727</v>
      </c>
      <c r="H711" s="127">
        <v>0.32069999999999999</v>
      </c>
      <c r="I711" s="109" t="s">
        <v>717</v>
      </c>
      <c r="J711" s="109">
        <v>0.1371</v>
      </c>
      <c r="K711" s="109" t="s">
        <v>717</v>
      </c>
      <c r="L711" s="67">
        <v>5000</v>
      </c>
      <c r="M711" s="67">
        <v>500000</v>
      </c>
      <c r="N711" s="105">
        <v>44378</v>
      </c>
      <c r="O711" s="105">
        <v>44561</v>
      </c>
      <c r="P711" t="s">
        <v>718</v>
      </c>
    </row>
    <row r="712" spans="1:16" ht="15" customHeight="1" x14ac:dyDescent="0.3">
      <c r="A712" t="str">
        <f t="shared" si="11"/>
        <v>12-3-U-SmartFIX – 3 Year (Level 2)</v>
      </c>
      <c r="B712" s="67" t="s">
        <v>13</v>
      </c>
      <c r="C712" s="67">
        <v>12</v>
      </c>
      <c r="D712" s="99" t="s">
        <v>21</v>
      </c>
      <c r="E712" s="67" t="s">
        <v>716</v>
      </c>
      <c r="F712" s="67" t="s">
        <v>16</v>
      </c>
      <c r="G712" s="67" t="s">
        <v>727</v>
      </c>
      <c r="H712" s="127">
        <v>0.24199999999999999</v>
      </c>
      <c r="I712" s="109">
        <v>0.14419999999999999</v>
      </c>
      <c r="J712" s="109" t="s">
        <v>717</v>
      </c>
      <c r="K712" s="109" t="s">
        <v>717</v>
      </c>
      <c r="L712" s="67">
        <v>5000</v>
      </c>
      <c r="M712" s="67">
        <v>500000</v>
      </c>
      <c r="N712" s="105">
        <v>44378</v>
      </c>
      <c r="O712" s="105">
        <v>44561</v>
      </c>
      <c r="P712" t="s">
        <v>718</v>
      </c>
    </row>
    <row r="713" spans="1:16" ht="15" customHeight="1" x14ac:dyDescent="0.3">
      <c r="A713" t="str">
        <f t="shared" si="11"/>
        <v>12-4-E7-SmartFIX – 3 Year (Level 2)</v>
      </c>
      <c r="B713" s="67" t="s">
        <v>13</v>
      </c>
      <c r="C713" s="67">
        <v>12</v>
      </c>
      <c r="D713" s="99" t="s">
        <v>21</v>
      </c>
      <c r="E713" s="67" t="s">
        <v>17</v>
      </c>
      <c r="F713" s="67" t="s">
        <v>18</v>
      </c>
      <c r="G713" s="67" t="s">
        <v>727</v>
      </c>
      <c r="H713" s="127">
        <v>0.24199999999999999</v>
      </c>
      <c r="I713" s="109">
        <v>0.15590000000000001</v>
      </c>
      <c r="J713" s="109">
        <v>0.1113</v>
      </c>
      <c r="K713" s="109" t="s">
        <v>717</v>
      </c>
      <c r="L713" s="67">
        <v>5000</v>
      </c>
      <c r="M713" s="67">
        <v>500000</v>
      </c>
      <c r="N713" s="105">
        <v>44378</v>
      </c>
      <c r="O713" s="105">
        <v>44561</v>
      </c>
      <c r="P713" t="s">
        <v>718</v>
      </c>
    </row>
    <row r="714" spans="1:16" ht="15" customHeight="1" x14ac:dyDescent="0.3">
      <c r="A714" t="str">
        <f t="shared" si="11"/>
        <v>12-3-EW-SmartFIX – 3 Year (Level 2)</v>
      </c>
      <c r="B714" s="67" t="s">
        <v>13</v>
      </c>
      <c r="C714" s="67">
        <v>12</v>
      </c>
      <c r="D714" s="99" t="s">
        <v>21</v>
      </c>
      <c r="E714" s="67" t="s">
        <v>19</v>
      </c>
      <c r="F714" s="67" t="s">
        <v>16</v>
      </c>
      <c r="G714" s="67" t="s">
        <v>727</v>
      </c>
      <c r="H714" s="127">
        <v>0.24199999999999999</v>
      </c>
      <c r="I714" s="109">
        <v>0.15260000000000001</v>
      </c>
      <c r="J714" s="109" t="s">
        <v>717</v>
      </c>
      <c r="K714" s="109">
        <v>0.13239999999999999</v>
      </c>
      <c r="L714" s="67">
        <v>5000</v>
      </c>
      <c r="M714" s="67">
        <v>500000</v>
      </c>
      <c r="N714" s="105">
        <v>44378</v>
      </c>
      <c r="O714" s="105">
        <v>44561</v>
      </c>
      <c r="P714" t="s">
        <v>718</v>
      </c>
    </row>
    <row r="715" spans="1:16" ht="15" customHeight="1" x14ac:dyDescent="0.3">
      <c r="A715" t="str">
        <f t="shared" si="11"/>
        <v>12-4-3RATE-SmartFIX – 3 Year (Level 2)</v>
      </c>
      <c r="B715" s="67" t="s">
        <v>13</v>
      </c>
      <c r="C715" s="67">
        <v>12</v>
      </c>
      <c r="D715" s="99" t="s">
        <v>21</v>
      </c>
      <c r="E715" s="67" t="s">
        <v>719</v>
      </c>
      <c r="F715" s="67" t="s">
        <v>18</v>
      </c>
      <c r="G715" s="67" t="s">
        <v>727</v>
      </c>
      <c r="H715" s="127">
        <v>0.24199999999999999</v>
      </c>
      <c r="I715" s="109">
        <v>0.24399999999999999</v>
      </c>
      <c r="J715" s="109">
        <v>0.24399999999999999</v>
      </c>
      <c r="K715" s="109">
        <v>0.24399999999999999</v>
      </c>
      <c r="L715" s="67">
        <v>5000</v>
      </c>
      <c r="M715" s="67">
        <v>500000</v>
      </c>
      <c r="N715" s="105">
        <v>44378</v>
      </c>
      <c r="O715" s="105">
        <v>44561</v>
      </c>
      <c r="P715" t="s">
        <v>718</v>
      </c>
    </row>
    <row r="716" spans="1:16" ht="15" customHeight="1" x14ac:dyDescent="0.3">
      <c r="A716" t="str">
        <f t="shared" ref="A716:A779" si="12">IF(E716="OP","",CONCATENATE(C716,"-",RIGHT(F716,1),"-",IF(OR(E716="1 Rate MD",E716="DAY"),"U",IF(OR(E716="2 Rate MD",E716="E7"),"E7",IF(OR(E716="3 Rate MD (EW)",E716="EW"),"EW",IF(OR(E716="3 Rate MD",E716="EWN"),"3RATE",IF(E716="HH 2RATE (CT)","HH 2RATE (CT)",IF(E716="HH 2RATE (WC)","HH 2RATE (WC)",IF(E716="HH 1RATE (CT)","HH 1RATE (CT)",IF(E716="HH 1RATE (WC)","HH 1RATE (WC)")))))))),"-",G716))</f>
        <v/>
      </c>
      <c r="B716" s="67" t="s">
        <v>13</v>
      </c>
      <c r="C716" s="67">
        <v>12</v>
      </c>
      <c r="D716" s="99" t="s">
        <v>21</v>
      </c>
      <c r="E716" s="67" t="s">
        <v>720</v>
      </c>
      <c r="F716" s="67" t="s">
        <v>18</v>
      </c>
      <c r="G716" s="67" t="s">
        <v>727</v>
      </c>
      <c r="H716" s="127">
        <v>0.24199999999999999</v>
      </c>
      <c r="I716" s="109" t="s">
        <v>717</v>
      </c>
      <c r="J716" s="109">
        <v>0.13239999999999999</v>
      </c>
      <c r="K716" s="109" t="s">
        <v>717</v>
      </c>
      <c r="L716" s="67">
        <v>5000</v>
      </c>
      <c r="M716" s="67">
        <v>500000</v>
      </c>
      <c r="N716" s="105">
        <v>44378</v>
      </c>
      <c r="O716" s="105">
        <v>44561</v>
      </c>
      <c r="P716" t="s">
        <v>718</v>
      </c>
    </row>
    <row r="717" spans="1:16" ht="15" customHeight="1" x14ac:dyDescent="0.3">
      <c r="A717" t="str">
        <f t="shared" si="12"/>
        <v>13-3-U-SmartFIX – 3 Year (Level 2)</v>
      </c>
      <c r="B717" s="67" t="s">
        <v>13</v>
      </c>
      <c r="C717" s="67">
        <v>13</v>
      </c>
      <c r="D717" s="99" t="s">
        <v>22</v>
      </c>
      <c r="E717" s="67" t="s">
        <v>716</v>
      </c>
      <c r="F717" s="67" t="s">
        <v>16</v>
      </c>
      <c r="G717" s="67" t="s">
        <v>727</v>
      </c>
      <c r="H717" s="127">
        <v>0.28489999999999999</v>
      </c>
      <c r="I717" s="109">
        <v>0.16950000000000001</v>
      </c>
      <c r="J717" s="109" t="s">
        <v>717</v>
      </c>
      <c r="K717" s="109" t="s">
        <v>717</v>
      </c>
      <c r="L717" s="67">
        <v>5000</v>
      </c>
      <c r="M717" s="67">
        <v>500000</v>
      </c>
      <c r="N717" s="105">
        <v>44378</v>
      </c>
      <c r="O717" s="105">
        <v>44561</v>
      </c>
      <c r="P717" t="s">
        <v>718</v>
      </c>
    </row>
    <row r="718" spans="1:16" ht="15" customHeight="1" x14ac:dyDescent="0.3">
      <c r="A718" t="str">
        <f t="shared" si="12"/>
        <v>13-4-E7-SmartFIX – 3 Year (Level 2)</v>
      </c>
      <c r="B718" s="67" t="s">
        <v>13</v>
      </c>
      <c r="C718" s="67">
        <v>13</v>
      </c>
      <c r="D718" s="99" t="s">
        <v>22</v>
      </c>
      <c r="E718" s="67" t="s">
        <v>17</v>
      </c>
      <c r="F718" s="67" t="s">
        <v>18</v>
      </c>
      <c r="G718" s="67" t="s">
        <v>727</v>
      </c>
      <c r="H718" s="127">
        <v>0.28489999999999999</v>
      </c>
      <c r="I718" s="109">
        <v>0.17169999999999999</v>
      </c>
      <c r="J718" s="109">
        <v>0.1255</v>
      </c>
      <c r="K718" s="109" t="s">
        <v>717</v>
      </c>
      <c r="L718" s="67">
        <v>5000</v>
      </c>
      <c r="M718" s="67">
        <v>500000</v>
      </c>
      <c r="N718" s="105">
        <v>44378</v>
      </c>
      <c r="O718" s="105">
        <v>44561</v>
      </c>
      <c r="P718" t="s">
        <v>718</v>
      </c>
    </row>
    <row r="719" spans="1:16" ht="15" customHeight="1" x14ac:dyDescent="0.3">
      <c r="A719" t="str">
        <f t="shared" si="12"/>
        <v>13-3-EW-SmartFIX – 3 Year (Level 2)</v>
      </c>
      <c r="B719" s="67" t="s">
        <v>13</v>
      </c>
      <c r="C719" s="67">
        <v>13</v>
      </c>
      <c r="D719" s="99" t="s">
        <v>22</v>
      </c>
      <c r="E719" s="67" t="s">
        <v>19</v>
      </c>
      <c r="F719" s="67" t="s">
        <v>16</v>
      </c>
      <c r="G719" s="67" t="s">
        <v>727</v>
      </c>
      <c r="H719" s="127">
        <v>0.28489999999999999</v>
      </c>
      <c r="I719" s="109">
        <v>0.24399999999999999</v>
      </c>
      <c r="J719" s="109" t="s">
        <v>717</v>
      </c>
      <c r="K719" s="109">
        <v>0.24399999999999999</v>
      </c>
      <c r="L719" s="67">
        <v>5000</v>
      </c>
      <c r="M719" s="67">
        <v>500000</v>
      </c>
      <c r="N719" s="105">
        <v>44378</v>
      </c>
      <c r="O719" s="105">
        <v>44561</v>
      </c>
      <c r="P719" t="s">
        <v>718</v>
      </c>
    </row>
    <row r="720" spans="1:16" ht="15" customHeight="1" x14ac:dyDescent="0.3">
      <c r="A720" t="str">
        <f t="shared" si="12"/>
        <v>13-4-3RATE-SmartFIX – 3 Year (Level 2)</v>
      </c>
      <c r="B720" s="67" t="s">
        <v>13</v>
      </c>
      <c r="C720" s="67">
        <v>13</v>
      </c>
      <c r="D720" s="99" t="s">
        <v>22</v>
      </c>
      <c r="E720" s="67" t="s">
        <v>719</v>
      </c>
      <c r="F720" s="67" t="s">
        <v>18</v>
      </c>
      <c r="G720" s="67" t="s">
        <v>727</v>
      </c>
      <c r="H720" s="127">
        <v>0.28489999999999999</v>
      </c>
      <c r="I720" s="109">
        <v>0.1835</v>
      </c>
      <c r="J720" s="109">
        <v>0.12520000000000001</v>
      </c>
      <c r="K720" s="109">
        <v>0.16930000000000001</v>
      </c>
      <c r="L720" s="67">
        <v>5000</v>
      </c>
      <c r="M720" s="67">
        <v>500000</v>
      </c>
      <c r="N720" s="105">
        <v>44378</v>
      </c>
      <c r="O720" s="105">
        <v>44561</v>
      </c>
      <c r="P720" t="s">
        <v>718</v>
      </c>
    </row>
    <row r="721" spans="1:16" ht="15" customHeight="1" x14ac:dyDescent="0.3">
      <c r="A721" t="str">
        <f t="shared" si="12"/>
        <v/>
      </c>
      <c r="B721" s="67" t="s">
        <v>13</v>
      </c>
      <c r="C721" s="67">
        <v>13</v>
      </c>
      <c r="D721" s="99" t="s">
        <v>22</v>
      </c>
      <c r="E721" s="67" t="s">
        <v>720</v>
      </c>
      <c r="F721" s="67" t="s">
        <v>18</v>
      </c>
      <c r="G721" s="67" t="s">
        <v>727</v>
      </c>
      <c r="H721" s="127">
        <v>0.28489999999999999</v>
      </c>
      <c r="I721" s="109" t="s">
        <v>717</v>
      </c>
      <c r="J721" s="109">
        <v>0.1255</v>
      </c>
      <c r="K721" s="109" t="s">
        <v>717</v>
      </c>
      <c r="L721" s="67">
        <v>5000</v>
      </c>
      <c r="M721" s="67">
        <v>500000</v>
      </c>
      <c r="N721" s="105">
        <v>44378</v>
      </c>
      <c r="O721" s="105">
        <v>44561</v>
      </c>
      <c r="P721" t="s">
        <v>718</v>
      </c>
    </row>
    <row r="722" spans="1:16" ht="15" customHeight="1" x14ac:dyDescent="0.3">
      <c r="A722" t="str">
        <f t="shared" si="12"/>
        <v>14-3-U-SmartFIX – 3 Year (Level 2)</v>
      </c>
      <c r="B722" s="67" t="s">
        <v>13</v>
      </c>
      <c r="C722" s="67">
        <v>14</v>
      </c>
      <c r="D722" s="99" t="s">
        <v>23</v>
      </c>
      <c r="E722" s="67" t="s">
        <v>716</v>
      </c>
      <c r="F722" s="67" t="s">
        <v>16</v>
      </c>
      <c r="G722" s="67" t="s">
        <v>727</v>
      </c>
      <c r="H722" s="127">
        <v>0.35139999999999999</v>
      </c>
      <c r="I722" s="109">
        <v>0.1542</v>
      </c>
      <c r="J722" s="109" t="s">
        <v>717</v>
      </c>
      <c r="K722" s="109" t="s">
        <v>717</v>
      </c>
      <c r="L722" s="67">
        <v>5000</v>
      </c>
      <c r="M722" s="67">
        <v>500000</v>
      </c>
      <c r="N722" s="105">
        <v>44378</v>
      </c>
      <c r="O722" s="105">
        <v>44561</v>
      </c>
      <c r="P722" t="s">
        <v>718</v>
      </c>
    </row>
    <row r="723" spans="1:16" ht="15" customHeight="1" x14ac:dyDescent="0.3">
      <c r="A723" t="str">
        <f t="shared" si="12"/>
        <v>14-4-E7-SmartFIX – 3 Year (Level 2)</v>
      </c>
      <c r="B723" s="67" t="s">
        <v>13</v>
      </c>
      <c r="C723" s="67">
        <v>14</v>
      </c>
      <c r="D723" s="99" t="s">
        <v>23</v>
      </c>
      <c r="E723" s="67" t="s">
        <v>17</v>
      </c>
      <c r="F723" s="67" t="s">
        <v>18</v>
      </c>
      <c r="G723" s="67" t="s">
        <v>727</v>
      </c>
      <c r="H723" s="127">
        <v>0.35139999999999999</v>
      </c>
      <c r="I723" s="109">
        <v>0.16109999999999999</v>
      </c>
      <c r="J723" s="109">
        <v>0.1168</v>
      </c>
      <c r="K723" s="109" t="s">
        <v>717</v>
      </c>
      <c r="L723" s="67">
        <v>5000</v>
      </c>
      <c r="M723" s="67">
        <v>500000</v>
      </c>
      <c r="N723" s="105">
        <v>44378</v>
      </c>
      <c r="O723" s="105">
        <v>44561</v>
      </c>
      <c r="P723" t="s">
        <v>718</v>
      </c>
    </row>
    <row r="724" spans="1:16" ht="15" customHeight="1" x14ac:dyDescent="0.3">
      <c r="A724" t="str">
        <f t="shared" si="12"/>
        <v>14-3-EW-SmartFIX – 3 Year (Level 2)</v>
      </c>
      <c r="B724" s="67" t="s">
        <v>13</v>
      </c>
      <c r="C724" s="67">
        <v>14</v>
      </c>
      <c r="D724" s="99" t="s">
        <v>23</v>
      </c>
      <c r="E724" s="67" t="s">
        <v>19</v>
      </c>
      <c r="F724" s="67" t="s">
        <v>16</v>
      </c>
      <c r="G724" s="67" t="s">
        <v>727</v>
      </c>
      <c r="H724" s="127">
        <v>0.35139999999999999</v>
      </c>
      <c r="I724" s="109">
        <v>0.16159999999999999</v>
      </c>
      <c r="J724" s="109" t="s">
        <v>717</v>
      </c>
      <c r="K724" s="109">
        <v>0.14319999999999999</v>
      </c>
      <c r="L724" s="67">
        <v>5000</v>
      </c>
      <c r="M724" s="67">
        <v>500000</v>
      </c>
      <c r="N724" s="105">
        <v>44378</v>
      </c>
      <c r="O724" s="105">
        <v>44561</v>
      </c>
      <c r="P724" t="s">
        <v>718</v>
      </c>
    </row>
    <row r="725" spans="1:16" ht="15" customHeight="1" x14ac:dyDescent="0.3">
      <c r="A725" t="str">
        <f t="shared" si="12"/>
        <v>14-4-3RATE-SmartFIX – 3 Year (Level 2)</v>
      </c>
      <c r="B725" s="67" t="s">
        <v>13</v>
      </c>
      <c r="C725" s="67">
        <v>14</v>
      </c>
      <c r="D725" s="99" t="s">
        <v>23</v>
      </c>
      <c r="E725" s="67" t="s">
        <v>719</v>
      </c>
      <c r="F725" s="67" t="s">
        <v>18</v>
      </c>
      <c r="G725" s="67" t="s">
        <v>727</v>
      </c>
      <c r="H725" s="127">
        <v>0.35139999999999999</v>
      </c>
      <c r="I725" s="109">
        <v>0.24399999999999999</v>
      </c>
      <c r="J725" s="109">
        <v>0.24399999999999999</v>
      </c>
      <c r="K725" s="109">
        <v>0.24399999999999999</v>
      </c>
      <c r="L725" s="67">
        <v>5000</v>
      </c>
      <c r="M725" s="67">
        <v>500000</v>
      </c>
      <c r="N725" s="105">
        <v>44378</v>
      </c>
      <c r="O725" s="105">
        <v>44561</v>
      </c>
      <c r="P725" t="s">
        <v>718</v>
      </c>
    </row>
    <row r="726" spans="1:16" ht="15" customHeight="1" x14ac:dyDescent="0.3">
      <c r="A726" t="str">
        <f t="shared" si="12"/>
        <v/>
      </c>
      <c r="B726" s="67" t="s">
        <v>13</v>
      </c>
      <c r="C726" s="67">
        <v>14</v>
      </c>
      <c r="D726" s="99" t="s">
        <v>23</v>
      </c>
      <c r="E726" s="67" t="s">
        <v>720</v>
      </c>
      <c r="F726" s="67" t="s">
        <v>18</v>
      </c>
      <c r="G726" s="67" t="s">
        <v>727</v>
      </c>
      <c r="H726" s="127">
        <v>0.35139999999999999</v>
      </c>
      <c r="I726" s="109" t="s">
        <v>717</v>
      </c>
      <c r="J726" s="109">
        <v>0.14319999999999999</v>
      </c>
      <c r="K726" s="109" t="s">
        <v>717</v>
      </c>
      <c r="L726" s="67">
        <v>5000</v>
      </c>
      <c r="M726" s="67">
        <v>500000</v>
      </c>
      <c r="N726" s="105">
        <v>44378</v>
      </c>
      <c r="O726" s="105">
        <v>44561</v>
      </c>
      <c r="P726" t="s">
        <v>718</v>
      </c>
    </row>
    <row r="727" spans="1:16" ht="15" customHeight="1" x14ac:dyDescent="0.3">
      <c r="A727" t="str">
        <f t="shared" si="12"/>
        <v>15-3-U-SmartFIX – 3 Year (Level 2)</v>
      </c>
      <c r="B727" s="67" t="s">
        <v>13</v>
      </c>
      <c r="C727" s="67">
        <v>15</v>
      </c>
      <c r="D727" s="99" t="s">
        <v>24</v>
      </c>
      <c r="E727" s="67" t="s">
        <v>716</v>
      </c>
      <c r="F727" s="67" t="s">
        <v>16</v>
      </c>
      <c r="G727" s="67" t="s">
        <v>727</v>
      </c>
      <c r="H727" s="127">
        <v>0.32629999999999998</v>
      </c>
      <c r="I727" s="109">
        <v>0.15279999999999999</v>
      </c>
      <c r="J727" s="109" t="s">
        <v>717</v>
      </c>
      <c r="K727" s="109" t="s">
        <v>717</v>
      </c>
      <c r="L727" s="67">
        <v>5000</v>
      </c>
      <c r="M727" s="67">
        <v>500000</v>
      </c>
      <c r="N727" s="105">
        <v>44378</v>
      </c>
      <c r="O727" s="105">
        <v>44561</v>
      </c>
      <c r="P727" t="s">
        <v>718</v>
      </c>
    </row>
    <row r="728" spans="1:16" ht="15" customHeight="1" x14ac:dyDescent="0.3">
      <c r="A728" t="str">
        <f t="shared" si="12"/>
        <v>15-4-E7-SmartFIX – 3 Year (Level 2)</v>
      </c>
      <c r="B728" s="67" t="s">
        <v>13</v>
      </c>
      <c r="C728" s="67">
        <v>15</v>
      </c>
      <c r="D728" s="99" t="s">
        <v>24</v>
      </c>
      <c r="E728" s="67" t="s">
        <v>17</v>
      </c>
      <c r="F728" s="67" t="s">
        <v>18</v>
      </c>
      <c r="G728" s="67" t="s">
        <v>727</v>
      </c>
      <c r="H728" s="127">
        <v>0.32629999999999998</v>
      </c>
      <c r="I728" s="109">
        <v>0.16009999999999999</v>
      </c>
      <c r="J728" s="109">
        <v>0.1164</v>
      </c>
      <c r="K728" s="109" t="s">
        <v>717</v>
      </c>
      <c r="L728" s="67">
        <v>5000</v>
      </c>
      <c r="M728" s="67">
        <v>500000</v>
      </c>
      <c r="N728" s="105">
        <v>44378</v>
      </c>
      <c r="O728" s="105">
        <v>44561</v>
      </c>
      <c r="P728" t="s">
        <v>718</v>
      </c>
    </row>
    <row r="729" spans="1:16" ht="15" customHeight="1" x14ac:dyDescent="0.3">
      <c r="A729" t="str">
        <f t="shared" si="12"/>
        <v>15-3-EW-SmartFIX – 3 Year (Level 2)</v>
      </c>
      <c r="B729" s="67" t="s">
        <v>13</v>
      </c>
      <c r="C729" s="67">
        <v>15</v>
      </c>
      <c r="D729" s="99" t="s">
        <v>24</v>
      </c>
      <c r="E729" s="67" t="s">
        <v>19</v>
      </c>
      <c r="F729" s="67" t="s">
        <v>16</v>
      </c>
      <c r="G729" s="67" t="s">
        <v>727</v>
      </c>
      <c r="H729" s="127">
        <v>0.32629999999999998</v>
      </c>
      <c r="I729" s="109">
        <v>0.16309999999999999</v>
      </c>
      <c r="J729" s="109" t="s">
        <v>717</v>
      </c>
      <c r="K729" s="109">
        <v>0.1414</v>
      </c>
      <c r="L729" s="67">
        <v>5000</v>
      </c>
      <c r="M729" s="67">
        <v>500000</v>
      </c>
      <c r="N729" s="105">
        <v>44378</v>
      </c>
      <c r="O729" s="105">
        <v>44561</v>
      </c>
      <c r="P729" t="s">
        <v>718</v>
      </c>
    </row>
    <row r="730" spans="1:16" ht="15" customHeight="1" x14ac:dyDescent="0.3">
      <c r="A730" t="str">
        <f t="shared" si="12"/>
        <v>15-4-3RATE-SmartFIX – 3 Year (Level 2)</v>
      </c>
      <c r="B730" s="67" t="s">
        <v>13</v>
      </c>
      <c r="C730" s="67">
        <v>15</v>
      </c>
      <c r="D730" s="99" t="s">
        <v>24</v>
      </c>
      <c r="E730" s="67" t="s">
        <v>719</v>
      </c>
      <c r="F730" s="67" t="s">
        <v>18</v>
      </c>
      <c r="G730" s="67" t="s">
        <v>727</v>
      </c>
      <c r="H730" s="127">
        <v>0.32629999999999998</v>
      </c>
      <c r="I730" s="109">
        <v>0.24399999999999999</v>
      </c>
      <c r="J730" s="109">
        <v>0.24399999999999999</v>
      </c>
      <c r="K730" s="109">
        <v>0.24399999999999999</v>
      </c>
      <c r="L730" s="67">
        <v>5000</v>
      </c>
      <c r="M730" s="67">
        <v>500000</v>
      </c>
      <c r="N730" s="105">
        <v>44378</v>
      </c>
      <c r="O730" s="105">
        <v>44561</v>
      </c>
      <c r="P730" t="s">
        <v>718</v>
      </c>
    </row>
    <row r="731" spans="1:16" ht="15" customHeight="1" x14ac:dyDescent="0.3">
      <c r="A731" t="str">
        <f t="shared" si="12"/>
        <v/>
      </c>
      <c r="B731" s="67" t="s">
        <v>13</v>
      </c>
      <c r="C731" s="67">
        <v>15</v>
      </c>
      <c r="D731" s="99" t="s">
        <v>24</v>
      </c>
      <c r="E731" s="67" t="s">
        <v>720</v>
      </c>
      <c r="F731" s="67" t="s">
        <v>18</v>
      </c>
      <c r="G731" s="67" t="s">
        <v>727</v>
      </c>
      <c r="H731" s="127">
        <v>0.32629999999999998</v>
      </c>
      <c r="I731" s="109" t="s">
        <v>717</v>
      </c>
      <c r="J731" s="109">
        <v>0.1414</v>
      </c>
      <c r="K731" s="109" t="s">
        <v>717</v>
      </c>
      <c r="L731" s="67">
        <v>5000</v>
      </c>
      <c r="M731" s="67">
        <v>500000</v>
      </c>
      <c r="N731" s="105">
        <v>44378</v>
      </c>
      <c r="O731" s="105">
        <v>44561</v>
      </c>
      <c r="P731" t="s">
        <v>718</v>
      </c>
    </row>
    <row r="732" spans="1:16" ht="15" customHeight="1" x14ac:dyDescent="0.3">
      <c r="A732" t="str">
        <f t="shared" si="12"/>
        <v>16-3-U-SmartFIX – 3 Year (Level 2)</v>
      </c>
      <c r="B732" s="67" t="s">
        <v>13</v>
      </c>
      <c r="C732" s="67">
        <v>16</v>
      </c>
      <c r="D732" s="99" t="s">
        <v>25</v>
      </c>
      <c r="E732" s="67" t="s">
        <v>716</v>
      </c>
      <c r="F732" s="67" t="s">
        <v>16</v>
      </c>
      <c r="G732" s="67" t="s">
        <v>727</v>
      </c>
      <c r="H732" s="127">
        <v>0.27610000000000001</v>
      </c>
      <c r="I732" s="109">
        <v>0.1542</v>
      </c>
      <c r="J732" s="109" t="s">
        <v>717</v>
      </c>
      <c r="K732" s="109" t="s">
        <v>717</v>
      </c>
      <c r="L732" s="67">
        <v>5000</v>
      </c>
      <c r="M732" s="67">
        <v>500000</v>
      </c>
      <c r="N732" s="105">
        <v>44378</v>
      </c>
      <c r="O732" s="105">
        <v>44561</v>
      </c>
      <c r="P732" t="s">
        <v>718</v>
      </c>
    </row>
    <row r="733" spans="1:16" ht="15" customHeight="1" x14ac:dyDescent="0.3">
      <c r="A733" t="str">
        <f t="shared" si="12"/>
        <v>16-4-E7-SmartFIX – 3 Year (Level 2)</v>
      </c>
      <c r="B733" s="67" t="s">
        <v>13</v>
      </c>
      <c r="C733" s="67">
        <v>16</v>
      </c>
      <c r="D733" s="99" t="s">
        <v>25</v>
      </c>
      <c r="E733" s="67" t="s">
        <v>17</v>
      </c>
      <c r="F733" s="67" t="s">
        <v>18</v>
      </c>
      <c r="G733" s="67" t="s">
        <v>727</v>
      </c>
      <c r="H733" s="127">
        <v>0.27610000000000001</v>
      </c>
      <c r="I733" s="109">
        <v>0.16070000000000001</v>
      </c>
      <c r="J733" s="109">
        <v>0.115</v>
      </c>
      <c r="K733" s="109" t="s">
        <v>717</v>
      </c>
      <c r="L733" s="67">
        <v>5000</v>
      </c>
      <c r="M733" s="67">
        <v>500000</v>
      </c>
      <c r="N733" s="105">
        <v>44378</v>
      </c>
      <c r="O733" s="105">
        <v>44561</v>
      </c>
      <c r="P733" t="s">
        <v>718</v>
      </c>
    </row>
    <row r="734" spans="1:16" ht="15" customHeight="1" x14ac:dyDescent="0.3">
      <c r="A734" t="str">
        <f t="shared" si="12"/>
        <v>16-3-EW-SmartFIX – 3 Year (Level 2)</v>
      </c>
      <c r="B734" s="67" t="s">
        <v>13</v>
      </c>
      <c r="C734" s="67">
        <v>16</v>
      </c>
      <c r="D734" s="99" t="s">
        <v>25</v>
      </c>
      <c r="E734" s="67" t="s">
        <v>19</v>
      </c>
      <c r="F734" s="67" t="s">
        <v>16</v>
      </c>
      <c r="G734" s="67" t="s">
        <v>727</v>
      </c>
      <c r="H734" s="127">
        <v>0.27610000000000001</v>
      </c>
      <c r="I734" s="109">
        <v>0.16420000000000001</v>
      </c>
      <c r="J734" s="109" t="s">
        <v>717</v>
      </c>
      <c r="K734" s="109">
        <v>0.1421</v>
      </c>
      <c r="L734" s="67">
        <v>5000</v>
      </c>
      <c r="M734" s="67">
        <v>500000</v>
      </c>
      <c r="N734" s="105">
        <v>44378</v>
      </c>
      <c r="O734" s="105">
        <v>44561</v>
      </c>
      <c r="P734" t="s">
        <v>718</v>
      </c>
    </row>
    <row r="735" spans="1:16" ht="15" customHeight="1" x14ac:dyDescent="0.3">
      <c r="A735" t="str">
        <f t="shared" si="12"/>
        <v>16-4-3RATE-SmartFIX – 3 Year (Level 2)</v>
      </c>
      <c r="B735" s="67" t="s">
        <v>13</v>
      </c>
      <c r="C735" s="67">
        <v>16</v>
      </c>
      <c r="D735" s="99" t="s">
        <v>25</v>
      </c>
      <c r="E735" s="67" t="s">
        <v>719</v>
      </c>
      <c r="F735" s="67" t="s">
        <v>18</v>
      </c>
      <c r="G735" s="67" t="s">
        <v>727</v>
      </c>
      <c r="H735" s="127">
        <v>0.27610000000000001</v>
      </c>
      <c r="I735" s="109">
        <v>0.1699</v>
      </c>
      <c r="J735" s="109">
        <v>0.1145</v>
      </c>
      <c r="K735" s="109">
        <v>0.1444</v>
      </c>
      <c r="L735" s="67">
        <v>5000</v>
      </c>
      <c r="M735" s="67">
        <v>500000</v>
      </c>
      <c r="N735" s="105">
        <v>44378</v>
      </c>
      <c r="O735" s="105">
        <v>44561</v>
      </c>
      <c r="P735" t="s">
        <v>718</v>
      </c>
    </row>
    <row r="736" spans="1:16" ht="15" customHeight="1" x14ac:dyDescent="0.3">
      <c r="A736" t="str">
        <f t="shared" si="12"/>
        <v/>
      </c>
      <c r="B736" s="67" t="s">
        <v>13</v>
      </c>
      <c r="C736" s="67">
        <v>16</v>
      </c>
      <c r="D736" s="99" t="s">
        <v>25</v>
      </c>
      <c r="E736" s="67" t="s">
        <v>720</v>
      </c>
      <c r="F736" s="67" t="s">
        <v>18</v>
      </c>
      <c r="G736" s="67" t="s">
        <v>727</v>
      </c>
      <c r="H736" s="127">
        <v>0.27610000000000001</v>
      </c>
      <c r="I736" s="109" t="s">
        <v>717</v>
      </c>
      <c r="J736" s="109">
        <v>0.1421</v>
      </c>
      <c r="K736" s="109" t="s">
        <v>717</v>
      </c>
      <c r="L736" s="67">
        <v>5000</v>
      </c>
      <c r="M736" s="67">
        <v>500000</v>
      </c>
      <c r="N736" s="105">
        <v>44378</v>
      </c>
      <c r="O736" s="105">
        <v>44561</v>
      </c>
      <c r="P736" t="s">
        <v>718</v>
      </c>
    </row>
    <row r="737" spans="1:16" ht="15" customHeight="1" x14ac:dyDescent="0.3">
      <c r="A737" t="str">
        <f t="shared" si="12"/>
        <v>17-3-U-SmartFIX – 3 Year (Level 2)</v>
      </c>
      <c r="B737" s="67" t="s">
        <v>13</v>
      </c>
      <c r="C737" s="67">
        <v>17</v>
      </c>
      <c r="D737" s="99" t="s">
        <v>26</v>
      </c>
      <c r="E737" s="67" t="s">
        <v>716</v>
      </c>
      <c r="F737" s="67" t="s">
        <v>16</v>
      </c>
      <c r="G737" s="67" t="s">
        <v>727</v>
      </c>
      <c r="H737" s="127">
        <v>0.36370000000000002</v>
      </c>
      <c r="I737" s="109">
        <v>0.16089999999999999</v>
      </c>
      <c r="J737" s="109" t="s">
        <v>717</v>
      </c>
      <c r="K737" s="109" t="s">
        <v>717</v>
      </c>
      <c r="L737" s="67">
        <v>5000</v>
      </c>
      <c r="M737" s="67">
        <v>500000</v>
      </c>
      <c r="N737" s="105">
        <v>44378</v>
      </c>
      <c r="O737" s="105">
        <v>44561</v>
      </c>
      <c r="P737" t="s">
        <v>718</v>
      </c>
    </row>
    <row r="738" spans="1:16" ht="15" customHeight="1" x14ac:dyDescent="0.3">
      <c r="A738" t="str">
        <f t="shared" si="12"/>
        <v>17-4-E7-SmartFIX – 3 Year (Level 2)</v>
      </c>
      <c r="B738" s="67" t="s">
        <v>13</v>
      </c>
      <c r="C738" s="67">
        <v>17</v>
      </c>
      <c r="D738" s="99" t="s">
        <v>26</v>
      </c>
      <c r="E738" s="67" t="s">
        <v>17</v>
      </c>
      <c r="F738" s="67" t="s">
        <v>18</v>
      </c>
      <c r="G738" s="67" t="s">
        <v>727</v>
      </c>
      <c r="H738" s="127">
        <v>0.36370000000000002</v>
      </c>
      <c r="I738" s="109">
        <v>0.16980000000000001</v>
      </c>
      <c r="J738" s="109">
        <v>0.12479999999999999</v>
      </c>
      <c r="K738" s="109" t="s">
        <v>717</v>
      </c>
      <c r="L738" s="67">
        <v>5000</v>
      </c>
      <c r="M738" s="67">
        <v>500000</v>
      </c>
      <c r="N738" s="105">
        <v>44378</v>
      </c>
      <c r="O738" s="105">
        <v>44561</v>
      </c>
      <c r="P738" t="s">
        <v>718</v>
      </c>
    </row>
    <row r="739" spans="1:16" ht="15" customHeight="1" x14ac:dyDescent="0.3">
      <c r="A739" t="str">
        <f t="shared" si="12"/>
        <v>17-3-EW-SmartFIX – 3 Year (Level 2)</v>
      </c>
      <c r="B739" s="67" t="s">
        <v>13</v>
      </c>
      <c r="C739" s="67">
        <v>17</v>
      </c>
      <c r="D739" s="99" t="s">
        <v>26</v>
      </c>
      <c r="E739" s="67" t="s">
        <v>19</v>
      </c>
      <c r="F739" s="67" t="s">
        <v>16</v>
      </c>
      <c r="G739" s="67" t="s">
        <v>727</v>
      </c>
      <c r="H739" s="127">
        <v>0.36370000000000002</v>
      </c>
      <c r="I739" s="109">
        <v>0.1686</v>
      </c>
      <c r="J739" s="109" t="s">
        <v>717</v>
      </c>
      <c r="K739" s="109">
        <v>0.15079999999999999</v>
      </c>
      <c r="L739" s="67">
        <v>5000</v>
      </c>
      <c r="M739" s="67">
        <v>500000</v>
      </c>
      <c r="N739" s="105">
        <v>44378</v>
      </c>
      <c r="O739" s="105">
        <v>44561</v>
      </c>
      <c r="P739" t="s">
        <v>718</v>
      </c>
    </row>
    <row r="740" spans="1:16" ht="15" customHeight="1" x14ac:dyDescent="0.3">
      <c r="A740" t="str">
        <f t="shared" si="12"/>
        <v>17-4-3RATE-SmartFIX – 3 Year (Level 2)</v>
      </c>
      <c r="B740" s="67" t="s">
        <v>13</v>
      </c>
      <c r="C740" s="67">
        <v>17</v>
      </c>
      <c r="D740" s="99" t="s">
        <v>26</v>
      </c>
      <c r="E740" s="67" t="s">
        <v>719</v>
      </c>
      <c r="F740" s="67" t="s">
        <v>18</v>
      </c>
      <c r="G740" s="67" t="s">
        <v>727</v>
      </c>
      <c r="H740" s="127">
        <v>0.36370000000000002</v>
      </c>
      <c r="I740" s="109">
        <v>0.24399999999999999</v>
      </c>
      <c r="J740" s="109">
        <v>0.24399999999999999</v>
      </c>
      <c r="K740" s="109">
        <v>0.24399999999999999</v>
      </c>
      <c r="L740" s="67">
        <v>5000</v>
      </c>
      <c r="M740" s="67">
        <v>500000</v>
      </c>
      <c r="N740" s="105">
        <v>44378</v>
      </c>
      <c r="O740" s="105">
        <v>44561</v>
      </c>
      <c r="P740" t="s">
        <v>718</v>
      </c>
    </row>
    <row r="741" spans="1:16" ht="15" customHeight="1" x14ac:dyDescent="0.3">
      <c r="A741" t="str">
        <f t="shared" si="12"/>
        <v/>
      </c>
      <c r="B741" s="67" t="s">
        <v>13</v>
      </c>
      <c r="C741" s="67">
        <v>17</v>
      </c>
      <c r="D741" s="99" t="s">
        <v>26</v>
      </c>
      <c r="E741" s="67" t="s">
        <v>720</v>
      </c>
      <c r="F741" s="67" t="s">
        <v>18</v>
      </c>
      <c r="G741" s="67" t="s">
        <v>727</v>
      </c>
      <c r="H741" s="127">
        <v>0.36370000000000002</v>
      </c>
      <c r="I741" s="109" t="s">
        <v>717</v>
      </c>
      <c r="J741" s="109">
        <v>0.15079999999999999</v>
      </c>
      <c r="K741" s="109" t="s">
        <v>717</v>
      </c>
      <c r="L741" s="67">
        <v>5000</v>
      </c>
      <c r="M741" s="67">
        <v>500000</v>
      </c>
      <c r="N741" s="105">
        <v>44378</v>
      </c>
      <c r="O741" s="105">
        <v>44561</v>
      </c>
      <c r="P741" t="s">
        <v>718</v>
      </c>
    </row>
    <row r="742" spans="1:16" ht="15" customHeight="1" x14ac:dyDescent="0.3">
      <c r="A742" t="str">
        <f t="shared" si="12"/>
        <v>18-3-U-SmartFIX – 3 Year (Level 2)</v>
      </c>
      <c r="B742" s="67" t="s">
        <v>13</v>
      </c>
      <c r="C742" s="67">
        <v>18</v>
      </c>
      <c r="D742" s="99" t="s">
        <v>27</v>
      </c>
      <c r="E742" s="67" t="s">
        <v>716</v>
      </c>
      <c r="F742" s="67" t="s">
        <v>16</v>
      </c>
      <c r="G742" s="67" t="s">
        <v>727</v>
      </c>
      <c r="H742" s="127">
        <v>0.31730000000000003</v>
      </c>
      <c r="I742" s="109">
        <v>0.15379999999999999</v>
      </c>
      <c r="J742" s="109" t="s">
        <v>717</v>
      </c>
      <c r="K742" s="109" t="s">
        <v>717</v>
      </c>
      <c r="L742" s="67">
        <v>5000</v>
      </c>
      <c r="M742" s="67">
        <v>500000</v>
      </c>
      <c r="N742" s="105">
        <v>44378</v>
      </c>
      <c r="O742" s="105">
        <v>44561</v>
      </c>
      <c r="P742" t="s">
        <v>718</v>
      </c>
    </row>
    <row r="743" spans="1:16" ht="15" customHeight="1" x14ac:dyDescent="0.3">
      <c r="A743" t="str">
        <f t="shared" si="12"/>
        <v>18-4-E7-SmartFIX – 3 Year (Level 2)</v>
      </c>
      <c r="B743" s="67" t="s">
        <v>13</v>
      </c>
      <c r="C743" s="67">
        <v>18</v>
      </c>
      <c r="D743" s="99" t="s">
        <v>27</v>
      </c>
      <c r="E743" s="67" t="s">
        <v>17</v>
      </c>
      <c r="F743" s="67" t="s">
        <v>18</v>
      </c>
      <c r="G743" s="67" t="s">
        <v>727</v>
      </c>
      <c r="H743" s="127">
        <v>0.31730000000000003</v>
      </c>
      <c r="I743" s="109">
        <v>0.1673</v>
      </c>
      <c r="J743" s="109">
        <v>0.12280000000000001</v>
      </c>
      <c r="K743" s="109" t="s">
        <v>717</v>
      </c>
      <c r="L743" s="67">
        <v>5000</v>
      </c>
      <c r="M743" s="67">
        <v>500000</v>
      </c>
      <c r="N743" s="105">
        <v>44378</v>
      </c>
      <c r="O743" s="105">
        <v>44561</v>
      </c>
      <c r="P743" t="s">
        <v>718</v>
      </c>
    </row>
    <row r="744" spans="1:16" ht="15" customHeight="1" x14ac:dyDescent="0.3">
      <c r="A744" t="str">
        <f t="shared" si="12"/>
        <v>18-3-EW-SmartFIX – 3 Year (Level 2)</v>
      </c>
      <c r="B744" s="67" t="s">
        <v>13</v>
      </c>
      <c r="C744" s="67">
        <v>18</v>
      </c>
      <c r="D744" s="99" t="s">
        <v>27</v>
      </c>
      <c r="E744" s="67" t="s">
        <v>19</v>
      </c>
      <c r="F744" s="67" t="s">
        <v>16</v>
      </c>
      <c r="G744" s="67" t="s">
        <v>727</v>
      </c>
      <c r="H744" s="127">
        <v>0.31730000000000003</v>
      </c>
      <c r="I744" s="109">
        <v>0.16159999999999999</v>
      </c>
      <c r="J744" s="109" t="s">
        <v>717</v>
      </c>
      <c r="K744" s="109">
        <v>0.1426</v>
      </c>
      <c r="L744" s="67">
        <v>5000</v>
      </c>
      <c r="M744" s="67">
        <v>500000</v>
      </c>
      <c r="N744" s="105">
        <v>44378</v>
      </c>
      <c r="O744" s="105">
        <v>44561</v>
      </c>
      <c r="P744" t="s">
        <v>718</v>
      </c>
    </row>
    <row r="745" spans="1:16" ht="15" customHeight="1" x14ac:dyDescent="0.3">
      <c r="A745" t="str">
        <f t="shared" si="12"/>
        <v>18-4-3RATE-SmartFIX – 3 Year (Level 2)</v>
      </c>
      <c r="B745" s="67" t="s">
        <v>13</v>
      </c>
      <c r="C745" s="67">
        <v>18</v>
      </c>
      <c r="D745" s="99" t="s">
        <v>27</v>
      </c>
      <c r="E745" s="67" t="s">
        <v>719</v>
      </c>
      <c r="F745" s="67" t="s">
        <v>18</v>
      </c>
      <c r="G745" s="67" t="s">
        <v>727</v>
      </c>
      <c r="H745" s="127">
        <v>0.31730000000000003</v>
      </c>
      <c r="I745" s="109">
        <v>0.24399999999999999</v>
      </c>
      <c r="J745" s="109">
        <v>0.24399999999999999</v>
      </c>
      <c r="K745" s="109">
        <v>0.24399999999999999</v>
      </c>
      <c r="L745" s="67">
        <v>5000</v>
      </c>
      <c r="M745" s="67">
        <v>500000</v>
      </c>
      <c r="N745" s="105">
        <v>44378</v>
      </c>
      <c r="O745" s="105">
        <v>44561</v>
      </c>
      <c r="P745" t="s">
        <v>718</v>
      </c>
    </row>
    <row r="746" spans="1:16" ht="15" customHeight="1" x14ac:dyDescent="0.3">
      <c r="A746" t="str">
        <f t="shared" si="12"/>
        <v/>
      </c>
      <c r="B746" s="67" t="s">
        <v>13</v>
      </c>
      <c r="C746" s="67">
        <v>18</v>
      </c>
      <c r="D746" s="99" t="s">
        <v>27</v>
      </c>
      <c r="E746" s="67" t="s">
        <v>720</v>
      </c>
      <c r="F746" s="67" t="s">
        <v>18</v>
      </c>
      <c r="G746" s="67" t="s">
        <v>727</v>
      </c>
      <c r="H746" s="127">
        <v>0.31730000000000003</v>
      </c>
      <c r="I746" s="109" t="s">
        <v>717</v>
      </c>
      <c r="J746" s="109">
        <v>0.1426</v>
      </c>
      <c r="K746" s="109" t="s">
        <v>717</v>
      </c>
      <c r="L746" s="67">
        <v>5000</v>
      </c>
      <c r="M746" s="67">
        <v>500000</v>
      </c>
      <c r="N746" s="105">
        <v>44378</v>
      </c>
      <c r="O746" s="105">
        <v>44561</v>
      </c>
      <c r="P746" t="s">
        <v>718</v>
      </c>
    </row>
    <row r="747" spans="1:16" ht="15" customHeight="1" x14ac:dyDescent="0.3">
      <c r="A747" t="str">
        <f t="shared" si="12"/>
        <v>19-3-U-SmartFIX – 3 Year (Level 2)</v>
      </c>
      <c r="B747" s="67" t="s">
        <v>13</v>
      </c>
      <c r="C747" s="67">
        <v>19</v>
      </c>
      <c r="D747" s="99" t="s">
        <v>28</v>
      </c>
      <c r="E747" s="67" t="s">
        <v>716</v>
      </c>
      <c r="F747" s="67" t="s">
        <v>16</v>
      </c>
      <c r="G747" s="67" t="s">
        <v>727</v>
      </c>
      <c r="H747" s="127">
        <v>0.30149999999999999</v>
      </c>
      <c r="I747" s="109">
        <v>0.1512</v>
      </c>
      <c r="J747" s="109" t="s">
        <v>717</v>
      </c>
      <c r="K747" s="109" t="s">
        <v>717</v>
      </c>
      <c r="L747" s="67">
        <v>5000</v>
      </c>
      <c r="M747" s="67">
        <v>500000</v>
      </c>
      <c r="N747" s="105">
        <v>44378</v>
      </c>
      <c r="O747" s="105">
        <v>44561</v>
      </c>
      <c r="P747" t="s">
        <v>718</v>
      </c>
    </row>
    <row r="748" spans="1:16" ht="15" customHeight="1" x14ac:dyDescent="0.3">
      <c r="A748" t="str">
        <f t="shared" si="12"/>
        <v>19-4-E7-SmartFIX – 3 Year (Level 2)</v>
      </c>
      <c r="B748" s="67" t="s">
        <v>13</v>
      </c>
      <c r="C748" s="67">
        <v>19</v>
      </c>
      <c r="D748" s="99" t="s">
        <v>28</v>
      </c>
      <c r="E748" s="67" t="s">
        <v>17</v>
      </c>
      <c r="F748" s="67" t="s">
        <v>18</v>
      </c>
      <c r="G748" s="67" t="s">
        <v>727</v>
      </c>
      <c r="H748" s="127">
        <v>0.30149999999999999</v>
      </c>
      <c r="I748" s="109">
        <v>0.1641</v>
      </c>
      <c r="J748" s="109">
        <v>0.1144</v>
      </c>
      <c r="K748" s="109" t="s">
        <v>717</v>
      </c>
      <c r="L748" s="67">
        <v>5000</v>
      </c>
      <c r="M748" s="67">
        <v>500000</v>
      </c>
      <c r="N748" s="105">
        <v>44378</v>
      </c>
      <c r="O748" s="105">
        <v>44561</v>
      </c>
      <c r="P748" t="s">
        <v>718</v>
      </c>
    </row>
    <row r="749" spans="1:16" ht="15" customHeight="1" x14ac:dyDescent="0.3">
      <c r="A749" t="str">
        <f t="shared" si="12"/>
        <v>19-3-EW-SmartFIX – 3 Year (Level 2)</v>
      </c>
      <c r="B749" s="67" t="s">
        <v>13</v>
      </c>
      <c r="C749" s="67">
        <v>19</v>
      </c>
      <c r="D749" s="99" t="s">
        <v>28</v>
      </c>
      <c r="E749" s="67" t="s">
        <v>19</v>
      </c>
      <c r="F749" s="67" t="s">
        <v>16</v>
      </c>
      <c r="G749" s="67" t="s">
        <v>727</v>
      </c>
      <c r="H749" s="127">
        <v>0.30149999999999999</v>
      </c>
      <c r="I749" s="109">
        <v>0.24399999999999999</v>
      </c>
      <c r="J749" s="109" t="s">
        <v>717</v>
      </c>
      <c r="K749" s="109">
        <v>0.24399999999999999</v>
      </c>
      <c r="L749" s="67">
        <v>5000</v>
      </c>
      <c r="M749" s="67">
        <v>500000</v>
      </c>
      <c r="N749" s="105">
        <v>44378</v>
      </c>
      <c r="O749" s="105">
        <v>44561</v>
      </c>
      <c r="P749" t="s">
        <v>718</v>
      </c>
    </row>
    <row r="750" spans="1:16" ht="15" customHeight="1" x14ac:dyDescent="0.3">
      <c r="A750" t="str">
        <f t="shared" si="12"/>
        <v>19-4-3RATE-SmartFIX – 3 Year (Level 2)</v>
      </c>
      <c r="B750" s="67" t="s">
        <v>13</v>
      </c>
      <c r="C750" s="67">
        <v>19</v>
      </c>
      <c r="D750" s="99" t="s">
        <v>28</v>
      </c>
      <c r="E750" s="67" t="s">
        <v>719</v>
      </c>
      <c r="F750" s="67" t="s">
        <v>18</v>
      </c>
      <c r="G750" s="67" t="s">
        <v>727</v>
      </c>
      <c r="H750" s="127">
        <v>0.30149999999999999</v>
      </c>
      <c r="I750" s="109">
        <v>0.16980000000000001</v>
      </c>
      <c r="J750" s="109">
        <v>0.11360000000000001</v>
      </c>
      <c r="K750" s="109">
        <v>0.15759999999999999</v>
      </c>
      <c r="L750" s="67">
        <v>5000</v>
      </c>
      <c r="M750" s="67">
        <v>500000</v>
      </c>
      <c r="N750" s="105">
        <v>44378</v>
      </c>
      <c r="O750" s="105">
        <v>44561</v>
      </c>
      <c r="P750" t="s">
        <v>718</v>
      </c>
    </row>
    <row r="751" spans="1:16" ht="15" customHeight="1" x14ac:dyDescent="0.3">
      <c r="A751" t="str">
        <f t="shared" si="12"/>
        <v/>
      </c>
      <c r="B751" s="67" t="s">
        <v>13</v>
      </c>
      <c r="C751" s="67">
        <v>19</v>
      </c>
      <c r="D751" s="99" t="s">
        <v>28</v>
      </c>
      <c r="E751" s="67" t="s">
        <v>720</v>
      </c>
      <c r="F751" s="67" t="s">
        <v>18</v>
      </c>
      <c r="G751" s="67" t="s">
        <v>727</v>
      </c>
      <c r="H751" s="127">
        <v>0.30149999999999999</v>
      </c>
      <c r="I751" s="109" t="s">
        <v>717</v>
      </c>
      <c r="J751" s="109">
        <v>0.1144</v>
      </c>
      <c r="K751" s="109" t="s">
        <v>717</v>
      </c>
      <c r="L751" s="67">
        <v>5000</v>
      </c>
      <c r="M751" s="67">
        <v>500000</v>
      </c>
      <c r="N751" s="105">
        <v>44378</v>
      </c>
      <c r="O751" s="105">
        <v>44561</v>
      </c>
      <c r="P751" t="s">
        <v>718</v>
      </c>
    </row>
    <row r="752" spans="1:16" ht="15" customHeight="1" x14ac:dyDescent="0.3">
      <c r="A752" t="str">
        <f t="shared" si="12"/>
        <v>20-3-U-SmartFIX – 3 Year (Level 2)</v>
      </c>
      <c r="B752" s="67" t="s">
        <v>13</v>
      </c>
      <c r="C752" s="67">
        <v>20</v>
      </c>
      <c r="D752" s="99" t="s">
        <v>29</v>
      </c>
      <c r="E752" s="67" t="s">
        <v>716</v>
      </c>
      <c r="F752" s="67" t="s">
        <v>16</v>
      </c>
      <c r="G752" s="67" t="s">
        <v>727</v>
      </c>
      <c r="H752" s="127">
        <v>0.2989</v>
      </c>
      <c r="I752" s="109">
        <v>0.15029999999999999</v>
      </c>
      <c r="J752" s="109" t="s">
        <v>717</v>
      </c>
      <c r="K752" s="109" t="s">
        <v>717</v>
      </c>
      <c r="L752" s="67">
        <v>5000</v>
      </c>
      <c r="M752" s="67">
        <v>500000</v>
      </c>
      <c r="N752" s="105">
        <v>44378</v>
      </c>
      <c r="O752" s="105">
        <v>44561</v>
      </c>
      <c r="P752" t="s">
        <v>718</v>
      </c>
    </row>
    <row r="753" spans="1:16" ht="15" customHeight="1" x14ac:dyDescent="0.3">
      <c r="A753" t="str">
        <f t="shared" si="12"/>
        <v>20-4-E7-SmartFIX – 3 Year (Level 2)</v>
      </c>
      <c r="B753" s="67" t="s">
        <v>13</v>
      </c>
      <c r="C753" s="67">
        <v>20</v>
      </c>
      <c r="D753" s="99" t="s">
        <v>29</v>
      </c>
      <c r="E753" s="67" t="s">
        <v>17</v>
      </c>
      <c r="F753" s="67" t="s">
        <v>18</v>
      </c>
      <c r="G753" s="67" t="s">
        <v>727</v>
      </c>
      <c r="H753" s="127">
        <v>0.2989</v>
      </c>
      <c r="I753" s="109">
        <v>0.1656</v>
      </c>
      <c r="J753" s="109">
        <v>0.1179</v>
      </c>
      <c r="K753" s="109" t="s">
        <v>717</v>
      </c>
      <c r="L753" s="67">
        <v>5000</v>
      </c>
      <c r="M753" s="67">
        <v>500000</v>
      </c>
      <c r="N753" s="105">
        <v>44378</v>
      </c>
      <c r="O753" s="105">
        <v>44561</v>
      </c>
      <c r="P753" t="s">
        <v>718</v>
      </c>
    </row>
    <row r="754" spans="1:16" ht="15" customHeight="1" x14ac:dyDescent="0.3">
      <c r="A754" t="str">
        <f t="shared" si="12"/>
        <v>20-3-EW-SmartFIX – 3 Year (Level 2)</v>
      </c>
      <c r="B754" s="67" t="s">
        <v>13</v>
      </c>
      <c r="C754" s="67">
        <v>20</v>
      </c>
      <c r="D754" s="99" t="s">
        <v>29</v>
      </c>
      <c r="E754" s="67" t="s">
        <v>19</v>
      </c>
      <c r="F754" s="67" t="s">
        <v>16</v>
      </c>
      <c r="G754" s="67" t="s">
        <v>727</v>
      </c>
      <c r="H754" s="127">
        <v>0.2989</v>
      </c>
      <c r="I754" s="109">
        <v>0.15959999999999999</v>
      </c>
      <c r="J754" s="109" t="s">
        <v>717</v>
      </c>
      <c r="K754" s="109">
        <v>0.13769999999999999</v>
      </c>
      <c r="L754" s="67">
        <v>5000</v>
      </c>
      <c r="M754" s="67">
        <v>500000</v>
      </c>
      <c r="N754" s="105">
        <v>44378</v>
      </c>
      <c r="O754" s="105">
        <v>44561</v>
      </c>
      <c r="P754" t="s">
        <v>718</v>
      </c>
    </row>
    <row r="755" spans="1:16" ht="15" customHeight="1" x14ac:dyDescent="0.3">
      <c r="A755" t="str">
        <f t="shared" si="12"/>
        <v>20-4-3RATE-SmartFIX – 3 Year (Level 2)</v>
      </c>
      <c r="B755" s="67" t="s">
        <v>13</v>
      </c>
      <c r="C755" s="67">
        <v>20</v>
      </c>
      <c r="D755" s="99" t="s">
        <v>29</v>
      </c>
      <c r="E755" s="67" t="s">
        <v>719</v>
      </c>
      <c r="F755" s="67" t="s">
        <v>18</v>
      </c>
      <c r="G755" s="67" t="s">
        <v>727</v>
      </c>
      <c r="H755" s="127">
        <v>0.2989</v>
      </c>
      <c r="I755" s="109">
        <v>0.1709</v>
      </c>
      <c r="J755" s="109">
        <v>0.1181</v>
      </c>
      <c r="K755" s="109">
        <v>0.15179999999999999</v>
      </c>
      <c r="L755" s="67">
        <v>5000</v>
      </c>
      <c r="M755" s="67">
        <v>500000</v>
      </c>
      <c r="N755" s="105">
        <v>44378</v>
      </c>
      <c r="O755" s="105">
        <v>44561</v>
      </c>
      <c r="P755" t="s">
        <v>718</v>
      </c>
    </row>
    <row r="756" spans="1:16" ht="15" customHeight="1" x14ac:dyDescent="0.3">
      <c r="A756" t="str">
        <f t="shared" si="12"/>
        <v/>
      </c>
      <c r="B756" s="67" t="s">
        <v>13</v>
      </c>
      <c r="C756" s="67">
        <v>20</v>
      </c>
      <c r="D756" s="99" t="s">
        <v>29</v>
      </c>
      <c r="E756" s="67" t="s">
        <v>720</v>
      </c>
      <c r="F756" s="67" t="s">
        <v>18</v>
      </c>
      <c r="G756" s="67" t="s">
        <v>727</v>
      </c>
      <c r="H756" s="127">
        <v>0.2989</v>
      </c>
      <c r="I756" s="109" t="s">
        <v>717</v>
      </c>
      <c r="J756" s="109">
        <v>0.13769999999999999</v>
      </c>
      <c r="K756" s="109" t="s">
        <v>717</v>
      </c>
      <c r="L756" s="67">
        <v>5000</v>
      </c>
      <c r="M756" s="67">
        <v>500000</v>
      </c>
      <c r="N756" s="105">
        <v>44378</v>
      </c>
      <c r="O756" s="105">
        <v>44561</v>
      </c>
      <c r="P756" t="s">
        <v>718</v>
      </c>
    </row>
    <row r="757" spans="1:16" ht="15" customHeight="1" x14ac:dyDescent="0.3">
      <c r="A757" t="str">
        <f t="shared" si="12"/>
        <v>21-3-U-SmartFIX – 3 Year (Level 2)</v>
      </c>
      <c r="B757" s="67" t="s">
        <v>13</v>
      </c>
      <c r="C757" s="67">
        <v>21</v>
      </c>
      <c r="D757" s="99" t="s">
        <v>30</v>
      </c>
      <c r="E757" s="67" t="s">
        <v>716</v>
      </c>
      <c r="F757" s="67" t="s">
        <v>16</v>
      </c>
      <c r="G757" s="67" t="s">
        <v>727</v>
      </c>
      <c r="H757" s="127">
        <v>0.41370000000000001</v>
      </c>
      <c r="I757" s="109">
        <v>0.15129999999999999</v>
      </c>
      <c r="J757" s="109" t="s">
        <v>717</v>
      </c>
      <c r="K757" s="109" t="s">
        <v>717</v>
      </c>
      <c r="L757" s="67">
        <v>5000</v>
      </c>
      <c r="M757" s="67">
        <v>500000</v>
      </c>
      <c r="N757" s="105">
        <v>44378</v>
      </c>
      <c r="O757" s="105">
        <v>44561</v>
      </c>
      <c r="P757" t="s">
        <v>718</v>
      </c>
    </row>
    <row r="758" spans="1:16" ht="15" customHeight="1" x14ac:dyDescent="0.3">
      <c r="A758" t="str">
        <f t="shared" si="12"/>
        <v>21-4-E7-SmartFIX – 3 Year (Level 2)</v>
      </c>
      <c r="B758" s="67" t="s">
        <v>13</v>
      </c>
      <c r="C758" s="67">
        <v>21</v>
      </c>
      <c r="D758" s="99" t="s">
        <v>30</v>
      </c>
      <c r="E758" s="67" t="s">
        <v>17</v>
      </c>
      <c r="F758" s="67" t="s">
        <v>18</v>
      </c>
      <c r="G758" s="67" t="s">
        <v>727</v>
      </c>
      <c r="H758" s="127">
        <v>0.41370000000000001</v>
      </c>
      <c r="I758" s="109">
        <v>0.16120000000000001</v>
      </c>
      <c r="J758" s="109">
        <v>0.11890000000000001</v>
      </c>
      <c r="K758" s="109" t="s">
        <v>717</v>
      </c>
      <c r="L758" s="67">
        <v>5000</v>
      </c>
      <c r="M758" s="67">
        <v>500000</v>
      </c>
      <c r="N758" s="105">
        <v>44378</v>
      </c>
      <c r="O758" s="105">
        <v>44561</v>
      </c>
      <c r="P758" t="s">
        <v>718</v>
      </c>
    </row>
    <row r="759" spans="1:16" ht="15" customHeight="1" x14ac:dyDescent="0.3">
      <c r="A759" t="str">
        <f t="shared" si="12"/>
        <v>21-3-EW-SmartFIX – 3 Year (Level 2)</v>
      </c>
      <c r="B759" s="67" t="s">
        <v>13</v>
      </c>
      <c r="C759" s="67">
        <v>21</v>
      </c>
      <c r="D759" s="99" t="s">
        <v>30</v>
      </c>
      <c r="E759" s="67" t="s">
        <v>19</v>
      </c>
      <c r="F759" s="67" t="s">
        <v>16</v>
      </c>
      <c r="G759" s="67" t="s">
        <v>727</v>
      </c>
      <c r="H759" s="127">
        <v>0.41370000000000001</v>
      </c>
      <c r="I759" s="109">
        <v>0.159</v>
      </c>
      <c r="J759" s="109" t="s">
        <v>717</v>
      </c>
      <c r="K759" s="109">
        <v>0.1406</v>
      </c>
      <c r="L759" s="67">
        <v>5000</v>
      </c>
      <c r="M759" s="67">
        <v>500000</v>
      </c>
      <c r="N759" s="105">
        <v>44378</v>
      </c>
      <c r="O759" s="105">
        <v>44561</v>
      </c>
      <c r="P759" t="s">
        <v>718</v>
      </c>
    </row>
    <row r="760" spans="1:16" ht="15" customHeight="1" x14ac:dyDescent="0.3">
      <c r="A760" t="str">
        <f t="shared" si="12"/>
        <v>21-4-3RATE-SmartFIX – 3 Year (Level 2)</v>
      </c>
      <c r="B760" s="67" t="s">
        <v>13</v>
      </c>
      <c r="C760" s="67">
        <v>21</v>
      </c>
      <c r="D760" s="99" t="s">
        <v>30</v>
      </c>
      <c r="E760" s="67" t="s">
        <v>719</v>
      </c>
      <c r="F760" s="67" t="s">
        <v>18</v>
      </c>
      <c r="G760" s="67" t="s">
        <v>727</v>
      </c>
      <c r="H760" s="127">
        <v>0.41370000000000001</v>
      </c>
      <c r="I760" s="109">
        <v>0.17069999999999999</v>
      </c>
      <c r="J760" s="109">
        <v>0.11849999999999999</v>
      </c>
      <c r="K760" s="109">
        <v>0.1547</v>
      </c>
      <c r="L760" s="67">
        <v>5000</v>
      </c>
      <c r="M760" s="67">
        <v>500000</v>
      </c>
      <c r="N760" s="105">
        <v>44378</v>
      </c>
      <c r="O760" s="105">
        <v>44561</v>
      </c>
      <c r="P760" t="s">
        <v>718</v>
      </c>
    </row>
    <row r="761" spans="1:16" ht="15" customHeight="1" x14ac:dyDescent="0.3">
      <c r="A761" t="str">
        <f t="shared" si="12"/>
        <v/>
      </c>
      <c r="B761" s="67" t="s">
        <v>13</v>
      </c>
      <c r="C761" s="67">
        <v>21</v>
      </c>
      <c r="D761" s="99" t="s">
        <v>30</v>
      </c>
      <c r="E761" s="67" t="s">
        <v>720</v>
      </c>
      <c r="F761" s="67" t="s">
        <v>18</v>
      </c>
      <c r="G761" s="67" t="s">
        <v>727</v>
      </c>
      <c r="H761" s="127">
        <v>0.41370000000000001</v>
      </c>
      <c r="I761" s="109" t="s">
        <v>717</v>
      </c>
      <c r="J761" s="109">
        <v>0.1406</v>
      </c>
      <c r="K761" s="109" t="s">
        <v>717</v>
      </c>
      <c r="L761" s="67">
        <v>5000</v>
      </c>
      <c r="M761" s="67">
        <v>500000</v>
      </c>
      <c r="N761" s="105">
        <v>44378</v>
      </c>
      <c r="O761" s="105">
        <v>44561</v>
      </c>
      <c r="P761" t="s">
        <v>718</v>
      </c>
    </row>
    <row r="762" spans="1:16" ht="15" customHeight="1" x14ac:dyDescent="0.3">
      <c r="A762" t="str">
        <f t="shared" si="12"/>
        <v>22-3-U-SmartFIX – 3 Year (Level 2)</v>
      </c>
      <c r="B762" s="67" t="s">
        <v>13</v>
      </c>
      <c r="C762" s="67">
        <v>22</v>
      </c>
      <c r="D762" s="99" t="s">
        <v>31</v>
      </c>
      <c r="E762" s="67" t="s">
        <v>716</v>
      </c>
      <c r="F762" s="67" t="s">
        <v>16</v>
      </c>
      <c r="G762" s="67" t="s">
        <v>727</v>
      </c>
      <c r="H762" s="127">
        <v>0.35670000000000002</v>
      </c>
      <c r="I762" s="109">
        <v>0.15690000000000001</v>
      </c>
      <c r="J762" s="109" t="s">
        <v>717</v>
      </c>
      <c r="K762" s="109" t="s">
        <v>717</v>
      </c>
      <c r="L762" s="67">
        <v>5000</v>
      </c>
      <c r="M762" s="67">
        <v>500000</v>
      </c>
      <c r="N762" s="105">
        <v>44378</v>
      </c>
      <c r="O762" s="105">
        <v>44561</v>
      </c>
      <c r="P762" t="s">
        <v>718</v>
      </c>
    </row>
    <row r="763" spans="1:16" ht="15" customHeight="1" x14ac:dyDescent="0.3">
      <c r="A763" t="str">
        <f t="shared" si="12"/>
        <v>22-4-E7-SmartFIX – 3 Year (Level 2)</v>
      </c>
      <c r="B763" s="67" t="s">
        <v>13</v>
      </c>
      <c r="C763" s="67">
        <v>22</v>
      </c>
      <c r="D763" s="99" t="s">
        <v>31</v>
      </c>
      <c r="E763" s="67" t="s">
        <v>17</v>
      </c>
      <c r="F763" s="67" t="s">
        <v>18</v>
      </c>
      <c r="G763" s="67" t="s">
        <v>727</v>
      </c>
      <c r="H763" s="127">
        <v>0.35670000000000002</v>
      </c>
      <c r="I763" s="109">
        <v>0.16420000000000001</v>
      </c>
      <c r="J763" s="109">
        <v>0.12620000000000001</v>
      </c>
      <c r="K763" s="109" t="s">
        <v>717</v>
      </c>
      <c r="L763" s="67">
        <v>5000</v>
      </c>
      <c r="M763" s="67">
        <v>500000</v>
      </c>
      <c r="N763" s="105">
        <v>44378</v>
      </c>
      <c r="O763" s="105">
        <v>44561</v>
      </c>
      <c r="P763" t="s">
        <v>718</v>
      </c>
    </row>
    <row r="764" spans="1:16" ht="15" customHeight="1" x14ac:dyDescent="0.3">
      <c r="A764" t="str">
        <f t="shared" si="12"/>
        <v>22-3-EW-SmartFIX – 3 Year (Level 2)</v>
      </c>
      <c r="B764" s="67" t="s">
        <v>13</v>
      </c>
      <c r="C764" s="67">
        <v>22</v>
      </c>
      <c r="D764" s="99" t="s">
        <v>31</v>
      </c>
      <c r="E764" s="67" t="s">
        <v>19</v>
      </c>
      <c r="F764" s="67" t="s">
        <v>16</v>
      </c>
      <c r="G764" s="67" t="s">
        <v>727</v>
      </c>
      <c r="H764" s="127">
        <v>0.35670000000000002</v>
      </c>
      <c r="I764" s="109">
        <v>0.1663</v>
      </c>
      <c r="J764" s="109" t="s">
        <v>717</v>
      </c>
      <c r="K764" s="109">
        <v>0.14530000000000001</v>
      </c>
      <c r="L764" s="67">
        <v>5000</v>
      </c>
      <c r="M764" s="67">
        <v>500000</v>
      </c>
      <c r="N764" s="105">
        <v>44378</v>
      </c>
      <c r="O764" s="105">
        <v>44561</v>
      </c>
      <c r="P764" t="s">
        <v>718</v>
      </c>
    </row>
    <row r="765" spans="1:16" ht="15" customHeight="1" x14ac:dyDescent="0.3">
      <c r="A765" t="str">
        <f t="shared" si="12"/>
        <v>22-4-3RATE-SmartFIX – 3 Year (Level 2)</v>
      </c>
      <c r="B765" s="67" t="s">
        <v>13</v>
      </c>
      <c r="C765" s="67">
        <v>22</v>
      </c>
      <c r="D765" s="99" t="s">
        <v>31</v>
      </c>
      <c r="E765" s="67" t="s">
        <v>719</v>
      </c>
      <c r="F765" s="67" t="s">
        <v>18</v>
      </c>
      <c r="G765" s="67" t="s">
        <v>727</v>
      </c>
      <c r="H765" s="127">
        <v>0.35670000000000002</v>
      </c>
      <c r="I765" s="109">
        <v>0.17419999999999999</v>
      </c>
      <c r="J765" s="109">
        <v>0.1192</v>
      </c>
      <c r="K765" s="109">
        <v>0.16039999999999999</v>
      </c>
      <c r="L765" s="67">
        <v>5000</v>
      </c>
      <c r="M765" s="67">
        <v>500000</v>
      </c>
      <c r="N765" s="105">
        <v>44378</v>
      </c>
      <c r="O765" s="105">
        <v>44561</v>
      </c>
      <c r="P765" t="s">
        <v>718</v>
      </c>
    </row>
    <row r="766" spans="1:16" ht="15" customHeight="1" x14ac:dyDescent="0.3">
      <c r="A766" t="str">
        <f t="shared" si="12"/>
        <v/>
      </c>
      <c r="B766" s="67" t="s">
        <v>13</v>
      </c>
      <c r="C766" s="67">
        <v>22</v>
      </c>
      <c r="D766" s="99" t="s">
        <v>31</v>
      </c>
      <c r="E766" s="67" t="s">
        <v>720</v>
      </c>
      <c r="F766" s="67" t="s">
        <v>18</v>
      </c>
      <c r="G766" s="67" t="s">
        <v>727</v>
      </c>
      <c r="H766" s="127">
        <v>0.35670000000000002</v>
      </c>
      <c r="I766" s="109" t="s">
        <v>717</v>
      </c>
      <c r="J766" s="109">
        <v>0.14530000000000001</v>
      </c>
      <c r="K766" s="109" t="s">
        <v>717</v>
      </c>
      <c r="L766" s="67">
        <v>5000</v>
      </c>
      <c r="M766" s="67">
        <v>500000</v>
      </c>
      <c r="N766" s="105">
        <v>44378</v>
      </c>
      <c r="O766" s="105">
        <v>44561</v>
      </c>
      <c r="P766" t="s">
        <v>718</v>
      </c>
    </row>
    <row r="767" spans="1:16" ht="15" customHeight="1" x14ac:dyDescent="0.3">
      <c r="A767" t="str">
        <f t="shared" si="12"/>
        <v>23-3-U-SmartFIX – 3 Year (Level 2)</v>
      </c>
      <c r="B767" s="67" t="s">
        <v>13</v>
      </c>
      <c r="C767" s="67">
        <v>23</v>
      </c>
      <c r="D767" s="99" t="s">
        <v>32</v>
      </c>
      <c r="E767" s="67" t="s">
        <v>716</v>
      </c>
      <c r="F767" s="67" t="s">
        <v>16</v>
      </c>
      <c r="G767" s="67" t="s">
        <v>727</v>
      </c>
      <c r="H767" s="127">
        <v>0.31330000000000002</v>
      </c>
      <c r="I767" s="109">
        <v>0.15129999999999999</v>
      </c>
      <c r="J767" s="109" t="s">
        <v>717</v>
      </c>
      <c r="K767" s="109" t="s">
        <v>717</v>
      </c>
      <c r="L767" s="67">
        <v>5000</v>
      </c>
      <c r="M767" s="67">
        <v>500000</v>
      </c>
      <c r="N767" s="105">
        <v>44378</v>
      </c>
      <c r="O767" s="105">
        <v>44561</v>
      </c>
      <c r="P767" t="s">
        <v>718</v>
      </c>
    </row>
    <row r="768" spans="1:16" ht="15" customHeight="1" x14ac:dyDescent="0.3">
      <c r="A768" t="str">
        <f t="shared" si="12"/>
        <v>23-4-E7-SmartFIX – 3 Year (Level 2)</v>
      </c>
      <c r="B768" s="67" t="s">
        <v>13</v>
      </c>
      <c r="C768" s="67">
        <v>23</v>
      </c>
      <c r="D768" s="99" t="s">
        <v>32</v>
      </c>
      <c r="E768" s="67" t="s">
        <v>17</v>
      </c>
      <c r="F768" s="67" t="s">
        <v>18</v>
      </c>
      <c r="G768" s="67" t="s">
        <v>727</v>
      </c>
      <c r="H768" s="127">
        <v>0.31330000000000002</v>
      </c>
      <c r="I768" s="109">
        <v>0.15959999999999999</v>
      </c>
      <c r="J768" s="109">
        <v>0.1168</v>
      </c>
      <c r="K768" s="109" t="s">
        <v>717</v>
      </c>
      <c r="L768" s="67">
        <v>5000</v>
      </c>
      <c r="M768" s="67">
        <v>500000</v>
      </c>
      <c r="N768" s="105">
        <v>44378</v>
      </c>
      <c r="O768" s="105">
        <v>44561</v>
      </c>
      <c r="P768" t="s">
        <v>718</v>
      </c>
    </row>
    <row r="769" spans="1:16" ht="15" customHeight="1" x14ac:dyDescent="0.3">
      <c r="A769" t="str">
        <f t="shared" si="12"/>
        <v>23-3-EW-SmartFIX – 3 Year (Level 2)</v>
      </c>
      <c r="B769" s="67" t="s">
        <v>13</v>
      </c>
      <c r="C769" s="67">
        <v>23</v>
      </c>
      <c r="D769" s="99" t="s">
        <v>32</v>
      </c>
      <c r="E769" s="67" t="s">
        <v>19</v>
      </c>
      <c r="F769" s="67" t="s">
        <v>16</v>
      </c>
      <c r="G769" s="67" t="s">
        <v>727</v>
      </c>
      <c r="H769" s="127">
        <v>0.31330000000000002</v>
      </c>
      <c r="I769" s="109">
        <v>0.16009999999999999</v>
      </c>
      <c r="J769" s="109" t="s">
        <v>717</v>
      </c>
      <c r="K769" s="109">
        <v>0.13930000000000001</v>
      </c>
      <c r="L769" s="67">
        <v>5000</v>
      </c>
      <c r="M769" s="67">
        <v>500000</v>
      </c>
      <c r="N769" s="105">
        <v>44378</v>
      </c>
      <c r="O769" s="105">
        <v>44561</v>
      </c>
      <c r="P769" t="s">
        <v>718</v>
      </c>
    </row>
    <row r="770" spans="1:16" ht="15" customHeight="1" x14ac:dyDescent="0.3">
      <c r="A770" t="str">
        <f t="shared" si="12"/>
        <v>23-4-3RATE-SmartFIX – 3 Year (Level 2)</v>
      </c>
      <c r="B770" s="67" t="s">
        <v>13</v>
      </c>
      <c r="C770" s="67">
        <v>23</v>
      </c>
      <c r="D770" s="99" t="s">
        <v>32</v>
      </c>
      <c r="E770" s="67" t="s">
        <v>719</v>
      </c>
      <c r="F770" s="67" t="s">
        <v>18</v>
      </c>
      <c r="G770" s="67" t="s">
        <v>727</v>
      </c>
      <c r="H770" s="127">
        <v>0.31330000000000002</v>
      </c>
      <c r="I770" s="109">
        <v>0.1694</v>
      </c>
      <c r="J770" s="109">
        <v>0.1183</v>
      </c>
      <c r="K770" s="109">
        <v>0.15029999999999999</v>
      </c>
      <c r="L770" s="67">
        <v>5000</v>
      </c>
      <c r="M770" s="67">
        <v>500000</v>
      </c>
      <c r="N770" s="105">
        <v>44378</v>
      </c>
      <c r="O770" s="105">
        <v>44561</v>
      </c>
      <c r="P770" t="s">
        <v>718</v>
      </c>
    </row>
    <row r="771" spans="1:16" ht="15" customHeight="1" x14ac:dyDescent="0.3">
      <c r="A771" t="str">
        <f t="shared" si="12"/>
        <v/>
      </c>
      <c r="B771" s="67" t="s">
        <v>13</v>
      </c>
      <c r="C771" s="67">
        <v>23</v>
      </c>
      <c r="D771" s="99" t="s">
        <v>32</v>
      </c>
      <c r="E771" s="67" t="s">
        <v>720</v>
      </c>
      <c r="F771" s="67" t="s">
        <v>18</v>
      </c>
      <c r="G771" s="67" t="s">
        <v>727</v>
      </c>
      <c r="H771" s="127">
        <v>0.31330000000000002</v>
      </c>
      <c r="I771" s="109" t="s">
        <v>717</v>
      </c>
      <c r="J771" s="109">
        <v>0.13930000000000001</v>
      </c>
      <c r="K771" s="109" t="s">
        <v>717</v>
      </c>
      <c r="L771" s="67">
        <v>5000</v>
      </c>
      <c r="M771" s="67">
        <v>500000</v>
      </c>
      <c r="N771" s="105">
        <v>44378</v>
      </c>
      <c r="O771" s="105">
        <v>44561</v>
      </c>
      <c r="P771" t="s">
        <v>718</v>
      </c>
    </row>
    <row r="772" spans="1:16" ht="15" customHeight="1" x14ac:dyDescent="0.3">
      <c r="A772" t="str">
        <f t="shared" si="12"/>
        <v>10-3-U-SmartFIX – 3 Year Renewal</v>
      </c>
      <c r="B772" s="67" t="s">
        <v>13</v>
      </c>
      <c r="C772" s="67">
        <v>10</v>
      </c>
      <c r="D772" s="99" t="s">
        <v>14</v>
      </c>
      <c r="E772" s="67" t="s">
        <v>716</v>
      </c>
      <c r="F772" s="67" t="s">
        <v>16</v>
      </c>
      <c r="G772" s="67" t="s">
        <v>728</v>
      </c>
      <c r="H772" s="127">
        <v>0.34229999999999999</v>
      </c>
      <c r="I772" s="109">
        <v>0.153</v>
      </c>
      <c r="J772" s="109" t="s">
        <v>717</v>
      </c>
      <c r="K772" s="109" t="s">
        <v>717</v>
      </c>
      <c r="L772" s="67">
        <v>5000</v>
      </c>
      <c r="M772" s="67">
        <v>500000</v>
      </c>
      <c r="N772" s="105">
        <v>44197</v>
      </c>
      <c r="O772" s="105">
        <v>44377</v>
      </c>
      <c r="P772" t="s">
        <v>718</v>
      </c>
    </row>
    <row r="773" spans="1:16" ht="15" customHeight="1" x14ac:dyDescent="0.3">
      <c r="A773" t="str">
        <f t="shared" si="12"/>
        <v>10-4-E7-SmartFIX – 3 Year Renewal</v>
      </c>
      <c r="B773" s="67" t="s">
        <v>13</v>
      </c>
      <c r="C773" s="67">
        <v>10</v>
      </c>
      <c r="D773" s="99" t="s">
        <v>14</v>
      </c>
      <c r="E773" s="67" t="s">
        <v>17</v>
      </c>
      <c r="F773" s="67" t="s">
        <v>18</v>
      </c>
      <c r="G773" s="67" t="s">
        <v>728</v>
      </c>
      <c r="H773" s="127">
        <v>0.34229999999999999</v>
      </c>
      <c r="I773" s="109">
        <v>0.16300000000000001</v>
      </c>
      <c r="J773" s="109">
        <v>0.11269999999999999</v>
      </c>
      <c r="K773" s="109" t="s">
        <v>717</v>
      </c>
      <c r="L773" s="67">
        <v>5000</v>
      </c>
      <c r="M773" s="67">
        <v>500000</v>
      </c>
      <c r="N773" s="105">
        <v>44197</v>
      </c>
      <c r="O773" s="105">
        <v>44377</v>
      </c>
      <c r="P773" t="s">
        <v>718</v>
      </c>
    </row>
    <row r="774" spans="1:16" ht="15" customHeight="1" x14ac:dyDescent="0.3">
      <c r="A774" t="str">
        <f t="shared" si="12"/>
        <v>10-3-EW-SmartFIX – 3 Year Renewal</v>
      </c>
      <c r="B774" s="67" t="s">
        <v>13</v>
      </c>
      <c r="C774" s="67">
        <v>10</v>
      </c>
      <c r="D774" s="99" t="s">
        <v>14</v>
      </c>
      <c r="E774" s="67" t="s">
        <v>19</v>
      </c>
      <c r="F774" s="67" t="s">
        <v>16</v>
      </c>
      <c r="G774" s="67" t="s">
        <v>728</v>
      </c>
      <c r="H774" s="127">
        <v>0.34229999999999999</v>
      </c>
      <c r="I774" s="109">
        <v>0.16200000000000001</v>
      </c>
      <c r="J774" s="109" t="s">
        <v>717</v>
      </c>
      <c r="K774" s="109">
        <v>0.1394</v>
      </c>
      <c r="L774" s="67">
        <v>5000</v>
      </c>
      <c r="M774" s="67">
        <v>500000</v>
      </c>
      <c r="N774" s="105">
        <v>44197</v>
      </c>
      <c r="O774" s="105">
        <v>44377</v>
      </c>
      <c r="P774" t="s">
        <v>718</v>
      </c>
    </row>
    <row r="775" spans="1:16" ht="15" customHeight="1" x14ac:dyDescent="0.3">
      <c r="A775" t="str">
        <f t="shared" si="12"/>
        <v>10-4-3RATE-SmartFIX – 3 Year Renewal</v>
      </c>
      <c r="B775" s="67" t="s">
        <v>13</v>
      </c>
      <c r="C775" s="67">
        <v>10</v>
      </c>
      <c r="D775" s="99" t="s">
        <v>14</v>
      </c>
      <c r="E775" s="67" t="s">
        <v>719</v>
      </c>
      <c r="F775" s="67" t="s">
        <v>18</v>
      </c>
      <c r="G775" s="67" t="s">
        <v>728</v>
      </c>
      <c r="H775" s="127">
        <v>0.34229999999999999</v>
      </c>
      <c r="I775" s="109">
        <v>0.1726</v>
      </c>
      <c r="J775" s="109">
        <v>0.11269999999999999</v>
      </c>
      <c r="K775" s="109">
        <v>0.1555</v>
      </c>
      <c r="L775" s="67">
        <v>5000</v>
      </c>
      <c r="M775" s="67">
        <v>500000</v>
      </c>
      <c r="N775" s="105">
        <v>44197</v>
      </c>
      <c r="O775" s="105">
        <v>44377</v>
      </c>
      <c r="P775" t="s">
        <v>718</v>
      </c>
    </row>
    <row r="776" spans="1:16" ht="15" customHeight="1" x14ac:dyDescent="0.3">
      <c r="A776" t="str">
        <f t="shared" si="12"/>
        <v/>
      </c>
      <c r="B776" s="67" t="s">
        <v>13</v>
      </c>
      <c r="C776" s="67">
        <v>10</v>
      </c>
      <c r="D776" s="99" t="s">
        <v>14</v>
      </c>
      <c r="E776" s="67" t="s">
        <v>720</v>
      </c>
      <c r="F776" s="67" t="s">
        <v>18</v>
      </c>
      <c r="G776" s="67" t="s">
        <v>728</v>
      </c>
      <c r="H776" s="127">
        <v>0.34229999999999999</v>
      </c>
      <c r="I776" s="109" t="s">
        <v>717</v>
      </c>
      <c r="J776" s="109">
        <v>0.1394</v>
      </c>
      <c r="K776" s="109" t="s">
        <v>717</v>
      </c>
      <c r="L776" s="67">
        <v>5000</v>
      </c>
      <c r="M776" s="67">
        <v>500000</v>
      </c>
      <c r="N776" s="105">
        <v>44197</v>
      </c>
      <c r="O776" s="105">
        <v>44377</v>
      </c>
      <c r="P776" t="s">
        <v>718</v>
      </c>
    </row>
    <row r="777" spans="1:16" ht="15" customHeight="1" x14ac:dyDescent="0.3">
      <c r="A777" t="str">
        <f t="shared" si="12"/>
        <v>11-3-U-SmartFIX – 3 Year Renewal</v>
      </c>
      <c r="B777" s="67" t="s">
        <v>13</v>
      </c>
      <c r="C777" s="67">
        <v>11</v>
      </c>
      <c r="D777" s="99" t="s">
        <v>20</v>
      </c>
      <c r="E777" s="67" t="s">
        <v>716</v>
      </c>
      <c r="F777" s="67" t="s">
        <v>16</v>
      </c>
      <c r="G777" s="67" t="s">
        <v>728</v>
      </c>
      <c r="H777" s="127">
        <v>0.3528</v>
      </c>
      <c r="I777" s="109">
        <v>0.15330000000000002</v>
      </c>
      <c r="J777" s="109" t="s">
        <v>717</v>
      </c>
      <c r="K777" s="109" t="s">
        <v>717</v>
      </c>
      <c r="L777" s="67">
        <v>5000</v>
      </c>
      <c r="M777" s="67">
        <v>500000</v>
      </c>
      <c r="N777" s="105">
        <v>44197</v>
      </c>
      <c r="O777" s="105">
        <v>44377</v>
      </c>
      <c r="P777" t="s">
        <v>718</v>
      </c>
    </row>
    <row r="778" spans="1:16" ht="15" customHeight="1" x14ac:dyDescent="0.3">
      <c r="A778" t="str">
        <f t="shared" si="12"/>
        <v>11-4-E7-SmartFIX – 3 Year Renewal</v>
      </c>
      <c r="B778" s="67" t="s">
        <v>13</v>
      </c>
      <c r="C778" s="67">
        <v>11</v>
      </c>
      <c r="D778" s="99" t="s">
        <v>20</v>
      </c>
      <c r="E778" s="67" t="s">
        <v>17</v>
      </c>
      <c r="F778" s="67" t="s">
        <v>18</v>
      </c>
      <c r="G778" s="67" t="s">
        <v>728</v>
      </c>
      <c r="H778" s="127">
        <v>0.3528</v>
      </c>
      <c r="I778" s="109">
        <v>0.1608</v>
      </c>
      <c r="J778" s="109">
        <v>0.11660000000000001</v>
      </c>
      <c r="K778" s="109" t="s">
        <v>717</v>
      </c>
      <c r="L778" s="67">
        <v>5000</v>
      </c>
      <c r="M778" s="67">
        <v>500000</v>
      </c>
      <c r="N778" s="105">
        <v>44197</v>
      </c>
      <c r="O778" s="105">
        <v>44377</v>
      </c>
      <c r="P778" t="s">
        <v>718</v>
      </c>
    </row>
    <row r="779" spans="1:16" ht="15" customHeight="1" x14ac:dyDescent="0.3">
      <c r="A779" t="str">
        <f t="shared" si="12"/>
        <v>11-3-EW-SmartFIX – 3 Year Renewal</v>
      </c>
      <c r="B779" s="67" t="s">
        <v>13</v>
      </c>
      <c r="C779" s="67">
        <v>11</v>
      </c>
      <c r="D779" s="99" t="s">
        <v>20</v>
      </c>
      <c r="E779" s="67" t="s">
        <v>19</v>
      </c>
      <c r="F779" s="67" t="s">
        <v>16</v>
      </c>
      <c r="G779" s="67" t="s">
        <v>728</v>
      </c>
      <c r="H779" s="127">
        <v>0.3528</v>
      </c>
      <c r="I779" s="109">
        <v>0.1618</v>
      </c>
      <c r="J779" s="109" t="s">
        <v>717</v>
      </c>
      <c r="K779" s="109">
        <v>0.1401</v>
      </c>
      <c r="L779" s="67">
        <v>5000</v>
      </c>
      <c r="M779" s="67">
        <v>500000</v>
      </c>
      <c r="N779" s="105">
        <v>44197</v>
      </c>
      <c r="O779" s="105">
        <v>44377</v>
      </c>
      <c r="P779" t="s">
        <v>718</v>
      </c>
    </row>
    <row r="780" spans="1:16" ht="15" customHeight="1" x14ac:dyDescent="0.3">
      <c r="A780" t="str">
        <f t="shared" ref="A780:A843" si="13">IF(E780="OP","",CONCATENATE(C780,"-",RIGHT(F780,1),"-",IF(OR(E780="1 Rate MD",E780="DAY"),"U",IF(OR(E780="2 Rate MD",E780="E7"),"E7",IF(OR(E780="3 Rate MD (EW)",E780="EW"),"EW",IF(OR(E780="3 Rate MD",E780="EWN"),"3RATE",IF(E780="HH 2RATE (CT)","HH 2RATE (CT)",IF(E780="HH 2RATE (WC)","HH 2RATE (WC)",IF(E780="HH 1RATE (CT)","HH 1RATE (CT)",IF(E780="HH 1RATE (WC)","HH 1RATE (WC)")))))))),"-",G780))</f>
        <v>11-4-3RATE-SmartFIX – 3 Year Renewal</v>
      </c>
      <c r="B780" s="67" t="s">
        <v>13</v>
      </c>
      <c r="C780" s="67">
        <v>11</v>
      </c>
      <c r="D780" s="99" t="s">
        <v>20</v>
      </c>
      <c r="E780" s="67" t="s">
        <v>719</v>
      </c>
      <c r="F780" s="67" t="s">
        <v>18</v>
      </c>
      <c r="G780" s="67" t="s">
        <v>728</v>
      </c>
      <c r="H780" s="127">
        <v>0.3528</v>
      </c>
      <c r="I780" s="109">
        <v>0.1691</v>
      </c>
      <c r="J780" s="109">
        <v>0.1142</v>
      </c>
      <c r="K780" s="109">
        <v>0.14850000000000002</v>
      </c>
      <c r="L780" s="67">
        <v>5000</v>
      </c>
      <c r="M780" s="67">
        <v>500000</v>
      </c>
      <c r="N780" s="105">
        <v>44197</v>
      </c>
      <c r="O780" s="105">
        <v>44377</v>
      </c>
      <c r="P780" t="s">
        <v>718</v>
      </c>
    </row>
    <row r="781" spans="1:16" ht="15" customHeight="1" x14ac:dyDescent="0.3">
      <c r="A781" t="str">
        <f t="shared" si="13"/>
        <v/>
      </c>
      <c r="B781" s="67" t="s">
        <v>13</v>
      </c>
      <c r="C781" s="67">
        <v>11</v>
      </c>
      <c r="D781" s="99" t="s">
        <v>20</v>
      </c>
      <c r="E781" s="67" t="s">
        <v>720</v>
      </c>
      <c r="F781" s="67" t="s">
        <v>18</v>
      </c>
      <c r="G781" s="67" t="s">
        <v>728</v>
      </c>
      <c r="H781" s="127">
        <v>0.3528</v>
      </c>
      <c r="I781" s="109" t="s">
        <v>717</v>
      </c>
      <c r="J781" s="109">
        <v>0.1401</v>
      </c>
      <c r="K781" s="109" t="s">
        <v>717</v>
      </c>
      <c r="L781" s="67">
        <v>5000</v>
      </c>
      <c r="M781" s="67">
        <v>500000</v>
      </c>
      <c r="N781" s="105">
        <v>44197</v>
      </c>
      <c r="O781" s="105">
        <v>44377</v>
      </c>
      <c r="P781" t="s">
        <v>718</v>
      </c>
    </row>
    <row r="782" spans="1:16" ht="15" customHeight="1" x14ac:dyDescent="0.3">
      <c r="A782" t="str">
        <f t="shared" si="13"/>
        <v>12-3-U-SmartFIX – 3 Year Renewal</v>
      </c>
      <c r="B782" s="67" t="s">
        <v>13</v>
      </c>
      <c r="C782" s="67">
        <v>12</v>
      </c>
      <c r="D782" s="99" t="s">
        <v>21</v>
      </c>
      <c r="E782" s="67" t="s">
        <v>716</v>
      </c>
      <c r="F782" s="67" t="s">
        <v>16</v>
      </c>
      <c r="G782" s="67" t="s">
        <v>728</v>
      </c>
      <c r="H782" s="127">
        <v>0.26619999999999999</v>
      </c>
      <c r="I782" s="109">
        <v>0.1472</v>
      </c>
      <c r="J782" s="109" t="s">
        <v>717</v>
      </c>
      <c r="K782" s="109" t="s">
        <v>717</v>
      </c>
      <c r="L782" s="67">
        <v>5000</v>
      </c>
      <c r="M782" s="67">
        <v>500000</v>
      </c>
      <c r="N782" s="105">
        <v>44197</v>
      </c>
      <c r="O782" s="105">
        <v>44377</v>
      </c>
      <c r="P782" t="s">
        <v>718</v>
      </c>
    </row>
    <row r="783" spans="1:16" ht="15" customHeight="1" x14ac:dyDescent="0.3">
      <c r="A783" t="str">
        <f t="shared" si="13"/>
        <v>12-4-E7-SmartFIX – 3 Year Renewal</v>
      </c>
      <c r="B783" s="67" t="s">
        <v>13</v>
      </c>
      <c r="C783" s="67">
        <v>12</v>
      </c>
      <c r="D783" s="99" t="s">
        <v>21</v>
      </c>
      <c r="E783" s="67" t="s">
        <v>17</v>
      </c>
      <c r="F783" s="67" t="s">
        <v>18</v>
      </c>
      <c r="G783" s="67" t="s">
        <v>728</v>
      </c>
      <c r="H783" s="127">
        <v>0.26619999999999999</v>
      </c>
      <c r="I783" s="109">
        <v>0.15890000000000001</v>
      </c>
      <c r="J783" s="109">
        <v>0.11430000000000001</v>
      </c>
      <c r="K783" s="109" t="s">
        <v>717</v>
      </c>
      <c r="L783" s="67">
        <v>5000</v>
      </c>
      <c r="M783" s="67">
        <v>500000</v>
      </c>
      <c r="N783" s="105">
        <v>44197</v>
      </c>
      <c r="O783" s="105">
        <v>44377</v>
      </c>
      <c r="P783" t="s">
        <v>718</v>
      </c>
    </row>
    <row r="784" spans="1:16" ht="15" customHeight="1" x14ac:dyDescent="0.3">
      <c r="A784" t="str">
        <f t="shared" si="13"/>
        <v>12-3-EW-SmartFIX – 3 Year Renewal</v>
      </c>
      <c r="B784" s="67" t="s">
        <v>13</v>
      </c>
      <c r="C784" s="67">
        <v>12</v>
      </c>
      <c r="D784" s="99" t="s">
        <v>21</v>
      </c>
      <c r="E784" s="67" t="s">
        <v>19</v>
      </c>
      <c r="F784" s="67" t="s">
        <v>16</v>
      </c>
      <c r="G784" s="67" t="s">
        <v>728</v>
      </c>
      <c r="H784" s="127">
        <v>0.26619999999999999</v>
      </c>
      <c r="I784" s="109">
        <v>0.15560000000000002</v>
      </c>
      <c r="J784" s="109" t="s">
        <v>717</v>
      </c>
      <c r="K784" s="109">
        <v>0.13540000000000002</v>
      </c>
      <c r="L784" s="67">
        <v>5000</v>
      </c>
      <c r="M784" s="67">
        <v>500000</v>
      </c>
      <c r="N784" s="105">
        <v>44197</v>
      </c>
      <c r="O784" s="105">
        <v>44377</v>
      </c>
      <c r="P784" t="s">
        <v>718</v>
      </c>
    </row>
    <row r="785" spans="1:16" ht="15" customHeight="1" x14ac:dyDescent="0.3">
      <c r="A785" t="str">
        <f t="shared" si="13"/>
        <v>12-4-3RATE-SmartFIX – 3 Year Renewal</v>
      </c>
      <c r="B785" s="67" t="s">
        <v>13</v>
      </c>
      <c r="C785" s="67">
        <v>12</v>
      </c>
      <c r="D785" s="99" t="s">
        <v>21</v>
      </c>
      <c r="E785" s="67" t="s">
        <v>719</v>
      </c>
      <c r="F785" s="67" t="s">
        <v>18</v>
      </c>
      <c r="G785" s="67" t="s">
        <v>728</v>
      </c>
      <c r="H785" s="127">
        <v>0.26619999999999999</v>
      </c>
      <c r="I785" s="109">
        <v>0.252</v>
      </c>
      <c r="J785" s="109">
        <v>0.252</v>
      </c>
      <c r="K785" s="109">
        <v>0.252</v>
      </c>
      <c r="L785" s="67">
        <v>5000</v>
      </c>
      <c r="M785" s="67">
        <v>500000</v>
      </c>
      <c r="N785" s="105">
        <v>44197</v>
      </c>
      <c r="O785" s="105">
        <v>44377</v>
      </c>
      <c r="P785" t="s">
        <v>718</v>
      </c>
    </row>
    <row r="786" spans="1:16" ht="15" customHeight="1" x14ac:dyDescent="0.3">
      <c r="A786" t="str">
        <f t="shared" si="13"/>
        <v/>
      </c>
      <c r="B786" s="67" t="s">
        <v>13</v>
      </c>
      <c r="C786" s="67">
        <v>12</v>
      </c>
      <c r="D786" s="99" t="s">
        <v>21</v>
      </c>
      <c r="E786" s="67" t="s">
        <v>720</v>
      </c>
      <c r="F786" s="67" t="s">
        <v>18</v>
      </c>
      <c r="G786" s="67" t="s">
        <v>728</v>
      </c>
      <c r="H786" s="127">
        <v>0.26619999999999999</v>
      </c>
      <c r="I786" s="109" t="s">
        <v>717</v>
      </c>
      <c r="J786" s="109">
        <v>0.13540000000000002</v>
      </c>
      <c r="K786" s="109" t="s">
        <v>717</v>
      </c>
      <c r="L786" s="67">
        <v>5000</v>
      </c>
      <c r="M786" s="67">
        <v>500000</v>
      </c>
      <c r="N786" s="105">
        <v>44197</v>
      </c>
      <c r="O786" s="105">
        <v>44377</v>
      </c>
      <c r="P786" t="s">
        <v>718</v>
      </c>
    </row>
    <row r="787" spans="1:16" ht="15" customHeight="1" x14ac:dyDescent="0.3">
      <c r="A787" t="str">
        <f t="shared" si="13"/>
        <v>13-3-U-SmartFIX – 3 Year Renewal</v>
      </c>
      <c r="B787" s="67" t="s">
        <v>13</v>
      </c>
      <c r="C787" s="67">
        <v>13</v>
      </c>
      <c r="D787" s="99" t="s">
        <v>22</v>
      </c>
      <c r="E787" s="67" t="s">
        <v>716</v>
      </c>
      <c r="F787" s="67" t="s">
        <v>16</v>
      </c>
      <c r="G787" s="67" t="s">
        <v>728</v>
      </c>
      <c r="H787" s="127">
        <v>0.31340000000000001</v>
      </c>
      <c r="I787" s="109">
        <v>0.17250000000000001</v>
      </c>
      <c r="J787" s="109" t="s">
        <v>717</v>
      </c>
      <c r="K787" s="109" t="s">
        <v>717</v>
      </c>
      <c r="L787" s="67">
        <v>5000</v>
      </c>
      <c r="M787" s="67">
        <v>500000</v>
      </c>
      <c r="N787" s="105">
        <v>44197</v>
      </c>
      <c r="O787" s="105">
        <v>44377</v>
      </c>
      <c r="P787" t="s">
        <v>718</v>
      </c>
    </row>
    <row r="788" spans="1:16" ht="15" customHeight="1" x14ac:dyDescent="0.3">
      <c r="A788" t="str">
        <f t="shared" si="13"/>
        <v>13-4-E7-SmartFIX – 3 Year Renewal</v>
      </c>
      <c r="B788" s="67" t="s">
        <v>13</v>
      </c>
      <c r="C788" s="67">
        <v>13</v>
      </c>
      <c r="D788" s="99" t="s">
        <v>22</v>
      </c>
      <c r="E788" s="67" t="s">
        <v>17</v>
      </c>
      <c r="F788" s="67" t="s">
        <v>18</v>
      </c>
      <c r="G788" s="67" t="s">
        <v>728</v>
      </c>
      <c r="H788" s="127">
        <v>0.31340000000000001</v>
      </c>
      <c r="I788" s="109">
        <v>0.17469999999999999</v>
      </c>
      <c r="J788" s="109">
        <v>0.1285</v>
      </c>
      <c r="K788" s="109" t="s">
        <v>717</v>
      </c>
      <c r="L788" s="67">
        <v>5000</v>
      </c>
      <c r="M788" s="67">
        <v>500000</v>
      </c>
      <c r="N788" s="105">
        <v>44197</v>
      </c>
      <c r="O788" s="105">
        <v>44377</v>
      </c>
      <c r="P788" t="s">
        <v>718</v>
      </c>
    </row>
    <row r="789" spans="1:16" ht="15" customHeight="1" x14ac:dyDescent="0.3">
      <c r="A789" t="str">
        <f t="shared" si="13"/>
        <v>13-3-EW-SmartFIX – 3 Year Renewal</v>
      </c>
      <c r="B789" s="67" t="s">
        <v>13</v>
      </c>
      <c r="C789" s="67">
        <v>13</v>
      </c>
      <c r="D789" s="99" t="s">
        <v>22</v>
      </c>
      <c r="E789" s="67" t="s">
        <v>19</v>
      </c>
      <c r="F789" s="67" t="s">
        <v>16</v>
      </c>
      <c r="G789" s="67" t="s">
        <v>728</v>
      </c>
      <c r="H789" s="127">
        <v>0.31340000000000001</v>
      </c>
      <c r="I789" s="109">
        <v>0.252</v>
      </c>
      <c r="J789" s="109" t="s">
        <v>717</v>
      </c>
      <c r="K789" s="109">
        <v>0.252</v>
      </c>
      <c r="L789" s="67">
        <v>5000</v>
      </c>
      <c r="M789" s="67">
        <v>500000</v>
      </c>
      <c r="N789" s="105">
        <v>44197</v>
      </c>
      <c r="O789" s="105">
        <v>44377</v>
      </c>
      <c r="P789" t="s">
        <v>718</v>
      </c>
    </row>
    <row r="790" spans="1:16" ht="15" customHeight="1" x14ac:dyDescent="0.3">
      <c r="A790" t="str">
        <f t="shared" si="13"/>
        <v>13-4-3RATE-SmartFIX – 3 Year Renewal</v>
      </c>
      <c r="B790" s="67" t="s">
        <v>13</v>
      </c>
      <c r="C790" s="67">
        <v>13</v>
      </c>
      <c r="D790" s="99" t="s">
        <v>22</v>
      </c>
      <c r="E790" s="67" t="s">
        <v>719</v>
      </c>
      <c r="F790" s="67" t="s">
        <v>18</v>
      </c>
      <c r="G790" s="67" t="s">
        <v>728</v>
      </c>
      <c r="H790" s="127">
        <v>0.31340000000000001</v>
      </c>
      <c r="I790" s="109">
        <v>0.1865</v>
      </c>
      <c r="J790" s="109">
        <v>0.12820000000000001</v>
      </c>
      <c r="K790" s="109">
        <v>0.17230000000000001</v>
      </c>
      <c r="L790" s="67">
        <v>5000</v>
      </c>
      <c r="M790" s="67">
        <v>500000</v>
      </c>
      <c r="N790" s="105">
        <v>44197</v>
      </c>
      <c r="O790" s="105">
        <v>44377</v>
      </c>
      <c r="P790" t="s">
        <v>718</v>
      </c>
    </row>
    <row r="791" spans="1:16" ht="15" customHeight="1" x14ac:dyDescent="0.3">
      <c r="A791" t="str">
        <f t="shared" si="13"/>
        <v/>
      </c>
      <c r="B791" s="67" t="s">
        <v>13</v>
      </c>
      <c r="C791" s="67">
        <v>13</v>
      </c>
      <c r="D791" s="99" t="s">
        <v>22</v>
      </c>
      <c r="E791" s="67" t="s">
        <v>720</v>
      </c>
      <c r="F791" s="67" t="s">
        <v>18</v>
      </c>
      <c r="G791" s="67" t="s">
        <v>728</v>
      </c>
      <c r="H791" s="127">
        <v>0.31340000000000001</v>
      </c>
      <c r="I791" s="109" t="s">
        <v>717</v>
      </c>
      <c r="J791" s="109">
        <v>0.1285</v>
      </c>
      <c r="K791" s="109" t="s">
        <v>717</v>
      </c>
      <c r="L791" s="67">
        <v>5000</v>
      </c>
      <c r="M791" s="67">
        <v>500000</v>
      </c>
      <c r="N791" s="105">
        <v>44197</v>
      </c>
      <c r="O791" s="105">
        <v>44377</v>
      </c>
      <c r="P791" t="s">
        <v>718</v>
      </c>
    </row>
    <row r="792" spans="1:16" ht="15" customHeight="1" x14ac:dyDescent="0.3">
      <c r="A792" t="str">
        <f t="shared" si="13"/>
        <v>14-3-U-SmartFIX – 3 Year Renewal</v>
      </c>
      <c r="B792" s="67" t="s">
        <v>13</v>
      </c>
      <c r="C792" s="67">
        <v>14</v>
      </c>
      <c r="D792" s="99" t="s">
        <v>23</v>
      </c>
      <c r="E792" s="67" t="s">
        <v>716</v>
      </c>
      <c r="F792" s="67" t="s">
        <v>16</v>
      </c>
      <c r="G792" s="67" t="s">
        <v>728</v>
      </c>
      <c r="H792" s="127">
        <v>0.38650000000000001</v>
      </c>
      <c r="I792" s="109">
        <v>0.15720000000000001</v>
      </c>
      <c r="J792" s="109" t="s">
        <v>717</v>
      </c>
      <c r="K792" s="109" t="s">
        <v>717</v>
      </c>
      <c r="L792" s="67">
        <v>5000</v>
      </c>
      <c r="M792" s="67">
        <v>500000</v>
      </c>
      <c r="N792" s="105">
        <v>44197</v>
      </c>
      <c r="O792" s="105">
        <v>44377</v>
      </c>
      <c r="P792" t="s">
        <v>718</v>
      </c>
    </row>
    <row r="793" spans="1:16" ht="15" customHeight="1" x14ac:dyDescent="0.3">
      <c r="A793" t="str">
        <f t="shared" si="13"/>
        <v>14-4-E7-SmartFIX – 3 Year Renewal</v>
      </c>
      <c r="B793" s="67" t="s">
        <v>13</v>
      </c>
      <c r="C793" s="67">
        <v>14</v>
      </c>
      <c r="D793" s="99" t="s">
        <v>23</v>
      </c>
      <c r="E793" s="67" t="s">
        <v>17</v>
      </c>
      <c r="F793" s="67" t="s">
        <v>18</v>
      </c>
      <c r="G793" s="67" t="s">
        <v>728</v>
      </c>
      <c r="H793" s="127">
        <v>0.38650000000000001</v>
      </c>
      <c r="I793" s="109">
        <v>0.1641</v>
      </c>
      <c r="J793" s="109">
        <v>0.11979999999999999</v>
      </c>
      <c r="K793" s="109" t="s">
        <v>717</v>
      </c>
      <c r="L793" s="67">
        <v>5000</v>
      </c>
      <c r="M793" s="67">
        <v>500000</v>
      </c>
      <c r="N793" s="105">
        <v>44197</v>
      </c>
      <c r="O793" s="105">
        <v>44377</v>
      </c>
      <c r="P793" t="s">
        <v>718</v>
      </c>
    </row>
    <row r="794" spans="1:16" ht="15" customHeight="1" x14ac:dyDescent="0.3">
      <c r="A794" t="str">
        <f t="shared" si="13"/>
        <v>14-3-EW-SmartFIX – 3 Year Renewal</v>
      </c>
      <c r="B794" s="67" t="s">
        <v>13</v>
      </c>
      <c r="C794" s="67">
        <v>14</v>
      </c>
      <c r="D794" s="99" t="s">
        <v>23</v>
      </c>
      <c r="E794" s="67" t="s">
        <v>19</v>
      </c>
      <c r="F794" s="67" t="s">
        <v>16</v>
      </c>
      <c r="G794" s="67" t="s">
        <v>728</v>
      </c>
      <c r="H794" s="127">
        <v>0.38650000000000001</v>
      </c>
      <c r="I794" s="109">
        <v>0.1646</v>
      </c>
      <c r="J794" s="109" t="s">
        <v>717</v>
      </c>
      <c r="K794" s="109">
        <v>0.1462</v>
      </c>
      <c r="L794" s="67">
        <v>5000</v>
      </c>
      <c r="M794" s="67">
        <v>500000</v>
      </c>
      <c r="N794" s="105">
        <v>44197</v>
      </c>
      <c r="O794" s="105">
        <v>44377</v>
      </c>
      <c r="P794" t="s">
        <v>718</v>
      </c>
    </row>
    <row r="795" spans="1:16" ht="15" customHeight="1" x14ac:dyDescent="0.3">
      <c r="A795" t="str">
        <f t="shared" si="13"/>
        <v>14-4-3RATE-SmartFIX – 3 Year Renewal</v>
      </c>
      <c r="B795" s="67" t="s">
        <v>13</v>
      </c>
      <c r="C795" s="67">
        <v>14</v>
      </c>
      <c r="D795" s="99" t="s">
        <v>23</v>
      </c>
      <c r="E795" s="67" t="s">
        <v>719</v>
      </c>
      <c r="F795" s="67" t="s">
        <v>18</v>
      </c>
      <c r="G795" s="67" t="s">
        <v>728</v>
      </c>
      <c r="H795" s="127">
        <v>0.38650000000000001</v>
      </c>
      <c r="I795" s="109">
        <v>0.252</v>
      </c>
      <c r="J795" s="109">
        <v>0.252</v>
      </c>
      <c r="K795" s="109">
        <v>0.252</v>
      </c>
      <c r="L795" s="67">
        <v>5000</v>
      </c>
      <c r="M795" s="67">
        <v>500000</v>
      </c>
      <c r="N795" s="105">
        <v>44197</v>
      </c>
      <c r="O795" s="105">
        <v>44377</v>
      </c>
      <c r="P795" t="s">
        <v>718</v>
      </c>
    </row>
    <row r="796" spans="1:16" ht="15" customHeight="1" x14ac:dyDescent="0.3">
      <c r="A796" t="str">
        <f t="shared" si="13"/>
        <v/>
      </c>
      <c r="B796" s="67" t="s">
        <v>13</v>
      </c>
      <c r="C796" s="67">
        <v>14</v>
      </c>
      <c r="D796" s="99" t="s">
        <v>23</v>
      </c>
      <c r="E796" s="67" t="s">
        <v>720</v>
      </c>
      <c r="F796" s="67" t="s">
        <v>18</v>
      </c>
      <c r="G796" s="67" t="s">
        <v>728</v>
      </c>
      <c r="H796" s="127">
        <v>0.38650000000000001</v>
      </c>
      <c r="I796" s="109" t="s">
        <v>717</v>
      </c>
      <c r="J796" s="109">
        <v>0.1462</v>
      </c>
      <c r="K796" s="109" t="s">
        <v>717</v>
      </c>
      <c r="L796" s="67">
        <v>5000</v>
      </c>
      <c r="M796" s="67">
        <v>500000</v>
      </c>
      <c r="N796" s="105">
        <v>44197</v>
      </c>
      <c r="O796" s="105">
        <v>44377</v>
      </c>
      <c r="P796" t="s">
        <v>718</v>
      </c>
    </row>
    <row r="797" spans="1:16" ht="15" customHeight="1" x14ac:dyDescent="0.3">
      <c r="A797" t="str">
        <f t="shared" si="13"/>
        <v>15-3-U-SmartFIX – 3 Year Renewal</v>
      </c>
      <c r="B797" s="67" t="s">
        <v>13</v>
      </c>
      <c r="C797" s="67">
        <v>15</v>
      </c>
      <c r="D797" s="99" t="s">
        <v>24</v>
      </c>
      <c r="E797" s="67" t="s">
        <v>716</v>
      </c>
      <c r="F797" s="67" t="s">
        <v>16</v>
      </c>
      <c r="G797" s="67" t="s">
        <v>728</v>
      </c>
      <c r="H797" s="127">
        <v>0.3589</v>
      </c>
      <c r="I797" s="109">
        <v>0.15579999999999999</v>
      </c>
      <c r="J797" s="109" t="s">
        <v>717</v>
      </c>
      <c r="K797" s="109" t="s">
        <v>717</v>
      </c>
      <c r="L797" s="67">
        <v>5000</v>
      </c>
      <c r="M797" s="67">
        <v>500000</v>
      </c>
      <c r="N797" s="105">
        <v>44197</v>
      </c>
      <c r="O797" s="105">
        <v>44377</v>
      </c>
      <c r="P797" t="s">
        <v>718</v>
      </c>
    </row>
    <row r="798" spans="1:16" ht="15" customHeight="1" x14ac:dyDescent="0.3">
      <c r="A798" t="str">
        <f t="shared" si="13"/>
        <v>15-4-E7-SmartFIX – 3 Year Renewal</v>
      </c>
      <c r="B798" s="67" t="s">
        <v>13</v>
      </c>
      <c r="C798" s="67">
        <v>15</v>
      </c>
      <c r="D798" s="99" t="s">
        <v>24</v>
      </c>
      <c r="E798" s="67" t="s">
        <v>17</v>
      </c>
      <c r="F798" s="67" t="s">
        <v>18</v>
      </c>
      <c r="G798" s="67" t="s">
        <v>728</v>
      </c>
      <c r="H798" s="127">
        <v>0.3589</v>
      </c>
      <c r="I798" s="109">
        <v>0.16309999999999999</v>
      </c>
      <c r="J798" s="109">
        <v>0.11940000000000001</v>
      </c>
      <c r="K798" s="109" t="s">
        <v>717</v>
      </c>
      <c r="L798" s="67">
        <v>5000</v>
      </c>
      <c r="M798" s="67">
        <v>500000</v>
      </c>
      <c r="N798" s="105">
        <v>44197</v>
      </c>
      <c r="O798" s="105">
        <v>44377</v>
      </c>
      <c r="P798" t="s">
        <v>718</v>
      </c>
    </row>
    <row r="799" spans="1:16" ht="15" customHeight="1" x14ac:dyDescent="0.3">
      <c r="A799" t="str">
        <f t="shared" si="13"/>
        <v>15-3-EW-SmartFIX – 3 Year Renewal</v>
      </c>
      <c r="B799" s="67" t="s">
        <v>13</v>
      </c>
      <c r="C799" s="67">
        <v>15</v>
      </c>
      <c r="D799" s="99" t="s">
        <v>24</v>
      </c>
      <c r="E799" s="67" t="s">
        <v>19</v>
      </c>
      <c r="F799" s="67" t="s">
        <v>16</v>
      </c>
      <c r="G799" s="67" t="s">
        <v>728</v>
      </c>
      <c r="H799" s="127">
        <v>0.3589</v>
      </c>
      <c r="I799" s="109">
        <v>0.1661</v>
      </c>
      <c r="J799" s="109" t="s">
        <v>717</v>
      </c>
      <c r="K799" s="109">
        <v>0.1444</v>
      </c>
      <c r="L799" s="67">
        <v>5000</v>
      </c>
      <c r="M799" s="67">
        <v>500000</v>
      </c>
      <c r="N799" s="105">
        <v>44197</v>
      </c>
      <c r="O799" s="105">
        <v>44377</v>
      </c>
      <c r="P799" t="s">
        <v>718</v>
      </c>
    </row>
    <row r="800" spans="1:16" ht="15" customHeight="1" x14ac:dyDescent="0.3">
      <c r="A800" t="str">
        <f t="shared" si="13"/>
        <v>15-4-3RATE-SmartFIX – 3 Year Renewal</v>
      </c>
      <c r="B800" s="67" t="s">
        <v>13</v>
      </c>
      <c r="C800" s="67">
        <v>15</v>
      </c>
      <c r="D800" s="99" t="s">
        <v>24</v>
      </c>
      <c r="E800" s="67" t="s">
        <v>719</v>
      </c>
      <c r="F800" s="67" t="s">
        <v>18</v>
      </c>
      <c r="G800" s="67" t="s">
        <v>728</v>
      </c>
      <c r="H800" s="127">
        <v>0.3589</v>
      </c>
      <c r="I800" s="109">
        <v>0.252</v>
      </c>
      <c r="J800" s="109">
        <v>0.252</v>
      </c>
      <c r="K800" s="109">
        <v>0.252</v>
      </c>
      <c r="L800" s="67">
        <v>5000</v>
      </c>
      <c r="M800" s="67">
        <v>500000</v>
      </c>
      <c r="N800" s="105">
        <v>44197</v>
      </c>
      <c r="O800" s="105">
        <v>44377</v>
      </c>
      <c r="P800" t="s">
        <v>718</v>
      </c>
    </row>
    <row r="801" spans="1:16" ht="15" customHeight="1" x14ac:dyDescent="0.3">
      <c r="A801" t="str">
        <f t="shared" si="13"/>
        <v/>
      </c>
      <c r="B801" s="67" t="s">
        <v>13</v>
      </c>
      <c r="C801" s="67">
        <v>15</v>
      </c>
      <c r="D801" s="99" t="s">
        <v>24</v>
      </c>
      <c r="E801" s="67" t="s">
        <v>720</v>
      </c>
      <c r="F801" s="67" t="s">
        <v>18</v>
      </c>
      <c r="G801" s="67" t="s">
        <v>728</v>
      </c>
      <c r="H801" s="127">
        <v>0.3589</v>
      </c>
      <c r="I801" s="109" t="s">
        <v>717</v>
      </c>
      <c r="J801" s="109">
        <v>0.1444</v>
      </c>
      <c r="K801" s="109" t="s">
        <v>717</v>
      </c>
      <c r="L801" s="67">
        <v>5000</v>
      </c>
      <c r="M801" s="67">
        <v>500000</v>
      </c>
      <c r="N801" s="105">
        <v>44197</v>
      </c>
      <c r="O801" s="105">
        <v>44377</v>
      </c>
      <c r="P801" t="s">
        <v>718</v>
      </c>
    </row>
    <row r="802" spans="1:16" ht="15" customHeight="1" x14ac:dyDescent="0.3">
      <c r="A802" t="str">
        <f t="shared" si="13"/>
        <v>16-3-U-SmartFIX – 3 Year Renewal</v>
      </c>
      <c r="B802" s="67" t="s">
        <v>13</v>
      </c>
      <c r="C802" s="67">
        <v>16</v>
      </c>
      <c r="D802" s="99" t="s">
        <v>25</v>
      </c>
      <c r="E802" s="67" t="s">
        <v>716</v>
      </c>
      <c r="F802" s="67" t="s">
        <v>16</v>
      </c>
      <c r="G802" s="67" t="s">
        <v>728</v>
      </c>
      <c r="H802" s="127">
        <v>0.30370000000000003</v>
      </c>
      <c r="I802" s="109">
        <v>0.15720000000000001</v>
      </c>
      <c r="J802" s="109" t="s">
        <v>717</v>
      </c>
      <c r="K802" s="109" t="s">
        <v>717</v>
      </c>
      <c r="L802" s="67">
        <v>5000</v>
      </c>
      <c r="M802" s="67">
        <v>500000</v>
      </c>
      <c r="N802" s="105">
        <v>44197</v>
      </c>
      <c r="O802" s="105">
        <v>44377</v>
      </c>
      <c r="P802" t="s">
        <v>718</v>
      </c>
    </row>
    <row r="803" spans="1:16" ht="15" customHeight="1" x14ac:dyDescent="0.3">
      <c r="A803" t="str">
        <f t="shared" si="13"/>
        <v>16-4-E7-SmartFIX – 3 Year Renewal</v>
      </c>
      <c r="B803" s="67" t="s">
        <v>13</v>
      </c>
      <c r="C803" s="67">
        <v>16</v>
      </c>
      <c r="D803" s="99" t="s">
        <v>25</v>
      </c>
      <c r="E803" s="67" t="s">
        <v>17</v>
      </c>
      <c r="F803" s="67" t="s">
        <v>18</v>
      </c>
      <c r="G803" s="67" t="s">
        <v>728</v>
      </c>
      <c r="H803" s="127">
        <v>0.30370000000000003</v>
      </c>
      <c r="I803" s="109">
        <v>0.16370000000000001</v>
      </c>
      <c r="J803" s="109">
        <v>0.11799999999999999</v>
      </c>
      <c r="K803" s="109" t="s">
        <v>717</v>
      </c>
      <c r="L803" s="67">
        <v>5000</v>
      </c>
      <c r="M803" s="67">
        <v>500000</v>
      </c>
      <c r="N803" s="105">
        <v>44197</v>
      </c>
      <c r="O803" s="105">
        <v>44377</v>
      </c>
      <c r="P803" t="s">
        <v>718</v>
      </c>
    </row>
    <row r="804" spans="1:16" ht="15" customHeight="1" x14ac:dyDescent="0.3">
      <c r="A804" t="str">
        <f t="shared" si="13"/>
        <v>16-3-EW-SmartFIX – 3 Year Renewal</v>
      </c>
      <c r="B804" s="67" t="s">
        <v>13</v>
      </c>
      <c r="C804" s="67">
        <v>16</v>
      </c>
      <c r="D804" s="99" t="s">
        <v>25</v>
      </c>
      <c r="E804" s="67" t="s">
        <v>19</v>
      </c>
      <c r="F804" s="67" t="s">
        <v>16</v>
      </c>
      <c r="G804" s="67" t="s">
        <v>728</v>
      </c>
      <c r="H804" s="127">
        <v>0.30370000000000003</v>
      </c>
      <c r="I804" s="109">
        <v>0.16720000000000002</v>
      </c>
      <c r="J804" s="109" t="s">
        <v>717</v>
      </c>
      <c r="K804" s="109">
        <v>0.14510000000000001</v>
      </c>
      <c r="L804" s="67">
        <v>5000</v>
      </c>
      <c r="M804" s="67">
        <v>500000</v>
      </c>
      <c r="N804" s="105">
        <v>44197</v>
      </c>
      <c r="O804" s="105">
        <v>44377</v>
      </c>
      <c r="P804" t="s">
        <v>718</v>
      </c>
    </row>
    <row r="805" spans="1:16" ht="15" customHeight="1" x14ac:dyDescent="0.3">
      <c r="A805" t="str">
        <f t="shared" si="13"/>
        <v>16-4-3RATE-SmartFIX – 3 Year Renewal</v>
      </c>
      <c r="B805" s="67" t="s">
        <v>13</v>
      </c>
      <c r="C805" s="67">
        <v>16</v>
      </c>
      <c r="D805" s="99" t="s">
        <v>25</v>
      </c>
      <c r="E805" s="67" t="s">
        <v>719</v>
      </c>
      <c r="F805" s="67" t="s">
        <v>18</v>
      </c>
      <c r="G805" s="67" t="s">
        <v>728</v>
      </c>
      <c r="H805" s="127">
        <v>0.30370000000000003</v>
      </c>
      <c r="I805" s="109">
        <v>0.1729</v>
      </c>
      <c r="J805" s="109">
        <v>0.11749999999999999</v>
      </c>
      <c r="K805" s="109">
        <v>0.1474</v>
      </c>
      <c r="L805" s="67">
        <v>5000</v>
      </c>
      <c r="M805" s="67">
        <v>500000</v>
      </c>
      <c r="N805" s="105">
        <v>44197</v>
      </c>
      <c r="O805" s="105">
        <v>44377</v>
      </c>
      <c r="P805" t="s">
        <v>718</v>
      </c>
    </row>
    <row r="806" spans="1:16" ht="15" customHeight="1" x14ac:dyDescent="0.3">
      <c r="A806" t="str">
        <f t="shared" si="13"/>
        <v/>
      </c>
      <c r="B806" s="67" t="s">
        <v>13</v>
      </c>
      <c r="C806" s="67">
        <v>16</v>
      </c>
      <c r="D806" s="99" t="s">
        <v>25</v>
      </c>
      <c r="E806" s="67" t="s">
        <v>720</v>
      </c>
      <c r="F806" s="67" t="s">
        <v>18</v>
      </c>
      <c r="G806" s="67" t="s">
        <v>728</v>
      </c>
      <c r="H806" s="127">
        <v>0.30370000000000003</v>
      </c>
      <c r="I806" s="109" t="s">
        <v>717</v>
      </c>
      <c r="J806" s="109">
        <v>0.14510000000000001</v>
      </c>
      <c r="K806" s="109" t="s">
        <v>717</v>
      </c>
      <c r="L806" s="67">
        <v>5000</v>
      </c>
      <c r="M806" s="67">
        <v>500000</v>
      </c>
      <c r="N806" s="105">
        <v>44197</v>
      </c>
      <c r="O806" s="105">
        <v>44377</v>
      </c>
      <c r="P806" t="s">
        <v>718</v>
      </c>
    </row>
    <row r="807" spans="1:16" ht="15" customHeight="1" x14ac:dyDescent="0.3">
      <c r="A807" t="str">
        <f t="shared" si="13"/>
        <v>17-3-U-SmartFIX – 3 Year Renewal</v>
      </c>
      <c r="B807" s="67" t="s">
        <v>13</v>
      </c>
      <c r="C807" s="67">
        <v>17</v>
      </c>
      <c r="D807" s="99" t="s">
        <v>26</v>
      </c>
      <c r="E807" s="67" t="s">
        <v>716</v>
      </c>
      <c r="F807" s="67" t="s">
        <v>16</v>
      </c>
      <c r="G807" s="67" t="s">
        <v>728</v>
      </c>
      <c r="H807" s="127">
        <v>0.40010000000000001</v>
      </c>
      <c r="I807" s="109">
        <v>0.16390000000000002</v>
      </c>
      <c r="J807" s="109" t="s">
        <v>717</v>
      </c>
      <c r="K807" s="109" t="s">
        <v>717</v>
      </c>
      <c r="L807" s="67">
        <v>5000</v>
      </c>
      <c r="M807" s="67">
        <v>500000</v>
      </c>
      <c r="N807" s="105">
        <v>44197</v>
      </c>
      <c r="O807" s="105">
        <v>44377</v>
      </c>
      <c r="P807" t="s">
        <v>718</v>
      </c>
    </row>
    <row r="808" spans="1:16" ht="15" customHeight="1" x14ac:dyDescent="0.3">
      <c r="A808" t="str">
        <f t="shared" si="13"/>
        <v>17-4-E7-SmartFIX – 3 Year Renewal</v>
      </c>
      <c r="B808" s="67" t="s">
        <v>13</v>
      </c>
      <c r="C808" s="67">
        <v>17</v>
      </c>
      <c r="D808" s="99" t="s">
        <v>26</v>
      </c>
      <c r="E808" s="67" t="s">
        <v>17</v>
      </c>
      <c r="F808" s="67" t="s">
        <v>18</v>
      </c>
      <c r="G808" s="67" t="s">
        <v>728</v>
      </c>
      <c r="H808" s="127">
        <v>0.40010000000000001</v>
      </c>
      <c r="I808" s="109">
        <v>0.17280000000000001</v>
      </c>
      <c r="J808" s="109">
        <v>0.1278</v>
      </c>
      <c r="K808" s="109" t="s">
        <v>717</v>
      </c>
      <c r="L808" s="67">
        <v>5000</v>
      </c>
      <c r="M808" s="67">
        <v>500000</v>
      </c>
      <c r="N808" s="105">
        <v>44197</v>
      </c>
      <c r="O808" s="105">
        <v>44377</v>
      </c>
      <c r="P808" t="s">
        <v>718</v>
      </c>
    </row>
    <row r="809" spans="1:16" ht="15" customHeight="1" x14ac:dyDescent="0.3">
      <c r="A809" t="str">
        <f t="shared" si="13"/>
        <v>17-3-EW-SmartFIX – 3 Year Renewal</v>
      </c>
      <c r="B809" s="67" t="s">
        <v>13</v>
      </c>
      <c r="C809" s="67">
        <v>17</v>
      </c>
      <c r="D809" s="99" t="s">
        <v>26</v>
      </c>
      <c r="E809" s="67" t="s">
        <v>19</v>
      </c>
      <c r="F809" s="67" t="s">
        <v>16</v>
      </c>
      <c r="G809" s="67" t="s">
        <v>728</v>
      </c>
      <c r="H809" s="127">
        <v>0.40010000000000001</v>
      </c>
      <c r="I809" s="109">
        <v>0.1716</v>
      </c>
      <c r="J809" s="109" t="s">
        <v>717</v>
      </c>
      <c r="K809" s="109">
        <v>0.15380000000000002</v>
      </c>
      <c r="L809" s="67">
        <v>5000</v>
      </c>
      <c r="M809" s="67">
        <v>500000</v>
      </c>
      <c r="N809" s="105">
        <v>44197</v>
      </c>
      <c r="O809" s="105">
        <v>44377</v>
      </c>
      <c r="P809" t="s">
        <v>718</v>
      </c>
    </row>
    <row r="810" spans="1:16" ht="15" customHeight="1" x14ac:dyDescent="0.3">
      <c r="A810" t="str">
        <f t="shared" si="13"/>
        <v>17-4-3RATE-SmartFIX – 3 Year Renewal</v>
      </c>
      <c r="B810" s="67" t="s">
        <v>13</v>
      </c>
      <c r="C810" s="67">
        <v>17</v>
      </c>
      <c r="D810" s="99" t="s">
        <v>26</v>
      </c>
      <c r="E810" s="67" t="s">
        <v>719</v>
      </c>
      <c r="F810" s="67" t="s">
        <v>18</v>
      </c>
      <c r="G810" s="67" t="s">
        <v>728</v>
      </c>
      <c r="H810" s="127">
        <v>0.40010000000000001</v>
      </c>
      <c r="I810" s="109">
        <v>0.252</v>
      </c>
      <c r="J810" s="109">
        <v>0.252</v>
      </c>
      <c r="K810" s="109">
        <v>0.252</v>
      </c>
      <c r="L810" s="67">
        <v>5000</v>
      </c>
      <c r="M810" s="67">
        <v>500000</v>
      </c>
      <c r="N810" s="105">
        <v>44197</v>
      </c>
      <c r="O810" s="105">
        <v>44377</v>
      </c>
      <c r="P810" t="s">
        <v>718</v>
      </c>
    </row>
    <row r="811" spans="1:16" ht="15" customHeight="1" x14ac:dyDescent="0.3">
      <c r="A811" t="str">
        <f t="shared" si="13"/>
        <v/>
      </c>
      <c r="B811" s="67" t="s">
        <v>13</v>
      </c>
      <c r="C811" s="67">
        <v>17</v>
      </c>
      <c r="D811" s="99" t="s">
        <v>26</v>
      </c>
      <c r="E811" s="67" t="s">
        <v>720</v>
      </c>
      <c r="F811" s="67" t="s">
        <v>18</v>
      </c>
      <c r="G811" s="67" t="s">
        <v>728</v>
      </c>
      <c r="H811" s="127">
        <v>0.40010000000000001</v>
      </c>
      <c r="I811" s="109" t="s">
        <v>717</v>
      </c>
      <c r="J811" s="109">
        <v>0.15380000000000002</v>
      </c>
      <c r="K811" s="109" t="s">
        <v>717</v>
      </c>
      <c r="L811" s="67">
        <v>5000</v>
      </c>
      <c r="M811" s="67">
        <v>500000</v>
      </c>
      <c r="N811" s="105">
        <v>44197</v>
      </c>
      <c r="O811" s="105">
        <v>44377</v>
      </c>
      <c r="P811" t="s">
        <v>718</v>
      </c>
    </row>
    <row r="812" spans="1:16" ht="15" customHeight="1" x14ac:dyDescent="0.3">
      <c r="A812" t="str">
        <f t="shared" si="13"/>
        <v>18-3-U-SmartFIX – 3 Year Renewal</v>
      </c>
      <c r="B812" s="67" t="s">
        <v>13</v>
      </c>
      <c r="C812" s="67">
        <v>18</v>
      </c>
      <c r="D812" s="99" t="s">
        <v>27</v>
      </c>
      <c r="E812" s="67" t="s">
        <v>716</v>
      </c>
      <c r="F812" s="67" t="s">
        <v>16</v>
      </c>
      <c r="G812" s="67" t="s">
        <v>728</v>
      </c>
      <c r="H812" s="127">
        <v>0.34899999999999998</v>
      </c>
      <c r="I812" s="109">
        <v>0.15679999999999999</v>
      </c>
      <c r="J812" s="109" t="s">
        <v>717</v>
      </c>
      <c r="K812" s="109" t="s">
        <v>717</v>
      </c>
      <c r="L812" s="67">
        <v>5000</v>
      </c>
      <c r="M812" s="67">
        <v>500000</v>
      </c>
      <c r="N812" s="105">
        <v>44197</v>
      </c>
      <c r="O812" s="105">
        <v>44377</v>
      </c>
      <c r="P812" t="s">
        <v>718</v>
      </c>
    </row>
    <row r="813" spans="1:16" ht="15" customHeight="1" x14ac:dyDescent="0.3">
      <c r="A813" t="str">
        <f t="shared" si="13"/>
        <v>18-4-E7-SmartFIX – 3 Year Renewal</v>
      </c>
      <c r="B813" s="67" t="s">
        <v>13</v>
      </c>
      <c r="C813" s="67">
        <v>18</v>
      </c>
      <c r="D813" s="99" t="s">
        <v>27</v>
      </c>
      <c r="E813" s="67" t="s">
        <v>17</v>
      </c>
      <c r="F813" s="67" t="s">
        <v>18</v>
      </c>
      <c r="G813" s="67" t="s">
        <v>728</v>
      </c>
      <c r="H813" s="127">
        <v>0.34899999999999998</v>
      </c>
      <c r="I813" s="109">
        <v>0.17030000000000001</v>
      </c>
      <c r="J813" s="109">
        <v>0.1258</v>
      </c>
      <c r="K813" s="109" t="s">
        <v>717</v>
      </c>
      <c r="L813" s="67">
        <v>5000</v>
      </c>
      <c r="M813" s="67">
        <v>500000</v>
      </c>
      <c r="N813" s="105">
        <v>44197</v>
      </c>
      <c r="O813" s="105">
        <v>44377</v>
      </c>
      <c r="P813" t="s">
        <v>718</v>
      </c>
    </row>
    <row r="814" spans="1:16" ht="15" customHeight="1" x14ac:dyDescent="0.3">
      <c r="A814" t="str">
        <f t="shared" si="13"/>
        <v>18-3-EW-SmartFIX – 3 Year Renewal</v>
      </c>
      <c r="B814" s="67" t="s">
        <v>13</v>
      </c>
      <c r="C814" s="67">
        <v>18</v>
      </c>
      <c r="D814" s="99" t="s">
        <v>27</v>
      </c>
      <c r="E814" s="67" t="s">
        <v>19</v>
      </c>
      <c r="F814" s="67" t="s">
        <v>16</v>
      </c>
      <c r="G814" s="67" t="s">
        <v>728</v>
      </c>
      <c r="H814" s="127">
        <v>0.34899999999999998</v>
      </c>
      <c r="I814" s="109">
        <v>0.1646</v>
      </c>
      <c r="J814" s="109" t="s">
        <v>717</v>
      </c>
      <c r="K814" s="109">
        <v>0.14560000000000001</v>
      </c>
      <c r="L814" s="67">
        <v>5000</v>
      </c>
      <c r="M814" s="67">
        <v>500000</v>
      </c>
      <c r="N814" s="105">
        <v>44197</v>
      </c>
      <c r="O814" s="105">
        <v>44377</v>
      </c>
      <c r="P814" t="s">
        <v>718</v>
      </c>
    </row>
    <row r="815" spans="1:16" ht="15" customHeight="1" x14ac:dyDescent="0.3">
      <c r="A815" t="str">
        <f t="shared" si="13"/>
        <v>18-4-3RATE-SmartFIX – 3 Year Renewal</v>
      </c>
      <c r="B815" s="67" t="s">
        <v>13</v>
      </c>
      <c r="C815" s="67">
        <v>18</v>
      </c>
      <c r="D815" s="99" t="s">
        <v>27</v>
      </c>
      <c r="E815" s="67" t="s">
        <v>719</v>
      </c>
      <c r="F815" s="67" t="s">
        <v>18</v>
      </c>
      <c r="G815" s="67" t="s">
        <v>728</v>
      </c>
      <c r="H815" s="127">
        <v>0.34899999999999998</v>
      </c>
      <c r="I815" s="109">
        <v>0.252</v>
      </c>
      <c r="J815" s="109">
        <v>0.252</v>
      </c>
      <c r="K815" s="109">
        <v>0.252</v>
      </c>
      <c r="L815" s="67">
        <v>5000</v>
      </c>
      <c r="M815" s="67">
        <v>500000</v>
      </c>
      <c r="N815" s="105">
        <v>44197</v>
      </c>
      <c r="O815" s="105">
        <v>44377</v>
      </c>
      <c r="P815" t="s">
        <v>718</v>
      </c>
    </row>
    <row r="816" spans="1:16" ht="15" customHeight="1" x14ac:dyDescent="0.3">
      <c r="A816" t="str">
        <f t="shared" si="13"/>
        <v/>
      </c>
      <c r="B816" s="67" t="s">
        <v>13</v>
      </c>
      <c r="C816" s="67">
        <v>18</v>
      </c>
      <c r="D816" s="99" t="s">
        <v>27</v>
      </c>
      <c r="E816" s="67" t="s">
        <v>720</v>
      </c>
      <c r="F816" s="67" t="s">
        <v>18</v>
      </c>
      <c r="G816" s="67" t="s">
        <v>728</v>
      </c>
      <c r="H816" s="127">
        <v>0.34899999999999998</v>
      </c>
      <c r="I816" s="109" t="s">
        <v>717</v>
      </c>
      <c r="J816" s="109">
        <v>0.14560000000000001</v>
      </c>
      <c r="K816" s="109" t="s">
        <v>717</v>
      </c>
      <c r="L816" s="67">
        <v>5000</v>
      </c>
      <c r="M816" s="67">
        <v>500000</v>
      </c>
      <c r="N816" s="105">
        <v>44197</v>
      </c>
      <c r="O816" s="105">
        <v>44377</v>
      </c>
      <c r="P816" t="s">
        <v>718</v>
      </c>
    </row>
    <row r="817" spans="1:16" ht="15" customHeight="1" x14ac:dyDescent="0.3">
      <c r="A817" t="str">
        <f t="shared" si="13"/>
        <v>19-3-U-SmartFIX – 3 Year Renewal</v>
      </c>
      <c r="B817" s="67" t="s">
        <v>13</v>
      </c>
      <c r="C817" s="67">
        <v>19</v>
      </c>
      <c r="D817" s="99" t="s">
        <v>28</v>
      </c>
      <c r="E817" s="67" t="s">
        <v>716</v>
      </c>
      <c r="F817" s="67" t="s">
        <v>16</v>
      </c>
      <c r="G817" s="67" t="s">
        <v>728</v>
      </c>
      <c r="H817" s="127">
        <v>0.33169999999999999</v>
      </c>
      <c r="I817" s="109">
        <v>0.1542</v>
      </c>
      <c r="J817" s="109" t="s">
        <v>717</v>
      </c>
      <c r="K817" s="109" t="s">
        <v>717</v>
      </c>
      <c r="L817" s="67">
        <v>5000</v>
      </c>
      <c r="M817" s="67">
        <v>500000</v>
      </c>
      <c r="N817" s="105">
        <v>44197</v>
      </c>
      <c r="O817" s="105">
        <v>44377</v>
      </c>
      <c r="P817" t="s">
        <v>718</v>
      </c>
    </row>
    <row r="818" spans="1:16" ht="15" customHeight="1" x14ac:dyDescent="0.3">
      <c r="A818" t="str">
        <f t="shared" si="13"/>
        <v>19-4-E7-SmartFIX – 3 Year Renewal</v>
      </c>
      <c r="B818" s="67" t="s">
        <v>13</v>
      </c>
      <c r="C818" s="67">
        <v>19</v>
      </c>
      <c r="D818" s="99" t="s">
        <v>28</v>
      </c>
      <c r="E818" s="67" t="s">
        <v>17</v>
      </c>
      <c r="F818" s="67" t="s">
        <v>18</v>
      </c>
      <c r="G818" s="67" t="s">
        <v>728</v>
      </c>
      <c r="H818" s="127">
        <v>0.33169999999999999</v>
      </c>
      <c r="I818" s="109">
        <v>0.1671</v>
      </c>
      <c r="J818" s="109">
        <v>0.1174</v>
      </c>
      <c r="K818" s="109" t="s">
        <v>717</v>
      </c>
      <c r="L818" s="67">
        <v>5000</v>
      </c>
      <c r="M818" s="67">
        <v>500000</v>
      </c>
      <c r="N818" s="105">
        <v>44197</v>
      </c>
      <c r="O818" s="105">
        <v>44377</v>
      </c>
      <c r="P818" t="s">
        <v>718</v>
      </c>
    </row>
    <row r="819" spans="1:16" ht="15" customHeight="1" x14ac:dyDescent="0.3">
      <c r="A819" t="str">
        <f t="shared" si="13"/>
        <v>19-3-EW-SmartFIX – 3 Year Renewal</v>
      </c>
      <c r="B819" s="67" t="s">
        <v>13</v>
      </c>
      <c r="C819" s="67">
        <v>19</v>
      </c>
      <c r="D819" s="99" t="s">
        <v>28</v>
      </c>
      <c r="E819" s="67" t="s">
        <v>19</v>
      </c>
      <c r="F819" s="67" t="s">
        <v>16</v>
      </c>
      <c r="G819" s="67" t="s">
        <v>728</v>
      </c>
      <c r="H819" s="127">
        <v>0.33169999999999999</v>
      </c>
      <c r="I819" s="109">
        <v>0.252</v>
      </c>
      <c r="J819" s="109" t="s">
        <v>717</v>
      </c>
      <c r="K819" s="109">
        <v>0.252</v>
      </c>
      <c r="L819" s="67">
        <v>5000</v>
      </c>
      <c r="M819" s="67">
        <v>500000</v>
      </c>
      <c r="N819" s="105">
        <v>44197</v>
      </c>
      <c r="O819" s="105">
        <v>44377</v>
      </c>
      <c r="P819" t="s">
        <v>718</v>
      </c>
    </row>
    <row r="820" spans="1:16" ht="15" customHeight="1" x14ac:dyDescent="0.3">
      <c r="A820" t="str">
        <f t="shared" si="13"/>
        <v>19-4-3RATE-SmartFIX – 3 Year Renewal</v>
      </c>
      <c r="B820" s="67" t="s">
        <v>13</v>
      </c>
      <c r="C820" s="67">
        <v>19</v>
      </c>
      <c r="D820" s="99" t="s">
        <v>28</v>
      </c>
      <c r="E820" s="67" t="s">
        <v>719</v>
      </c>
      <c r="F820" s="67" t="s">
        <v>18</v>
      </c>
      <c r="G820" s="67" t="s">
        <v>728</v>
      </c>
      <c r="H820" s="127">
        <v>0.33169999999999999</v>
      </c>
      <c r="I820" s="109">
        <v>0.17280000000000001</v>
      </c>
      <c r="J820" s="109">
        <v>0.11660000000000001</v>
      </c>
      <c r="K820" s="109">
        <v>0.16060000000000002</v>
      </c>
      <c r="L820" s="67">
        <v>5000</v>
      </c>
      <c r="M820" s="67">
        <v>500000</v>
      </c>
      <c r="N820" s="105">
        <v>44197</v>
      </c>
      <c r="O820" s="105">
        <v>44377</v>
      </c>
      <c r="P820" t="s">
        <v>718</v>
      </c>
    </row>
    <row r="821" spans="1:16" ht="15" customHeight="1" x14ac:dyDescent="0.3">
      <c r="A821" t="str">
        <f t="shared" si="13"/>
        <v/>
      </c>
      <c r="B821" s="67" t="s">
        <v>13</v>
      </c>
      <c r="C821" s="67">
        <v>19</v>
      </c>
      <c r="D821" s="99" t="s">
        <v>28</v>
      </c>
      <c r="E821" s="67" t="s">
        <v>720</v>
      </c>
      <c r="F821" s="67" t="s">
        <v>18</v>
      </c>
      <c r="G821" s="67" t="s">
        <v>728</v>
      </c>
      <c r="H821" s="127">
        <v>0.33169999999999999</v>
      </c>
      <c r="I821" s="109" t="s">
        <v>717</v>
      </c>
      <c r="J821" s="109">
        <v>0.1174</v>
      </c>
      <c r="K821" s="109" t="s">
        <v>717</v>
      </c>
      <c r="L821" s="67">
        <v>5000</v>
      </c>
      <c r="M821" s="67">
        <v>500000</v>
      </c>
      <c r="N821" s="105">
        <v>44197</v>
      </c>
      <c r="O821" s="105">
        <v>44377</v>
      </c>
      <c r="P821" t="s">
        <v>718</v>
      </c>
    </row>
    <row r="822" spans="1:16" ht="15" customHeight="1" x14ac:dyDescent="0.3">
      <c r="A822" t="str">
        <f t="shared" si="13"/>
        <v>20-3-U-SmartFIX – 3 Year Renewal</v>
      </c>
      <c r="B822" s="67" t="s">
        <v>13</v>
      </c>
      <c r="C822" s="67">
        <v>20</v>
      </c>
      <c r="D822" s="99" t="s">
        <v>29</v>
      </c>
      <c r="E822" s="67" t="s">
        <v>716</v>
      </c>
      <c r="F822" s="67" t="s">
        <v>16</v>
      </c>
      <c r="G822" s="67" t="s">
        <v>728</v>
      </c>
      <c r="H822" s="127">
        <v>0.32879999999999998</v>
      </c>
      <c r="I822" s="109">
        <v>0.15330000000000002</v>
      </c>
      <c r="J822" s="109" t="s">
        <v>717</v>
      </c>
      <c r="K822" s="109" t="s">
        <v>717</v>
      </c>
      <c r="L822" s="67">
        <v>5000</v>
      </c>
      <c r="M822" s="67">
        <v>500000</v>
      </c>
      <c r="N822" s="105">
        <v>44197</v>
      </c>
      <c r="O822" s="105">
        <v>44377</v>
      </c>
      <c r="P822" t="s">
        <v>718</v>
      </c>
    </row>
    <row r="823" spans="1:16" ht="15" customHeight="1" x14ac:dyDescent="0.3">
      <c r="A823" t="str">
        <f t="shared" si="13"/>
        <v>20-4-E7-SmartFIX – 3 Year Renewal</v>
      </c>
      <c r="B823" s="67" t="s">
        <v>13</v>
      </c>
      <c r="C823" s="67">
        <v>20</v>
      </c>
      <c r="D823" s="99" t="s">
        <v>29</v>
      </c>
      <c r="E823" s="67" t="s">
        <v>17</v>
      </c>
      <c r="F823" s="67" t="s">
        <v>18</v>
      </c>
      <c r="G823" s="67" t="s">
        <v>728</v>
      </c>
      <c r="H823" s="127">
        <v>0.32879999999999998</v>
      </c>
      <c r="I823" s="109">
        <v>0.1686</v>
      </c>
      <c r="J823" s="109">
        <v>0.12090000000000001</v>
      </c>
      <c r="K823" s="109" t="s">
        <v>717</v>
      </c>
      <c r="L823" s="67">
        <v>5000</v>
      </c>
      <c r="M823" s="67">
        <v>500000</v>
      </c>
      <c r="N823" s="105">
        <v>44197</v>
      </c>
      <c r="O823" s="105">
        <v>44377</v>
      </c>
      <c r="P823" t="s">
        <v>718</v>
      </c>
    </row>
    <row r="824" spans="1:16" ht="15" customHeight="1" x14ac:dyDescent="0.3">
      <c r="A824" t="str">
        <f t="shared" si="13"/>
        <v>20-3-EW-SmartFIX – 3 Year Renewal</v>
      </c>
      <c r="B824" s="67" t="s">
        <v>13</v>
      </c>
      <c r="C824" s="67">
        <v>20</v>
      </c>
      <c r="D824" s="99" t="s">
        <v>29</v>
      </c>
      <c r="E824" s="67" t="s">
        <v>19</v>
      </c>
      <c r="F824" s="67" t="s">
        <v>16</v>
      </c>
      <c r="G824" s="67" t="s">
        <v>728</v>
      </c>
      <c r="H824" s="127">
        <v>0.32879999999999998</v>
      </c>
      <c r="I824" s="109">
        <v>0.16259999999999999</v>
      </c>
      <c r="J824" s="109" t="s">
        <v>717</v>
      </c>
      <c r="K824" s="109">
        <v>0.14070000000000002</v>
      </c>
      <c r="L824" s="67">
        <v>5000</v>
      </c>
      <c r="M824" s="67">
        <v>500000</v>
      </c>
      <c r="N824" s="105">
        <v>44197</v>
      </c>
      <c r="O824" s="105">
        <v>44377</v>
      </c>
      <c r="P824" t="s">
        <v>718</v>
      </c>
    </row>
    <row r="825" spans="1:16" ht="15" customHeight="1" x14ac:dyDescent="0.3">
      <c r="A825" t="str">
        <f t="shared" si="13"/>
        <v>20-4-3RATE-SmartFIX – 3 Year Renewal</v>
      </c>
      <c r="B825" s="67" t="s">
        <v>13</v>
      </c>
      <c r="C825" s="67">
        <v>20</v>
      </c>
      <c r="D825" s="99" t="s">
        <v>29</v>
      </c>
      <c r="E825" s="67" t="s">
        <v>719</v>
      </c>
      <c r="F825" s="67" t="s">
        <v>18</v>
      </c>
      <c r="G825" s="67" t="s">
        <v>728</v>
      </c>
      <c r="H825" s="127">
        <v>0.32879999999999998</v>
      </c>
      <c r="I825" s="109">
        <v>0.1739</v>
      </c>
      <c r="J825" s="109">
        <v>0.12110000000000001</v>
      </c>
      <c r="K825" s="109">
        <v>0.15480000000000002</v>
      </c>
      <c r="L825" s="67">
        <v>5000</v>
      </c>
      <c r="M825" s="67">
        <v>500000</v>
      </c>
      <c r="N825" s="105">
        <v>44197</v>
      </c>
      <c r="O825" s="105">
        <v>44377</v>
      </c>
      <c r="P825" t="s">
        <v>718</v>
      </c>
    </row>
    <row r="826" spans="1:16" ht="15" customHeight="1" x14ac:dyDescent="0.3">
      <c r="A826" t="str">
        <f t="shared" si="13"/>
        <v/>
      </c>
      <c r="B826" s="67" t="s">
        <v>13</v>
      </c>
      <c r="C826" s="67">
        <v>20</v>
      </c>
      <c r="D826" s="99" t="s">
        <v>29</v>
      </c>
      <c r="E826" s="67" t="s">
        <v>720</v>
      </c>
      <c r="F826" s="67" t="s">
        <v>18</v>
      </c>
      <c r="G826" s="67" t="s">
        <v>728</v>
      </c>
      <c r="H826" s="127">
        <v>0.32879999999999998</v>
      </c>
      <c r="I826" s="109" t="s">
        <v>717</v>
      </c>
      <c r="J826" s="109">
        <v>0.14070000000000002</v>
      </c>
      <c r="K826" s="109" t="s">
        <v>717</v>
      </c>
      <c r="L826" s="67">
        <v>5000</v>
      </c>
      <c r="M826" s="67">
        <v>500000</v>
      </c>
      <c r="N826" s="105">
        <v>44197</v>
      </c>
      <c r="O826" s="105">
        <v>44377</v>
      </c>
      <c r="P826" t="s">
        <v>718</v>
      </c>
    </row>
    <row r="827" spans="1:16" ht="15" customHeight="1" x14ac:dyDescent="0.3">
      <c r="A827" t="str">
        <f t="shared" si="13"/>
        <v>21-3-U-SmartFIX – 3 Year Renewal</v>
      </c>
      <c r="B827" s="67" t="s">
        <v>13</v>
      </c>
      <c r="C827" s="67">
        <v>21</v>
      </c>
      <c r="D827" s="99" t="s">
        <v>30</v>
      </c>
      <c r="E827" s="67" t="s">
        <v>716</v>
      </c>
      <c r="F827" s="67" t="s">
        <v>16</v>
      </c>
      <c r="G827" s="67" t="s">
        <v>728</v>
      </c>
      <c r="H827" s="127">
        <v>0.4551</v>
      </c>
      <c r="I827" s="109">
        <v>0.15430000000000002</v>
      </c>
      <c r="J827" s="109" t="s">
        <v>717</v>
      </c>
      <c r="K827" s="109" t="s">
        <v>717</v>
      </c>
      <c r="L827" s="67">
        <v>5000</v>
      </c>
      <c r="M827" s="67">
        <v>500000</v>
      </c>
      <c r="N827" s="105">
        <v>44197</v>
      </c>
      <c r="O827" s="105">
        <v>44377</v>
      </c>
      <c r="P827" t="s">
        <v>718</v>
      </c>
    </row>
    <row r="828" spans="1:16" ht="15" customHeight="1" x14ac:dyDescent="0.3">
      <c r="A828" t="str">
        <f t="shared" si="13"/>
        <v>21-4-E7-SmartFIX – 3 Year Renewal</v>
      </c>
      <c r="B828" s="67" t="s">
        <v>13</v>
      </c>
      <c r="C828" s="67">
        <v>21</v>
      </c>
      <c r="D828" s="99" t="s">
        <v>30</v>
      </c>
      <c r="E828" s="67" t="s">
        <v>17</v>
      </c>
      <c r="F828" s="67" t="s">
        <v>18</v>
      </c>
      <c r="G828" s="67" t="s">
        <v>728</v>
      </c>
      <c r="H828" s="127">
        <v>0.4551</v>
      </c>
      <c r="I828" s="109">
        <v>0.16420000000000001</v>
      </c>
      <c r="J828" s="109">
        <v>0.12190000000000001</v>
      </c>
      <c r="K828" s="109" t="s">
        <v>717</v>
      </c>
      <c r="L828" s="67">
        <v>5000</v>
      </c>
      <c r="M828" s="67">
        <v>500000</v>
      </c>
      <c r="N828" s="105">
        <v>44197</v>
      </c>
      <c r="O828" s="105">
        <v>44377</v>
      </c>
      <c r="P828" t="s">
        <v>718</v>
      </c>
    </row>
    <row r="829" spans="1:16" ht="15" customHeight="1" x14ac:dyDescent="0.3">
      <c r="A829" t="str">
        <f t="shared" si="13"/>
        <v>21-3-EW-SmartFIX – 3 Year Renewal</v>
      </c>
      <c r="B829" s="67" t="s">
        <v>13</v>
      </c>
      <c r="C829" s="67">
        <v>21</v>
      </c>
      <c r="D829" s="99" t="s">
        <v>30</v>
      </c>
      <c r="E829" s="67" t="s">
        <v>19</v>
      </c>
      <c r="F829" s="67" t="s">
        <v>16</v>
      </c>
      <c r="G829" s="67" t="s">
        <v>728</v>
      </c>
      <c r="H829" s="127">
        <v>0.4551</v>
      </c>
      <c r="I829" s="109">
        <v>0.16200000000000001</v>
      </c>
      <c r="J829" s="109" t="s">
        <v>717</v>
      </c>
      <c r="K829" s="109">
        <v>0.14360000000000001</v>
      </c>
      <c r="L829" s="67">
        <v>5000</v>
      </c>
      <c r="M829" s="67">
        <v>500000</v>
      </c>
      <c r="N829" s="105">
        <v>44197</v>
      </c>
      <c r="O829" s="105">
        <v>44377</v>
      </c>
      <c r="P829" t="s">
        <v>718</v>
      </c>
    </row>
    <row r="830" spans="1:16" ht="15" customHeight="1" x14ac:dyDescent="0.3">
      <c r="A830" t="str">
        <f t="shared" si="13"/>
        <v>21-4-3RATE-SmartFIX – 3 Year Renewal</v>
      </c>
      <c r="B830" s="67" t="s">
        <v>13</v>
      </c>
      <c r="C830" s="67">
        <v>21</v>
      </c>
      <c r="D830" s="99" t="s">
        <v>30</v>
      </c>
      <c r="E830" s="67" t="s">
        <v>719</v>
      </c>
      <c r="F830" s="67" t="s">
        <v>18</v>
      </c>
      <c r="G830" s="67" t="s">
        <v>728</v>
      </c>
      <c r="H830" s="127">
        <v>0.4551</v>
      </c>
      <c r="I830" s="109">
        <v>0.17369999999999999</v>
      </c>
      <c r="J830" s="109">
        <v>0.1215</v>
      </c>
      <c r="K830" s="109">
        <v>0.15770000000000001</v>
      </c>
      <c r="L830" s="67">
        <v>5000</v>
      </c>
      <c r="M830" s="67">
        <v>500000</v>
      </c>
      <c r="N830" s="105">
        <v>44197</v>
      </c>
      <c r="O830" s="105">
        <v>44377</v>
      </c>
      <c r="P830" t="s">
        <v>718</v>
      </c>
    </row>
    <row r="831" spans="1:16" ht="15" customHeight="1" x14ac:dyDescent="0.3">
      <c r="A831" t="str">
        <f t="shared" si="13"/>
        <v/>
      </c>
      <c r="B831" s="67" t="s">
        <v>13</v>
      </c>
      <c r="C831" s="67">
        <v>21</v>
      </c>
      <c r="D831" s="99" t="s">
        <v>30</v>
      </c>
      <c r="E831" s="67" t="s">
        <v>720</v>
      </c>
      <c r="F831" s="67" t="s">
        <v>18</v>
      </c>
      <c r="G831" s="67" t="s">
        <v>728</v>
      </c>
      <c r="H831" s="127">
        <v>0.4551</v>
      </c>
      <c r="I831" s="109" t="s">
        <v>717</v>
      </c>
      <c r="J831" s="109">
        <v>0.14360000000000001</v>
      </c>
      <c r="K831" s="109" t="s">
        <v>717</v>
      </c>
      <c r="L831" s="67">
        <v>5000</v>
      </c>
      <c r="M831" s="67">
        <v>500000</v>
      </c>
      <c r="N831" s="105">
        <v>44197</v>
      </c>
      <c r="O831" s="105">
        <v>44377</v>
      </c>
      <c r="P831" t="s">
        <v>718</v>
      </c>
    </row>
    <row r="832" spans="1:16" ht="15" customHeight="1" x14ac:dyDescent="0.3">
      <c r="A832" t="str">
        <f t="shared" si="13"/>
        <v>22-3-U-SmartFIX – 3 Year Renewal</v>
      </c>
      <c r="B832" s="67" t="s">
        <v>13</v>
      </c>
      <c r="C832" s="67">
        <v>22</v>
      </c>
      <c r="D832" s="99" t="s">
        <v>31</v>
      </c>
      <c r="E832" s="67" t="s">
        <v>716</v>
      </c>
      <c r="F832" s="67" t="s">
        <v>16</v>
      </c>
      <c r="G832" s="67" t="s">
        <v>728</v>
      </c>
      <c r="H832" s="127">
        <v>0.39240000000000003</v>
      </c>
      <c r="I832" s="109">
        <v>0.15990000000000001</v>
      </c>
      <c r="J832" s="109" t="s">
        <v>717</v>
      </c>
      <c r="K832" s="109" t="s">
        <v>717</v>
      </c>
      <c r="L832" s="67">
        <v>5000</v>
      </c>
      <c r="M832" s="67">
        <v>500000</v>
      </c>
      <c r="N832" s="105">
        <v>44197</v>
      </c>
      <c r="O832" s="105">
        <v>44377</v>
      </c>
      <c r="P832" t="s">
        <v>718</v>
      </c>
    </row>
    <row r="833" spans="1:16" ht="15" customHeight="1" x14ac:dyDescent="0.3">
      <c r="A833" t="str">
        <f t="shared" si="13"/>
        <v>22-4-E7-SmartFIX – 3 Year Renewal</v>
      </c>
      <c r="B833" s="67" t="s">
        <v>13</v>
      </c>
      <c r="C833" s="67">
        <v>22</v>
      </c>
      <c r="D833" s="99" t="s">
        <v>31</v>
      </c>
      <c r="E833" s="67" t="s">
        <v>17</v>
      </c>
      <c r="F833" s="67" t="s">
        <v>18</v>
      </c>
      <c r="G833" s="67" t="s">
        <v>728</v>
      </c>
      <c r="H833" s="127">
        <v>0.39240000000000003</v>
      </c>
      <c r="I833" s="109">
        <v>0.16720000000000002</v>
      </c>
      <c r="J833" s="109">
        <v>0.12920000000000001</v>
      </c>
      <c r="K833" s="109" t="s">
        <v>717</v>
      </c>
      <c r="L833" s="67">
        <v>5000</v>
      </c>
      <c r="M833" s="67">
        <v>500000</v>
      </c>
      <c r="N833" s="105">
        <v>44197</v>
      </c>
      <c r="O833" s="105">
        <v>44377</v>
      </c>
      <c r="P833" t="s">
        <v>718</v>
      </c>
    </row>
    <row r="834" spans="1:16" ht="15" customHeight="1" x14ac:dyDescent="0.3">
      <c r="A834" t="str">
        <f t="shared" si="13"/>
        <v>22-3-EW-SmartFIX – 3 Year Renewal</v>
      </c>
      <c r="B834" s="67" t="s">
        <v>13</v>
      </c>
      <c r="C834" s="67">
        <v>22</v>
      </c>
      <c r="D834" s="99" t="s">
        <v>31</v>
      </c>
      <c r="E834" s="67" t="s">
        <v>19</v>
      </c>
      <c r="F834" s="67" t="s">
        <v>16</v>
      </c>
      <c r="G834" s="67" t="s">
        <v>728</v>
      </c>
      <c r="H834" s="127">
        <v>0.39240000000000003</v>
      </c>
      <c r="I834" s="109">
        <v>0.16930000000000001</v>
      </c>
      <c r="J834" s="109" t="s">
        <v>717</v>
      </c>
      <c r="K834" s="109">
        <v>0.14830000000000002</v>
      </c>
      <c r="L834" s="67">
        <v>5000</v>
      </c>
      <c r="M834" s="67">
        <v>500000</v>
      </c>
      <c r="N834" s="105">
        <v>44197</v>
      </c>
      <c r="O834" s="105">
        <v>44377</v>
      </c>
      <c r="P834" t="s">
        <v>718</v>
      </c>
    </row>
    <row r="835" spans="1:16" ht="15" customHeight="1" x14ac:dyDescent="0.3">
      <c r="A835" t="str">
        <f t="shared" si="13"/>
        <v>22-4-3RATE-SmartFIX – 3 Year Renewal</v>
      </c>
      <c r="B835" s="67" t="s">
        <v>13</v>
      </c>
      <c r="C835" s="67">
        <v>22</v>
      </c>
      <c r="D835" s="99" t="s">
        <v>31</v>
      </c>
      <c r="E835" s="67" t="s">
        <v>719</v>
      </c>
      <c r="F835" s="67" t="s">
        <v>18</v>
      </c>
      <c r="G835" s="67" t="s">
        <v>728</v>
      </c>
      <c r="H835" s="127">
        <v>0.39240000000000003</v>
      </c>
      <c r="I835" s="109">
        <v>0.1772</v>
      </c>
      <c r="J835" s="109">
        <v>0.1222</v>
      </c>
      <c r="K835" s="109">
        <v>0.16340000000000002</v>
      </c>
      <c r="L835" s="67">
        <v>5000</v>
      </c>
      <c r="M835" s="67">
        <v>500000</v>
      </c>
      <c r="N835" s="105">
        <v>44197</v>
      </c>
      <c r="O835" s="105">
        <v>44377</v>
      </c>
      <c r="P835" t="s">
        <v>718</v>
      </c>
    </row>
    <row r="836" spans="1:16" ht="15" customHeight="1" x14ac:dyDescent="0.3">
      <c r="A836" t="str">
        <f t="shared" si="13"/>
        <v/>
      </c>
      <c r="B836" s="67" t="s">
        <v>13</v>
      </c>
      <c r="C836" s="67">
        <v>22</v>
      </c>
      <c r="D836" s="99" t="s">
        <v>31</v>
      </c>
      <c r="E836" s="67" t="s">
        <v>720</v>
      </c>
      <c r="F836" s="67" t="s">
        <v>18</v>
      </c>
      <c r="G836" s="67" t="s">
        <v>728</v>
      </c>
      <c r="H836" s="127">
        <v>0.39240000000000003</v>
      </c>
      <c r="I836" s="109" t="s">
        <v>717</v>
      </c>
      <c r="J836" s="109">
        <v>0.14830000000000002</v>
      </c>
      <c r="K836" s="109" t="s">
        <v>717</v>
      </c>
      <c r="L836" s="67">
        <v>5000</v>
      </c>
      <c r="M836" s="67">
        <v>500000</v>
      </c>
      <c r="N836" s="105">
        <v>44197</v>
      </c>
      <c r="O836" s="105">
        <v>44377</v>
      </c>
      <c r="P836" t="s">
        <v>718</v>
      </c>
    </row>
    <row r="837" spans="1:16" ht="15" customHeight="1" x14ac:dyDescent="0.3">
      <c r="A837" t="str">
        <f t="shared" si="13"/>
        <v>23-3-U-SmartFIX – 3 Year Renewal</v>
      </c>
      <c r="B837" s="67" t="s">
        <v>13</v>
      </c>
      <c r="C837" s="67">
        <v>23</v>
      </c>
      <c r="D837" s="99" t="s">
        <v>32</v>
      </c>
      <c r="E837" s="67" t="s">
        <v>716</v>
      </c>
      <c r="F837" s="67" t="s">
        <v>16</v>
      </c>
      <c r="G837" s="67" t="s">
        <v>728</v>
      </c>
      <c r="H837" s="127">
        <v>0.34460000000000002</v>
      </c>
      <c r="I837" s="109">
        <v>0.15430000000000002</v>
      </c>
      <c r="J837" s="109" t="s">
        <v>717</v>
      </c>
      <c r="K837" s="109" t="s">
        <v>717</v>
      </c>
      <c r="L837" s="67">
        <v>5000</v>
      </c>
      <c r="M837" s="67">
        <v>500000</v>
      </c>
      <c r="N837" s="105">
        <v>44197</v>
      </c>
      <c r="O837" s="105">
        <v>44377</v>
      </c>
      <c r="P837" t="s">
        <v>718</v>
      </c>
    </row>
    <row r="838" spans="1:16" ht="15" customHeight="1" x14ac:dyDescent="0.3">
      <c r="A838" t="str">
        <f t="shared" si="13"/>
        <v>23-4-E7-SmartFIX – 3 Year Renewal</v>
      </c>
      <c r="B838" s="67" t="s">
        <v>13</v>
      </c>
      <c r="C838" s="67">
        <v>23</v>
      </c>
      <c r="D838" s="99" t="s">
        <v>32</v>
      </c>
      <c r="E838" s="67" t="s">
        <v>17</v>
      </c>
      <c r="F838" s="67" t="s">
        <v>18</v>
      </c>
      <c r="G838" s="67" t="s">
        <v>728</v>
      </c>
      <c r="H838" s="127">
        <v>0.34460000000000002</v>
      </c>
      <c r="I838" s="109">
        <v>0.16259999999999999</v>
      </c>
      <c r="J838" s="109">
        <v>0.11979999999999999</v>
      </c>
      <c r="K838" s="109" t="s">
        <v>717</v>
      </c>
      <c r="L838" s="67">
        <v>5000</v>
      </c>
      <c r="M838" s="67">
        <v>500000</v>
      </c>
      <c r="N838" s="105">
        <v>44197</v>
      </c>
      <c r="O838" s="105">
        <v>44377</v>
      </c>
      <c r="P838" t="s">
        <v>718</v>
      </c>
    </row>
    <row r="839" spans="1:16" ht="15" customHeight="1" x14ac:dyDescent="0.3">
      <c r="A839" t="str">
        <f t="shared" si="13"/>
        <v>23-3-EW-SmartFIX – 3 Year Renewal</v>
      </c>
      <c r="B839" s="67" t="s">
        <v>13</v>
      </c>
      <c r="C839" s="67">
        <v>23</v>
      </c>
      <c r="D839" s="99" t="s">
        <v>32</v>
      </c>
      <c r="E839" s="67" t="s">
        <v>19</v>
      </c>
      <c r="F839" s="67" t="s">
        <v>16</v>
      </c>
      <c r="G839" s="67" t="s">
        <v>728</v>
      </c>
      <c r="H839" s="127">
        <v>0.34460000000000002</v>
      </c>
      <c r="I839" s="109">
        <v>0.16309999999999999</v>
      </c>
      <c r="J839" s="109" t="s">
        <v>717</v>
      </c>
      <c r="K839" s="109">
        <v>0.14230000000000001</v>
      </c>
      <c r="L839" s="67">
        <v>5000</v>
      </c>
      <c r="M839" s="67">
        <v>500000</v>
      </c>
      <c r="N839" s="105">
        <v>44197</v>
      </c>
      <c r="O839" s="105">
        <v>44377</v>
      </c>
      <c r="P839" t="s">
        <v>718</v>
      </c>
    </row>
    <row r="840" spans="1:16" ht="15" customHeight="1" x14ac:dyDescent="0.3">
      <c r="A840" t="str">
        <f t="shared" si="13"/>
        <v>23-4-3RATE-SmartFIX – 3 Year Renewal</v>
      </c>
      <c r="B840" s="67" t="s">
        <v>13</v>
      </c>
      <c r="C840" s="67">
        <v>23</v>
      </c>
      <c r="D840" s="99" t="s">
        <v>32</v>
      </c>
      <c r="E840" s="67" t="s">
        <v>719</v>
      </c>
      <c r="F840" s="67" t="s">
        <v>18</v>
      </c>
      <c r="G840" s="67" t="s">
        <v>728</v>
      </c>
      <c r="H840" s="127">
        <v>0.34460000000000002</v>
      </c>
      <c r="I840" s="109">
        <v>0.1724</v>
      </c>
      <c r="J840" s="109">
        <v>0.12129999999999999</v>
      </c>
      <c r="K840" s="109">
        <v>0.15330000000000002</v>
      </c>
      <c r="L840" s="67">
        <v>5000</v>
      </c>
      <c r="M840" s="67">
        <v>500000</v>
      </c>
      <c r="N840" s="105">
        <v>44197</v>
      </c>
      <c r="O840" s="105">
        <v>44377</v>
      </c>
      <c r="P840" t="s">
        <v>718</v>
      </c>
    </row>
    <row r="841" spans="1:16" ht="15" customHeight="1" x14ac:dyDescent="0.3">
      <c r="A841" t="str">
        <f t="shared" si="13"/>
        <v/>
      </c>
      <c r="B841" s="67" t="s">
        <v>13</v>
      </c>
      <c r="C841" s="67">
        <v>23</v>
      </c>
      <c r="D841" s="99" t="s">
        <v>32</v>
      </c>
      <c r="E841" s="67" t="s">
        <v>720</v>
      </c>
      <c r="F841" s="67" t="s">
        <v>18</v>
      </c>
      <c r="G841" s="67" t="s">
        <v>728</v>
      </c>
      <c r="H841" s="127">
        <v>0.34460000000000002</v>
      </c>
      <c r="I841" s="109" t="s">
        <v>717</v>
      </c>
      <c r="J841" s="109">
        <v>0.14230000000000001</v>
      </c>
      <c r="K841" s="109" t="s">
        <v>717</v>
      </c>
      <c r="L841" s="67">
        <v>5000</v>
      </c>
      <c r="M841" s="67">
        <v>500000</v>
      </c>
      <c r="N841" s="105">
        <v>44197</v>
      </c>
      <c r="O841" s="105">
        <v>44377</v>
      </c>
      <c r="P841" t="s">
        <v>718</v>
      </c>
    </row>
    <row r="842" spans="1:16" ht="15" customHeight="1" x14ac:dyDescent="0.3">
      <c r="A842" t="str">
        <f t="shared" si="13"/>
        <v>10-0-HH 2RATE (CT)-SmartTRACKER</v>
      </c>
      <c r="B842" s="67" t="s">
        <v>13</v>
      </c>
      <c r="C842" s="67">
        <v>10</v>
      </c>
      <c r="D842" s="99" t="s">
        <v>14</v>
      </c>
      <c r="E842" s="67" t="s">
        <v>729</v>
      </c>
      <c r="F842" s="67" t="s">
        <v>88</v>
      </c>
      <c r="G842" s="67" t="s">
        <v>127</v>
      </c>
      <c r="H842" s="127">
        <v>0.50439999999999996</v>
      </c>
      <c r="I842" s="109">
        <v>0.16</v>
      </c>
      <c r="J842" s="109">
        <v>0.1099</v>
      </c>
      <c r="K842" s="109" t="s">
        <v>717</v>
      </c>
      <c r="L842" s="67">
        <v>5000</v>
      </c>
      <c r="M842" s="67">
        <v>500000</v>
      </c>
      <c r="N842" s="105">
        <v>44197</v>
      </c>
      <c r="O842" s="105">
        <v>44377</v>
      </c>
      <c r="P842" t="s">
        <v>718</v>
      </c>
    </row>
    <row r="843" spans="1:16" ht="15" customHeight="1" x14ac:dyDescent="0.3">
      <c r="A843" t="str">
        <f t="shared" si="13"/>
        <v>11-0-HH 2RATE (CT)-SmartTRACKER</v>
      </c>
      <c r="B843" s="67" t="s">
        <v>13</v>
      </c>
      <c r="C843" s="67">
        <v>11</v>
      </c>
      <c r="D843" s="99" t="s">
        <v>20</v>
      </c>
      <c r="E843" s="67" t="s">
        <v>729</v>
      </c>
      <c r="F843" s="67" t="s">
        <v>88</v>
      </c>
      <c r="G843" s="67" t="s">
        <v>127</v>
      </c>
      <c r="H843" s="127">
        <v>0.44829999999999998</v>
      </c>
      <c r="I843" s="109">
        <v>0.15890000000000001</v>
      </c>
      <c r="J843" s="109">
        <v>0.11609999999999999</v>
      </c>
      <c r="K843" s="109" t="s">
        <v>717</v>
      </c>
      <c r="L843" s="67">
        <v>5000</v>
      </c>
      <c r="M843" s="67">
        <v>500000</v>
      </c>
      <c r="N843" s="105">
        <v>44197</v>
      </c>
      <c r="O843" s="105">
        <v>44377</v>
      </c>
      <c r="P843" t="s">
        <v>718</v>
      </c>
    </row>
    <row r="844" spans="1:16" ht="15" customHeight="1" x14ac:dyDescent="0.3">
      <c r="A844" t="str">
        <f t="shared" ref="A844:A907" si="14">IF(E844="OP","",CONCATENATE(C844,"-",RIGHT(F844,1),"-",IF(OR(E844="1 Rate MD",E844="DAY"),"U",IF(OR(E844="2 Rate MD",E844="E7"),"E7",IF(OR(E844="3 Rate MD (EW)",E844="EW"),"EW",IF(OR(E844="3 Rate MD",E844="EWN"),"3RATE",IF(E844="HH 2RATE (CT)","HH 2RATE (CT)",IF(E844="HH 2RATE (WC)","HH 2RATE (WC)",IF(E844="HH 1RATE (CT)","HH 1RATE (CT)",IF(E844="HH 1RATE (WC)","HH 1RATE (WC)")))))))),"-",G844))</f>
        <v>12-0-HH 2RATE (CT)-SmartTRACKER</v>
      </c>
      <c r="B844" s="67" t="s">
        <v>13</v>
      </c>
      <c r="C844" s="67">
        <v>12</v>
      </c>
      <c r="D844" s="99" t="s">
        <v>21</v>
      </c>
      <c r="E844" s="67" t="s">
        <v>729</v>
      </c>
      <c r="F844" s="67" t="s">
        <v>88</v>
      </c>
      <c r="G844" s="67" t="s">
        <v>127</v>
      </c>
      <c r="H844" s="127">
        <v>0.41389999999999999</v>
      </c>
      <c r="I844" s="109">
        <v>0.15620000000000001</v>
      </c>
      <c r="J844" s="109">
        <v>0.1036</v>
      </c>
      <c r="K844" s="109" t="s">
        <v>717</v>
      </c>
      <c r="L844" s="67">
        <v>5000</v>
      </c>
      <c r="M844" s="67">
        <v>500000</v>
      </c>
      <c r="N844" s="105">
        <v>44197</v>
      </c>
      <c r="O844" s="105">
        <v>44377</v>
      </c>
      <c r="P844" t="s">
        <v>718</v>
      </c>
    </row>
    <row r="845" spans="1:16" ht="15" customHeight="1" x14ac:dyDescent="0.3">
      <c r="A845" t="str">
        <f t="shared" si="14"/>
        <v>13-0-HH 2RATE (CT)-SmartTRACKER</v>
      </c>
      <c r="B845" s="67" t="s">
        <v>13</v>
      </c>
      <c r="C845" s="67">
        <v>13</v>
      </c>
      <c r="D845" s="99" t="s">
        <v>22</v>
      </c>
      <c r="E845" s="67" t="s">
        <v>729</v>
      </c>
      <c r="F845" s="67" t="s">
        <v>88</v>
      </c>
      <c r="G845" s="67" t="s">
        <v>127</v>
      </c>
      <c r="H845" s="127">
        <v>0.58089999999999997</v>
      </c>
      <c r="I845" s="109">
        <v>0.1779</v>
      </c>
      <c r="J845" s="109">
        <v>0.124</v>
      </c>
      <c r="K845" s="109" t="s">
        <v>717</v>
      </c>
      <c r="L845" s="67">
        <v>5000</v>
      </c>
      <c r="M845" s="67">
        <v>500000</v>
      </c>
      <c r="N845" s="105">
        <v>44197</v>
      </c>
      <c r="O845" s="105">
        <v>44377</v>
      </c>
      <c r="P845" t="s">
        <v>718</v>
      </c>
    </row>
    <row r="846" spans="1:16" ht="15" customHeight="1" x14ac:dyDescent="0.3">
      <c r="A846" t="str">
        <f t="shared" si="14"/>
        <v>14-0-HH 2RATE (CT)-SmartTRACKER</v>
      </c>
      <c r="B846" s="67" t="s">
        <v>13</v>
      </c>
      <c r="C846" s="67">
        <v>14</v>
      </c>
      <c r="D846" s="99" t="s">
        <v>23</v>
      </c>
      <c r="E846" s="67" t="s">
        <v>729</v>
      </c>
      <c r="F846" s="67" t="s">
        <v>88</v>
      </c>
      <c r="G846" s="67" t="s">
        <v>127</v>
      </c>
      <c r="H846" s="127">
        <v>0.46060000000000001</v>
      </c>
      <c r="I846" s="109">
        <v>0.16270000000000001</v>
      </c>
      <c r="J846" s="109">
        <v>0.12089999999999999</v>
      </c>
      <c r="K846" s="109" t="s">
        <v>717</v>
      </c>
      <c r="L846" s="67">
        <v>5000</v>
      </c>
      <c r="M846" s="67">
        <v>500000</v>
      </c>
      <c r="N846" s="105">
        <v>44197</v>
      </c>
      <c r="O846" s="105">
        <v>44377</v>
      </c>
      <c r="P846" t="s">
        <v>718</v>
      </c>
    </row>
    <row r="847" spans="1:16" ht="15" customHeight="1" x14ac:dyDescent="0.3">
      <c r="A847" t="str">
        <f t="shared" si="14"/>
        <v>15-0-HH 2RATE (CT)-SmartTRACKER</v>
      </c>
      <c r="B847" s="67" t="s">
        <v>13</v>
      </c>
      <c r="C847" s="67">
        <v>15</v>
      </c>
      <c r="D847" s="99" t="s">
        <v>24</v>
      </c>
      <c r="E847" s="67" t="s">
        <v>729</v>
      </c>
      <c r="F847" s="67" t="s">
        <v>88</v>
      </c>
      <c r="G847" s="67" t="s">
        <v>127</v>
      </c>
      <c r="H847" s="127">
        <v>0.55710000000000004</v>
      </c>
      <c r="I847" s="109">
        <v>0.1605</v>
      </c>
      <c r="J847" s="109">
        <v>0.1195</v>
      </c>
      <c r="K847" s="109" t="s">
        <v>717</v>
      </c>
      <c r="L847" s="67">
        <v>5000</v>
      </c>
      <c r="M847" s="67">
        <v>500000</v>
      </c>
      <c r="N847" s="105">
        <v>44197</v>
      </c>
      <c r="O847" s="105">
        <v>44377</v>
      </c>
      <c r="P847" t="s">
        <v>718</v>
      </c>
    </row>
    <row r="848" spans="1:16" ht="15" customHeight="1" x14ac:dyDescent="0.3">
      <c r="A848" t="str">
        <f t="shared" si="14"/>
        <v>16-0-HH 2RATE (CT)-SmartTRACKER</v>
      </c>
      <c r="B848" s="67" t="s">
        <v>13</v>
      </c>
      <c r="C848" s="67">
        <v>16</v>
      </c>
      <c r="D848" s="99" t="s">
        <v>25</v>
      </c>
      <c r="E848" s="67" t="s">
        <v>729</v>
      </c>
      <c r="F848" s="67" t="s">
        <v>88</v>
      </c>
      <c r="G848" s="67" t="s">
        <v>127</v>
      </c>
      <c r="H848" s="127">
        <v>0.51890000000000003</v>
      </c>
      <c r="I848" s="109">
        <v>0.16300000000000001</v>
      </c>
      <c r="J848" s="109">
        <v>0.11799999999999999</v>
      </c>
      <c r="K848" s="109" t="s">
        <v>717</v>
      </c>
      <c r="L848" s="67">
        <v>5000</v>
      </c>
      <c r="M848" s="67">
        <v>500000</v>
      </c>
      <c r="N848" s="105">
        <v>44197</v>
      </c>
      <c r="O848" s="105">
        <v>44377</v>
      </c>
      <c r="P848" t="s">
        <v>718</v>
      </c>
    </row>
    <row r="849" spans="1:16" ht="15" customHeight="1" x14ac:dyDescent="0.3">
      <c r="A849" t="str">
        <f t="shared" si="14"/>
        <v>17-0-HH 2RATE (CT)-SmartTRACKER</v>
      </c>
      <c r="B849" s="67" t="s">
        <v>13</v>
      </c>
      <c r="C849" s="67">
        <v>17</v>
      </c>
      <c r="D849" s="99" t="s">
        <v>26</v>
      </c>
      <c r="E849" s="67" t="s">
        <v>729</v>
      </c>
      <c r="F849" s="67" t="s">
        <v>88</v>
      </c>
      <c r="G849" s="67" t="s">
        <v>127</v>
      </c>
      <c r="H849" s="127">
        <v>0.70240000000000002</v>
      </c>
      <c r="I849" s="109">
        <v>0.16930000000000001</v>
      </c>
      <c r="J849" s="109">
        <v>0.12820000000000001</v>
      </c>
      <c r="K849" s="109" t="s">
        <v>717</v>
      </c>
      <c r="L849" s="67">
        <v>5000</v>
      </c>
      <c r="M849" s="67">
        <v>500000</v>
      </c>
      <c r="N849" s="105">
        <v>44197</v>
      </c>
      <c r="O849" s="105">
        <v>44377</v>
      </c>
      <c r="P849" t="s">
        <v>718</v>
      </c>
    </row>
    <row r="850" spans="1:16" ht="15" customHeight="1" x14ac:dyDescent="0.3">
      <c r="A850" t="str">
        <f t="shared" si="14"/>
        <v>18-0-HH 2RATE (CT)-SmartTRACKER</v>
      </c>
      <c r="B850" s="67" t="s">
        <v>13</v>
      </c>
      <c r="C850" s="67">
        <v>18</v>
      </c>
      <c r="D850" s="99" t="s">
        <v>27</v>
      </c>
      <c r="E850" s="67" t="s">
        <v>729</v>
      </c>
      <c r="F850" s="67" t="s">
        <v>88</v>
      </c>
      <c r="G850" s="67" t="s">
        <v>127</v>
      </c>
      <c r="H850" s="127">
        <v>0.64390000000000003</v>
      </c>
      <c r="I850" s="109">
        <v>0.1585</v>
      </c>
      <c r="J850" s="109">
        <v>0.11600000000000001</v>
      </c>
      <c r="K850" s="109" t="s">
        <v>717</v>
      </c>
      <c r="L850" s="67">
        <v>5000</v>
      </c>
      <c r="M850" s="67">
        <v>500000</v>
      </c>
      <c r="N850" s="105">
        <v>44197</v>
      </c>
      <c r="O850" s="105">
        <v>44377</v>
      </c>
      <c r="P850" t="s">
        <v>718</v>
      </c>
    </row>
    <row r="851" spans="1:16" ht="15" customHeight="1" x14ac:dyDescent="0.3">
      <c r="A851" t="str">
        <f t="shared" si="14"/>
        <v>19-0-HH 2RATE (CT)-SmartTRACKER</v>
      </c>
      <c r="B851" s="67" t="s">
        <v>13</v>
      </c>
      <c r="C851" s="67">
        <v>19</v>
      </c>
      <c r="D851" s="99" t="s">
        <v>28</v>
      </c>
      <c r="E851" s="67" t="s">
        <v>729</v>
      </c>
      <c r="F851" s="67" t="s">
        <v>88</v>
      </c>
      <c r="G851" s="67" t="s">
        <v>127</v>
      </c>
      <c r="H851" s="127">
        <v>0.50600000000000001</v>
      </c>
      <c r="I851" s="109">
        <v>0.159</v>
      </c>
      <c r="J851" s="109">
        <v>0.11</v>
      </c>
      <c r="K851" s="109" t="s">
        <v>717</v>
      </c>
      <c r="L851" s="67">
        <v>5000</v>
      </c>
      <c r="M851" s="67">
        <v>500000</v>
      </c>
      <c r="N851" s="105">
        <v>44197</v>
      </c>
      <c r="O851" s="105">
        <v>44377</v>
      </c>
      <c r="P851" t="s">
        <v>718</v>
      </c>
    </row>
    <row r="852" spans="1:16" ht="15" customHeight="1" x14ac:dyDescent="0.3">
      <c r="A852" t="str">
        <f t="shared" si="14"/>
        <v>20-0-HH 2RATE (CT)-SmartTRACKER</v>
      </c>
      <c r="B852" s="67" t="s">
        <v>13</v>
      </c>
      <c r="C852" s="67">
        <v>20</v>
      </c>
      <c r="D852" s="99" t="s">
        <v>29</v>
      </c>
      <c r="E852" s="67" t="s">
        <v>729</v>
      </c>
      <c r="F852" s="67" t="s">
        <v>88</v>
      </c>
      <c r="G852" s="67" t="s">
        <v>127</v>
      </c>
      <c r="H852" s="127">
        <v>0.53449999999999998</v>
      </c>
      <c r="I852" s="109">
        <v>0.15629999999999999</v>
      </c>
      <c r="J852" s="109">
        <v>0.1109</v>
      </c>
      <c r="K852" s="109" t="s">
        <v>717</v>
      </c>
      <c r="L852" s="67">
        <v>5000</v>
      </c>
      <c r="M852" s="67">
        <v>500000</v>
      </c>
      <c r="N852" s="105">
        <v>44197</v>
      </c>
      <c r="O852" s="105">
        <v>44377</v>
      </c>
      <c r="P852" t="s">
        <v>718</v>
      </c>
    </row>
    <row r="853" spans="1:16" ht="15" customHeight="1" x14ac:dyDescent="0.3">
      <c r="A853" t="str">
        <f t="shared" si="14"/>
        <v>21-0-HH 2RATE (CT)-SmartTRACKER</v>
      </c>
      <c r="B853" s="67" t="s">
        <v>13</v>
      </c>
      <c r="C853" s="67">
        <v>21</v>
      </c>
      <c r="D853" s="99" t="s">
        <v>30</v>
      </c>
      <c r="E853" s="67" t="s">
        <v>729</v>
      </c>
      <c r="F853" s="67" t="s">
        <v>88</v>
      </c>
      <c r="G853" s="67" t="s">
        <v>127</v>
      </c>
      <c r="H853" s="127">
        <v>0.54900000000000004</v>
      </c>
      <c r="I853" s="109">
        <v>0.1656</v>
      </c>
      <c r="J853" s="109">
        <v>0.125</v>
      </c>
      <c r="K853" s="109" t="s">
        <v>717</v>
      </c>
      <c r="L853" s="67">
        <v>5000</v>
      </c>
      <c r="M853" s="67">
        <v>500000</v>
      </c>
      <c r="N853" s="105">
        <v>44197</v>
      </c>
      <c r="O853" s="105">
        <v>44377</v>
      </c>
      <c r="P853" t="s">
        <v>718</v>
      </c>
    </row>
    <row r="854" spans="1:16" ht="15" customHeight="1" x14ac:dyDescent="0.3">
      <c r="A854" t="str">
        <f t="shared" si="14"/>
        <v>22-0-HH 2RATE (CT)-SmartTRACKER</v>
      </c>
      <c r="B854" s="67" t="s">
        <v>13</v>
      </c>
      <c r="C854" s="67">
        <v>22</v>
      </c>
      <c r="D854" s="99" t="s">
        <v>31</v>
      </c>
      <c r="E854" s="67" t="s">
        <v>729</v>
      </c>
      <c r="F854" s="67" t="s">
        <v>88</v>
      </c>
      <c r="G854" s="67" t="s">
        <v>127</v>
      </c>
      <c r="H854" s="127">
        <v>0.48149999999999998</v>
      </c>
      <c r="I854" s="109">
        <v>0.16889999999999999</v>
      </c>
      <c r="J854" s="109">
        <v>0.13969999999999999</v>
      </c>
      <c r="K854" s="109" t="s">
        <v>717</v>
      </c>
      <c r="L854" s="67">
        <v>5000</v>
      </c>
      <c r="M854" s="67">
        <v>500000</v>
      </c>
      <c r="N854" s="105">
        <v>44197</v>
      </c>
      <c r="O854" s="105">
        <v>44377</v>
      </c>
      <c r="P854" t="s">
        <v>718</v>
      </c>
    </row>
    <row r="855" spans="1:16" ht="15" customHeight="1" x14ac:dyDescent="0.3">
      <c r="A855" t="str">
        <f t="shared" si="14"/>
        <v>23-0-HH 2RATE (CT)-SmartTRACKER</v>
      </c>
      <c r="B855" s="67" t="s">
        <v>13</v>
      </c>
      <c r="C855" s="67">
        <v>23</v>
      </c>
      <c r="D855" s="99" t="s">
        <v>32</v>
      </c>
      <c r="E855" s="67" t="s">
        <v>729</v>
      </c>
      <c r="F855" s="67" t="s">
        <v>88</v>
      </c>
      <c r="G855" s="67" t="s">
        <v>127</v>
      </c>
      <c r="H855" s="127">
        <v>0.57469999999999999</v>
      </c>
      <c r="I855" s="109">
        <v>0.15609999999999999</v>
      </c>
      <c r="J855" s="109">
        <v>0.1138</v>
      </c>
      <c r="K855" s="109" t="s">
        <v>717</v>
      </c>
      <c r="L855" s="67">
        <v>5000</v>
      </c>
      <c r="M855" s="67">
        <v>500000</v>
      </c>
      <c r="N855" s="105">
        <v>44197</v>
      </c>
      <c r="O855" s="105">
        <v>44377</v>
      </c>
      <c r="P855" t="s">
        <v>718</v>
      </c>
    </row>
    <row r="856" spans="1:16" ht="15" customHeight="1" x14ac:dyDescent="0.3">
      <c r="A856" t="str">
        <f t="shared" si="14"/>
        <v>10-0-HH 2RATE (CT)-SmartTRACKER Renewal</v>
      </c>
      <c r="B856" s="67" t="s">
        <v>13</v>
      </c>
      <c r="C856" s="67">
        <v>10</v>
      </c>
      <c r="D856" s="99" t="s">
        <v>14</v>
      </c>
      <c r="E856" s="67" t="s">
        <v>729</v>
      </c>
      <c r="F856" s="67" t="s">
        <v>88</v>
      </c>
      <c r="G856" s="67" t="s">
        <v>723</v>
      </c>
      <c r="H856" s="127">
        <v>0.55479999999999996</v>
      </c>
      <c r="I856" s="109">
        <v>0.16400000000000001</v>
      </c>
      <c r="J856" s="109">
        <v>0.1139</v>
      </c>
      <c r="K856" s="109" t="s">
        <v>717</v>
      </c>
      <c r="L856" s="67">
        <v>5000</v>
      </c>
      <c r="M856" s="67">
        <v>500000</v>
      </c>
      <c r="N856" s="105">
        <v>44197</v>
      </c>
      <c r="O856" s="105">
        <v>44377</v>
      </c>
      <c r="P856" t="s">
        <v>718</v>
      </c>
    </row>
    <row r="857" spans="1:16" ht="15" customHeight="1" x14ac:dyDescent="0.3">
      <c r="A857" t="str">
        <f t="shared" si="14"/>
        <v>11-0-HH 2RATE (CT)-SmartTRACKER Renewal</v>
      </c>
      <c r="B857" s="67" t="s">
        <v>13</v>
      </c>
      <c r="C857" s="67">
        <v>11</v>
      </c>
      <c r="D857" s="99" t="s">
        <v>20</v>
      </c>
      <c r="E857" s="67" t="s">
        <v>729</v>
      </c>
      <c r="F857" s="67" t="s">
        <v>88</v>
      </c>
      <c r="G857" s="67" t="s">
        <v>723</v>
      </c>
      <c r="H857" s="127">
        <v>0.49309999999999998</v>
      </c>
      <c r="I857" s="109">
        <v>0.16290000000000002</v>
      </c>
      <c r="J857" s="109">
        <v>0.1201</v>
      </c>
      <c r="K857" s="109" t="s">
        <v>717</v>
      </c>
      <c r="L857" s="67">
        <v>5000</v>
      </c>
      <c r="M857" s="67">
        <v>500000</v>
      </c>
      <c r="N857" s="105">
        <v>44197</v>
      </c>
      <c r="O857" s="105">
        <v>44377</v>
      </c>
      <c r="P857" t="s">
        <v>718</v>
      </c>
    </row>
    <row r="858" spans="1:16" ht="15" customHeight="1" x14ac:dyDescent="0.3">
      <c r="A858" t="str">
        <f t="shared" si="14"/>
        <v>12-0-HH 2RATE (CT)-SmartTRACKER Renewal</v>
      </c>
      <c r="B858" s="67" t="s">
        <v>13</v>
      </c>
      <c r="C858" s="67">
        <v>12</v>
      </c>
      <c r="D858" s="99" t="s">
        <v>21</v>
      </c>
      <c r="E858" s="67" t="s">
        <v>729</v>
      </c>
      <c r="F858" s="67" t="s">
        <v>88</v>
      </c>
      <c r="G858" s="67" t="s">
        <v>723</v>
      </c>
      <c r="H858" s="127">
        <v>0.45529999999999998</v>
      </c>
      <c r="I858" s="109">
        <v>0.16020000000000001</v>
      </c>
      <c r="J858" s="109">
        <v>0.1076</v>
      </c>
      <c r="K858" s="109" t="s">
        <v>717</v>
      </c>
      <c r="L858" s="67">
        <v>5000</v>
      </c>
      <c r="M858" s="67">
        <v>500000</v>
      </c>
      <c r="N858" s="105">
        <v>44197</v>
      </c>
      <c r="O858" s="105">
        <v>44377</v>
      </c>
      <c r="P858" t="s">
        <v>718</v>
      </c>
    </row>
    <row r="859" spans="1:16" ht="15" customHeight="1" x14ac:dyDescent="0.3">
      <c r="A859" t="str">
        <f t="shared" si="14"/>
        <v>13-0-HH 2RATE (CT)-SmartTRACKER Renewal</v>
      </c>
      <c r="B859" s="67" t="s">
        <v>13</v>
      </c>
      <c r="C859" s="67">
        <v>13</v>
      </c>
      <c r="D859" s="99" t="s">
        <v>22</v>
      </c>
      <c r="E859" s="67" t="s">
        <v>729</v>
      </c>
      <c r="F859" s="67" t="s">
        <v>88</v>
      </c>
      <c r="G859" s="67" t="s">
        <v>723</v>
      </c>
      <c r="H859" s="127">
        <v>0.63900000000000001</v>
      </c>
      <c r="I859" s="109">
        <v>0.18190000000000001</v>
      </c>
      <c r="J859" s="109">
        <v>0.128</v>
      </c>
      <c r="K859" s="109" t="s">
        <v>717</v>
      </c>
      <c r="L859" s="67">
        <v>5000</v>
      </c>
      <c r="M859" s="67">
        <v>500000</v>
      </c>
      <c r="N859" s="105">
        <v>44197</v>
      </c>
      <c r="O859" s="105">
        <v>44377</v>
      </c>
      <c r="P859" t="s">
        <v>718</v>
      </c>
    </row>
    <row r="860" spans="1:16" ht="15" customHeight="1" x14ac:dyDescent="0.3">
      <c r="A860" t="str">
        <f t="shared" si="14"/>
        <v>14-0-HH 2RATE (CT)-SmartTRACKER Renewal</v>
      </c>
      <c r="B860" s="67" t="s">
        <v>13</v>
      </c>
      <c r="C860" s="67">
        <v>14</v>
      </c>
      <c r="D860" s="99" t="s">
        <v>23</v>
      </c>
      <c r="E860" s="67" t="s">
        <v>729</v>
      </c>
      <c r="F860" s="67" t="s">
        <v>88</v>
      </c>
      <c r="G860" s="67" t="s">
        <v>723</v>
      </c>
      <c r="H860" s="127">
        <v>0.50660000000000005</v>
      </c>
      <c r="I860" s="109">
        <v>0.16670000000000001</v>
      </c>
      <c r="J860" s="109">
        <v>0.1249</v>
      </c>
      <c r="K860" s="109" t="s">
        <v>717</v>
      </c>
      <c r="L860" s="67">
        <v>5000</v>
      </c>
      <c r="M860" s="67">
        <v>500000</v>
      </c>
      <c r="N860" s="105">
        <v>44197</v>
      </c>
      <c r="O860" s="105">
        <v>44377</v>
      </c>
      <c r="P860" t="s">
        <v>718</v>
      </c>
    </row>
    <row r="861" spans="1:16" ht="15" customHeight="1" x14ac:dyDescent="0.3">
      <c r="A861" t="str">
        <f t="shared" si="14"/>
        <v>15-0-HH 2RATE (CT)-SmartTRACKER Renewal</v>
      </c>
      <c r="B861" s="67" t="s">
        <v>13</v>
      </c>
      <c r="C861" s="67">
        <v>15</v>
      </c>
      <c r="D861" s="99" t="s">
        <v>24</v>
      </c>
      <c r="E861" s="67" t="s">
        <v>729</v>
      </c>
      <c r="F861" s="67" t="s">
        <v>88</v>
      </c>
      <c r="G861" s="67" t="s">
        <v>723</v>
      </c>
      <c r="H861" s="127">
        <v>0.61280000000000001</v>
      </c>
      <c r="I861" s="109">
        <v>0.16450000000000001</v>
      </c>
      <c r="J861" s="109">
        <v>0.1235</v>
      </c>
      <c r="K861" s="109" t="s">
        <v>717</v>
      </c>
      <c r="L861" s="67">
        <v>5000</v>
      </c>
      <c r="M861" s="67">
        <v>500000</v>
      </c>
      <c r="N861" s="105">
        <v>44197</v>
      </c>
      <c r="O861" s="105">
        <v>44377</v>
      </c>
      <c r="P861" t="s">
        <v>718</v>
      </c>
    </row>
    <row r="862" spans="1:16" ht="15" customHeight="1" x14ac:dyDescent="0.3">
      <c r="A862" t="str">
        <f t="shared" si="14"/>
        <v>16-0-HH 2RATE (CT)-SmartTRACKER Renewal</v>
      </c>
      <c r="B862" s="67" t="s">
        <v>13</v>
      </c>
      <c r="C862" s="67">
        <v>16</v>
      </c>
      <c r="D862" s="99" t="s">
        <v>25</v>
      </c>
      <c r="E862" s="67" t="s">
        <v>729</v>
      </c>
      <c r="F862" s="67" t="s">
        <v>88</v>
      </c>
      <c r="G862" s="67" t="s">
        <v>723</v>
      </c>
      <c r="H862" s="127">
        <v>0.57079999999999997</v>
      </c>
      <c r="I862" s="109">
        <v>0.16700000000000001</v>
      </c>
      <c r="J862" s="109">
        <v>0.122</v>
      </c>
      <c r="K862" s="109" t="s">
        <v>717</v>
      </c>
      <c r="L862" s="67">
        <v>5000</v>
      </c>
      <c r="M862" s="67">
        <v>500000</v>
      </c>
      <c r="N862" s="105">
        <v>44197</v>
      </c>
      <c r="O862" s="105">
        <v>44377</v>
      </c>
      <c r="P862" t="s">
        <v>718</v>
      </c>
    </row>
    <row r="863" spans="1:16" ht="15" customHeight="1" x14ac:dyDescent="0.3">
      <c r="A863" t="str">
        <f t="shared" si="14"/>
        <v>17-0-HH 2RATE (CT)-SmartTRACKER Renewal</v>
      </c>
      <c r="B863" s="67" t="s">
        <v>13</v>
      </c>
      <c r="C863" s="67">
        <v>17</v>
      </c>
      <c r="D863" s="99" t="s">
        <v>26</v>
      </c>
      <c r="E863" s="67" t="s">
        <v>729</v>
      </c>
      <c r="F863" s="67" t="s">
        <v>88</v>
      </c>
      <c r="G863" s="67" t="s">
        <v>723</v>
      </c>
      <c r="H863" s="127">
        <v>0.77270000000000005</v>
      </c>
      <c r="I863" s="109">
        <v>0.17330000000000001</v>
      </c>
      <c r="J863" s="109">
        <v>0.13220000000000001</v>
      </c>
      <c r="K863" s="109" t="s">
        <v>717</v>
      </c>
      <c r="L863" s="67">
        <v>5000</v>
      </c>
      <c r="M863" s="67">
        <v>500000</v>
      </c>
      <c r="N863" s="105">
        <v>44197</v>
      </c>
      <c r="O863" s="105">
        <v>44377</v>
      </c>
      <c r="P863" t="s">
        <v>718</v>
      </c>
    </row>
    <row r="864" spans="1:16" ht="15" customHeight="1" x14ac:dyDescent="0.3">
      <c r="A864" t="str">
        <f t="shared" si="14"/>
        <v>18-0-HH 2RATE (CT)-SmartTRACKER Renewal</v>
      </c>
      <c r="B864" s="67" t="s">
        <v>13</v>
      </c>
      <c r="C864" s="67">
        <v>18</v>
      </c>
      <c r="D864" s="99" t="s">
        <v>27</v>
      </c>
      <c r="E864" s="67" t="s">
        <v>729</v>
      </c>
      <c r="F864" s="67" t="s">
        <v>88</v>
      </c>
      <c r="G864" s="67" t="s">
        <v>723</v>
      </c>
      <c r="H864" s="127">
        <v>0.70830000000000004</v>
      </c>
      <c r="I864" s="109">
        <v>0.16250000000000001</v>
      </c>
      <c r="J864" s="109">
        <v>0.12000000000000001</v>
      </c>
      <c r="K864" s="109" t="s">
        <v>717</v>
      </c>
      <c r="L864" s="67">
        <v>5000</v>
      </c>
      <c r="M864" s="67">
        <v>500000</v>
      </c>
      <c r="N864" s="105">
        <v>44197</v>
      </c>
      <c r="O864" s="105">
        <v>44377</v>
      </c>
      <c r="P864" t="s">
        <v>718</v>
      </c>
    </row>
    <row r="865" spans="1:16" ht="15" customHeight="1" x14ac:dyDescent="0.3">
      <c r="A865" t="str">
        <f t="shared" si="14"/>
        <v>19-0-HH 2RATE (CT)-SmartTRACKER Renewal</v>
      </c>
      <c r="B865" s="67" t="s">
        <v>13</v>
      </c>
      <c r="C865" s="67">
        <v>19</v>
      </c>
      <c r="D865" s="99" t="s">
        <v>28</v>
      </c>
      <c r="E865" s="67" t="s">
        <v>729</v>
      </c>
      <c r="F865" s="67" t="s">
        <v>88</v>
      </c>
      <c r="G865" s="67" t="s">
        <v>723</v>
      </c>
      <c r="H865" s="127">
        <v>0.55659999999999998</v>
      </c>
      <c r="I865" s="109">
        <v>0.16300000000000001</v>
      </c>
      <c r="J865" s="109">
        <v>0.114</v>
      </c>
      <c r="K865" s="109" t="s">
        <v>717</v>
      </c>
      <c r="L865" s="67">
        <v>5000</v>
      </c>
      <c r="M865" s="67">
        <v>500000</v>
      </c>
      <c r="N865" s="105">
        <v>44197</v>
      </c>
      <c r="O865" s="105">
        <v>44377</v>
      </c>
      <c r="P865" t="s">
        <v>718</v>
      </c>
    </row>
    <row r="866" spans="1:16" ht="15" customHeight="1" x14ac:dyDescent="0.3">
      <c r="A866" t="str">
        <f t="shared" si="14"/>
        <v>20-0-HH 2RATE (CT)-SmartTRACKER Renewal</v>
      </c>
      <c r="B866" s="67" t="s">
        <v>13</v>
      </c>
      <c r="C866" s="67">
        <v>20</v>
      </c>
      <c r="D866" s="99" t="s">
        <v>29</v>
      </c>
      <c r="E866" s="67" t="s">
        <v>729</v>
      </c>
      <c r="F866" s="67" t="s">
        <v>88</v>
      </c>
      <c r="G866" s="67" t="s">
        <v>723</v>
      </c>
      <c r="H866" s="127">
        <v>0.58799999999999997</v>
      </c>
      <c r="I866" s="109">
        <v>0.1603</v>
      </c>
      <c r="J866" s="109">
        <v>0.1149</v>
      </c>
      <c r="K866" s="109" t="s">
        <v>717</v>
      </c>
      <c r="L866" s="67">
        <v>5000</v>
      </c>
      <c r="M866" s="67">
        <v>500000</v>
      </c>
      <c r="N866" s="105">
        <v>44197</v>
      </c>
      <c r="O866" s="105">
        <v>44377</v>
      </c>
      <c r="P866" t="s">
        <v>718</v>
      </c>
    </row>
    <row r="867" spans="1:16" ht="15" customHeight="1" x14ac:dyDescent="0.3">
      <c r="A867" t="str">
        <f t="shared" si="14"/>
        <v>21-0-HH 2RATE (CT)-SmartTRACKER Renewal</v>
      </c>
      <c r="B867" s="67" t="s">
        <v>13</v>
      </c>
      <c r="C867" s="67">
        <v>21</v>
      </c>
      <c r="D867" s="99" t="s">
        <v>30</v>
      </c>
      <c r="E867" s="67" t="s">
        <v>729</v>
      </c>
      <c r="F867" s="67" t="s">
        <v>88</v>
      </c>
      <c r="G867" s="67" t="s">
        <v>723</v>
      </c>
      <c r="H867" s="127">
        <v>0.60389999999999999</v>
      </c>
      <c r="I867" s="109">
        <v>0.1696</v>
      </c>
      <c r="J867" s="109">
        <v>0.129</v>
      </c>
      <c r="K867" s="109" t="s">
        <v>717</v>
      </c>
      <c r="L867" s="67">
        <v>5000</v>
      </c>
      <c r="M867" s="67">
        <v>500000</v>
      </c>
      <c r="N867" s="105">
        <v>44197</v>
      </c>
      <c r="O867" s="105">
        <v>44377</v>
      </c>
      <c r="P867" t="s">
        <v>718</v>
      </c>
    </row>
    <row r="868" spans="1:16" ht="15" customHeight="1" x14ac:dyDescent="0.3">
      <c r="A868" t="str">
        <f t="shared" si="14"/>
        <v>22-0-HH 2RATE (CT)-SmartTRACKER Renewal</v>
      </c>
      <c r="B868" s="67" t="s">
        <v>13</v>
      </c>
      <c r="C868" s="67">
        <v>22</v>
      </c>
      <c r="D868" s="99" t="s">
        <v>31</v>
      </c>
      <c r="E868" s="67" t="s">
        <v>729</v>
      </c>
      <c r="F868" s="67" t="s">
        <v>88</v>
      </c>
      <c r="G868" s="67" t="s">
        <v>723</v>
      </c>
      <c r="H868" s="127">
        <v>0.52969999999999995</v>
      </c>
      <c r="I868" s="109">
        <v>0.1729</v>
      </c>
      <c r="J868" s="109">
        <v>0.14369999999999999</v>
      </c>
      <c r="K868" s="109" t="s">
        <v>717</v>
      </c>
      <c r="L868" s="67">
        <v>5000</v>
      </c>
      <c r="M868" s="67">
        <v>500000</v>
      </c>
      <c r="N868" s="105">
        <v>44197</v>
      </c>
      <c r="O868" s="105">
        <v>44377</v>
      </c>
      <c r="P868" t="s">
        <v>718</v>
      </c>
    </row>
    <row r="869" spans="1:16" ht="15" customHeight="1" x14ac:dyDescent="0.3">
      <c r="A869" t="str">
        <f t="shared" si="14"/>
        <v>23-0-HH 2RATE (CT)-SmartTRACKER Renewal</v>
      </c>
      <c r="B869" s="67" t="s">
        <v>13</v>
      </c>
      <c r="C869" s="67">
        <v>23</v>
      </c>
      <c r="D869" s="99" t="s">
        <v>32</v>
      </c>
      <c r="E869" s="67" t="s">
        <v>729</v>
      </c>
      <c r="F869" s="67" t="s">
        <v>88</v>
      </c>
      <c r="G869" s="67" t="s">
        <v>723</v>
      </c>
      <c r="H869" s="127">
        <v>0.6321</v>
      </c>
      <c r="I869" s="109">
        <v>0.16009999999999999</v>
      </c>
      <c r="J869" s="109">
        <v>0.1178</v>
      </c>
      <c r="K869" s="109" t="s">
        <v>717</v>
      </c>
      <c r="L869" s="67">
        <v>5000</v>
      </c>
      <c r="M869" s="67">
        <v>500000</v>
      </c>
      <c r="N869" s="105">
        <v>44197</v>
      </c>
      <c r="O869" s="105">
        <v>44377</v>
      </c>
      <c r="P869" t="s">
        <v>718</v>
      </c>
    </row>
    <row r="870" spans="1:16" ht="15" customHeight="1" x14ac:dyDescent="0.3">
      <c r="A870" t="str">
        <f t="shared" si="14"/>
        <v>10-0-HH 2RATE (CT)-SmartFIX – 1 Year</v>
      </c>
      <c r="B870" s="67" t="s">
        <v>13</v>
      </c>
      <c r="C870" s="67">
        <v>10</v>
      </c>
      <c r="D870" s="99" t="s">
        <v>14</v>
      </c>
      <c r="E870" s="67" t="s">
        <v>729</v>
      </c>
      <c r="F870" s="67" t="s">
        <v>88</v>
      </c>
      <c r="G870" s="67" t="s">
        <v>686</v>
      </c>
      <c r="H870" s="127">
        <v>0.50439999999999996</v>
      </c>
      <c r="I870" s="109">
        <v>0.16</v>
      </c>
      <c r="J870" s="109">
        <v>0.1099</v>
      </c>
      <c r="K870" s="109" t="s">
        <v>717</v>
      </c>
      <c r="L870" s="67">
        <v>5000</v>
      </c>
      <c r="M870" s="67">
        <v>500000</v>
      </c>
      <c r="N870" s="105">
        <v>44197</v>
      </c>
      <c r="O870" s="105">
        <v>44377</v>
      </c>
      <c r="P870" t="s">
        <v>718</v>
      </c>
    </row>
    <row r="871" spans="1:16" ht="15" customHeight="1" x14ac:dyDescent="0.3">
      <c r="A871" t="str">
        <f t="shared" si="14"/>
        <v>11-0-HH 2RATE (CT)-SmartFIX – 1 Year</v>
      </c>
      <c r="B871" s="67" t="s">
        <v>13</v>
      </c>
      <c r="C871" s="67">
        <v>11</v>
      </c>
      <c r="D871" s="99" t="s">
        <v>20</v>
      </c>
      <c r="E871" s="67" t="s">
        <v>729</v>
      </c>
      <c r="F871" s="67" t="s">
        <v>88</v>
      </c>
      <c r="G871" s="67" t="s">
        <v>686</v>
      </c>
      <c r="H871" s="127">
        <v>0.44829999999999998</v>
      </c>
      <c r="I871" s="109">
        <v>0.15890000000000001</v>
      </c>
      <c r="J871" s="109">
        <v>0.11609999999999999</v>
      </c>
      <c r="K871" s="109" t="s">
        <v>717</v>
      </c>
      <c r="L871" s="67">
        <v>5000</v>
      </c>
      <c r="M871" s="67">
        <v>500000</v>
      </c>
      <c r="N871" s="105">
        <v>44197</v>
      </c>
      <c r="O871" s="105">
        <v>44377</v>
      </c>
      <c r="P871" t="s">
        <v>718</v>
      </c>
    </row>
    <row r="872" spans="1:16" ht="15" customHeight="1" x14ac:dyDescent="0.3">
      <c r="A872" t="str">
        <f t="shared" si="14"/>
        <v>12-0-HH 2RATE (CT)-SmartFIX – 1 Year</v>
      </c>
      <c r="B872" s="67" t="s">
        <v>13</v>
      </c>
      <c r="C872" s="67">
        <v>12</v>
      </c>
      <c r="D872" s="99" t="s">
        <v>21</v>
      </c>
      <c r="E872" s="67" t="s">
        <v>729</v>
      </c>
      <c r="F872" s="67" t="s">
        <v>88</v>
      </c>
      <c r="G872" s="67" t="s">
        <v>686</v>
      </c>
      <c r="H872" s="127">
        <v>0.41389999999999999</v>
      </c>
      <c r="I872" s="109">
        <v>0.15620000000000001</v>
      </c>
      <c r="J872" s="109">
        <v>0.1036</v>
      </c>
      <c r="K872" s="109" t="s">
        <v>717</v>
      </c>
      <c r="L872" s="67">
        <v>5000</v>
      </c>
      <c r="M872" s="67">
        <v>500000</v>
      </c>
      <c r="N872" s="105">
        <v>44197</v>
      </c>
      <c r="O872" s="105">
        <v>44377</v>
      </c>
      <c r="P872" t="s">
        <v>718</v>
      </c>
    </row>
    <row r="873" spans="1:16" ht="15" customHeight="1" x14ac:dyDescent="0.3">
      <c r="A873" t="str">
        <f t="shared" si="14"/>
        <v>13-0-HH 2RATE (CT)-SmartFIX – 1 Year</v>
      </c>
      <c r="B873" s="67" t="s">
        <v>13</v>
      </c>
      <c r="C873" s="67">
        <v>13</v>
      </c>
      <c r="D873" s="99" t="s">
        <v>22</v>
      </c>
      <c r="E873" s="67" t="s">
        <v>729</v>
      </c>
      <c r="F873" s="67" t="s">
        <v>88</v>
      </c>
      <c r="G873" s="67" t="s">
        <v>686</v>
      </c>
      <c r="H873" s="127">
        <v>0.58089999999999997</v>
      </c>
      <c r="I873" s="109">
        <v>0.1779</v>
      </c>
      <c r="J873" s="109">
        <v>0.124</v>
      </c>
      <c r="K873" s="109" t="s">
        <v>717</v>
      </c>
      <c r="L873" s="67">
        <v>5000</v>
      </c>
      <c r="M873" s="67">
        <v>500000</v>
      </c>
      <c r="N873" s="105">
        <v>44197</v>
      </c>
      <c r="O873" s="105">
        <v>44377</v>
      </c>
      <c r="P873" t="s">
        <v>718</v>
      </c>
    </row>
    <row r="874" spans="1:16" ht="15" customHeight="1" x14ac:dyDescent="0.3">
      <c r="A874" t="str">
        <f t="shared" si="14"/>
        <v>14-0-HH 2RATE (CT)-SmartFIX – 1 Year</v>
      </c>
      <c r="B874" s="67" t="s">
        <v>13</v>
      </c>
      <c r="C874" s="67">
        <v>14</v>
      </c>
      <c r="D874" s="99" t="s">
        <v>23</v>
      </c>
      <c r="E874" s="67" t="s">
        <v>729</v>
      </c>
      <c r="F874" s="67" t="s">
        <v>88</v>
      </c>
      <c r="G874" s="67" t="s">
        <v>686</v>
      </c>
      <c r="H874" s="127">
        <v>0.46060000000000001</v>
      </c>
      <c r="I874" s="109">
        <v>0.16270000000000001</v>
      </c>
      <c r="J874" s="109">
        <v>0.12089999999999999</v>
      </c>
      <c r="K874" s="109" t="s">
        <v>717</v>
      </c>
      <c r="L874" s="67">
        <v>5000</v>
      </c>
      <c r="M874" s="67">
        <v>500000</v>
      </c>
      <c r="N874" s="105">
        <v>44197</v>
      </c>
      <c r="O874" s="105">
        <v>44377</v>
      </c>
      <c r="P874" t="s">
        <v>718</v>
      </c>
    </row>
    <row r="875" spans="1:16" ht="15" customHeight="1" x14ac:dyDescent="0.3">
      <c r="A875" t="str">
        <f t="shared" si="14"/>
        <v>15-0-HH 2RATE (CT)-SmartFIX – 1 Year</v>
      </c>
      <c r="B875" s="67" t="s">
        <v>13</v>
      </c>
      <c r="C875" s="67">
        <v>15</v>
      </c>
      <c r="D875" s="99" t="s">
        <v>24</v>
      </c>
      <c r="E875" s="67" t="s">
        <v>729</v>
      </c>
      <c r="F875" s="67" t="s">
        <v>88</v>
      </c>
      <c r="G875" s="67" t="s">
        <v>686</v>
      </c>
      <c r="H875" s="127">
        <v>0.55710000000000004</v>
      </c>
      <c r="I875" s="109">
        <v>0.1605</v>
      </c>
      <c r="J875" s="109">
        <v>0.1195</v>
      </c>
      <c r="K875" s="109" t="s">
        <v>717</v>
      </c>
      <c r="L875" s="67">
        <v>5000</v>
      </c>
      <c r="M875" s="67">
        <v>500000</v>
      </c>
      <c r="N875" s="105">
        <v>44197</v>
      </c>
      <c r="O875" s="105">
        <v>44377</v>
      </c>
      <c r="P875" t="s">
        <v>718</v>
      </c>
    </row>
    <row r="876" spans="1:16" ht="15" customHeight="1" x14ac:dyDescent="0.3">
      <c r="A876" t="str">
        <f t="shared" si="14"/>
        <v>16-0-HH 2RATE (CT)-SmartFIX – 1 Year</v>
      </c>
      <c r="B876" s="67" t="s">
        <v>13</v>
      </c>
      <c r="C876" s="67">
        <v>16</v>
      </c>
      <c r="D876" s="99" t="s">
        <v>25</v>
      </c>
      <c r="E876" s="67" t="s">
        <v>729</v>
      </c>
      <c r="F876" s="67" t="s">
        <v>88</v>
      </c>
      <c r="G876" s="67" t="s">
        <v>686</v>
      </c>
      <c r="H876" s="127">
        <v>0.51890000000000003</v>
      </c>
      <c r="I876" s="109">
        <v>0.16300000000000001</v>
      </c>
      <c r="J876" s="109">
        <v>0.11799999999999999</v>
      </c>
      <c r="K876" s="109" t="s">
        <v>717</v>
      </c>
      <c r="L876" s="67">
        <v>5000</v>
      </c>
      <c r="M876" s="67">
        <v>500000</v>
      </c>
      <c r="N876" s="105">
        <v>44197</v>
      </c>
      <c r="O876" s="105">
        <v>44377</v>
      </c>
      <c r="P876" t="s">
        <v>718</v>
      </c>
    </row>
    <row r="877" spans="1:16" ht="15" customHeight="1" x14ac:dyDescent="0.3">
      <c r="A877" t="str">
        <f t="shared" si="14"/>
        <v>17-0-HH 2RATE (CT)-SmartFIX – 1 Year</v>
      </c>
      <c r="B877" s="67" t="s">
        <v>13</v>
      </c>
      <c r="C877" s="67">
        <v>17</v>
      </c>
      <c r="D877" s="99" t="s">
        <v>26</v>
      </c>
      <c r="E877" s="67" t="s">
        <v>729</v>
      </c>
      <c r="F877" s="67" t="s">
        <v>88</v>
      </c>
      <c r="G877" s="67" t="s">
        <v>686</v>
      </c>
      <c r="H877" s="127">
        <v>0.70240000000000002</v>
      </c>
      <c r="I877" s="109">
        <v>0.16930000000000001</v>
      </c>
      <c r="J877" s="109">
        <v>0.12820000000000001</v>
      </c>
      <c r="K877" s="109" t="s">
        <v>717</v>
      </c>
      <c r="L877" s="67">
        <v>5000</v>
      </c>
      <c r="M877" s="67">
        <v>500000</v>
      </c>
      <c r="N877" s="105">
        <v>44197</v>
      </c>
      <c r="O877" s="105">
        <v>44377</v>
      </c>
      <c r="P877" t="s">
        <v>718</v>
      </c>
    </row>
    <row r="878" spans="1:16" ht="15" customHeight="1" x14ac:dyDescent="0.3">
      <c r="A878" t="str">
        <f t="shared" si="14"/>
        <v>18-0-HH 2RATE (CT)-SmartFIX – 1 Year</v>
      </c>
      <c r="B878" s="67" t="s">
        <v>13</v>
      </c>
      <c r="C878" s="67">
        <v>18</v>
      </c>
      <c r="D878" s="99" t="s">
        <v>27</v>
      </c>
      <c r="E878" s="67" t="s">
        <v>729</v>
      </c>
      <c r="F878" s="67" t="s">
        <v>88</v>
      </c>
      <c r="G878" s="67" t="s">
        <v>686</v>
      </c>
      <c r="H878" s="127">
        <v>0.64390000000000003</v>
      </c>
      <c r="I878" s="109">
        <v>0.1585</v>
      </c>
      <c r="J878" s="109">
        <v>0.11600000000000001</v>
      </c>
      <c r="K878" s="109" t="s">
        <v>717</v>
      </c>
      <c r="L878" s="67">
        <v>5000</v>
      </c>
      <c r="M878" s="67">
        <v>500000</v>
      </c>
      <c r="N878" s="105">
        <v>44197</v>
      </c>
      <c r="O878" s="105">
        <v>44377</v>
      </c>
      <c r="P878" t="s">
        <v>718</v>
      </c>
    </row>
    <row r="879" spans="1:16" ht="15" customHeight="1" x14ac:dyDescent="0.3">
      <c r="A879" t="str">
        <f t="shared" si="14"/>
        <v>19-0-HH 2RATE (CT)-SmartFIX – 1 Year</v>
      </c>
      <c r="B879" s="67" t="s">
        <v>13</v>
      </c>
      <c r="C879" s="67">
        <v>19</v>
      </c>
      <c r="D879" s="99" t="s">
        <v>28</v>
      </c>
      <c r="E879" s="67" t="s">
        <v>729</v>
      </c>
      <c r="F879" s="67" t="s">
        <v>88</v>
      </c>
      <c r="G879" s="67" t="s">
        <v>686</v>
      </c>
      <c r="H879" s="127">
        <v>0.50600000000000001</v>
      </c>
      <c r="I879" s="109">
        <v>0.159</v>
      </c>
      <c r="J879" s="109">
        <v>0.11</v>
      </c>
      <c r="K879" s="109" t="s">
        <v>717</v>
      </c>
      <c r="L879" s="67">
        <v>5000</v>
      </c>
      <c r="M879" s="67">
        <v>500000</v>
      </c>
      <c r="N879" s="105">
        <v>44197</v>
      </c>
      <c r="O879" s="105">
        <v>44377</v>
      </c>
      <c r="P879" t="s">
        <v>718</v>
      </c>
    </row>
    <row r="880" spans="1:16" ht="15" customHeight="1" x14ac:dyDescent="0.3">
      <c r="A880" t="str">
        <f t="shared" si="14"/>
        <v>20-0-HH 2RATE (CT)-SmartFIX – 1 Year</v>
      </c>
      <c r="B880" s="67" t="s">
        <v>13</v>
      </c>
      <c r="C880" s="67">
        <v>20</v>
      </c>
      <c r="D880" s="99" t="s">
        <v>29</v>
      </c>
      <c r="E880" s="67" t="s">
        <v>729</v>
      </c>
      <c r="F880" s="67" t="s">
        <v>88</v>
      </c>
      <c r="G880" s="67" t="s">
        <v>686</v>
      </c>
      <c r="H880" s="127">
        <v>0.53449999999999998</v>
      </c>
      <c r="I880" s="109">
        <v>0.15629999999999999</v>
      </c>
      <c r="J880" s="109">
        <v>0.1109</v>
      </c>
      <c r="K880" s="109" t="s">
        <v>717</v>
      </c>
      <c r="L880" s="67">
        <v>5000</v>
      </c>
      <c r="M880" s="67">
        <v>500000</v>
      </c>
      <c r="N880" s="105">
        <v>44197</v>
      </c>
      <c r="O880" s="105">
        <v>44377</v>
      </c>
      <c r="P880" t="s">
        <v>718</v>
      </c>
    </row>
    <row r="881" spans="1:16" ht="15" customHeight="1" x14ac:dyDescent="0.3">
      <c r="A881" t="str">
        <f t="shared" si="14"/>
        <v>21-0-HH 2RATE (CT)-SmartFIX – 1 Year</v>
      </c>
      <c r="B881" s="67" t="s">
        <v>13</v>
      </c>
      <c r="C881" s="67">
        <v>21</v>
      </c>
      <c r="D881" s="99" t="s">
        <v>30</v>
      </c>
      <c r="E881" s="67" t="s">
        <v>729</v>
      </c>
      <c r="F881" s="67" t="s">
        <v>88</v>
      </c>
      <c r="G881" s="67" t="s">
        <v>686</v>
      </c>
      <c r="H881" s="127">
        <v>0.54900000000000004</v>
      </c>
      <c r="I881" s="109">
        <v>0.1656</v>
      </c>
      <c r="J881" s="109">
        <v>0.125</v>
      </c>
      <c r="K881" s="109" t="s">
        <v>717</v>
      </c>
      <c r="L881" s="67">
        <v>5000</v>
      </c>
      <c r="M881" s="67">
        <v>500000</v>
      </c>
      <c r="N881" s="105">
        <v>44197</v>
      </c>
      <c r="O881" s="105">
        <v>44377</v>
      </c>
      <c r="P881" t="s">
        <v>718</v>
      </c>
    </row>
    <row r="882" spans="1:16" ht="15" customHeight="1" x14ac:dyDescent="0.3">
      <c r="A882" t="str">
        <f t="shared" si="14"/>
        <v>22-0-HH 2RATE (CT)-SmartFIX – 1 Year</v>
      </c>
      <c r="B882" s="67" t="s">
        <v>13</v>
      </c>
      <c r="C882" s="67">
        <v>22</v>
      </c>
      <c r="D882" s="99" t="s">
        <v>31</v>
      </c>
      <c r="E882" s="67" t="s">
        <v>729</v>
      </c>
      <c r="F882" s="67" t="s">
        <v>88</v>
      </c>
      <c r="G882" s="67" t="s">
        <v>686</v>
      </c>
      <c r="H882" s="127">
        <v>0.48149999999999998</v>
      </c>
      <c r="I882" s="109">
        <v>0.16889999999999999</v>
      </c>
      <c r="J882" s="109">
        <v>0.13969999999999999</v>
      </c>
      <c r="K882" s="109" t="s">
        <v>717</v>
      </c>
      <c r="L882" s="67">
        <v>5000</v>
      </c>
      <c r="M882" s="67">
        <v>500000</v>
      </c>
      <c r="N882" s="105">
        <v>44197</v>
      </c>
      <c r="O882" s="105">
        <v>44377</v>
      </c>
      <c r="P882" t="s">
        <v>718</v>
      </c>
    </row>
    <row r="883" spans="1:16" ht="15" customHeight="1" x14ac:dyDescent="0.3">
      <c r="A883" t="str">
        <f t="shared" si="14"/>
        <v>23-0-HH 2RATE (CT)-SmartFIX – 1 Year</v>
      </c>
      <c r="B883" s="67" t="s">
        <v>13</v>
      </c>
      <c r="C883" s="67">
        <v>23</v>
      </c>
      <c r="D883" s="99" t="s">
        <v>32</v>
      </c>
      <c r="E883" s="67" t="s">
        <v>729</v>
      </c>
      <c r="F883" s="67" t="s">
        <v>88</v>
      </c>
      <c r="G883" s="67" t="s">
        <v>686</v>
      </c>
      <c r="H883" s="127">
        <v>0.57469999999999999</v>
      </c>
      <c r="I883" s="109">
        <v>0.15609999999999999</v>
      </c>
      <c r="J883" s="109">
        <v>0.1138</v>
      </c>
      <c r="K883" s="109" t="s">
        <v>717</v>
      </c>
      <c r="L883" s="67">
        <v>5000</v>
      </c>
      <c r="M883" s="67">
        <v>500000</v>
      </c>
      <c r="N883" s="105">
        <v>44197</v>
      </c>
      <c r="O883" s="105">
        <v>44377</v>
      </c>
      <c r="P883" t="s">
        <v>718</v>
      </c>
    </row>
    <row r="884" spans="1:16" ht="15" customHeight="1" x14ac:dyDescent="0.3">
      <c r="A884" t="str">
        <f t="shared" si="14"/>
        <v>10-0-HH 2RATE (CT)-SmartFIX – 1 Year Renewal</v>
      </c>
      <c r="B884" s="67" t="s">
        <v>13</v>
      </c>
      <c r="C884" s="67">
        <v>10</v>
      </c>
      <c r="D884" s="99" t="s">
        <v>14</v>
      </c>
      <c r="E884" s="67" t="s">
        <v>729</v>
      </c>
      <c r="F884" s="67" t="s">
        <v>88</v>
      </c>
      <c r="G884" s="67" t="s">
        <v>721</v>
      </c>
      <c r="H884" s="127">
        <v>0.55479999999999996</v>
      </c>
      <c r="I884" s="109">
        <v>0.16400000000000001</v>
      </c>
      <c r="J884" s="109">
        <v>0.1139</v>
      </c>
      <c r="K884" s="109" t="s">
        <v>717</v>
      </c>
      <c r="L884" s="67">
        <v>5000</v>
      </c>
      <c r="M884" s="67">
        <v>500000</v>
      </c>
      <c r="N884" s="105">
        <v>44197</v>
      </c>
      <c r="O884" s="105">
        <v>44377</v>
      </c>
      <c r="P884" t="s">
        <v>718</v>
      </c>
    </row>
    <row r="885" spans="1:16" ht="15" customHeight="1" x14ac:dyDescent="0.3">
      <c r="A885" t="str">
        <f t="shared" si="14"/>
        <v>11-0-HH 2RATE (CT)-SmartFIX – 1 Year Renewal</v>
      </c>
      <c r="B885" s="67" t="s">
        <v>13</v>
      </c>
      <c r="C885" s="67">
        <v>11</v>
      </c>
      <c r="D885" s="99" t="s">
        <v>20</v>
      </c>
      <c r="E885" s="67" t="s">
        <v>729</v>
      </c>
      <c r="F885" s="67" t="s">
        <v>88</v>
      </c>
      <c r="G885" s="67" t="s">
        <v>721</v>
      </c>
      <c r="H885" s="127">
        <v>0.49309999999999998</v>
      </c>
      <c r="I885" s="109">
        <v>0.16290000000000002</v>
      </c>
      <c r="J885" s="109">
        <v>0.1201</v>
      </c>
      <c r="K885" s="109" t="s">
        <v>717</v>
      </c>
      <c r="L885" s="67">
        <v>5000</v>
      </c>
      <c r="M885" s="67">
        <v>500000</v>
      </c>
      <c r="N885" s="105">
        <v>44197</v>
      </c>
      <c r="O885" s="105">
        <v>44377</v>
      </c>
      <c r="P885" t="s">
        <v>718</v>
      </c>
    </row>
    <row r="886" spans="1:16" ht="15" customHeight="1" x14ac:dyDescent="0.3">
      <c r="A886" t="str">
        <f t="shared" si="14"/>
        <v>12-0-HH 2RATE (CT)-SmartFIX – 1 Year Renewal</v>
      </c>
      <c r="B886" s="67" t="s">
        <v>13</v>
      </c>
      <c r="C886" s="67">
        <v>12</v>
      </c>
      <c r="D886" s="99" t="s">
        <v>21</v>
      </c>
      <c r="E886" s="67" t="s">
        <v>729</v>
      </c>
      <c r="F886" s="67" t="s">
        <v>88</v>
      </c>
      <c r="G886" s="67" t="s">
        <v>721</v>
      </c>
      <c r="H886" s="127">
        <v>0.45529999999999998</v>
      </c>
      <c r="I886" s="109">
        <v>0.16020000000000001</v>
      </c>
      <c r="J886" s="109">
        <v>0.1076</v>
      </c>
      <c r="K886" s="109" t="s">
        <v>717</v>
      </c>
      <c r="L886" s="67">
        <v>5000</v>
      </c>
      <c r="M886" s="67">
        <v>500000</v>
      </c>
      <c r="N886" s="105">
        <v>44197</v>
      </c>
      <c r="O886" s="105">
        <v>44377</v>
      </c>
      <c r="P886" t="s">
        <v>718</v>
      </c>
    </row>
    <row r="887" spans="1:16" ht="15" customHeight="1" x14ac:dyDescent="0.3">
      <c r="A887" t="str">
        <f t="shared" si="14"/>
        <v>13-0-HH 2RATE (CT)-SmartFIX – 1 Year Renewal</v>
      </c>
      <c r="B887" s="67" t="s">
        <v>13</v>
      </c>
      <c r="C887" s="67">
        <v>13</v>
      </c>
      <c r="D887" s="99" t="s">
        <v>22</v>
      </c>
      <c r="E887" s="67" t="s">
        <v>729</v>
      </c>
      <c r="F887" s="67" t="s">
        <v>88</v>
      </c>
      <c r="G887" s="67" t="s">
        <v>721</v>
      </c>
      <c r="H887" s="127">
        <v>0.63900000000000001</v>
      </c>
      <c r="I887" s="109">
        <v>0.18190000000000001</v>
      </c>
      <c r="J887" s="109">
        <v>0.128</v>
      </c>
      <c r="K887" s="109" t="s">
        <v>717</v>
      </c>
      <c r="L887" s="67">
        <v>5000</v>
      </c>
      <c r="M887" s="67">
        <v>500000</v>
      </c>
      <c r="N887" s="105">
        <v>44197</v>
      </c>
      <c r="O887" s="105">
        <v>44377</v>
      </c>
      <c r="P887" t="s">
        <v>718</v>
      </c>
    </row>
    <row r="888" spans="1:16" ht="15" customHeight="1" x14ac:dyDescent="0.3">
      <c r="A888" t="str">
        <f t="shared" si="14"/>
        <v>14-0-HH 2RATE (CT)-SmartFIX – 1 Year Renewal</v>
      </c>
      <c r="B888" s="67" t="s">
        <v>13</v>
      </c>
      <c r="C888" s="67">
        <v>14</v>
      </c>
      <c r="D888" s="99" t="s">
        <v>23</v>
      </c>
      <c r="E888" s="67" t="s">
        <v>729</v>
      </c>
      <c r="F888" s="67" t="s">
        <v>88</v>
      </c>
      <c r="G888" s="67" t="s">
        <v>721</v>
      </c>
      <c r="H888" s="127">
        <v>0.50660000000000005</v>
      </c>
      <c r="I888" s="109">
        <v>0.16670000000000001</v>
      </c>
      <c r="J888" s="109">
        <v>0.1249</v>
      </c>
      <c r="K888" s="109" t="s">
        <v>717</v>
      </c>
      <c r="L888" s="67">
        <v>5000</v>
      </c>
      <c r="M888" s="67">
        <v>500000</v>
      </c>
      <c r="N888" s="105">
        <v>44197</v>
      </c>
      <c r="O888" s="105">
        <v>44377</v>
      </c>
      <c r="P888" t="s">
        <v>718</v>
      </c>
    </row>
    <row r="889" spans="1:16" ht="15" customHeight="1" x14ac:dyDescent="0.3">
      <c r="A889" t="str">
        <f t="shared" si="14"/>
        <v>15-0-HH 2RATE (CT)-SmartFIX – 1 Year Renewal</v>
      </c>
      <c r="B889" s="67" t="s">
        <v>13</v>
      </c>
      <c r="C889" s="67">
        <v>15</v>
      </c>
      <c r="D889" s="99" t="s">
        <v>24</v>
      </c>
      <c r="E889" s="67" t="s">
        <v>729</v>
      </c>
      <c r="F889" s="67" t="s">
        <v>88</v>
      </c>
      <c r="G889" s="67" t="s">
        <v>721</v>
      </c>
      <c r="H889" s="127">
        <v>0.61280000000000001</v>
      </c>
      <c r="I889" s="109">
        <v>0.16450000000000001</v>
      </c>
      <c r="J889" s="109">
        <v>0.1235</v>
      </c>
      <c r="K889" s="109" t="s">
        <v>717</v>
      </c>
      <c r="L889" s="67">
        <v>5000</v>
      </c>
      <c r="M889" s="67">
        <v>500000</v>
      </c>
      <c r="N889" s="105">
        <v>44197</v>
      </c>
      <c r="O889" s="105">
        <v>44377</v>
      </c>
      <c r="P889" t="s">
        <v>718</v>
      </c>
    </row>
    <row r="890" spans="1:16" ht="15" customHeight="1" x14ac:dyDescent="0.3">
      <c r="A890" t="str">
        <f t="shared" si="14"/>
        <v>16-0-HH 2RATE (CT)-SmartFIX – 1 Year Renewal</v>
      </c>
      <c r="B890" s="67" t="s">
        <v>13</v>
      </c>
      <c r="C890" s="67">
        <v>16</v>
      </c>
      <c r="D890" s="99" t="s">
        <v>25</v>
      </c>
      <c r="E890" s="67" t="s">
        <v>729</v>
      </c>
      <c r="F890" s="67" t="s">
        <v>88</v>
      </c>
      <c r="G890" s="67" t="s">
        <v>721</v>
      </c>
      <c r="H890" s="127">
        <v>0.57079999999999997</v>
      </c>
      <c r="I890" s="109">
        <v>0.16700000000000001</v>
      </c>
      <c r="J890" s="109">
        <v>0.122</v>
      </c>
      <c r="K890" s="109" t="s">
        <v>717</v>
      </c>
      <c r="L890" s="67">
        <v>5000</v>
      </c>
      <c r="M890" s="67">
        <v>500000</v>
      </c>
      <c r="N890" s="105">
        <v>44197</v>
      </c>
      <c r="O890" s="105">
        <v>44377</v>
      </c>
      <c r="P890" t="s">
        <v>718</v>
      </c>
    </row>
    <row r="891" spans="1:16" ht="15" customHeight="1" x14ac:dyDescent="0.3">
      <c r="A891" t="str">
        <f t="shared" si="14"/>
        <v>17-0-HH 2RATE (CT)-SmartFIX – 1 Year Renewal</v>
      </c>
      <c r="B891" s="67" t="s">
        <v>13</v>
      </c>
      <c r="C891" s="67">
        <v>17</v>
      </c>
      <c r="D891" s="99" t="s">
        <v>26</v>
      </c>
      <c r="E891" s="67" t="s">
        <v>729</v>
      </c>
      <c r="F891" s="67" t="s">
        <v>88</v>
      </c>
      <c r="G891" s="67" t="s">
        <v>721</v>
      </c>
      <c r="H891" s="127">
        <v>0.77270000000000005</v>
      </c>
      <c r="I891" s="109">
        <v>0.17330000000000001</v>
      </c>
      <c r="J891" s="109">
        <v>0.13220000000000001</v>
      </c>
      <c r="K891" s="109" t="s">
        <v>717</v>
      </c>
      <c r="L891" s="67">
        <v>5000</v>
      </c>
      <c r="M891" s="67">
        <v>500000</v>
      </c>
      <c r="N891" s="105">
        <v>44197</v>
      </c>
      <c r="O891" s="105">
        <v>44377</v>
      </c>
      <c r="P891" t="s">
        <v>718</v>
      </c>
    </row>
    <row r="892" spans="1:16" ht="15" customHeight="1" x14ac:dyDescent="0.3">
      <c r="A892" t="str">
        <f t="shared" si="14"/>
        <v>18-0-HH 2RATE (CT)-SmartFIX – 1 Year Renewal</v>
      </c>
      <c r="B892" s="67" t="s">
        <v>13</v>
      </c>
      <c r="C892" s="67">
        <v>18</v>
      </c>
      <c r="D892" s="99" t="s">
        <v>27</v>
      </c>
      <c r="E892" s="67" t="s">
        <v>729</v>
      </c>
      <c r="F892" s="67" t="s">
        <v>88</v>
      </c>
      <c r="G892" s="67" t="s">
        <v>721</v>
      </c>
      <c r="H892" s="127">
        <v>0.70830000000000004</v>
      </c>
      <c r="I892" s="109">
        <v>0.16250000000000001</v>
      </c>
      <c r="J892" s="109">
        <v>0.12000000000000001</v>
      </c>
      <c r="K892" s="109" t="s">
        <v>717</v>
      </c>
      <c r="L892" s="67">
        <v>5000</v>
      </c>
      <c r="M892" s="67">
        <v>500000</v>
      </c>
      <c r="N892" s="105">
        <v>44197</v>
      </c>
      <c r="O892" s="105">
        <v>44377</v>
      </c>
      <c r="P892" t="s">
        <v>718</v>
      </c>
    </row>
    <row r="893" spans="1:16" ht="15" customHeight="1" x14ac:dyDescent="0.3">
      <c r="A893" t="str">
        <f t="shared" si="14"/>
        <v>19-0-HH 2RATE (CT)-SmartFIX – 1 Year Renewal</v>
      </c>
      <c r="B893" s="67" t="s">
        <v>13</v>
      </c>
      <c r="C893" s="67">
        <v>19</v>
      </c>
      <c r="D893" s="99" t="s">
        <v>28</v>
      </c>
      <c r="E893" s="67" t="s">
        <v>729</v>
      </c>
      <c r="F893" s="67" t="s">
        <v>88</v>
      </c>
      <c r="G893" s="67" t="s">
        <v>721</v>
      </c>
      <c r="H893" s="127">
        <v>0.55659999999999998</v>
      </c>
      <c r="I893" s="109">
        <v>0.16300000000000001</v>
      </c>
      <c r="J893" s="109">
        <v>0.114</v>
      </c>
      <c r="K893" s="109" t="s">
        <v>717</v>
      </c>
      <c r="L893" s="67">
        <v>5000</v>
      </c>
      <c r="M893" s="67">
        <v>500000</v>
      </c>
      <c r="N893" s="105">
        <v>44197</v>
      </c>
      <c r="O893" s="105">
        <v>44377</v>
      </c>
      <c r="P893" t="s">
        <v>718</v>
      </c>
    </row>
    <row r="894" spans="1:16" ht="15" customHeight="1" x14ac:dyDescent="0.3">
      <c r="A894" t="str">
        <f t="shared" si="14"/>
        <v>20-0-HH 2RATE (CT)-SmartFIX – 1 Year Renewal</v>
      </c>
      <c r="B894" s="67" t="s">
        <v>13</v>
      </c>
      <c r="C894" s="67">
        <v>20</v>
      </c>
      <c r="D894" s="99" t="s">
        <v>29</v>
      </c>
      <c r="E894" s="67" t="s">
        <v>729</v>
      </c>
      <c r="F894" s="67" t="s">
        <v>88</v>
      </c>
      <c r="G894" s="67" t="s">
        <v>721</v>
      </c>
      <c r="H894" s="127">
        <v>0.58799999999999997</v>
      </c>
      <c r="I894" s="109">
        <v>0.1603</v>
      </c>
      <c r="J894" s="109">
        <v>0.1149</v>
      </c>
      <c r="K894" s="109" t="s">
        <v>717</v>
      </c>
      <c r="L894" s="67">
        <v>5000</v>
      </c>
      <c r="M894" s="67">
        <v>500000</v>
      </c>
      <c r="N894" s="105">
        <v>44197</v>
      </c>
      <c r="O894" s="105">
        <v>44377</v>
      </c>
      <c r="P894" t="s">
        <v>718</v>
      </c>
    </row>
    <row r="895" spans="1:16" ht="15" customHeight="1" x14ac:dyDescent="0.3">
      <c r="A895" t="str">
        <f t="shared" si="14"/>
        <v>21-0-HH 2RATE (CT)-SmartFIX – 1 Year Renewal</v>
      </c>
      <c r="B895" s="67" t="s">
        <v>13</v>
      </c>
      <c r="C895" s="67">
        <v>21</v>
      </c>
      <c r="D895" s="99" t="s">
        <v>30</v>
      </c>
      <c r="E895" s="67" t="s">
        <v>729</v>
      </c>
      <c r="F895" s="67" t="s">
        <v>88</v>
      </c>
      <c r="G895" s="67" t="s">
        <v>721</v>
      </c>
      <c r="H895" s="127">
        <v>0.60389999999999999</v>
      </c>
      <c r="I895" s="109">
        <v>0.1696</v>
      </c>
      <c r="J895" s="109">
        <v>0.129</v>
      </c>
      <c r="K895" s="109" t="s">
        <v>717</v>
      </c>
      <c r="L895" s="67">
        <v>5000</v>
      </c>
      <c r="M895" s="67">
        <v>500000</v>
      </c>
      <c r="N895" s="105">
        <v>44197</v>
      </c>
      <c r="O895" s="105">
        <v>44377</v>
      </c>
      <c r="P895" t="s">
        <v>718</v>
      </c>
    </row>
    <row r="896" spans="1:16" ht="15" customHeight="1" x14ac:dyDescent="0.3">
      <c r="A896" t="str">
        <f t="shared" si="14"/>
        <v>22-0-HH 2RATE (CT)-SmartFIX – 1 Year Renewal</v>
      </c>
      <c r="B896" s="67" t="s">
        <v>13</v>
      </c>
      <c r="C896" s="67">
        <v>22</v>
      </c>
      <c r="D896" s="99" t="s">
        <v>31</v>
      </c>
      <c r="E896" s="67" t="s">
        <v>729</v>
      </c>
      <c r="F896" s="67" t="s">
        <v>88</v>
      </c>
      <c r="G896" s="67" t="s">
        <v>721</v>
      </c>
      <c r="H896" s="127">
        <v>0.52969999999999995</v>
      </c>
      <c r="I896" s="109">
        <v>0.1729</v>
      </c>
      <c r="J896" s="109">
        <v>0.14369999999999999</v>
      </c>
      <c r="K896" s="109" t="s">
        <v>717</v>
      </c>
      <c r="L896" s="67">
        <v>5000</v>
      </c>
      <c r="M896" s="67">
        <v>500000</v>
      </c>
      <c r="N896" s="105">
        <v>44197</v>
      </c>
      <c r="O896" s="105">
        <v>44377</v>
      </c>
      <c r="P896" t="s">
        <v>718</v>
      </c>
    </row>
    <row r="897" spans="1:16" ht="15" customHeight="1" x14ac:dyDescent="0.3">
      <c r="A897" t="str">
        <f t="shared" si="14"/>
        <v>23-0-HH 2RATE (CT)-SmartFIX – 1 Year Renewal</v>
      </c>
      <c r="B897" s="67" t="s">
        <v>13</v>
      </c>
      <c r="C897" s="67">
        <v>23</v>
      </c>
      <c r="D897" s="99" t="s">
        <v>32</v>
      </c>
      <c r="E897" s="67" t="s">
        <v>729</v>
      </c>
      <c r="F897" s="67" t="s">
        <v>88</v>
      </c>
      <c r="G897" s="67" t="s">
        <v>721</v>
      </c>
      <c r="H897" s="127">
        <v>0.6321</v>
      </c>
      <c r="I897" s="109">
        <v>0.16009999999999999</v>
      </c>
      <c r="J897" s="109">
        <v>0.1178</v>
      </c>
      <c r="K897" s="109" t="s">
        <v>717</v>
      </c>
      <c r="L897" s="67">
        <v>5000</v>
      </c>
      <c r="M897" s="67">
        <v>500000</v>
      </c>
      <c r="N897" s="105">
        <v>44197</v>
      </c>
      <c r="O897" s="105">
        <v>44377</v>
      </c>
      <c r="P897" t="s">
        <v>718</v>
      </c>
    </row>
    <row r="898" spans="1:16" ht="15" customHeight="1" x14ac:dyDescent="0.3">
      <c r="A898" t="str">
        <f t="shared" si="14"/>
        <v>10-0-HH 2RATE (WC)-SmartTRACKER</v>
      </c>
      <c r="B898" s="67" t="s">
        <v>13</v>
      </c>
      <c r="C898" s="67">
        <v>10</v>
      </c>
      <c r="D898" s="99" t="s">
        <v>14</v>
      </c>
      <c r="E898" s="67" t="s">
        <v>730</v>
      </c>
      <c r="F898" s="67" t="s">
        <v>88</v>
      </c>
      <c r="G898" s="67" t="s">
        <v>127</v>
      </c>
      <c r="H898" s="127">
        <v>0.40300000000000002</v>
      </c>
      <c r="I898" s="109">
        <v>0.16109999999999999</v>
      </c>
      <c r="J898" s="109">
        <v>0.107</v>
      </c>
      <c r="K898" s="109" t="s">
        <v>717</v>
      </c>
      <c r="L898" s="67">
        <v>5000</v>
      </c>
      <c r="M898" s="67">
        <v>500000</v>
      </c>
      <c r="N898" s="105">
        <v>44197</v>
      </c>
      <c r="O898" s="105">
        <v>44377</v>
      </c>
      <c r="P898" t="s">
        <v>718</v>
      </c>
    </row>
    <row r="899" spans="1:16" ht="15" customHeight="1" x14ac:dyDescent="0.3">
      <c r="A899" t="str">
        <f t="shared" si="14"/>
        <v>11-0-HH 2RATE (WC)-SmartTRACKER</v>
      </c>
      <c r="B899" s="67" t="s">
        <v>13</v>
      </c>
      <c r="C899" s="67">
        <v>11</v>
      </c>
      <c r="D899" s="99" t="s">
        <v>20</v>
      </c>
      <c r="E899" s="67" t="s">
        <v>730</v>
      </c>
      <c r="F899" s="67" t="s">
        <v>88</v>
      </c>
      <c r="G899" s="67" t="s">
        <v>127</v>
      </c>
      <c r="H899" s="39">
        <v>0.41310000000000002</v>
      </c>
      <c r="I899" s="109">
        <v>0.15890000000000001</v>
      </c>
      <c r="J899" s="109">
        <v>0.11650000000000001</v>
      </c>
      <c r="K899" s="109" t="s">
        <v>717</v>
      </c>
      <c r="L899" s="67">
        <v>5000</v>
      </c>
      <c r="M899" s="67">
        <v>500000</v>
      </c>
      <c r="N899" s="105">
        <v>44197</v>
      </c>
      <c r="O899" s="105">
        <v>44377</v>
      </c>
      <c r="P899" t="s">
        <v>718</v>
      </c>
    </row>
    <row r="900" spans="1:16" ht="15" customHeight="1" x14ac:dyDescent="0.3">
      <c r="A900" t="str">
        <f t="shared" si="14"/>
        <v>12-0-HH 2RATE (WC)-SmartTRACKER</v>
      </c>
      <c r="B900" s="67" t="s">
        <v>13</v>
      </c>
      <c r="C900" s="67">
        <v>12</v>
      </c>
      <c r="D900" s="99" t="s">
        <v>21</v>
      </c>
      <c r="E900" s="67" t="s">
        <v>730</v>
      </c>
      <c r="F900" s="67" t="s">
        <v>88</v>
      </c>
      <c r="G900" s="67" t="s">
        <v>127</v>
      </c>
      <c r="H900" s="39">
        <v>0.33729999999999999</v>
      </c>
      <c r="I900" s="109">
        <v>0.15590000000000001</v>
      </c>
      <c r="J900" s="109">
        <v>0.10639999999999999</v>
      </c>
      <c r="K900" s="109" t="s">
        <v>717</v>
      </c>
      <c r="L900" s="67">
        <v>5000</v>
      </c>
      <c r="M900" s="67">
        <v>500000</v>
      </c>
      <c r="N900" s="105">
        <v>44197</v>
      </c>
      <c r="O900" s="105">
        <v>44377</v>
      </c>
      <c r="P900" t="s">
        <v>718</v>
      </c>
    </row>
    <row r="901" spans="1:16" ht="15" customHeight="1" x14ac:dyDescent="0.3">
      <c r="A901" t="str">
        <f t="shared" si="14"/>
        <v>13-0-HH 2RATE (WC)-SmartTRACKER</v>
      </c>
      <c r="B901" s="67" t="s">
        <v>13</v>
      </c>
      <c r="C901" s="67">
        <v>13</v>
      </c>
      <c r="D901" s="99" t="s">
        <v>22</v>
      </c>
      <c r="E901" s="67" t="s">
        <v>730</v>
      </c>
      <c r="F901" s="67" t="s">
        <v>88</v>
      </c>
      <c r="G901" s="67" t="s">
        <v>127</v>
      </c>
      <c r="H901" s="39">
        <v>0.3785</v>
      </c>
      <c r="I901" s="109">
        <v>0.17879999999999999</v>
      </c>
      <c r="J901" s="109">
        <v>0.12379999999999999</v>
      </c>
      <c r="K901" s="109" t="s">
        <v>717</v>
      </c>
      <c r="L901" s="67">
        <v>5000</v>
      </c>
      <c r="M901" s="67">
        <v>500000</v>
      </c>
      <c r="N901" s="105">
        <v>44197</v>
      </c>
      <c r="O901" s="105">
        <v>44377</v>
      </c>
      <c r="P901" t="s">
        <v>718</v>
      </c>
    </row>
    <row r="902" spans="1:16" ht="15" customHeight="1" x14ac:dyDescent="0.3">
      <c r="A902" t="str">
        <f t="shared" si="14"/>
        <v>14-0-HH 2RATE (WC)-SmartTRACKER</v>
      </c>
      <c r="B902" s="67" t="s">
        <v>13</v>
      </c>
      <c r="C902" s="67">
        <v>14</v>
      </c>
      <c r="D902" s="99" t="s">
        <v>23</v>
      </c>
      <c r="E902" s="67" t="s">
        <v>730</v>
      </c>
      <c r="F902" s="67" t="s">
        <v>88</v>
      </c>
      <c r="G902" s="67" t="s">
        <v>127</v>
      </c>
      <c r="H902" s="39">
        <v>0.43530000000000002</v>
      </c>
      <c r="I902" s="109">
        <v>0.16289999999999999</v>
      </c>
      <c r="J902" s="109">
        <v>0.12039999999999999</v>
      </c>
      <c r="K902" s="109" t="s">
        <v>717</v>
      </c>
      <c r="L902" s="67">
        <v>5000</v>
      </c>
      <c r="M902" s="67">
        <v>500000</v>
      </c>
      <c r="N902" s="105">
        <v>44197</v>
      </c>
      <c r="O902" s="105">
        <v>44377</v>
      </c>
      <c r="P902" t="s">
        <v>718</v>
      </c>
    </row>
    <row r="903" spans="1:16" ht="15" customHeight="1" x14ac:dyDescent="0.3">
      <c r="A903" t="str">
        <f t="shared" si="14"/>
        <v>15-0-HH 2RATE (WC)-SmartTRACKER</v>
      </c>
      <c r="B903" s="67" t="s">
        <v>13</v>
      </c>
      <c r="C903" s="67">
        <v>15</v>
      </c>
      <c r="D903" s="99" t="s">
        <v>24</v>
      </c>
      <c r="E903" s="67" t="s">
        <v>730</v>
      </c>
      <c r="F903" s="67" t="s">
        <v>88</v>
      </c>
      <c r="G903" s="67" t="s">
        <v>127</v>
      </c>
      <c r="H903" s="39">
        <v>0.41239999999999999</v>
      </c>
      <c r="I903" s="109">
        <v>0.16189999999999999</v>
      </c>
      <c r="J903" s="109">
        <v>0.1164</v>
      </c>
      <c r="K903" s="109" t="s">
        <v>717</v>
      </c>
      <c r="L903" s="67">
        <v>5000</v>
      </c>
      <c r="M903" s="67">
        <v>500000</v>
      </c>
      <c r="N903" s="105">
        <v>44197</v>
      </c>
      <c r="O903" s="105">
        <v>44377</v>
      </c>
      <c r="P903" t="s">
        <v>718</v>
      </c>
    </row>
    <row r="904" spans="1:16" ht="15" customHeight="1" x14ac:dyDescent="0.3">
      <c r="A904" t="str">
        <f t="shared" si="14"/>
        <v>16-0-HH 2RATE (WC)-SmartTRACKER</v>
      </c>
      <c r="B904" s="67" t="s">
        <v>13</v>
      </c>
      <c r="C904" s="67">
        <v>16</v>
      </c>
      <c r="D904" s="99" t="s">
        <v>25</v>
      </c>
      <c r="E904" s="67" t="s">
        <v>730</v>
      </c>
      <c r="F904" s="67" t="s">
        <v>88</v>
      </c>
      <c r="G904" s="67" t="s">
        <v>127</v>
      </c>
      <c r="H904" s="39">
        <v>0.36770000000000003</v>
      </c>
      <c r="I904" s="109">
        <v>0.1643</v>
      </c>
      <c r="J904" s="109">
        <v>0.1159</v>
      </c>
      <c r="K904" s="109" t="s">
        <v>717</v>
      </c>
      <c r="L904" s="67">
        <v>5000</v>
      </c>
      <c r="M904" s="67">
        <v>500000</v>
      </c>
      <c r="N904" s="105">
        <v>44197</v>
      </c>
      <c r="O904" s="105">
        <v>44377</v>
      </c>
      <c r="P904" t="s">
        <v>718</v>
      </c>
    </row>
    <row r="905" spans="1:16" ht="15" customHeight="1" x14ac:dyDescent="0.3">
      <c r="A905" t="str">
        <f t="shared" si="14"/>
        <v>17-0-HH 2RATE (WC)-SmartTRACKER</v>
      </c>
      <c r="B905" s="67" t="s">
        <v>13</v>
      </c>
      <c r="C905" s="67">
        <v>17</v>
      </c>
      <c r="D905" s="99" t="s">
        <v>26</v>
      </c>
      <c r="E905" s="67" t="s">
        <v>730</v>
      </c>
      <c r="F905" s="67" t="s">
        <v>88</v>
      </c>
      <c r="G905" s="67" t="s">
        <v>127</v>
      </c>
      <c r="H905" s="39">
        <v>0.45</v>
      </c>
      <c r="I905" s="109">
        <v>0.1673</v>
      </c>
      <c r="J905" s="109">
        <v>0.1225</v>
      </c>
      <c r="K905" s="109" t="s">
        <v>717</v>
      </c>
      <c r="L905" s="67">
        <v>5000</v>
      </c>
      <c r="M905" s="67">
        <v>500000</v>
      </c>
      <c r="N905" s="105">
        <v>44197</v>
      </c>
      <c r="O905" s="105">
        <v>44377</v>
      </c>
      <c r="P905" t="s">
        <v>718</v>
      </c>
    </row>
    <row r="906" spans="1:16" ht="15" customHeight="1" x14ac:dyDescent="0.3">
      <c r="A906" t="str">
        <f t="shared" si="14"/>
        <v>18-0-HH 2RATE (WC)-SmartTRACKER</v>
      </c>
      <c r="B906" s="67" t="s">
        <v>13</v>
      </c>
      <c r="C906" s="67">
        <v>18</v>
      </c>
      <c r="D906" s="99" t="s">
        <v>27</v>
      </c>
      <c r="E906" s="67" t="s">
        <v>730</v>
      </c>
      <c r="F906" s="67" t="s">
        <v>88</v>
      </c>
      <c r="G906" s="67" t="s">
        <v>127</v>
      </c>
      <c r="H906" s="39">
        <v>0.39450000000000002</v>
      </c>
      <c r="I906" s="109">
        <v>0.1598</v>
      </c>
      <c r="J906" s="109">
        <v>0.1152</v>
      </c>
      <c r="K906" s="109" t="s">
        <v>717</v>
      </c>
      <c r="L906" s="67">
        <v>5000</v>
      </c>
      <c r="M906" s="67">
        <v>500000</v>
      </c>
      <c r="N906" s="105">
        <v>44197</v>
      </c>
      <c r="O906" s="105">
        <v>44377</v>
      </c>
      <c r="P906" t="s">
        <v>718</v>
      </c>
    </row>
    <row r="907" spans="1:16" ht="15" customHeight="1" x14ac:dyDescent="0.3">
      <c r="A907" t="str">
        <f t="shared" si="14"/>
        <v>19-0-HH 2RATE (WC)-SmartTRACKER</v>
      </c>
      <c r="B907" s="67" t="s">
        <v>13</v>
      </c>
      <c r="C907" s="67">
        <v>19</v>
      </c>
      <c r="D907" s="99" t="s">
        <v>28</v>
      </c>
      <c r="E907" s="67" t="s">
        <v>730</v>
      </c>
      <c r="F907" s="67" t="s">
        <v>88</v>
      </c>
      <c r="G907" s="67" t="s">
        <v>127</v>
      </c>
      <c r="H907" s="127">
        <v>0.39610000000000001</v>
      </c>
      <c r="I907" s="109">
        <v>0.15989999999999999</v>
      </c>
      <c r="J907" s="109">
        <v>0.1084</v>
      </c>
      <c r="K907" s="109" t="s">
        <v>717</v>
      </c>
      <c r="L907" s="67">
        <v>5000</v>
      </c>
      <c r="M907" s="67">
        <v>500000</v>
      </c>
      <c r="N907" s="105">
        <v>44197</v>
      </c>
      <c r="O907" s="105">
        <v>44377</v>
      </c>
      <c r="P907" t="s">
        <v>718</v>
      </c>
    </row>
    <row r="908" spans="1:16" ht="15" customHeight="1" x14ac:dyDescent="0.3">
      <c r="A908" t="str">
        <f t="shared" ref="A908:A971" si="15">IF(E908="OP","",CONCATENATE(C908,"-",RIGHT(F908,1),"-",IF(OR(E908="1 Rate MD",E908="DAY"),"U",IF(OR(E908="2 Rate MD",E908="E7"),"E7",IF(OR(E908="3 Rate MD (EW)",E908="EW"),"EW",IF(OR(E908="3 Rate MD",E908="EWN"),"3RATE",IF(E908="HH 2RATE (CT)","HH 2RATE (CT)",IF(E908="HH 2RATE (WC)","HH 2RATE (WC)",IF(E908="HH 1RATE (CT)","HH 1RATE (CT)",IF(E908="HH 1RATE (WC)","HH 1RATE (WC)")))))))),"-",G908))</f>
        <v>20-0-HH 2RATE (WC)-SmartTRACKER</v>
      </c>
      <c r="B908" s="67" t="s">
        <v>13</v>
      </c>
      <c r="C908" s="67">
        <v>20</v>
      </c>
      <c r="D908" s="99" t="s">
        <v>29</v>
      </c>
      <c r="E908" s="67" t="s">
        <v>730</v>
      </c>
      <c r="F908" s="67" t="s">
        <v>88</v>
      </c>
      <c r="G908" s="67" t="s">
        <v>127</v>
      </c>
      <c r="H908" s="127">
        <v>0.38940000000000002</v>
      </c>
      <c r="I908" s="109">
        <v>0.15690000000000001</v>
      </c>
      <c r="J908" s="109">
        <v>0.111</v>
      </c>
      <c r="K908" s="109" t="s">
        <v>717</v>
      </c>
      <c r="L908" s="67">
        <v>5000</v>
      </c>
      <c r="M908" s="67">
        <v>500000</v>
      </c>
      <c r="N908" s="105">
        <v>44197</v>
      </c>
      <c r="O908" s="105">
        <v>44377</v>
      </c>
      <c r="P908" t="s">
        <v>718</v>
      </c>
    </row>
    <row r="909" spans="1:16" ht="15" customHeight="1" x14ac:dyDescent="0.3">
      <c r="A909" t="str">
        <f t="shared" si="15"/>
        <v>21-0-HH 2RATE (WC)-SmartTRACKER</v>
      </c>
      <c r="B909" s="67" t="s">
        <v>13</v>
      </c>
      <c r="C909" s="67">
        <v>21</v>
      </c>
      <c r="D909" s="99" t="s">
        <v>30</v>
      </c>
      <c r="E909" s="67" t="s">
        <v>730</v>
      </c>
      <c r="F909" s="67" t="s">
        <v>88</v>
      </c>
      <c r="G909" s="67" t="s">
        <v>127</v>
      </c>
      <c r="H909" s="127">
        <v>0.49430000000000002</v>
      </c>
      <c r="I909" s="109">
        <v>0.16520000000000001</v>
      </c>
      <c r="J909" s="109">
        <v>0.1275</v>
      </c>
      <c r="K909" s="109" t="s">
        <v>717</v>
      </c>
      <c r="L909" s="67">
        <v>5000</v>
      </c>
      <c r="M909" s="67">
        <v>500000</v>
      </c>
      <c r="N909" s="105">
        <v>44197</v>
      </c>
      <c r="O909" s="105">
        <v>44377</v>
      </c>
      <c r="P909" t="s">
        <v>718</v>
      </c>
    </row>
    <row r="910" spans="1:16" ht="15" customHeight="1" x14ac:dyDescent="0.3">
      <c r="A910" t="str">
        <f t="shared" si="15"/>
        <v>22-0-HH 2RATE (WC)-SmartTRACKER</v>
      </c>
      <c r="B910" s="67" t="s">
        <v>13</v>
      </c>
      <c r="C910" s="67">
        <v>22</v>
      </c>
      <c r="D910" s="99" t="s">
        <v>31</v>
      </c>
      <c r="E910" s="67" t="s">
        <v>730</v>
      </c>
      <c r="F910" s="67" t="s">
        <v>88</v>
      </c>
      <c r="G910" s="67" t="s">
        <v>127</v>
      </c>
      <c r="H910" s="127">
        <v>0.44379999999999997</v>
      </c>
      <c r="I910" s="109">
        <v>0.17150000000000001</v>
      </c>
      <c r="J910" s="109">
        <v>0.1303</v>
      </c>
      <c r="K910" s="109" t="s">
        <v>717</v>
      </c>
      <c r="L910" s="67">
        <v>5000</v>
      </c>
      <c r="M910" s="67">
        <v>500000</v>
      </c>
      <c r="N910" s="105">
        <v>44197</v>
      </c>
      <c r="O910" s="105">
        <v>44377</v>
      </c>
      <c r="P910" t="s">
        <v>718</v>
      </c>
    </row>
    <row r="911" spans="1:16" ht="15" customHeight="1" x14ac:dyDescent="0.3">
      <c r="A911" t="str">
        <f t="shared" si="15"/>
        <v>23-0-HH 2RATE (WC)-SmartTRACKER</v>
      </c>
      <c r="B911" s="67" t="s">
        <v>13</v>
      </c>
      <c r="C911" s="67">
        <v>23</v>
      </c>
      <c r="D911" s="99" t="s">
        <v>32</v>
      </c>
      <c r="E911" s="67" t="s">
        <v>730</v>
      </c>
      <c r="F911" s="67" t="s">
        <v>88</v>
      </c>
      <c r="G911" s="67" t="s">
        <v>127</v>
      </c>
      <c r="H911" s="127">
        <v>0.40550000000000003</v>
      </c>
      <c r="I911" s="109">
        <v>0.15709999999999999</v>
      </c>
      <c r="J911" s="109">
        <v>0.113</v>
      </c>
      <c r="K911" s="109" t="s">
        <v>717</v>
      </c>
      <c r="L911" s="67">
        <v>5000</v>
      </c>
      <c r="M911" s="67">
        <v>500000</v>
      </c>
      <c r="N911" s="105">
        <v>44197</v>
      </c>
      <c r="O911" s="105">
        <v>44377</v>
      </c>
      <c r="P911" t="s">
        <v>718</v>
      </c>
    </row>
    <row r="912" spans="1:16" ht="15" customHeight="1" x14ac:dyDescent="0.3">
      <c r="A912" t="str">
        <f t="shared" si="15"/>
        <v>10-0-HH 2RATE (WC)-SmartTRACKER Renewal</v>
      </c>
      <c r="B912" s="67" t="s">
        <v>13</v>
      </c>
      <c r="C912" s="67">
        <v>10</v>
      </c>
      <c r="D912" s="99" t="s">
        <v>14</v>
      </c>
      <c r="E912" s="67" t="s">
        <v>730</v>
      </c>
      <c r="F912" s="67" t="s">
        <v>88</v>
      </c>
      <c r="G912" s="67" t="s">
        <v>723</v>
      </c>
      <c r="H912" s="127">
        <v>0.44330000000000003</v>
      </c>
      <c r="I912" s="109">
        <v>0.1671</v>
      </c>
      <c r="J912" s="109">
        <v>0.113</v>
      </c>
      <c r="K912" s="109" t="s">
        <v>717</v>
      </c>
      <c r="L912" s="67">
        <v>5000</v>
      </c>
      <c r="M912" s="67">
        <v>500000</v>
      </c>
      <c r="N912" s="105">
        <v>44197</v>
      </c>
      <c r="O912" s="105">
        <v>44377</v>
      </c>
      <c r="P912" t="s">
        <v>718</v>
      </c>
    </row>
    <row r="913" spans="1:16" ht="15" customHeight="1" x14ac:dyDescent="0.3">
      <c r="A913" t="str">
        <f t="shared" si="15"/>
        <v>11-0-HH 2RATE (WC)-SmartTRACKER Renewal</v>
      </c>
      <c r="B913" s="67" t="s">
        <v>13</v>
      </c>
      <c r="C913" s="67">
        <v>11</v>
      </c>
      <c r="D913" s="99" t="s">
        <v>20</v>
      </c>
      <c r="E913" s="67" t="s">
        <v>730</v>
      </c>
      <c r="F913" s="67" t="s">
        <v>88</v>
      </c>
      <c r="G913" s="67" t="s">
        <v>723</v>
      </c>
      <c r="H913" s="127">
        <v>0.45440000000000003</v>
      </c>
      <c r="I913" s="109">
        <v>0.16490000000000002</v>
      </c>
      <c r="J913" s="109">
        <v>0.12250000000000001</v>
      </c>
      <c r="K913" s="109" t="s">
        <v>717</v>
      </c>
      <c r="L913" s="67">
        <v>5000</v>
      </c>
      <c r="M913" s="67">
        <v>500000</v>
      </c>
      <c r="N913" s="105">
        <v>44197</v>
      </c>
      <c r="O913" s="105">
        <v>44377</v>
      </c>
      <c r="P913" t="s">
        <v>718</v>
      </c>
    </row>
    <row r="914" spans="1:16" ht="15" customHeight="1" x14ac:dyDescent="0.3">
      <c r="A914" t="str">
        <f t="shared" si="15"/>
        <v>12-0-HH 2RATE (WC)-SmartTRACKER Renewal</v>
      </c>
      <c r="B914" s="67" t="s">
        <v>13</v>
      </c>
      <c r="C914" s="67">
        <v>12</v>
      </c>
      <c r="D914" s="99" t="s">
        <v>21</v>
      </c>
      <c r="E914" s="67" t="s">
        <v>730</v>
      </c>
      <c r="F914" s="67" t="s">
        <v>88</v>
      </c>
      <c r="G914" s="67" t="s">
        <v>723</v>
      </c>
      <c r="H914" s="127">
        <v>0.371</v>
      </c>
      <c r="I914" s="109">
        <v>0.16190000000000002</v>
      </c>
      <c r="J914" s="109">
        <v>0.1124</v>
      </c>
      <c r="K914" s="109" t="s">
        <v>717</v>
      </c>
      <c r="L914" s="67">
        <v>5000</v>
      </c>
      <c r="M914" s="67">
        <v>500000</v>
      </c>
      <c r="N914" s="105">
        <v>44197</v>
      </c>
      <c r="O914" s="105">
        <v>44377</v>
      </c>
      <c r="P914" t="s">
        <v>718</v>
      </c>
    </row>
    <row r="915" spans="1:16" ht="15" customHeight="1" x14ac:dyDescent="0.3">
      <c r="A915" t="str">
        <f t="shared" si="15"/>
        <v>13-0-HH 2RATE (WC)-SmartTRACKER Renewal</v>
      </c>
      <c r="B915" s="67" t="s">
        <v>13</v>
      </c>
      <c r="C915" s="67">
        <v>13</v>
      </c>
      <c r="D915" s="99" t="s">
        <v>22</v>
      </c>
      <c r="E915" s="67" t="s">
        <v>730</v>
      </c>
      <c r="F915" s="67" t="s">
        <v>88</v>
      </c>
      <c r="G915" s="67" t="s">
        <v>723</v>
      </c>
      <c r="H915" s="127">
        <v>0.4163</v>
      </c>
      <c r="I915" s="109">
        <v>0.18479999999999999</v>
      </c>
      <c r="J915" s="109">
        <v>0.1298</v>
      </c>
      <c r="K915" s="109" t="s">
        <v>717</v>
      </c>
      <c r="L915" s="67">
        <v>5000</v>
      </c>
      <c r="M915" s="67">
        <v>500000</v>
      </c>
      <c r="N915" s="105">
        <v>44197</v>
      </c>
      <c r="O915" s="105">
        <v>44377</v>
      </c>
      <c r="P915" t="s">
        <v>718</v>
      </c>
    </row>
    <row r="916" spans="1:16" ht="15" customHeight="1" x14ac:dyDescent="0.3">
      <c r="A916" t="str">
        <f t="shared" si="15"/>
        <v>14-0-HH 2RATE (WC)-SmartTRACKER Renewal</v>
      </c>
      <c r="B916" s="67" t="s">
        <v>13</v>
      </c>
      <c r="C916" s="67">
        <v>14</v>
      </c>
      <c r="D916" s="99" t="s">
        <v>23</v>
      </c>
      <c r="E916" s="67" t="s">
        <v>730</v>
      </c>
      <c r="F916" s="67" t="s">
        <v>88</v>
      </c>
      <c r="G916" s="67" t="s">
        <v>723</v>
      </c>
      <c r="H916" s="127">
        <v>0.4788</v>
      </c>
      <c r="I916" s="109">
        <v>0.16889999999999999</v>
      </c>
      <c r="J916" s="109">
        <v>0.12639999999999998</v>
      </c>
      <c r="K916" s="109" t="s">
        <v>717</v>
      </c>
      <c r="L916" s="67">
        <v>5000</v>
      </c>
      <c r="M916" s="67">
        <v>500000</v>
      </c>
      <c r="N916" s="105">
        <v>44197</v>
      </c>
      <c r="O916" s="105">
        <v>44377</v>
      </c>
      <c r="P916" t="s">
        <v>718</v>
      </c>
    </row>
    <row r="917" spans="1:16" ht="15" customHeight="1" x14ac:dyDescent="0.3">
      <c r="A917" t="str">
        <f t="shared" si="15"/>
        <v>15-0-HH 2RATE (WC)-SmartTRACKER Renewal</v>
      </c>
      <c r="B917" s="67" t="s">
        <v>13</v>
      </c>
      <c r="C917" s="67">
        <v>15</v>
      </c>
      <c r="D917" s="99" t="s">
        <v>24</v>
      </c>
      <c r="E917" s="67" t="s">
        <v>730</v>
      </c>
      <c r="F917" s="67" t="s">
        <v>88</v>
      </c>
      <c r="G917" s="67" t="s">
        <v>723</v>
      </c>
      <c r="H917" s="127">
        <v>0.4536</v>
      </c>
      <c r="I917" s="109">
        <v>0.16789999999999999</v>
      </c>
      <c r="J917" s="109">
        <v>0.12240000000000001</v>
      </c>
      <c r="K917" s="109" t="s">
        <v>717</v>
      </c>
      <c r="L917" s="67">
        <v>5000</v>
      </c>
      <c r="M917" s="67">
        <v>500000</v>
      </c>
      <c r="N917" s="105">
        <v>44197</v>
      </c>
      <c r="O917" s="105">
        <v>44377</v>
      </c>
      <c r="P917" t="s">
        <v>718</v>
      </c>
    </row>
    <row r="918" spans="1:16" ht="15" customHeight="1" x14ac:dyDescent="0.3">
      <c r="A918" t="str">
        <f t="shared" si="15"/>
        <v>16-0-HH 2RATE (WC)-SmartTRACKER Renewal</v>
      </c>
      <c r="B918" s="67" t="s">
        <v>13</v>
      </c>
      <c r="C918" s="67">
        <v>16</v>
      </c>
      <c r="D918" s="99" t="s">
        <v>25</v>
      </c>
      <c r="E918" s="67" t="s">
        <v>730</v>
      </c>
      <c r="F918" s="67" t="s">
        <v>88</v>
      </c>
      <c r="G918" s="67" t="s">
        <v>723</v>
      </c>
      <c r="H918" s="127">
        <v>0.40439999999999998</v>
      </c>
      <c r="I918" s="109">
        <v>0.17030000000000001</v>
      </c>
      <c r="J918" s="109">
        <v>0.12190000000000001</v>
      </c>
      <c r="K918" s="109" t="s">
        <v>717</v>
      </c>
      <c r="L918" s="67">
        <v>5000</v>
      </c>
      <c r="M918" s="67">
        <v>500000</v>
      </c>
      <c r="N918" s="105">
        <v>44197</v>
      </c>
      <c r="O918" s="105">
        <v>44377</v>
      </c>
      <c r="P918" t="s">
        <v>718</v>
      </c>
    </row>
    <row r="919" spans="1:16" ht="15" customHeight="1" x14ac:dyDescent="0.3">
      <c r="A919" t="str">
        <f t="shared" si="15"/>
        <v>17-0-HH 2RATE (WC)-SmartTRACKER Renewal</v>
      </c>
      <c r="B919" s="67" t="s">
        <v>13</v>
      </c>
      <c r="C919" s="67">
        <v>17</v>
      </c>
      <c r="D919" s="99" t="s">
        <v>26</v>
      </c>
      <c r="E919" s="67" t="s">
        <v>730</v>
      </c>
      <c r="F919" s="67" t="s">
        <v>88</v>
      </c>
      <c r="G919" s="67" t="s">
        <v>723</v>
      </c>
      <c r="H919" s="127">
        <v>0.495</v>
      </c>
      <c r="I919" s="109">
        <v>0.17330000000000001</v>
      </c>
      <c r="J919" s="109">
        <v>0.1285</v>
      </c>
      <c r="K919" s="109" t="s">
        <v>717</v>
      </c>
      <c r="L919" s="67">
        <v>5000</v>
      </c>
      <c r="M919" s="67">
        <v>500000</v>
      </c>
      <c r="N919" s="105">
        <v>44197</v>
      </c>
      <c r="O919" s="105">
        <v>44377</v>
      </c>
      <c r="P919" t="s">
        <v>718</v>
      </c>
    </row>
    <row r="920" spans="1:16" ht="15" customHeight="1" x14ac:dyDescent="0.3">
      <c r="A920" t="str">
        <f t="shared" si="15"/>
        <v>18-0-HH 2RATE (WC)-SmartTRACKER Renewal</v>
      </c>
      <c r="B920" s="67" t="s">
        <v>13</v>
      </c>
      <c r="C920" s="67">
        <v>18</v>
      </c>
      <c r="D920" s="99" t="s">
        <v>27</v>
      </c>
      <c r="E920" s="67" t="s">
        <v>730</v>
      </c>
      <c r="F920" s="67" t="s">
        <v>88</v>
      </c>
      <c r="G920" s="67" t="s">
        <v>723</v>
      </c>
      <c r="H920" s="127">
        <v>0.43390000000000001</v>
      </c>
      <c r="I920" s="109">
        <v>0.1658</v>
      </c>
      <c r="J920" s="109">
        <v>0.1212</v>
      </c>
      <c r="K920" s="109" t="s">
        <v>717</v>
      </c>
      <c r="L920" s="67">
        <v>5000</v>
      </c>
      <c r="M920" s="67">
        <v>500000</v>
      </c>
      <c r="N920" s="105">
        <v>44197</v>
      </c>
      <c r="O920" s="105">
        <v>44377</v>
      </c>
      <c r="P920" t="s">
        <v>718</v>
      </c>
    </row>
    <row r="921" spans="1:16" ht="15" customHeight="1" x14ac:dyDescent="0.3">
      <c r="A921" t="str">
        <f t="shared" si="15"/>
        <v>19-0-HH 2RATE (WC)-SmartTRACKER Renewal</v>
      </c>
      <c r="B921" s="67" t="s">
        <v>13</v>
      </c>
      <c r="C921" s="67">
        <v>19</v>
      </c>
      <c r="D921" s="99" t="s">
        <v>28</v>
      </c>
      <c r="E921" s="67" t="s">
        <v>730</v>
      </c>
      <c r="F921" s="67" t="s">
        <v>88</v>
      </c>
      <c r="G921" s="67" t="s">
        <v>723</v>
      </c>
      <c r="H921" s="127">
        <v>0.43569999999999998</v>
      </c>
      <c r="I921" s="109">
        <v>0.16589999999999999</v>
      </c>
      <c r="J921" s="109">
        <v>0.1144</v>
      </c>
      <c r="K921" s="109" t="s">
        <v>717</v>
      </c>
      <c r="L921" s="67">
        <v>5000</v>
      </c>
      <c r="M921" s="67">
        <v>500000</v>
      </c>
      <c r="N921" s="105">
        <v>44197</v>
      </c>
      <c r="O921" s="105">
        <v>44377</v>
      </c>
      <c r="P921" t="s">
        <v>718</v>
      </c>
    </row>
    <row r="922" spans="1:16" ht="15" customHeight="1" x14ac:dyDescent="0.3">
      <c r="A922" t="str">
        <f t="shared" si="15"/>
        <v>20-0-HH 2RATE (WC)-SmartTRACKER Renewal</v>
      </c>
      <c r="B922" s="67" t="s">
        <v>13</v>
      </c>
      <c r="C922" s="67">
        <v>20</v>
      </c>
      <c r="D922" s="99" t="s">
        <v>29</v>
      </c>
      <c r="E922" s="67" t="s">
        <v>730</v>
      </c>
      <c r="F922" s="67" t="s">
        <v>88</v>
      </c>
      <c r="G922" s="67" t="s">
        <v>723</v>
      </c>
      <c r="H922" s="127">
        <v>0.42830000000000001</v>
      </c>
      <c r="I922" s="109">
        <v>0.16290000000000002</v>
      </c>
      <c r="J922" s="109">
        <v>0.11700000000000001</v>
      </c>
      <c r="K922" s="109" t="s">
        <v>717</v>
      </c>
      <c r="L922" s="67">
        <v>5000</v>
      </c>
      <c r="M922" s="67">
        <v>500000</v>
      </c>
      <c r="N922" s="105">
        <v>44197</v>
      </c>
      <c r="O922" s="105">
        <v>44377</v>
      </c>
      <c r="P922" t="s">
        <v>718</v>
      </c>
    </row>
    <row r="923" spans="1:16" ht="15" customHeight="1" x14ac:dyDescent="0.3">
      <c r="A923" t="str">
        <f t="shared" si="15"/>
        <v>21-0-HH 2RATE (WC)-SmartTRACKER Renewal</v>
      </c>
      <c r="B923" s="67" t="s">
        <v>13</v>
      </c>
      <c r="C923" s="67">
        <v>21</v>
      </c>
      <c r="D923" s="99" t="s">
        <v>30</v>
      </c>
      <c r="E923" s="67" t="s">
        <v>730</v>
      </c>
      <c r="F923" s="67" t="s">
        <v>88</v>
      </c>
      <c r="G923" s="67" t="s">
        <v>723</v>
      </c>
      <c r="H923" s="127">
        <v>0.54369999999999996</v>
      </c>
      <c r="I923" s="109">
        <v>0.17120000000000002</v>
      </c>
      <c r="J923" s="109">
        <v>0.13350000000000001</v>
      </c>
      <c r="K923" s="109" t="s">
        <v>717</v>
      </c>
      <c r="L923" s="67">
        <v>5000</v>
      </c>
      <c r="M923" s="67">
        <v>500000</v>
      </c>
      <c r="N923" s="105">
        <v>44197</v>
      </c>
      <c r="O923" s="105">
        <v>44377</v>
      </c>
      <c r="P923" t="s">
        <v>718</v>
      </c>
    </row>
    <row r="924" spans="1:16" ht="15" customHeight="1" x14ac:dyDescent="0.3">
      <c r="A924" t="str">
        <f t="shared" si="15"/>
        <v>22-0-HH 2RATE (WC)-SmartTRACKER Renewal</v>
      </c>
      <c r="B924" s="67" t="s">
        <v>13</v>
      </c>
      <c r="C924" s="67">
        <v>22</v>
      </c>
      <c r="D924" s="99" t="s">
        <v>31</v>
      </c>
      <c r="E924" s="67" t="s">
        <v>730</v>
      </c>
      <c r="F924" s="67" t="s">
        <v>88</v>
      </c>
      <c r="G924" s="67" t="s">
        <v>723</v>
      </c>
      <c r="H924" s="127">
        <v>0.48820000000000002</v>
      </c>
      <c r="I924" s="109">
        <v>0.17750000000000002</v>
      </c>
      <c r="J924" s="109">
        <v>0.1363</v>
      </c>
      <c r="K924" s="109" t="s">
        <v>717</v>
      </c>
      <c r="L924" s="67">
        <v>5000</v>
      </c>
      <c r="M924" s="67">
        <v>500000</v>
      </c>
      <c r="N924" s="105">
        <v>44197</v>
      </c>
      <c r="O924" s="105">
        <v>44377</v>
      </c>
      <c r="P924" t="s">
        <v>718</v>
      </c>
    </row>
    <row r="925" spans="1:16" ht="15" customHeight="1" x14ac:dyDescent="0.3">
      <c r="A925" t="str">
        <f t="shared" si="15"/>
        <v>23-0-HH 2RATE (WC)-SmartTRACKER Renewal</v>
      </c>
      <c r="B925" s="67" t="s">
        <v>13</v>
      </c>
      <c r="C925" s="67">
        <v>23</v>
      </c>
      <c r="D925" s="99" t="s">
        <v>32</v>
      </c>
      <c r="E925" s="67" t="s">
        <v>730</v>
      </c>
      <c r="F925" s="67" t="s">
        <v>88</v>
      </c>
      <c r="G925" s="67" t="s">
        <v>723</v>
      </c>
      <c r="H925" s="127">
        <v>0.44600000000000001</v>
      </c>
      <c r="I925" s="109">
        <v>0.16309999999999999</v>
      </c>
      <c r="J925" s="109">
        <v>0.11900000000000001</v>
      </c>
      <c r="K925" s="109" t="s">
        <v>717</v>
      </c>
      <c r="L925" s="67">
        <v>5000</v>
      </c>
      <c r="M925" s="67">
        <v>500000</v>
      </c>
      <c r="N925" s="105">
        <v>44197</v>
      </c>
      <c r="O925" s="105">
        <v>44377</v>
      </c>
      <c r="P925" t="s">
        <v>718</v>
      </c>
    </row>
    <row r="926" spans="1:16" ht="15" customHeight="1" x14ac:dyDescent="0.3">
      <c r="A926" t="str">
        <f t="shared" si="15"/>
        <v>10-0-HH 2RATE (WC)-SmartFIX – 1 Year</v>
      </c>
      <c r="B926" s="67" t="s">
        <v>13</v>
      </c>
      <c r="C926" s="67">
        <v>10</v>
      </c>
      <c r="D926" s="99" t="s">
        <v>14</v>
      </c>
      <c r="E926" s="67" t="s">
        <v>730</v>
      </c>
      <c r="F926" s="67" t="s">
        <v>88</v>
      </c>
      <c r="G926" s="67" t="s">
        <v>686</v>
      </c>
      <c r="H926" s="127">
        <v>0.40300000000000002</v>
      </c>
      <c r="I926" s="109">
        <v>0.16109999999999999</v>
      </c>
      <c r="J926" s="109">
        <v>0.107</v>
      </c>
      <c r="K926" s="109" t="s">
        <v>717</v>
      </c>
      <c r="L926" s="67">
        <v>5000</v>
      </c>
      <c r="M926" s="67">
        <v>500000</v>
      </c>
      <c r="N926" s="105">
        <v>44197</v>
      </c>
      <c r="O926" s="105">
        <v>44377</v>
      </c>
      <c r="P926" t="s">
        <v>718</v>
      </c>
    </row>
    <row r="927" spans="1:16" ht="15" customHeight="1" x14ac:dyDescent="0.3">
      <c r="A927" t="str">
        <f t="shared" si="15"/>
        <v>11-0-HH 2RATE (WC)-SmartFIX – 1 Year</v>
      </c>
      <c r="B927" s="67" t="s">
        <v>13</v>
      </c>
      <c r="C927" s="67">
        <v>11</v>
      </c>
      <c r="D927" s="99" t="s">
        <v>20</v>
      </c>
      <c r="E927" s="67" t="s">
        <v>730</v>
      </c>
      <c r="F927" s="67" t="s">
        <v>88</v>
      </c>
      <c r="G927" s="67" t="s">
        <v>686</v>
      </c>
      <c r="H927" s="127">
        <v>0.41310000000000002</v>
      </c>
      <c r="I927" s="109">
        <v>0.15890000000000001</v>
      </c>
      <c r="J927" s="109">
        <v>0.11650000000000001</v>
      </c>
      <c r="K927" s="109" t="s">
        <v>717</v>
      </c>
      <c r="L927" s="67">
        <v>5000</v>
      </c>
      <c r="M927" s="67">
        <v>500000</v>
      </c>
      <c r="N927" s="105">
        <v>44197</v>
      </c>
      <c r="O927" s="105">
        <v>44377</v>
      </c>
      <c r="P927" t="s">
        <v>718</v>
      </c>
    </row>
    <row r="928" spans="1:16" ht="15" customHeight="1" x14ac:dyDescent="0.3">
      <c r="A928" t="str">
        <f t="shared" si="15"/>
        <v>12-0-HH 2RATE (WC)-SmartFIX – 1 Year</v>
      </c>
      <c r="B928" s="67" t="s">
        <v>13</v>
      </c>
      <c r="C928" s="67">
        <v>12</v>
      </c>
      <c r="D928" s="99" t="s">
        <v>21</v>
      </c>
      <c r="E928" s="67" t="s">
        <v>730</v>
      </c>
      <c r="F928" s="67" t="s">
        <v>88</v>
      </c>
      <c r="G928" s="67" t="s">
        <v>686</v>
      </c>
      <c r="H928" s="127">
        <v>0.33729999999999999</v>
      </c>
      <c r="I928" s="109">
        <v>0.15590000000000001</v>
      </c>
      <c r="J928" s="109">
        <v>0.10639999999999999</v>
      </c>
      <c r="K928" s="109" t="s">
        <v>717</v>
      </c>
      <c r="L928" s="67">
        <v>5000</v>
      </c>
      <c r="M928" s="67">
        <v>500000</v>
      </c>
      <c r="N928" s="105">
        <v>44197</v>
      </c>
      <c r="O928" s="105">
        <v>44377</v>
      </c>
      <c r="P928" t="s">
        <v>718</v>
      </c>
    </row>
    <row r="929" spans="1:16" ht="15" customHeight="1" x14ac:dyDescent="0.3">
      <c r="A929" t="str">
        <f t="shared" si="15"/>
        <v>13-0-HH 2RATE (WC)-SmartFIX – 1 Year</v>
      </c>
      <c r="B929" s="67" t="s">
        <v>13</v>
      </c>
      <c r="C929" s="67">
        <v>13</v>
      </c>
      <c r="D929" s="99" t="s">
        <v>22</v>
      </c>
      <c r="E929" s="67" t="s">
        <v>730</v>
      </c>
      <c r="F929" s="67" t="s">
        <v>88</v>
      </c>
      <c r="G929" s="67" t="s">
        <v>686</v>
      </c>
      <c r="H929" s="127">
        <v>0.3785</v>
      </c>
      <c r="I929" s="109">
        <v>0.17879999999999999</v>
      </c>
      <c r="J929" s="109">
        <v>0.12379999999999999</v>
      </c>
      <c r="K929" s="109" t="s">
        <v>717</v>
      </c>
      <c r="L929" s="67">
        <v>5000</v>
      </c>
      <c r="M929" s="67">
        <v>500000</v>
      </c>
      <c r="N929" s="105">
        <v>44197</v>
      </c>
      <c r="O929" s="105">
        <v>44377</v>
      </c>
      <c r="P929" t="s">
        <v>718</v>
      </c>
    </row>
    <row r="930" spans="1:16" ht="15" customHeight="1" x14ac:dyDescent="0.3">
      <c r="A930" t="str">
        <f t="shared" si="15"/>
        <v>14-0-HH 2RATE (WC)-SmartFIX – 1 Year</v>
      </c>
      <c r="B930" s="67" t="s">
        <v>13</v>
      </c>
      <c r="C930" s="67">
        <v>14</v>
      </c>
      <c r="D930" s="99" t="s">
        <v>23</v>
      </c>
      <c r="E930" s="67" t="s">
        <v>730</v>
      </c>
      <c r="F930" s="67" t="s">
        <v>88</v>
      </c>
      <c r="G930" s="67" t="s">
        <v>686</v>
      </c>
      <c r="H930" s="127">
        <v>0.43530000000000002</v>
      </c>
      <c r="I930" s="109">
        <v>0.16289999999999999</v>
      </c>
      <c r="J930" s="109">
        <v>0.12039999999999999</v>
      </c>
      <c r="K930" s="109" t="s">
        <v>717</v>
      </c>
      <c r="L930" s="67">
        <v>5000</v>
      </c>
      <c r="M930" s="67">
        <v>500000</v>
      </c>
      <c r="N930" s="105">
        <v>44197</v>
      </c>
      <c r="O930" s="105">
        <v>44377</v>
      </c>
      <c r="P930" t="s">
        <v>718</v>
      </c>
    </row>
    <row r="931" spans="1:16" ht="15" customHeight="1" x14ac:dyDescent="0.3">
      <c r="A931" t="str">
        <f t="shared" si="15"/>
        <v>15-0-HH 2RATE (WC)-SmartFIX – 1 Year</v>
      </c>
      <c r="B931" s="67" t="s">
        <v>13</v>
      </c>
      <c r="C931" s="67">
        <v>15</v>
      </c>
      <c r="D931" s="99" t="s">
        <v>24</v>
      </c>
      <c r="E931" s="67" t="s">
        <v>730</v>
      </c>
      <c r="F931" s="67" t="s">
        <v>88</v>
      </c>
      <c r="G931" s="67" t="s">
        <v>686</v>
      </c>
      <c r="H931" s="127">
        <v>0.41239999999999999</v>
      </c>
      <c r="I931" s="109">
        <v>0.16189999999999999</v>
      </c>
      <c r="J931" s="109">
        <v>0.1164</v>
      </c>
      <c r="K931" s="109" t="s">
        <v>717</v>
      </c>
      <c r="L931" s="67">
        <v>5000</v>
      </c>
      <c r="M931" s="67">
        <v>500000</v>
      </c>
      <c r="N931" s="105">
        <v>44197</v>
      </c>
      <c r="O931" s="105">
        <v>44377</v>
      </c>
      <c r="P931" t="s">
        <v>718</v>
      </c>
    </row>
    <row r="932" spans="1:16" ht="15" customHeight="1" x14ac:dyDescent="0.3">
      <c r="A932" t="str">
        <f t="shared" si="15"/>
        <v>16-0-HH 2RATE (WC)-SmartFIX – 1 Year</v>
      </c>
      <c r="B932" s="67" t="s">
        <v>13</v>
      </c>
      <c r="C932" s="67">
        <v>16</v>
      </c>
      <c r="D932" s="99" t="s">
        <v>25</v>
      </c>
      <c r="E932" s="67" t="s">
        <v>730</v>
      </c>
      <c r="F932" s="67" t="s">
        <v>88</v>
      </c>
      <c r="G932" s="67" t="s">
        <v>686</v>
      </c>
      <c r="H932" s="127">
        <v>0.36770000000000003</v>
      </c>
      <c r="I932" s="109">
        <v>0.1643</v>
      </c>
      <c r="J932" s="109">
        <v>0.1159</v>
      </c>
      <c r="K932" s="109" t="s">
        <v>717</v>
      </c>
      <c r="L932" s="67">
        <v>5000</v>
      </c>
      <c r="M932" s="67">
        <v>500000</v>
      </c>
      <c r="N932" s="105">
        <v>44197</v>
      </c>
      <c r="O932" s="105">
        <v>44377</v>
      </c>
      <c r="P932" t="s">
        <v>718</v>
      </c>
    </row>
    <row r="933" spans="1:16" ht="15" customHeight="1" x14ac:dyDescent="0.3">
      <c r="A933" t="str">
        <f t="shared" si="15"/>
        <v>17-0-HH 2RATE (WC)-SmartFIX – 1 Year</v>
      </c>
      <c r="B933" s="67" t="s">
        <v>13</v>
      </c>
      <c r="C933" s="67">
        <v>17</v>
      </c>
      <c r="D933" s="99" t="s">
        <v>26</v>
      </c>
      <c r="E933" s="67" t="s">
        <v>730</v>
      </c>
      <c r="F933" s="67" t="s">
        <v>88</v>
      </c>
      <c r="G933" s="67" t="s">
        <v>686</v>
      </c>
      <c r="H933" s="127">
        <v>0.45</v>
      </c>
      <c r="I933" s="109">
        <v>0.1673</v>
      </c>
      <c r="J933" s="109">
        <v>0.1225</v>
      </c>
      <c r="K933" s="109" t="s">
        <v>717</v>
      </c>
      <c r="L933" s="67">
        <v>5000</v>
      </c>
      <c r="M933" s="67">
        <v>500000</v>
      </c>
      <c r="N933" s="105">
        <v>44197</v>
      </c>
      <c r="O933" s="105">
        <v>44377</v>
      </c>
      <c r="P933" t="s">
        <v>718</v>
      </c>
    </row>
    <row r="934" spans="1:16" ht="15" customHeight="1" x14ac:dyDescent="0.3">
      <c r="A934" t="str">
        <f t="shared" si="15"/>
        <v>18-0-HH 2RATE (WC)-SmartFIX – 1 Year</v>
      </c>
      <c r="B934" s="67" t="s">
        <v>13</v>
      </c>
      <c r="C934" s="67">
        <v>18</v>
      </c>
      <c r="D934" s="99" t="s">
        <v>27</v>
      </c>
      <c r="E934" s="67" t="s">
        <v>730</v>
      </c>
      <c r="F934" s="67" t="s">
        <v>88</v>
      </c>
      <c r="G934" s="67" t="s">
        <v>686</v>
      </c>
      <c r="H934" s="127">
        <v>0.39450000000000002</v>
      </c>
      <c r="I934" s="109">
        <v>0.1598</v>
      </c>
      <c r="J934" s="109">
        <v>0.1152</v>
      </c>
      <c r="K934" s="109" t="s">
        <v>717</v>
      </c>
      <c r="L934" s="67">
        <v>5000</v>
      </c>
      <c r="M934" s="67">
        <v>500000</v>
      </c>
      <c r="N934" s="105">
        <v>44197</v>
      </c>
      <c r="O934" s="105">
        <v>44377</v>
      </c>
      <c r="P934" t="s">
        <v>718</v>
      </c>
    </row>
    <row r="935" spans="1:16" ht="15" customHeight="1" x14ac:dyDescent="0.3">
      <c r="A935" t="str">
        <f t="shared" si="15"/>
        <v>19-0-HH 2RATE (WC)-SmartFIX – 1 Year</v>
      </c>
      <c r="B935" s="67" t="s">
        <v>13</v>
      </c>
      <c r="C935" s="67">
        <v>19</v>
      </c>
      <c r="D935" s="99" t="s">
        <v>28</v>
      </c>
      <c r="E935" s="67" t="s">
        <v>730</v>
      </c>
      <c r="F935" s="67" t="s">
        <v>88</v>
      </c>
      <c r="G935" s="67" t="s">
        <v>686</v>
      </c>
      <c r="H935" s="127">
        <v>0.39610000000000001</v>
      </c>
      <c r="I935" s="109">
        <v>0.15989999999999999</v>
      </c>
      <c r="J935" s="109">
        <v>0.1084</v>
      </c>
      <c r="K935" s="109" t="s">
        <v>717</v>
      </c>
      <c r="L935" s="67">
        <v>5000</v>
      </c>
      <c r="M935" s="67">
        <v>500000</v>
      </c>
      <c r="N935" s="105">
        <v>44197</v>
      </c>
      <c r="O935" s="105">
        <v>44377</v>
      </c>
      <c r="P935" t="s">
        <v>718</v>
      </c>
    </row>
    <row r="936" spans="1:16" ht="15" customHeight="1" x14ac:dyDescent="0.3">
      <c r="A936" t="str">
        <f t="shared" si="15"/>
        <v>20-0-HH 2RATE (WC)-SmartFIX – 1 Year</v>
      </c>
      <c r="B936" s="67" t="s">
        <v>13</v>
      </c>
      <c r="C936" s="67">
        <v>20</v>
      </c>
      <c r="D936" s="99" t="s">
        <v>29</v>
      </c>
      <c r="E936" s="67" t="s">
        <v>730</v>
      </c>
      <c r="F936" s="67" t="s">
        <v>88</v>
      </c>
      <c r="G936" s="67" t="s">
        <v>686</v>
      </c>
      <c r="H936" s="127">
        <v>0.38940000000000002</v>
      </c>
      <c r="I936" s="109">
        <v>0.15690000000000001</v>
      </c>
      <c r="J936" s="109">
        <v>0.111</v>
      </c>
      <c r="K936" s="109" t="s">
        <v>717</v>
      </c>
      <c r="L936" s="67">
        <v>5000</v>
      </c>
      <c r="M936" s="67">
        <v>500000</v>
      </c>
      <c r="N936" s="105">
        <v>44197</v>
      </c>
      <c r="O936" s="105">
        <v>44377</v>
      </c>
      <c r="P936" t="s">
        <v>718</v>
      </c>
    </row>
    <row r="937" spans="1:16" ht="15" customHeight="1" x14ac:dyDescent="0.3">
      <c r="A937" t="str">
        <f t="shared" si="15"/>
        <v>21-0-HH 2RATE (WC)-SmartFIX – 1 Year</v>
      </c>
      <c r="B937" s="67" t="s">
        <v>13</v>
      </c>
      <c r="C937" s="67">
        <v>21</v>
      </c>
      <c r="D937" s="99" t="s">
        <v>30</v>
      </c>
      <c r="E937" s="67" t="s">
        <v>730</v>
      </c>
      <c r="F937" s="67" t="s">
        <v>88</v>
      </c>
      <c r="G937" s="67" t="s">
        <v>686</v>
      </c>
      <c r="H937" s="127">
        <v>0.49430000000000002</v>
      </c>
      <c r="I937" s="109">
        <v>0.16520000000000001</v>
      </c>
      <c r="J937" s="109">
        <v>0.1275</v>
      </c>
      <c r="K937" s="109" t="s">
        <v>717</v>
      </c>
      <c r="L937" s="67">
        <v>5000</v>
      </c>
      <c r="M937" s="67">
        <v>500000</v>
      </c>
      <c r="N937" s="105">
        <v>44197</v>
      </c>
      <c r="O937" s="105">
        <v>44377</v>
      </c>
      <c r="P937" t="s">
        <v>718</v>
      </c>
    </row>
    <row r="938" spans="1:16" ht="15" customHeight="1" x14ac:dyDescent="0.3">
      <c r="A938" t="str">
        <f t="shared" si="15"/>
        <v>22-0-HH 2RATE (WC)-SmartFIX – 1 Year</v>
      </c>
      <c r="B938" s="67" t="s">
        <v>13</v>
      </c>
      <c r="C938" s="67">
        <v>22</v>
      </c>
      <c r="D938" s="99" t="s">
        <v>31</v>
      </c>
      <c r="E938" s="67" t="s">
        <v>730</v>
      </c>
      <c r="F938" s="67" t="s">
        <v>88</v>
      </c>
      <c r="G938" s="67" t="s">
        <v>686</v>
      </c>
      <c r="H938" s="127">
        <v>0.44379999999999997</v>
      </c>
      <c r="I938" s="109">
        <v>0.17150000000000001</v>
      </c>
      <c r="J938" s="109">
        <v>0.1303</v>
      </c>
      <c r="K938" s="109" t="s">
        <v>717</v>
      </c>
      <c r="L938" s="67">
        <v>5000</v>
      </c>
      <c r="M938" s="67">
        <v>500000</v>
      </c>
      <c r="N938" s="105">
        <v>44197</v>
      </c>
      <c r="O938" s="105">
        <v>44377</v>
      </c>
      <c r="P938" t="s">
        <v>718</v>
      </c>
    </row>
    <row r="939" spans="1:16" ht="15" customHeight="1" x14ac:dyDescent="0.3">
      <c r="A939" t="str">
        <f t="shared" si="15"/>
        <v>23-0-HH 2RATE (WC)-SmartFIX – 1 Year</v>
      </c>
      <c r="B939" s="67" t="s">
        <v>13</v>
      </c>
      <c r="C939" s="67">
        <v>23</v>
      </c>
      <c r="D939" s="99" t="s">
        <v>32</v>
      </c>
      <c r="E939" s="67" t="s">
        <v>730</v>
      </c>
      <c r="F939" s="67" t="s">
        <v>88</v>
      </c>
      <c r="G939" s="67" t="s">
        <v>686</v>
      </c>
      <c r="H939" s="127">
        <v>0.40550000000000003</v>
      </c>
      <c r="I939" s="109">
        <v>0.15709999999999999</v>
      </c>
      <c r="J939" s="109">
        <v>0.113</v>
      </c>
      <c r="K939" s="109" t="s">
        <v>717</v>
      </c>
      <c r="L939" s="67">
        <v>5000</v>
      </c>
      <c r="M939" s="67">
        <v>500000</v>
      </c>
      <c r="N939" s="105">
        <v>44197</v>
      </c>
      <c r="O939" s="105">
        <v>44377</v>
      </c>
      <c r="P939" t="s">
        <v>718</v>
      </c>
    </row>
    <row r="940" spans="1:16" ht="15" customHeight="1" x14ac:dyDescent="0.3">
      <c r="A940" t="str">
        <f t="shared" si="15"/>
        <v>10-0-HH 2RATE (WC)-SmartFIX – 1 Year Renewal</v>
      </c>
      <c r="B940" s="67" t="s">
        <v>13</v>
      </c>
      <c r="C940" s="67">
        <v>10</v>
      </c>
      <c r="D940" s="99" t="s">
        <v>14</v>
      </c>
      <c r="E940" s="67" t="s">
        <v>730</v>
      </c>
      <c r="F940" s="67" t="s">
        <v>88</v>
      </c>
      <c r="G940" s="67" t="s">
        <v>721</v>
      </c>
      <c r="H940" s="127">
        <v>0.44330000000000003</v>
      </c>
      <c r="I940" s="109">
        <v>0.1671</v>
      </c>
      <c r="J940" s="109">
        <v>0.113</v>
      </c>
      <c r="K940" s="109" t="s">
        <v>717</v>
      </c>
      <c r="L940" s="67">
        <v>5000</v>
      </c>
      <c r="M940" s="67">
        <v>500000</v>
      </c>
      <c r="N940" s="105">
        <v>44197</v>
      </c>
      <c r="O940" s="105">
        <v>44377</v>
      </c>
      <c r="P940" t="s">
        <v>718</v>
      </c>
    </row>
    <row r="941" spans="1:16" ht="15" customHeight="1" x14ac:dyDescent="0.3">
      <c r="A941" t="str">
        <f t="shared" si="15"/>
        <v>11-0-HH 2RATE (WC)-SmartFIX – 1 Year Renewal</v>
      </c>
      <c r="B941" s="67" t="s">
        <v>13</v>
      </c>
      <c r="C941" s="67">
        <v>11</v>
      </c>
      <c r="D941" s="99" t="s">
        <v>20</v>
      </c>
      <c r="E941" s="67" t="s">
        <v>730</v>
      </c>
      <c r="F941" s="67" t="s">
        <v>88</v>
      </c>
      <c r="G941" s="67" t="s">
        <v>721</v>
      </c>
      <c r="H941" s="127">
        <v>0.45440000000000003</v>
      </c>
      <c r="I941" s="109">
        <v>0.16490000000000002</v>
      </c>
      <c r="J941" s="109">
        <v>0.12250000000000001</v>
      </c>
      <c r="K941" s="109" t="s">
        <v>717</v>
      </c>
      <c r="L941" s="67">
        <v>5000</v>
      </c>
      <c r="M941" s="67">
        <v>500000</v>
      </c>
      <c r="N941" s="105">
        <v>44197</v>
      </c>
      <c r="O941" s="105">
        <v>44377</v>
      </c>
      <c r="P941" t="s">
        <v>718</v>
      </c>
    </row>
    <row r="942" spans="1:16" ht="15" customHeight="1" x14ac:dyDescent="0.3">
      <c r="A942" t="str">
        <f t="shared" si="15"/>
        <v>12-0-HH 2RATE (WC)-SmartFIX – 1 Year Renewal</v>
      </c>
      <c r="B942" s="67" t="s">
        <v>13</v>
      </c>
      <c r="C942" s="67">
        <v>12</v>
      </c>
      <c r="D942" s="99" t="s">
        <v>21</v>
      </c>
      <c r="E942" s="67" t="s">
        <v>730</v>
      </c>
      <c r="F942" s="67" t="s">
        <v>88</v>
      </c>
      <c r="G942" s="67" t="s">
        <v>721</v>
      </c>
      <c r="H942" s="127">
        <v>0.371</v>
      </c>
      <c r="I942" s="109">
        <v>0.16190000000000002</v>
      </c>
      <c r="J942" s="109">
        <v>0.1124</v>
      </c>
      <c r="K942" s="109" t="s">
        <v>717</v>
      </c>
      <c r="L942" s="67">
        <v>5000</v>
      </c>
      <c r="M942" s="67">
        <v>500000</v>
      </c>
      <c r="N942" s="105">
        <v>44197</v>
      </c>
      <c r="O942" s="105">
        <v>44377</v>
      </c>
      <c r="P942" t="s">
        <v>718</v>
      </c>
    </row>
    <row r="943" spans="1:16" ht="15" customHeight="1" x14ac:dyDescent="0.3">
      <c r="A943" t="str">
        <f t="shared" si="15"/>
        <v>13-0-HH 2RATE (WC)-SmartFIX – 1 Year Renewal</v>
      </c>
      <c r="B943" s="67" t="s">
        <v>13</v>
      </c>
      <c r="C943" s="67">
        <v>13</v>
      </c>
      <c r="D943" s="99" t="s">
        <v>22</v>
      </c>
      <c r="E943" s="67" t="s">
        <v>730</v>
      </c>
      <c r="F943" s="67" t="s">
        <v>88</v>
      </c>
      <c r="G943" s="67" t="s">
        <v>721</v>
      </c>
      <c r="H943" s="127">
        <v>0.4163</v>
      </c>
      <c r="I943" s="109">
        <v>0.18479999999999999</v>
      </c>
      <c r="J943" s="109">
        <v>0.1298</v>
      </c>
      <c r="K943" s="109" t="s">
        <v>717</v>
      </c>
      <c r="L943" s="67">
        <v>5000</v>
      </c>
      <c r="M943" s="67">
        <v>500000</v>
      </c>
      <c r="N943" s="105">
        <v>44197</v>
      </c>
      <c r="O943" s="105">
        <v>44377</v>
      </c>
      <c r="P943" t="s">
        <v>718</v>
      </c>
    </row>
    <row r="944" spans="1:16" ht="15" customHeight="1" x14ac:dyDescent="0.3">
      <c r="A944" t="str">
        <f t="shared" si="15"/>
        <v>14-0-HH 2RATE (WC)-SmartFIX – 1 Year Renewal</v>
      </c>
      <c r="B944" s="67" t="s">
        <v>13</v>
      </c>
      <c r="C944" s="67">
        <v>14</v>
      </c>
      <c r="D944" s="99" t="s">
        <v>23</v>
      </c>
      <c r="E944" s="67" t="s">
        <v>730</v>
      </c>
      <c r="F944" s="67" t="s">
        <v>88</v>
      </c>
      <c r="G944" s="67" t="s">
        <v>721</v>
      </c>
      <c r="H944" s="127">
        <v>0.4788</v>
      </c>
      <c r="I944" s="109">
        <v>0.16889999999999999</v>
      </c>
      <c r="J944" s="109">
        <v>0.12639999999999998</v>
      </c>
      <c r="K944" s="109" t="s">
        <v>717</v>
      </c>
      <c r="L944" s="67">
        <v>5000</v>
      </c>
      <c r="M944" s="67">
        <v>500000</v>
      </c>
      <c r="N944" s="105">
        <v>44197</v>
      </c>
      <c r="O944" s="105">
        <v>44377</v>
      </c>
      <c r="P944" t="s">
        <v>718</v>
      </c>
    </row>
    <row r="945" spans="1:16" ht="15" customHeight="1" x14ac:dyDescent="0.3">
      <c r="A945" t="str">
        <f t="shared" si="15"/>
        <v>15-0-HH 2RATE (WC)-SmartFIX – 1 Year Renewal</v>
      </c>
      <c r="B945" s="67" t="s">
        <v>13</v>
      </c>
      <c r="C945" s="67">
        <v>15</v>
      </c>
      <c r="D945" s="99" t="s">
        <v>24</v>
      </c>
      <c r="E945" s="67" t="s">
        <v>730</v>
      </c>
      <c r="F945" s="67" t="s">
        <v>88</v>
      </c>
      <c r="G945" s="67" t="s">
        <v>721</v>
      </c>
      <c r="H945" s="127">
        <v>0.4536</v>
      </c>
      <c r="I945" s="109">
        <v>0.16789999999999999</v>
      </c>
      <c r="J945" s="109">
        <v>0.12240000000000001</v>
      </c>
      <c r="K945" s="109" t="s">
        <v>717</v>
      </c>
      <c r="L945" s="67">
        <v>5000</v>
      </c>
      <c r="M945" s="67">
        <v>500000</v>
      </c>
      <c r="N945" s="105">
        <v>44197</v>
      </c>
      <c r="O945" s="105">
        <v>44377</v>
      </c>
      <c r="P945" t="s">
        <v>718</v>
      </c>
    </row>
    <row r="946" spans="1:16" ht="15" customHeight="1" x14ac:dyDescent="0.3">
      <c r="A946" t="str">
        <f t="shared" si="15"/>
        <v>16-0-HH 2RATE (WC)-SmartFIX – 1 Year Renewal</v>
      </c>
      <c r="B946" s="67" t="s">
        <v>13</v>
      </c>
      <c r="C946" s="67">
        <v>16</v>
      </c>
      <c r="D946" s="99" t="s">
        <v>25</v>
      </c>
      <c r="E946" s="67" t="s">
        <v>730</v>
      </c>
      <c r="F946" s="67" t="s">
        <v>88</v>
      </c>
      <c r="G946" s="67" t="s">
        <v>721</v>
      </c>
      <c r="H946" s="127">
        <v>0.40439999999999998</v>
      </c>
      <c r="I946" s="109">
        <v>0.17030000000000001</v>
      </c>
      <c r="J946" s="109">
        <v>0.12190000000000001</v>
      </c>
      <c r="K946" s="109" t="s">
        <v>717</v>
      </c>
      <c r="L946" s="67">
        <v>5000</v>
      </c>
      <c r="M946" s="67">
        <v>500000</v>
      </c>
      <c r="N946" s="105">
        <v>44197</v>
      </c>
      <c r="O946" s="105">
        <v>44377</v>
      </c>
      <c r="P946" t="s">
        <v>718</v>
      </c>
    </row>
    <row r="947" spans="1:16" ht="15" customHeight="1" x14ac:dyDescent="0.3">
      <c r="A947" t="str">
        <f t="shared" si="15"/>
        <v>17-0-HH 2RATE (WC)-SmartFIX – 1 Year Renewal</v>
      </c>
      <c r="B947" s="67" t="s">
        <v>13</v>
      </c>
      <c r="C947" s="67">
        <v>17</v>
      </c>
      <c r="D947" s="99" t="s">
        <v>26</v>
      </c>
      <c r="E947" s="67" t="s">
        <v>730</v>
      </c>
      <c r="F947" s="67" t="s">
        <v>88</v>
      </c>
      <c r="G947" s="67" t="s">
        <v>721</v>
      </c>
      <c r="H947" s="127">
        <v>0.495</v>
      </c>
      <c r="I947" s="109">
        <v>0.17330000000000001</v>
      </c>
      <c r="J947" s="109">
        <v>0.1285</v>
      </c>
      <c r="K947" s="109" t="s">
        <v>717</v>
      </c>
      <c r="L947" s="67">
        <v>5000</v>
      </c>
      <c r="M947" s="67">
        <v>500000</v>
      </c>
      <c r="N947" s="105">
        <v>44197</v>
      </c>
      <c r="O947" s="105">
        <v>44377</v>
      </c>
      <c r="P947" t="s">
        <v>718</v>
      </c>
    </row>
    <row r="948" spans="1:16" ht="15" customHeight="1" x14ac:dyDescent="0.3">
      <c r="A948" t="str">
        <f t="shared" si="15"/>
        <v>18-0-HH 2RATE (WC)-SmartFIX – 1 Year Renewal</v>
      </c>
      <c r="B948" s="67" t="s">
        <v>13</v>
      </c>
      <c r="C948" s="67">
        <v>18</v>
      </c>
      <c r="D948" s="99" t="s">
        <v>27</v>
      </c>
      <c r="E948" s="67" t="s">
        <v>730</v>
      </c>
      <c r="F948" s="67" t="s">
        <v>88</v>
      </c>
      <c r="G948" s="67" t="s">
        <v>721</v>
      </c>
      <c r="H948" s="127">
        <v>0.43390000000000001</v>
      </c>
      <c r="I948" s="109">
        <v>0.1658</v>
      </c>
      <c r="J948" s="109">
        <v>0.1212</v>
      </c>
      <c r="K948" s="109" t="s">
        <v>717</v>
      </c>
      <c r="L948" s="67">
        <v>5000</v>
      </c>
      <c r="M948" s="67">
        <v>500000</v>
      </c>
      <c r="N948" s="105">
        <v>44197</v>
      </c>
      <c r="O948" s="105">
        <v>44377</v>
      </c>
      <c r="P948" t="s">
        <v>718</v>
      </c>
    </row>
    <row r="949" spans="1:16" ht="15" customHeight="1" x14ac:dyDescent="0.3">
      <c r="A949" t="str">
        <f t="shared" si="15"/>
        <v>19-0-HH 2RATE (WC)-SmartFIX – 1 Year Renewal</v>
      </c>
      <c r="B949" s="67" t="s">
        <v>13</v>
      </c>
      <c r="C949" s="67">
        <v>19</v>
      </c>
      <c r="D949" s="99" t="s">
        <v>28</v>
      </c>
      <c r="E949" s="67" t="s">
        <v>730</v>
      </c>
      <c r="F949" s="67" t="s">
        <v>88</v>
      </c>
      <c r="G949" s="67" t="s">
        <v>721</v>
      </c>
      <c r="H949" s="127">
        <v>0.43569999999999998</v>
      </c>
      <c r="I949" s="109">
        <v>0.16589999999999999</v>
      </c>
      <c r="J949" s="109">
        <v>0.1144</v>
      </c>
      <c r="K949" s="109" t="s">
        <v>717</v>
      </c>
      <c r="L949" s="67">
        <v>5000</v>
      </c>
      <c r="M949" s="67">
        <v>500000</v>
      </c>
      <c r="N949" s="105">
        <v>44197</v>
      </c>
      <c r="O949" s="105">
        <v>44377</v>
      </c>
      <c r="P949" t="s">
        <v>718</v>
      </c>
    </row>
    <row r="950" spans="1:16" ht="15" customHeight="1" x14ac:dyDescent="0.3">
      <c r="A950" t="str">
        <f t="shared" si="15"/>
        <v>20-0-HH 2RATE (WC)-SmartFIX – 1 Year Renewal</v>
      </c>
      <c r="B950" s="67" t="s">
        <v>13</v>
      </c>
      <c r="C950" s="67">
        <v>20</v>
      </c>
      <c r="D950" s="99" t="s">
        <v>29</v>
      </c>
      <c r="E950" s="67" t="s">
        <v>730</v>
      </c>
      <c r="F950" s="67" t="s">
        <v>88</v>
      </c>
      <c r="G950" s="67" t="s">
        <v>721</v>
      </c>
      <c r="H950" s="127">
        <v>0.42830000000000001</v>
      </c>
      <c r="I950" s="109">
        <v>0.16290000000000002</v>
      </c>
      <c r="J950" s="109">
        <v>0.11700000000000001</v>
      </c>
      <c r="K950" s="109" t="s">
        <v>717</v>
      </c>
      <c r="L950" s="67">
        <v>5000</v>
      </c>
      <c r="M950" s="67">
        <v>500000</v>
      </c>
      <c r="N950" s="105">
        <v>44197</v>
      </c>
      <c r="O950" s="105">
        <v>44377</v>
      </c>
      <c r="P950" t="s">
        <v>718</v>
      </c>
    </row>
    <row r="951" spans="1:16" ht="15" customHeight="1" x14ac:dyDescent="0.3">
      <c r="A951" t="str">
        <f t="shared" si="15"/>
        <v>21-0-HH 2RATE (WC)-SmartFIX – 1 Year Renewal</v>
      </c>
      <c r="B951" s="67" t="s">
        <v>13</v>
      </c>
      <c r="C951" s="67">
        <v>21</v>
      </c>
      <c r="D951" s="99" t="s">
        <v>30</v>
      </c>
      <c r="E951" s="67" t="s">
        <v>730</v>
      </c>
      <c r="F951" s="67" t="s">
        <v>88</v>
      </c>
      <c r="G951" s="67" t="s">
        <v>721</v>
      </c>
      <c r="H951" s="127">
        <v>0.54369999999999996</v>
      </c>
      <c r="I951" s="109">
        <v>0.17120000000000002</v>
      </c>
      <c r="J951" s="109">
        <v>0.13350000000000001</v>
      </c>
      <c r="K951" s="109" t="s">
        <v>717</v>
      </c>
      <c r="L951" s="67">
        <v>5000</v>
      </c>
      <c r="M951" s="67">
        <v>500000</v>
      </c>
      <c r="N951" s="105">
        <v>44197</v>
      </c>
      <c r="O951" s="105">
        <v>44377</v>
      </c>
      <c r="P951" t="s">
        <v>718</v>
      </c>
    </row>
    <row r="952" spans="1:16" ht="15" customHeight="1" x14ac:dyDescent="0.3">
      <c r="A952" t="str">
        <f t="shared" si="15"/>
        <v>22-0-HH 2RATE (WC)-SmartFIX – 1 Year Renewal</v>
      </c>
      <c r="B952" s="67" t="s">
        <v>13</v>
      </c>
      <c r="C952" s="67">
        <v>22</v>
      </c>
      <c r="D952" s="99" t="s">
        <v>31</v>
      </c>
      <c r="E952" s="67" t="s">
        <v>730</v>
      </c>
      <c r="F952" s="67" t="s">
        <v>88</v>
      </c>
      <c r="G952" s="67" t="s">
        <v>721</v>
      </c>
      <c r="H952" s="127">
        <v>0.48820000000000002</v>
      </c>
      <c r="I952" s="109">
        <v>0.17750000000000002</v>
      </c>
      <c r="J952" s="109">
        <v>0.1363</v>
      </c>
      <c r="K952" s="109" t="s">
        <v>717</v>
      </c>
      <c r="L952" s="67">
        <v>5000</v>
      </c>
      <c r="M952" s="67">
        <v>500000</v>
      </c>
      <c r="N952" s="105">
        <v>44197</v>
      </c>
      <c r="O952" s="105">
        <v>44377</v>
      </c>
      <c r="P952" t="s">
        <v>718</v>
      </c>
    </row>
    <row r="953" spans="1:16" ht="15" customHeight="1" x14ac:dyDescent="0.3">
      <c r="A953" t="str">
        <f t="shared" si="15"/>
        <v>23-0-HH 2RATE (WC)-SmartFIX – 1 Year Renewal</v>
      </c>
      <c r="B953" s="67" t="s">
        <v>13</v>
      </c>
      <c r="C953" s="67">
        <v>23</v>
      </c>
      <c r="D953" s="99" t="s">
        <v>32</v>
      </c>
      <c r="E953" s="67" t="s">
        <v>730</v>
      </c>
      <c r="F953" s="67" t="s">
        <v>88</v>
      </c>
      <c r="G953" s="67" t="s">
        <v>721</v>
      </c>
      <c r="H953" s="127">
        <v>0.44600000000000001</v>
      </c>
      <c r="I953" s="109">
        <v>0.16309999999999999</v>
      </c>
      <c r="J953" s="109">
        <v>0.11900000000000001</v>
      </c>
      <c r="K953" s="109" t="s">
        <v>717</v>
      </c>
      <c r="L953" s="67">
        <v>5000</v>
      </c>
      <c r="M953" s="67">
        <v>500000</v>
      </c>
      <c r="N953" s="105">
        <v>44197</v>
      </c>
      <c r="O953" s="105">
        <v>44377</v>
      </c>
      <c r="P953" t="s">
        <v>718</v>
      </c>
    </row>
    <row r="954" spans="1:16" ht="15" customHeight="1" x14ac:dyDescent="0.3">
      <c r="A954" t="str">
        <f t="shared" si="15"/>
        <v>10-0-HH 2RATE (WC)-SmartFIX – 2 Year</v>
      </c>
      <c r="B954" s="67" t="s">
        <v>13</v>
      </c>
      <c r="C954" s="67">
        <v>10</v>
      </c>
      <c r="D954" s="99" t="s">
        <v>14</v>
      </c>
      <c r="E954" s="67" t="s">
        <v>730</v>
      </c>
      <c r="F954" s="67" t="s">
        <v>88</v>
      </c>
      <c r="G954" s="67" t="s">
        <v>687</v>
      </c>
      <c r="H954" s="127">
        <v>0.41099999999999998</v>
      </c>
      <c r="I954" s="109">
        <v>0.16139999999999999</v>
      </c>
      <c r="J954" s="109">
        <v>0.1082</v>
      </c>
      <c r="K954" s="109" t="s">
        <v>717</v>
      </c>
      <c r="L954" s="67">
        <v>5000</v>
      </c>
      <c r="M954" s="67">
        <v>500000</v>
      </c>
      <c r="N954" s="105">
        <v>44197</v>
      </c>
      <c r="O954" s="105">
        <v>44377</v>
      </c>
      <c r="P954" t="s">
        <v>718</v>
      </c>
    </row>
    <row r="955" spans="1:16" ht="15" customHeight="1" x14ac:dyDescent="0.3">
      <c r="A955" t="str">
        <f t="shared" si="15"/>
        <v>11-0-HH 2RATE (WC)-SmartFIX – 2 Year</v>
      </c>
      <c r="B955" s="67" t="s">
        <v>13</v>
      </c>
      <c r="C955" s="67">
        <v>11</v>
      </c>
      <c r="D955" s="99" t="s">
        <v>20</v>
      </c>
      <c r="E955" s="67" t="s">
        <v>730</v>
      </c>
      <c r="F955" s="67" t="s">
        <v>88</v>
      </c>
      <c r="G955" s="67" t="s">
        <v>687</v>
      </c>
      <c r="H955" s="127">
        <v>0.4214</v>
      </c>
      <c r="I955" s="109">
        <v>0.15890000000000001</v>
      </c>
      <c r="J955" s="109">
        <v>0.11799999999999999</v>
      </c>
      <c r="K955" s="109" t="s">
        <v>717</v>
      </c>
      <c r="L955" s="67">
        <v>5000</v>
      </c>
      <c r="M955" s="67">
        <v>500000</v>
      </c>
      <c r="N955" s="105">
        <v>44197</v>
      </c>
      <c r="O955" s="105">
        <v>44377</v>
      </c>
      <c r="P955" t="s">
        <v>718</v>
      </c>
    </row>
    <row r="956" spans="1:16" ht="15" customHeight="1" x14ac:dyDescent="0.3">
      <c r="A956" t="str">
        <f t="shared" si="15"/>
        <v>12-0-HH 2RATE (WC)-SmartFIX – 2 Year</v>
      </c>
      <c r="B956" s="67" t="s">
        <v>13</v>
      </c>
      <c r="C956" s="67">
        <v>12</v>
      </c>
      <c r="D956" s="99" t="s">
        <v>21</v>
      </c>
      <c r="E956" s="67" t="s">
        <v>730</v>
      </c>
      <c r="F956" s="67" t="s">
        <v>88</v>
      </c>
      <c r="G956" s="67" t="s">
        <v>687</v>
      </c>
      <c r="H956" s="127">
        <v>0.34410000000000002</v>
      </c>
      <c r="I956" s="109">
        <v>0.15579999999999999</v>
      </c>
      <c r="J956" s="109">
        <v>0.1057</v>
      </c>
      <c r="K956" s="109" t="s">
        <v>717</v>
      </c>
      <c r="L956" s="67">
        <v>5000</v>
      </c>
      <c r="M956" s="67">
        <v>500000</v>
      </c>
      <c r="N956" s="105">
        <v>44197</v>
      </c>
      <c r="O956" s="105">
        <v>44377</v>
      </c>
      <c r="P956" t="s">
        <v>718</v>
      </c>
    </row>
    <row r="957" spans="1:16" ht="15" customHeight="1" x14ac:dyDescent="0.3">
      <c r="A957" t="str">
        <f t="shared" si="15"/>
        <v>13-0-HH 2RATE (WC)-SmartFIX – 2 Year</v>
      </c>
      <c r="B957" s="67" t="s">
        <v>13</v>
      </c>
      <c r="C957" s="67">
        <v>13</v>
      </c>
      <c r="D957" s="99" t="s">
        <v>22</v>
      </c>
      <c r="E957" s="67" t="s">
        <v>730</v>
      </c>
      <c r="F957" s="67" t="s">
        <v>88</v>
      </c>
      <c r="G957" s="67" t="s">
        <v>687</v>
      </c>
      <c r="H957" s="127">
        <v>0.3861</v>
      </c>
      <c r="I957" s="109">
        <v>0.18060000000000001</v>
      </c>
      <c r="J957" s="109">
        <v>0.12709999999999999</v>
      </c>
      <c r="K957" s="109" t="s">
        <v>717</v>
      </c>
      <c r="L957" s="67">
        <v>5000</v>
      </c>
      <c r="M957" s="67">
        <v>500000</v>
      </c>
      <c r="N957" s="105">
        <v>44197</v>
      </c>
      <c r="O957" s="105">
        <v>44377</v>
      </c>
      <c r="P957" t="s">
        <v>718</v>
      </c>
    </row>
    <row r="958" spans="1:16" ht="15" customHeight="1" x14ac:dyDescent="0.3">
      <c r="A958" t="str">
        <f t="shared" si="15"/>
        <v>14-0-HH 2RATE (WC)-SmartFIX – 2 Year</v>
      </c>
      <c r="B958" s="67" t="s">
        <v>13</v>
      </c>
      <c r="C958" s="67">
        <v>14</v>
      </c>
      <c r="D958" s="99" t="s">
        <v>23</v>
      </c>
      <c r="E958" s="67" t="s">
        <v>730</v>
      </c>
      <c r="F958" s="67" t="s">
        <v>88</v>
      </c>
      <c r="G958" s="67" t="s">
        <v>687</v>
      </c>
      <c r="H958" s="127">
        <v>0.44400000000000001</v>
      </c>
      <c r="I958" s="109">
        <v>0.16289999999999999</v>
      </c>
      <c r="J958" s="109">
        <v>0.12180000000000001</v>
      </c>
      <c r="K958" s="109" t="s">
        <v>717</v>
      </c>
      <c r="L958" s="67">
        <v>5000</v>
      </c>
      <c r="M958" s="67">
        <v>500000</v>
      </c>
      <c r="N958" s="105">
        <v>44197</v>
      </c>
      <c r="O958" s="105">
        <v>44377</v>
      </c>
      <c r="P958" t="s">
        <v>718</v>
      </c>
    </row>
    <row r="959" spans="1:16" ht="15" customHeight="1" x14ac:dyDescent="0.3">
      <c r="A959" t="str">
        <f t="shared" si="15"/>
        <v>15-0-HH 2RATE (WC)-SmartFIX – 2 Year</v>
      </c>
      <c r="B959" s="67" t="s">
        <v>13</v>
      </c>
      <c r="C959" s="67">
        <v>15</v>
      </c>
      <c r="D959" s="99" t="s">
        <v>24</v>
      </c>
      <c r="E959" s="67" t="s">
        <v>730</v>
      </c>
      <c r="F959" s="67" t="s">
        <v>88</v>
      </c>
      <c r="G959" s="67" t="s">
        <v>687</v>
      </c>
      <c r="H959" s="127">
        <v>0.42070000000000002</v>
      </c>
      <c r="I959" s="109">
        <v>0.1638</v>
      </c>
      <c r="J959" s="109">
        <v>0.11940000000000001</v>
      </c>
      <c r="K959" s="109" t="s">
        <v>717</v>
      </c>
      <c r="L959" s="67">
        <v>5000</v>
      </c>
      <c r="M959" s="67">
        <v>500000</v>
      </c>
      <c r="N959" s="105">
        <v>44197</v>
      </c>
      <c r="O959" s="105">
        <v>44377</v>
      </c>
      <c r="P959" t="s">
        <v>718</v>
      </c>
    </row>
    <row r="960" spans="1:16" ht="15" customHeight="1" x14ac:dyDescent="0.3">
      <c r="A960" t="str">
        <f t="shared" si="15"/>
        <v>16-0-HH 2RATE (WC)-SmartFIX – 2 Year</v>
      </c>
      <c r="B960" s="67" t="s">
        <v>13</v>
      </c>
      <c r="C960" s="67">
        <v>16</v>
      </c>
      <c r="D960" s="99" t="s">
        <v>25</v>
      </c>
      <c r="E960" s="67" t="s">
        <v>730</v>
      </c>
      <c r="F960" s="67" t="s">
        <v>88</v>
      </c>
      <c r="G960" s="67" t="s">
        <v>687</v>
      </c>
      <c r="H960" s="127">
        <v>0.375</v>
      </c>
      <c r="I960" s="109">
        <v>0.1656</v>
      </c>
      <c r="J960" s="109">
        <v>0.11849999999999999</v>
      </c>
      <c r="K960" s="109" t="s">
        <v>717</v>
      </c>
      <c r="L960" s="67">
        <v>5000</v>
      </c>
      <c r="M960" s="67">
        <v>500000</v>
      </c>
      <c r="N960" s="105">
        <v>44197</v>
      </c>
      <c r="O960" s="105">
        <v>44377</v>
      </c>
      <c r="P960" t="s">
        <v>718</v>
      </c>
    </row>
    <row r="961" spans="1:16" ht="15" customHeight="1" x14ac:dyDescent="0.3">
      <c r="A961" t="str">
        <f t="shared" si="15"/>
        <v>17-0-HH 2RATE (WC)-SmartFIX – 2 Year</v>
      </c>
      <c r="B961" s="67" t="s">
        <v>13</v>
      </c>
      <c r="C961" s="67">
        <v>17</v>
      </c>
      <c r="D961" s="99" t="s">
        <v>26</v>
      </c>
      <c r="E961" s="67" t="s">
        <v>730</v>
      </c>
      <c r="F961" s="67" t="s">
        <v>88</v>
      </c>
      <c r="G961" s="67" t="s">
        <v>687</v>
      </c>
      <c r="H961" s="127">
        <v>0.45900000000000002</v>
      </c>
      <c r="I961" s="109">
        <v>0.1661</v>
      </c>
      <c r="J961" s="109">
        <v>0.12180000000000001</v>
      </c>
      <c r="K961" s="109" t="s">
        <v>717</v>
      </c>
      <c r="L961" s="67">
        <v>5000</v>
      </c>
      <c r="M961" s="67">
        <v>500000</v>
      </c>
      <c r="N961" s="105">
        <v>44197</v>
      </c>
      <c r="O961" s="105">
        <v>44377</v>
      </c>
      <c r="P961" t="s">
        <v>718</v>
      </c>
    </row>
    <row r="962" spans="1:16" ht="15" customHeight="1" x14ac:dyDescent="0.3">
      <c r="A962" t="str">
        <f t="shared" si="15"/>
        <v>18-0-HH 2RATE (WC)-SmartFIX – 2 Year</v>
      </c>
      <c r="B962" s="67" t="s">
        <v>13</v>
      </c>
      <c r="C962" s="67">
        <v>18</v>
      </c>
      <c r="D962" s="99" t="s">
        <v>27</v>
      </c>
      <c r="E962" s="67" t="s">
        <v>730</v>
      </c>
      <c r="F962" s="67" t="s">
        <v>88</v>
      </c>
      <c r="G962" s="67" t="s">
        <v>687</v>
      </c>
      <c r="H962" s="127">
        <v>0.40239999999999998</v>
      </c>
      <c r="I962" s="109">
        <v>0.16220000000000001</v>
      </c>
      <c r="J962" s="109">
        <v>0.1174</v>
      </c>
      <c r="K962" s="109" t="s">
        <v>717</v>
      </c>
      <c r="L962" s="67">
        <v>5000</v>
      </c>
      <c r="M962" s="67">
        <v>500000</v>
      </c>
      <c r="N962" s="105">
        <v>44197</v>
      </c>
      <c r="O962" s="105">
        <v>44377</v>
      </c>
      <c r="P962" t="s">
        <v>718</v>
      </c>
    </row>
    <row r="963" spans="1:16" ht="15" customHeight="1" x14ac:dyDescent="0.3">
      <c r="A963" t="str">
        <f t="shared" si="15"/>
        <v>19-0-HH 2RATE (WC)-SmartFIX – 2 Year</v>
      </c>
      <c r="B963" s="67" t="s">
        <v>13</v>
      </c>
      <c r="C963" s="67">
        <v>19</v>
      </c>
      <c r="D963" s="99" t="s">
        <v>28</v>
      </c>
      <c r="E963" s="67" t="s">
        <v>730</v>
      </c>
      <c r="F963" s="67" t="s">
        <v>88</v>
      </c>
      <c r="G963" s="67" t="s">
        <v>687</v>
      </c>
      <c r="H963" s="127">
        <v>0.40400000000000003</v>
      </c>
      <c r="I963" s="109">
        <v>0.15920000000000001</v>
      </c>
      <c r="J963" s="109">
        <v>0.1075</v>
      </c>
      <c r="K963" s="109" t="s">
        <v>717</v>
      </c>
      <c r="L963" s="67">
        <v>5000</v>
      </c>
      <c r="M963" s="67">
        <v>500000</v>
      </c>
      <c r="N963" s="105">
        <v>44197</v>
      </c>
      <c r="O963" s="105">
        <v>44377</v>
      </c>
      <c r="P963" t="s">
        <v>718</v>
      </c>
    </row>
    <row r="964" spans="1:16" ht="15" customHeight="1" x14ac:dyDescent="0.3">
      <c r="A964" t="str">
        <f t="shared" si="15"/>
        <v>20-0-HH 2RATE (WC)-SmartFIX – 2 Year</v>
      </c>
      <c r="B964" s="67" t="s">
        <v>13</v>
      </c>
      <c r="C964" s="67">
        <v>20</v>
      </c>
      <c r="D964" s="99" t="s">
        <v>29</v>
      </c>
      <c r="E964" s="67" t="s">
        <v>730</v>
      </c>
      <c r="F964" s="67" t="s">
        <v>88</v>
      </c>
      <c r="G964" s="67" t="s">
        <v>687</v>
      </c>
      <c r="H964" s="127">
        <v>0.3972</v>
      </c>
      <c r="I964" s="109">
        <v>0.1573</v>
      </c>
      <c r="J964" s="109">
        <v>0.112</v>
      </c>
      <c r="K964" s="109" t="s">
        <v>717</v>
      </c>
      <c r="L964" s="67">
        <v>5000</v>
      </c>
      <c r="M964" s="67">
        <v>500000</v>
      </c>
      <c r="N964" s="105">
        <v>44197</v>
      </c>
      <c r="O964" s="105">
        <v>44377</v>
      </c>
      <c r="P964" t="s">
        <v>718</v>
      </c>
    </row>
    <row r="965" spans="1:16" ht="15" customHeight="1" x14ac:dyDescent="0.3">
      <c r="A965" t="str">
        <f t="shared" si="15"/>
        <v>21-0-HH 2RATE (WC)-SmartFIX – 2 Year</v>
      </c>
      <c r="B965" s="67" t="s">
        <v>13</v>
      </c>
      <c r="C965" s="67">
        <v>21</v>
      </c>
      <c r="D965" s="99" t="s">
        <v>30</v>
      </c>
      <c r="E965" s="67" t="s">
        <v>730</v>
      </c>
      <c r="F965" s="67" t="s">
        <v>88</v>
      </c>
      <c r="G965" s="67" t="s">
        <v>687</v>
      </c>
      <c r="H965" s="127">
        <v>0.50419999999999998</v>
      </c>
      <c r="I965" s="109">
        <v>0.1643</v>
      </c>
      <c r="J965" s="109">
        <v>0.12839999999999999</v>
      </c>
      <c r="K965" s="109" t="s">
        <v>717</v>
      </c>
      <c r="L965" s="67">
        <v>5000</v>
      </c>
      <c r="M965" s="67">
        <v>500000</v>
      </c>
      <c r="N965" s="105">
        <v>44197</v>
      </c>
      <c r="O965" s="105">
        <v>44377</v>
      </c>
      <c r="P965" t="s">
        <v>718</v>
      </c>
    </row>
    <row r="966" spans="1:16" ht="15" customHeight="1" x14ac:dyDescent="0.3">
      <c r="A966" t="str">
        <f t="shared" si="15"/>
        <v>22-0-HH 2RATE (WC)-SmartFIX – 2 Year</v>
      </c>
      <c r="B966" s="67" t="s">
        <v>13</v>
      </c>
      <c r="C966" s="67">
        <v>22</v>
      </c>
      <c r="D966" s="99" t="s">
        <v>31</v>
      </c>
      <c r="E966" s="67" t="s">
        <v>730</v>
      </c>
      <c r="F966" s="67" t="s">
        <v>88</v>
      </c>
      <c r="G966" s="67" t="s">
        <v>687</v>
      </c>
      <c r="H966" s="127">
        <v>0.4526</v>
      </c>
      <c r="I966" s="109">
        <v>0.17019999999999999</v>
      </c>
      <c r="J966" s="109">
        <v>0.13170000000000001</v>
      </c>
      <c r="K966" s="109" t="s">
        <v>717</v>
      </c>
      <c r="L966" s="67">
        <v>5000</v>
      </c>
      <c r="M966" s="67">
        <v>500000</v>
      </c>
      <c r="N966" s="105">
        <v>44197</v>
      </c>
      <c r="O966" s="105">
        <v>44377</v>
      </c>
      <c r="P966" t="s">
        <v>718</v>
      </c>
    </row>
    <row r="967" spans="1:16" ht="15" customHeight="1" x14ac:dyDescent="0.3">
      <c r="A967" t="str">
        <f t="shared" si="15"/>
        <v>23-0-HH 2RATE (WC)-SmartFIX – 2 Year</v>
      </c>
      <c r="B967" s="67" t="s">
        <v>13</v>
      </c>
      <c r="C967" s="67">
        <v>23</v>
      </c>
      <c r="D967" s="99" t="s">
        <v>32</v>
      </c>
      <c r="E967" s="67" t="s">
        <v>730</v>
      </c>
      <c r="F967" s="67" t="s">
        <v>88</v>
      </c>
      <c r="G967" s="67" t="s">
        <v>687</v>
      </c>
      <c r="H967" s="127">
        <v>0.41370000000000001</v>
      </c>
      <c r="I967" s="109">
        <v>0.15670000000000001</v>
      </c>
      <c r="J967" s="109">
        <v>0.1133</v>
      </c>
      <c r="K967" s="109" t="s">
        <v>717</v>
      </c>
      <c r="L967" s="67">
        <v>5000</v>
      </c>
      <c r="M967" s="67">
        <v>500000</v>
      </c>
      <c r="N967" s="105">
        <v>44197</v>
      </c>
      <c r="O967" s="105">
        <v>44377</v>
      </c>
      <c r="P967" t="s">
        <v>718</v>
      </c>
    </row>
    <row r="968" spans="1:16" ht="15" customHeight="1" x14ac:dyDescent="0.3">
      <c r="A968" t="str">
        <f t="shared" si="15"/>
        <v>10-0-HH 2RATE (WC)-SmartFIX – 2 Year Renewal</v>
      </c>
      <c r="B968" s="67" t="s">
        <v>13</v>
      </c>
      <c r="C968" s="67">
        <v>10</v>
      </c>
      <c r="D968" s="99" t="s">
        <v>14</v>
      </c>
      <c r="E968" s="67" t="s">
        <v>730</v>
      </c>
      <c r="F968" s="67" t="s">
        <v>88</v>
      </c>
      <c r="G968" s="67" t="s">
        <v>722</v>
      </c>
      <c r="H968" s="127">
        <v>0.4521</v>
      </c>
      <c r="I968" s="109">
        <v>0.16739999999999999</v>
      </c>
      <c r="J968" s="109">
        <v>0.11420000000000001</v>
      </c>
      <c r="K968" s="109" t="s">
        <v>717</v>
      </c>
      <c r="L968" s="67">
        <v>5000</v>
      </c>
      <c r="M968" s="67">
        <v>500000</v>
      </c>
      <c r="N968" s="105">
        <v>44197</v>
      </c>
      <c r="O968" s="105">
        <v>44377</v>
      </c>
      <c r="P968" t="s">
        <v>718</v>
      </c>
    </row>
    <row r="969" spans="1:16" ht="15" customHeight="1" x14ac:dyDescent="0.3">
      <c r="A969" t="str">
        <f t="shared" si="15"/>
        <v>11-0-HH 2RATE (WC)-SmartFIX – 2 Year Renewal</v>
      </c>
      <c r="B969" s="67" t="s">
        <v>13</v>
      </c>
      <c r="C969" s="67">
        <v>11</v>
      </c>
      <c r="D969" s="99" t="s">
        <v>20</v>
      </c>
      <c r="E969" s="67" t="s">
        <v>730</v>
      </c>
      <c r="F969" s="67" t="s">
        <v>88</v>
      </c>
      <c r="G969" s="67" t="s">
        <v>722</v>
      </c>
      <c r="H969" s="127">
        <v>0.46350000000000002</v>
      </c>
      <c r="I969" s="109">
        <v>0.16490000000000002</v>
      </c>
      <c r="J969" s="109">
        <v>0.124</v>
      </c>
      <c r="K969" s="109" t="s">
        <v>717</v>
      </c>
      <c r="L969" s="67">
        <v>5000</v>
      </c>
      <c r="M969" s="67">
        <v>500000</v>
      </c>
      <c r="N969" s="105">
        <v>44197</v>
      </c>
      <c r="O969" s="105">
        <v>44377</v>
      </c>
      <c r="P969" t="s">
        <v>718</v>
      </c>
    </row>
    <row r="970" spans="1:16" ht="15" customHeight="1" x14ac:dyDescent="0.3">
      <c r="A970" t="str">
        <f t="shared" si="15"/>
        <v>12-0-HH 2RATE (WC)-SmartFIX – 2 Year Renewal</v>
      </c>
      <c r="B970" s="67" t="s">
        <v>13</v>
      </c>
      <c r="C970" s="67">
        <v>12</v>
      </c>
      <c r="D970" s="99" t="s">
        <v>21</v>
      </c>
      <c r="E970" s="67" t="s">
        <v>730</v>
      </c>
      <c r="F970" s="67" t="s">
        <v>88</v>
      </c>
      <c r="G970" s="67" t="s">
        <v>722</v>
      </c>
      <c r="H970" s="127">
        <v>0.3785</v>
      </c>
      <c r="I970" s="109">
        <v>0.1618</v>
      </c>
      <c r="J970" s="109">
        <v>0.11170000000000001</v>
      </c>
      <c r="K970" s="109" t="s">
        <v>717</v>
      </c>
      <c r="L970" s="67">
        <v>5000</v>
      </c>
      <c r="M970" s="67">
        <v>500000</v>
      </c>
      <c r="N970" s="105">
        <v>44197</v>
      </c>
      <c r="O970" s="105">
        <v>44377</v>
      </c>
      <c r="P970" t="s">
        <v>718</v>
      </c>
    </row>
    <row r="971" spans="1:16" ht="15" customHeight="1" x14ac:dyDescent="0.3">
      <c r="A971" t="str">
        <f t="shared" si="15"/>
        <v>13-0-HH 2RATE (WC)-SmartFIX – 2 Year Renewal</v>
      </c>
      <c r="B971" s="67" t="s">
        <v>13</v>
      </c>
      <c r="C971" s="67">
        <v>13</v>
      </c>
      <c r="D971" s="99" t="s">
        <v>22</v>
      </c>
      <c r="E971" s="67" t="s">
        <v>730</v>
      </c>
      <c r="F971" s="67" t="s">
        <v>88</v>
      </c>
      <c r="G971" s="67" t="s">
        <v>722</v>
      </c>
      <c r="H971" s="127">
        <v>0.42470000000000002</v>
      </c>
      <c r="I971" s="109">
        <v>0.18660000000000002</v>
      </c>
      <c r="J971" s="109">
        <v>0.1331</v>
      </c>
      <c r="K971" s="109" t="s">
        <v>717</v>
      </c>
      <c r="L971" s="67">
        <v>5000</v>
      </c>
      <c r="M971" s="67">
        <v>500000</v>
      </c>
      <c r="N971" s="105">
        <v>44197</v>
      </c>
      <c r="O971" s="105">
        <v>44377</v>
      </c>
      <c r="P971" t="s">
        <v>718</v>
      </c>
    </row>
    <row r="972" spans="1:16" ht="15" customHeight="1" x14ac:dyDescent="0.3">
      <c r="A972" t="str">
        <f t="shared" ref="A972:A1035" si="16">IF(E972="OP","",CONCATENATE(C972,"-",RIGHT(F972,1),"-",IF(OR(E972="1 Rate MD",E972="DAY"),"U",IF(OR(E972="2 Rate MD",E972="E7"),"E7",IF(OR(E972="3 Rate MD (EW)",E972="EW"),"EW",IF(OR(E972="3 Rate MD",E972="EWN"),"3RATE",IF(E972="HH 2RATE (CT)","HH 2RATE (CT)",IF(E972="HH 2RATE (WC)","HH 2RATE (WC)",IF(E972="HH 1RATE (CT)","HH 1RATE (CT)",IF(E972="HH 1RATE (WC)","HH 1RATE (WC)")))))))),"-",G972))</f>
        <v>14-0-HH 2RATE (WC)-SmartFIX – 2 Year Renewal</v>
      </c>
      <c r="B972" s="67" t="s">
        <v>13</v>
      </c>
      <c r="C972" s="67">
        <v>14</v>
      </c>
      <c r="D972" s="99" t="s">
        <v>23</v>
      </c>
      <c r="E972" s="67" t="s">
        <v>730</v>
      </c>
      <c r="F972" s="67" t="s">
        <v>88</v>
      </c>
      <c r="G972" s="67" t="s">
        <v>722</v>
      </c>
      <c r="H972" s="127">
        <v>0.4884</v>
      </c>
      <c r="I972" s="109">
        <v>0.16889999999999999</v>
      </c>
      <c r="J972" s="109">
        <v>0.1278</v>
      </c>
      <c r="K972" s="109" t="s">
        <v>717</v>
      </c>
      <c r="L972" s="67">
        <v>5000</v>
      </c>
      <c r="M972" s="67">
        <v>500000</v>
      </c>
      <c r="N972" s="105">
        <v>44197</v>
      </c>
      <c r="O972" s="105">
        <v>44377</v>
      </c>
      <c r="P972" t="s">
        <v>718</v>
      </c>
    </row>
    <row r="973" spans="1:16" ht="15" customHeight="1" x14ac:dyDescent="0.3">
      <c r="A973" t="str">
        <f t="shared" si="16"/>
        <v>15-0-HH 2RATE (WC)-SmartFIX – 2 Year Renewal</v>
      </c>
      <c r="B973" s="67" t="s">
        <v>13</v>
      </c>
      <c r="C973" s="67">
        <v>15</v>
      </c>
      <c r="D973" s="99" t="s">
        <v>24</v>
      </c>
      <c r="E973" s="67" t="s">
        <v>730</v>
      </c>
      <c r="F973" s="67" t="s">
        <v>88</v>
      </c>
      <c r="G973" s="67" t="s">
        <v>722</v>
      </c>
      <c r="H973" s="127">
        <v>0.4627</v>
      </c>
      <c r="I973" s="109">
        <v>0.16980000000000001</v>
      </c>
      <c r="J973" s="109">
        <v>0.12540000000000001</v>
      </c>
      <c r="K973" s="109" t="s">
        <v>717</v>
      </c>
      <c r="L973" s="67">
        <v>5000</v>
      </c>
      <c r="M973" s="67">
        <v>500000</v>
      </c>
      <c r="N973" s="105">
        <v>44197</v>
      </c>
      <c r="O973" s="105">
        <v>44377</v>
      </c>
      <c r="P973" t="s">
        <v>718</v>
      </c>
    </row>
    <row r="974" spans="1:16" ht="15" customHeight="1" x14ac:dyDescent="0.3">
      <c r="A974" t="str">
        <f t="shared" si="16"/>
        <v>16-0-HH 2RATE (WC)-SmartFIX – 2 Year Renewal</v>
      </c>
      <c r="B974" s="67" t="s">
        <v>13</v>
      </c>
      <c r="C974" s="67">
        <v>16</v>
      </c>
      <c r="D974" s="99" t="s">
        <v>25</v>
      </c>
      <c r="E974" s="67" t="s">
        <v>730</v>
      </c>
      <c r="F974" s="67" t="s">
        <v>88</v>
      </c>
      <c r="G974" s="67" t="s">
        <v>722</v>
      </c>
      <c r="H974" s="127">
        <v>0.41249999999999998</v>
      </c>
      <c r="I974" s="109">
        <v>0.1716</v>
      </c>
      <c r="J974" s="109">
        <v>0.1245</v>
      </c>
      <c r="K974" s="109" t="s">
        <v>717</v>
      </c>
      <c r="L974" s="67">
        <v>5000</v>
      </c>
      <c r="M974" s="67">
        <v>500000</v>
      </c>
      <c r="N974" s="105">
        <v>44197</v>
      </c>
      <c r="O974" s="105">
        <v>44377</v>
      </c>
      <c r="P974" t="s">
        <v>718</v>
      </c>
    </row>
    <row r="975" spans="1:16" ht="15" customHeight="1" x14ac:dyDescent="0.3">
      <c r="A975" t="str">
        <f t="shared" si="16"/>
        <v>17-0-HH 2RATE (WC)-SmartFIX – 2 Year Renewal</v>
      </c>
      <c r="B975" s="67" t="s">
        <v>13</v>
      </c>
      <c r="C975" s="67">
        <v>17</v>
      </c>
      <c r="D975" s="99" t="s">
        <v>26</v>
      </c>
      <c r="E975" s="67" t="s">
        <v>730</v>
      </c>
      <c r="F975" s="67" t="s">
        <v>88</v>
      </c>
      <c r="G975" s="67" t="s">
        <v>722</v>
      </c>
      <c r="H975" s="127">
        <v>0.50490000000000002</v>
      </c>
      <c r="I975" s="109">
        <v>0.1721</v>
      </c>
      <c r="J975" s="109">
        <v>0.1278</v>
      </c>
      <c r="K975" s="109" t="s">
        <v>717</v>
      </c>
      <c r="L975" s="67">
        <v>5000</v>
      </c>
      <c r="M975" s="67">
        <v>500000</v>
      </c>
      <c r="N975" s="105">
        <v>44197</v>
      </c>
      <c r="O975" s="105">
        <v>44377</v>
      </c>
      <c r="P975" t="s">
        <v>718</v>
      </c>
    </row>
    <row r="976" spans="1:16" ht="15" customHeight="1" x14ac:dyDescent="0.3">
      <c r="A976" t="str">
        <f t="shared" si="16"/>
        <v>18-0-HH 2RATE (WC)-SmartFIX – 2 Year Renewal</v>
      </c>
      <c r="B976" s="67" t="s">
        <v>13</v>
      </c>
      <c r="C976" s="67">
        <v>18</v>
      </c>
      <c r="D976" s="99" t="s">
        <v>27</v>
      </c>
      <c r="E976" s="67" t="s">
        <v>730</v>
      </c>
      <c r="F976" s="67" t="s">
        <v>88</v>
      </c>
      <c r="G976" s="67" t="s">
        <v>722</v>
      </c>
      <c r="H976" s="127">
        <v>0.44259999999999999</v>
      </c>
      <c r="I976" s="109">
        <v>0.16820000000000002</v>
      </c>
      <c r="J976" s="109">
        <v>0.12340000000000001</v>
      </c>
      <c r="K976" s="109" t="s">
        <v>717</v>
      </c>
      <c r="L976" s="67">
        <v>5000</v>
      </c>
      <c r="M976" s="67">
        <v>500000</v>
      </c>
      <c r="N976" s="105">
        <v>44197</v>
      </c>
      <c r="O976" s="105">
        <v>44377</v>
      </c>
      <c r="P976" t="s">
        <v>718</v>
      </c>
    </row>
    <row r="977" spans="1:16" ht="15" customHeight="1" x14ac:dyDescent="0.3">
      <c r="A977" t="str">
        <f t="shared" si="16"/>
        <v>19-0-HH 2RATE (WC)-SmartFIX – 2 Year Renewal</v>
      </c>
      <c r="B977" s="67" t="s">
        <v>13</v>
      </c>
      <c r="C977" s="67">
        <v>19</v>
      </c>
      <c r="D977" s="99" t="s">
        <v>28</v>
      </c>
      <c r="E977" s="67" t="s">
        <v>730</v>
      </c>
      <c r="F977" s="67" t="s">
        <v>88</v>
      </c>
      <c r="G977" s="67" t="s">
        <v>722</v>
      </c>
      <c r="H977" s="127">
        <v>0.44440000000000002</v>
      </c>
      <c r="I977" s="109">
        <v>0.16520000000000001</v>
      </c>
      <c r="J977" s="109">
        <v>0.1135</v>
      </c>
      <c r="K977" s="109" t="s">
        <v>717</v>
      </c>
      <c r="L977" s="67">
        <v>5000</v>
      </c>
      <c r="M977" s="67">
        <v>500000</v>
      </c>
      <c r="N977" s="105">
        <v>44197</v>
      </c>
      <c r="O977" s="105">
        <v>44377</v>
      </c>
      <c r="P977" t="s">
        <v>718</v>
      </c>
    </row>
    <row r="978" spans="1:16" ht="15" customHeight="1" x14ac:dyDescent="0.3">
      <c r="A978" t="str">
        <f t="shared" si="16"/>
        <v>20-0-HH 2RATE (WC)-SmartFIX – 2 Year Renewal</v>
      </c>
      <c r="B978" s="67" t="s">
        <v>13</v>
      </c>
      <c r="C978" s="67">
        <v>20</v>
      </c>
      <c r="D978" s="99" t="s">
        <v>29</v>
      </c>
      <c r="E978" s="67" t="s">
        <v>730</v>
      </c>
      <c r="F978" s="67" t="s">
        <v>88</v>
      </c>
      <c r="G978" s="67" t="s">
        <v>722</v>
      </c>
      <c r="H978" s="127">
        <v>0.43690000000000001</v>
      </c>
      <c r="I978" s="109">
        <v>0.1633</v>
      </c>
      <c r="J978" s="109">
        <v>0.11800000000000001</v>
      </c>
      <c r="K978" s="109" t="s">
        <v>717</v>
      </c>
      <c r="L978" s="67">
        <v>5000</v>
      </c>
      <c r="M978" s="67">
        <v>500000</v>
      </c>
      <c r="N978" s="105">
        <v>44197</v>
      </c>
      <c r="O978" s="105">
        <v>44377</v>
      </c>
      <c r="P978" t="s">
        <v>718</v>
      </c>
    </row>
    <row r="979" spans="1:16" ht="15" customHeight="1" x14ac:dyDescent="0.3">
      <c r="A979" t="str">
        <f t="shared" si="16"/>
        <v>21-0-HH 2RATE (WC)-SmartFIX – 2 Year Renewal</v>
      </c>
      <c r="B979" s="67" t="s">
        <v>13</v>
      </c>
      <c r="C979" s="67">
        <v>21</v>
      </c>
      <c r="D979" s="99" t="s">
        <v>30</v>
      </c>
      <c r="E979" s="67" t="s">
        <v>730</v>
      </c>
      <c r="F979" s="67" t="s">
        <v>88</v>
      </c>
      <c r="G979" s="67" t="s">
        <v>722</v>
      </c>
      <c r="H979" s="127">
        <v>0.55459999999999998</v>
      </c>
      <c r="I979" s="109">
        <v>0.17030000000000001</v>
      </c>
      <c r="J979" s="109">
        <v>0.13439999999999999</v>
      </c>
      <c r="K979" s="109" t="s">
        <v>717</v>
      </c>
      <c r="L979" s="67">
        <v>5000</v>
      </c>
      <c r="M979" s="67">
        <v>500000</v>
      </c>
      <c r="N979" s="105">
        <v>44197</v>
      </c>
      <c r="O979" s="105">
        <v>44377</v>
      </c>
      <c r="P979" t="s">
        <v>718</v>
      </c>
    </row>
    <row r="980" spans="1:16" ht="15" customHeight="1" x14ac:dyDescent="0.3">
      <c r="A980" t="str">
        <f t="shared" si="16"/>
        <v>22-0-HH 2RATE (WC)-SmartFIX – 2 Year Renewal</v>
      </c>
      <c r="B980" s="67" t="s">
        <v>13</v>
      </c>
      <c r="C980" s="67">
        <v>22</v>
      </c>
      <c r="D980" s="99" t="s">
        <v>31</v>
      </c>
      <c r="E980" s="67" t="s">
        <v>730</v>
      </c>
      <c r="F980" s="67" t="s">
        <v>88</v>
      </c>
      <c r="G980" s="67" t="s">
        <v>722</v>
      </c>
      <c r="H980" s="127">
        <v>0.49790000000000001</v>
      </c>
      <c r="I980" s="109">
        <v>0.1762</v>
      </c>
      <c r="J980" s="109">
        <v>0.13770000000000002</v>
      </c>
      <c r="K980" s="109" t="s">
        <v>717</v>
      </c>
      <c r="L980" s="67">
        <v>5000</v>
      </c>
      <c r="M980" s="67">
        <v>500000</v>
      </c>
      <c r="N980" s="105">
        <v>44197</v>
      </c>
      <c r="O980" s="105">
        <v>44377</v>
      </c>
      <c r="P980" t="s">
        <v>718</v>
      </c>
    </row>
    <row r="981" spans="1:16" ht="15" customHeight="1" x14ac:dyDescent="0.3">
      <c r="A981" t="str">
        <f t="shared" si="16"/>
        <v>23-0-HH 2RATE (WC)-SmartFIX – 2 Year Renewal</v>
      </c>
      <c r="B981" s="67" t="s">
        <v>13</v>
      </c>
      <c r="C981" s="67">
        <v>23</v>
      </c>
      <c r="D981" s="99" t="s">
        <v>32</v>
      </c>
      <c r="E981" s="67" t="s">
        <v>730</v>
      </c>
      <c r="F981" s="67" t="s">
        <v>88</v>
      </c>
      <c r="G981" s="67" t="s">
        <v>722</v>
      </c>
      <c r="H981" s="127">
        <v>0.45500000000000002</v>
      </c>
      <c r="I981" s="109">
        <v>0.16270000000000001</v>
      </c>
      <c r="J981" s="109">
        <v>0.1193</v>
      </c>
      <c r="K981" s="109" t="s">
        <v>717</v>
      </c>
      <c r="L981" s="67">
        <v>5000</v>
      </c>
      <c r="M981" s="67">
        <v>500000</v>
      </c>
      <c r="N981" s="105">
        <v>44197</v>
      </c>
      <c r="O981" s="105">
        <v>44377</v>
      </c>
      <c r="P981" t="s">
        <v>718</v>
      </c>
    </row>
    <row r="982" spans="1:16" ht="15" customHeight="1" x14ac:dyDescent="0.3">
      <c r="A982" t="str">
        <f t="shared" si="16"/>
        <v>10-0-HH 2RATE (CT)-SmartFIX – 2 Year</v>
      </c>
      <c r="B982" s="67" t="s">
        <v>13</v>
      </c>
      <c r="C982" s="67">
        <v>10</v>
      </c>
      <c r="D982" s="99" t="s">
        <v>14</v>
      </c>
      <c r="E982" s="67" t="s">
        <v>729</v>
      </c>
      <c r="F982" s="67" t="s">
        <v>88</v>
      </c>
      <c r="G982" s="67" t="s">
        <v>687</v>
      </c>
      <c r="H982" s="127">
        <v>0.51449999999999996</v>
      </c>
      <c r="I982" s="109">
        <v>0.1605</v>
      </c>
      <c r="J982" s="109">
        <v>0.11</v>
      </c>
      <c r="K982" s="109" t="s">
        <v>717</v>
      </c>
      <c r="L982" s="67">
        <v>5000</v>
      </c>
      <c r="M982" s="67">
        <v>500000</v>
      </c>
      <c r="N982" s="105">
        <v>44197</v>
      </c>
      <c r="O982" s="105">
        <v>44377</v>
      </c>
      <c r="P982" t="s">
        <v>718</v>
      </c>
    </row>
    <row r="983" spans="1:16" ht="15" customHeight="1" x14ac:dyDescent="0.3">
      <c r="A983" t="str">
        <f t="shared" si="16"/>
        <v>11-0-HH 2RATE (CT)-SmartFIX – 2 Year</v>
      </c>
      <c r="B983" s="67" t="s">
        <v>13</v>
      </c>
      <c r="C983" s="67">
        <v>11</v>
      </c>
      <c r="D983" s="99" t="s">
        <v>20</v>
      </c>
      <c r="E983" s="67" t="s">
        <v>729</v>
      </c>
      <c r="F983" s="67" t="s">
        <v>88</v>
      </c>
      <c r="G983" s="67" t="s">
        <v>687</v>
      </c>
      <c r="H983" s="127">
        <v>0.4572</v>
      </c>
      <c r="I983" s="109">
        <v>0.15909999999999999</v>
      </c>
      <c r="J983" s="109">
        <v>0.1168</v>
      </c>
      <c r="K983" s="109" t="s">
        <v>717</v>
      </c>
      <c r="L983" s="67">
        <v>5000</v>
      </c>
      <c r="M983" s="67">
        <v>500000</v>
      </c>
      <c r="N983" s="105">
        <v>44197</v>
      </c>
      <c r="O983" s="105">
        <v>44377</v>
      </c>
      <c r="P983" t="s">
        <v>718</v>
      </c>
    </row>
    <row r="984" spans="1:16" ht="15" customHeight="1" x14ac:dyDescent="0.3">
      <c r="A984" t="str">
        <f t="shared" si="16"/>
        <v>12-0-HH 2RATE (CT)-SmartFIX – 2 Year</v>
      </c>
      <c r="B984" s="67" t="s">
        <v>13</v>
      </c>
      <c r="C984" s="67">
        <v>12</v>
      </c>
      <c r="D984" s="99" t="s">
        <v>21</v>
      </c>
      <c r="E984" s="67" t="s">
        <v>729</v>
      </c>
      <c r="F984" s="67" t="s">
        <v>88</v>
      </c>
      <c r="G984" s="67" t="s">
        <v>687</v>
      </c>
      <c r="H984" s="127">
        <v>0.42220000000000002</v>
      </c>
      <c r="I984" s="109">
        <v>0.156</v>
      </c>
      <c r="J984" s="109">
        <v>0.10349999999999999</v>
      </c>
      <c r="K984" s="109" t="s">
        <v>717</v>
      </c>
      <c r="L984" s="67">
        <v>5000</v>
      </c>
      <c r="M984" s="67">
        <v>500000</v>
      </c>
      <c r="N984" s="105">
        <v>44197</v>
      </c>
      <c r="O984" s="105">
        <v>44377</v>
      </c>
      <c r="P984" t="s">
        <v>718</v>
      </c>
    </row>
    <row r="985" spans="1:16" ht="15" customHeight="1" x14ac:dyDescent="0.3">
      <c r="A985" t="str">
        <f t="shared" si="16"/>
        <v>13-0-HH 2RATE (CT)-SmartFIX – 2 Year</v>
      </c>
      <c r="B985" s="67" t="s">
        <v>13</v>
      </c>
      <c r="C985" s="67">
        <v>13</v>
      </c>
      <c r="D985" s="99" t="s">
        <v>22</v>
      </c>
      <c r="E985" s="67" t="s">
        <v>729</v>
      </c>
      <c r="F985" s="67" t="s">
        <v>88</v>
      </c>
      <c r="G985" s="67" t="s">
        <v>687</v>
      </c>
      <c r="H985" s="127">
        <v>0.59250000000000003</v>
      </c>
      <c r="I985" s="109">
        <v>0.1799</v>
      </c>
      <c r="J985" s="109">
        <v>0.12620000000000001</v>
      </c>
      <c r="K985" s="109" t="s">
        <v>717</v>
      </c>
      <c r="L985" s="67">
        <v>5000</v>
      </c>
      <c r="M985" s="67">
        <v>500000</v>
      </c>
      <c r="N985" s="105">
        <v>44197</v>
      </c>
      <c r="O985" s="105">
        <v>44377</v>
      </c>
      <c r="P985" t="s">
        <v>718</v>
      </c>
    </row>
    <row r="986" spans="1:16" ht="15" customHeight="1" x14ac:dyDescent="0.3">
      <c r="A986" t="str">
        <f t="shared" si="16"/>
        <v>14-0-HH 2RATE (CT)-SmartFIX – 2 Year</v>
      </c>
      <c r="B986" s="67" t="s">
        <v>13</v>
      </c>
      <c r="C986" s="67">
        <v>14</v>
      </c>
      <c r="D986" s="99" t="s">
        <v>23</v>
      </c>
      <c r="E986" s="67" t="s">
        <v>729</v>
      </c>
      <c r="F986" s="67" t="s">
        <v>88</v>
      </c>
      <c r="G986" s="67" t="s">
        <v>687</v>
      </c>
      <c r="H986" s="127">
        <v>0.4698</v>
      </c>
      <c r="I986" s="109">
        <v>0.1628</v>
      </c>
      <c r="J986" s="109">
        <v>0.12180000000000001</v>
      </c>
      <c r="K986" s="109" t="s">
        <v>717</v>
      </c>
      <c r="L986" s="67">
        <v>5000</v>
      </c>
      <c r="M986" s="67">
        <v>500000</v>
      </c>
      <c r="N986" s="105">
        <v>44197</v>
      </c>
      <c r="O986" s="105">
        <v>44377</v>
      </c>
      <c r="P986" t="s">
        <v>718</v>
      </c>
    </row>
    <row r="987" spans="1:16" ht="15" customHeight="1" x14ac:dyDescent="0.3">
      <c r="A987" t="str">
        <f t="shared" si="16"/>
        <v>15-0-HH 2RATE (CT)-SmartFIX – 2 Year</v>
      </c>
      <c r="B987" s="67" t="s">
        <v>13</v>
      </c>
      <c r="C987" s="67">
        <v>15</v>
      </c>
      <c r="D987" s="99" t="s">
        <v>24</v>
      </c>
      <c r="E987" s="67" t="s">
        <v>729</v>
      </c>
      <c r="F987" s="67" t="s">
        <v>88</v>
      </c>
      <c r="G987" s="67" t="s">
        <v>687</v>
      </c>
      <c r="H987" s="127">
        <v>0.56820000000000004</v>
      </c>
      <c r="I987" s="109">
        <v>0.16250000000000001</v>
      </c>
      <c r="J987" s="109">
        <v>0.12180000000000001</v>
      </c>
      <c r="K987" s="109" t="s">
        <v>717</v>
      </c>
      <c r="L987" s="67">
        <v>5000</v>
      </c>
      <c r="M987" s="67">
        <v>500000</v>
      </c>
      <c r="N987" s="105">
        <v>44197</v>
      </c>
      <c r="O987" s="105">
        <v>44377</v>
      </c>
      <c r="P987" t="s">
        <v>718</v>
      </c>
    </row>
    <row r="988" spans="1:16" ht="15" customHeight="1" x14ac:dyDescent="0.3">
      <c r="A988" t="str">
        <f t="shared" si="16"/>
        <v>16-0-HH 2RATE (CT)-SmartFIX – 2 Year</v>
      </c>
      <c r="B988" s="67" t="s">
        <v>13</v>
      </c>
      <c r="C988" s="67">
        <v>16</v>
      </c>
      <c r="D988" s="99" t="s">
        <v>25</v>
      </c>
      <c r="E988" s="67" t="s">
        <v>729</v>
      </c>
      <c r="F988" s="67" t="s">
        <v>88</v>
      </c>
      <c r="G988" s="67" t="s">
        <v>687</v>
      </c>
      <c r="H988" s="127">
        <v>0.5292</v>
      </c>
      <c r="I988" s="109">
        <v>0.1648</v>
      </c>
      <c r="J988" s="109">
        <v>0.11899999999999999</v>
      </c>
      <c r="K988" s="109" t="s">
        <v>717</v>
      </c>
      <c r="L988" s="67">
        <v>5000</v>
      </c>
      <c r="M988" s="67">
        <v>500000</v>
      </c>
      <c r="N988" s="105">
        <v>44197</v>
      </c>
      <c r="O988" s="105">
        <v>44377</v>
      </c>
      <c r="P988" t="s">
        <v>718</v>
      </c>
    </row>
    <row r="989" spans="1:16" ht="15" customHeight="1" x14ac:dyDescent="0.3">
      <c r="A989" t="str">
        <f t="shared" si="16"/>
        <v>17-0-HH 2RATE (CT)-SmartFIX – 2 Year</v>
      </c>
      <c r="B989" s="67" t="s">
        <v>13</v>
      </c>
      <c r="C989" s="67">
        <v>17</v>
      </c>
      <c r="D989" s="99" t="s">
        <v>26</v>
      </c>
      <c r="E989" s="67" t="s">
        <v>729</v>
      </c>
      <c r="F989" s="67" t="s">
        <v>88</v>
      </c>
      <c r="G989" s="67" t="s">
        <v>687</v>
      </c>
      <c r="H989" s="127">
        <v>0.71650000000000003</v>
      </c>
      <c r="I989" s="109">
        <v>0.17180000000000001</v>
      </c>
      <c r="J989" s="109">
        <v>0.12989999999999999</v>
      </c>
      <c r="K989" s="109" t="s">
        <v>717</v>
      </c>
      <c r="L989" s="67">
        <v>5000</v>
      </c>
      <c r="M989" s="67">
        <v>500000</v>
      </c>
      <c r="N989" s="105">
        <v>44197</v>
      </c>
      <c r="O989" s="105">
        <v>44377</v>
      </c>
      <c r="P989" t="s">
        <v>718</v>
      </c>
    </row>
    <row r="990" spans="1:16" ht="15" customHeight="1" x14ac:dyDescent="0.3">
      <c r="A990" t="str">
        <f t="shared" si="16"/>
        <v>18-0-HH 2RATE (CT)-SmartFIX – 2 Year</v>
      </c>
      <c r="B990" s="67" t="s">
        <v>13</v>
      </c>
      <c r="C990" s="67">
        <v>18</v>
      </c>
      <c r="D990" s="99" t="s">
        <v>27</v>
      </c>
      <c r="E990" s="67" t="s">
        <v>729</v>
      </c>
      <c r="F990" s="67" t="s">
        <v>88</v>
      </c>
      <c r="G990" s="67" t="s">
        <v>687</v>
      </c>
      <c r="H990" s="127">
        <v>0.65680000000000005</v>
      </c>
      <c r="I990" s="109">
        <v>0.16170000000000001</v>
      </c>
      <c r="J990" s="109">
        <v>0.1186</v>
      </c>
      <c r="K990" s="109" t="s">
        <v>717</v>
      </c>
      <c r="L990" s="67">
        <v>5000</v>
      </c>
      <c r="M990" s="67">
        <v>500000</v>
      </c>
      <c r="N990" s="105">
        <v>44197</v>
      </c>
      <c r="O990" s="105">
        <v>44377</v>
      </c>
      <c r="P990" t="s">
        <v>718</v>
      </c>
    </row>
    <row r="991" spans="1:16" ht="15" customHeight="1" x14ac:dyDescent="0.3">
      <c r="A991" t="str">
        <f t="shared" si="16"/>
        <v>19-0-HH 2RATE (CT)-SmartFIX – 2 Year</v>
      </c>
      <c r="B991" s="67" t="s">
        <v>13</v>
      </c>
      <c r="C991" s="67">
        <v>19</v>
      </c>
      <c r="D991" s="99" t="s">
        <v>28</v>
      </c>
      <c r="E991" s="67" t="s">
        <v>729</v>
      </c>
      <c r="F991" s="67" t="s">
        <v>88</v>
      </c>
      <c r="G991" s="67" t="s">
        <v>687</v>
      </c>
      <c r="H991" s="127">
        <v>0.5161</v>
      </c>
      <c r="I991" s="109">
        <v>0.15859999999999999</v>
      </c>
      <c r="J991" s="109">
        <v>0.10970000000000001</v>
      </c>
      <c r="K991" s="109" t="s">
        <v>717</v>
      </c>
      <c r="L991" s="67">
        <v>5000</v>
      </c>
      <c r="M991" s="67">
        <v>500000</v>
      </c>
      <c r="N991" s="105">
        <v>44197</v>
      </c>
      <c r="O991" s="105">
        <v>44377</v>
      </c>
      <c r="P991" t="s">
        <v>718</v>
      </c>
    </row>
    <row r="992" spans="1:16" ht="15" customHeight="1" x14ac:dyDescent="0.3">
      <c r="A992" t="str">
        <f t="shared" si="16"/>
        <v>20-0-HH 2RATE (CT)-SmartFIX – 2 Year</v>
      </c>
      <c r="B992" s="67" t="s">
        <v>13</v>
      </c>
      <c r="C992" s="67">
        <v>20</v>
      </c>
      <c r="D992" s="99" t="s">
        <v>29</v>
      </c>
      <c r="E992" s="67" t="s">
        <v>729</v>
      </c>
      <c r="F992" s="67" t="s">
        <v>88</v>
      </c>
      <c r="G992" s="67" t="s">
        <v>687</v>
      </c>
      <c r="H992" s="127">
        <v>0.54520000000000002</v>
      </c>
      <c r="I992" s="109">
        <v>0.15720000000000001</v>
      </c>
      <c r="J992" s="109">
        <v>0.1118</v>
      </c>
      <c r="K992" s="109" t="s">
        <v>717</v>
      </c>
      <c r="L992" s="67">
        <v>5000</v>
      </c>
      <c r="M992" s="67">
        <v>500000</v>
      </c>
      <c r="N992" s="105">
        <v>44197</v>
      </c>
      <c r="O992" s="105">
        <v>44377</v>
      </c>
      <c r="P992" t="s">
        <v>718</v>
      </c>
    </row>
    <row r="993" spans="1:16" ht="15" customHeight="1" x14ac:dyDescent="0.3">
      <c r="A993" t="str">
        <f t="shared" si="16"/>
        <v>21-0-HH 2RATE (CT)-SmartFIX – 2 Year</v>
      </c>
      <c r="B993" s="67" t="s">
        <v>13</v>
      </c>
      <c r="C993" s="67">
        <v>21</v>
      </c>
      <c r="D993" s="99" t="s">
        <v>30</v>
      </c>
      <c r="E993" s="67" t="s">
        <v>729</v>
      </c>
      <c r="F993" s="67" t="s">
        <v>88</v>
      </c>
      <c r="G993" s="67" t="s">
        <v>687</v>
      </c>
      <c r="H993" s="127">
        <v>0.55989999999999995</v>
      </c>
      <c r="I993" s="109">
        <v>0.16520000000000001</v>
      </c>
      <c r="J993" s="109">
        <v>0.1239</v>
      </c>
      <c r="K993" s="109" t="s">
        <v>717</v>
      </c>
      <c r="L993" s="67">
        <v>5000</v>
      </c>
      <c r="M993" s="67">
        <v>500000</v>
      </c>
      <c r="N993" s="105">
        <v>44197</v>
      </c>
      <c r="O993" s="105">
        <v>44377</v>
      </c>
      <c r="P993" t="s">
        <v>718</v>
      </c>
    </row>
    <row r="994" spans="1:16" ht="15" customHeight="1" x14ac:dyDescent="0.3">
      <c r="A994" t="str">
        <f t="shared" si="16"/>
        <v>22-0-HH 2RATE (CT)-SmartFIX – 2 Year</v>
      </c>
      <c r="B994" s="67" t="s">
        <v>13</v>
      </c>
      <c r="C994" s="67">
        <v>22</v>
      </c>
      <c r="D994" s="99" t="s">
        <v>31</v>
      </c>
      <c r="E994" s="67" t="s">
        <v>729</v>
      </c>
      <c r="F994" s="67" t="s">
        <v>88</v>
      </c>
      <c r="G994" s="67" t="s">
        <v>687</v>
      </c>
      <c r="H994" s="127">
        <v>0.49120000000000003</v>
      </c>
      <c r="I994" s="109">
        <v>0.16869999999999999</v>
      </c>
      <c r="J994" s="109">
        <v>0.13700000000000001</v>
      </c>
      <c r="K994" s="109" t="s">
        <v>717</v>
      </c>
      <c r="L994" s="67">
        <v>5000</v>
      </c>
      <c r="M994" s="67">
        <v>500000</v>
      </c>
      <c r="N994" s="105">
        <v>44197</v>
      </c>
      <c r="O994" s="105">
        <v>44377</v>
      </c>
      <c r="P994" t="s">
        <v>718</v>
      </c>
    </row>
    <row r="995" spans="1:16" ht="15" customHeight="1" x14ac:dyDescent="0.3">
      <c r="A995" t="str">
        <f t="shared" si="16"/>
        <v>23-0-HH 2RATE (CT)-SmartFIX – 2 Year</v>
      </c>
      <c r="B995" s="67" t="s">
        <v>13</v>
      </c>
      <c r="C995" s="67">
        <v>23</v>
      </c>
      <c r="D995" s="99" t="s">
        <v>32</v>
      </c>
      <c r="E995" s="67" t="s">
        <v>729</v>
      </c>
      <c r="F995" s="67" t="s">
        <v>88</v>
      </c>
      <c r="G995" s="67" t="s">
        <v>687</v>
      </c>
      <c r="H995" s="127">
        <v>0.58620000000000005</v>
      </c>
      <c r="I995" s="109">
        <v>0.15720000000000001</v>
      </c>
      <c r="J995" s="109">
        <v>0.1142</v>
      </c>
      <c r="K995" s="109" t="s">
        <v>717</v>
      </c>
      <c r="L995" s="67">
        <v>5000</v>
      </c>
      <c r="M995" s="67">
        <v>500000</v>
      </c>
      <c r="N995" s="105">
        <v>44197</v>
      </c>
      <c r="O995" s="105">
        <v>44377</v>
      </c>
      <c r="P995" t="s">
        <v>718</v>
      </c>
    </row>
    <row r="996" spans="1:16" ht="15" customHeight="1" x14ac:dyDescent="0.3">
      <c r="A996" t="str">
        <f t="shared" si="16"/>
        <v>10-0-HH 2RATE (CT)-SmartFIX – 2 Year Renewal</v>
      </c>
      <c r="B996" s="67" t="s">
        <v>13</v>
      </c>
      <c r="C996" s="67">
        <v>10</v>
      </c>
      <c r="D996" s="99" t="s">
        <v>14</v>
      </c>
      <c r="E996" s="67" t="s">
        <v>729</v>
      </c>
      <c r="F996" s="67" t="s">
        <v>88</v>
      </c>
      <c r="G996" s="67" t="s">
        <v>722</v>
      </c>
      <c r="H996" s="127">
        <v>0.56599999999999995</v>
      </c>
      <c r="I996" s="109">
        <v>0.16450000000000001</v>
      </c>
      <c r="J996" s="109">
        <v>0.114</v>
      </c>
      <c r="K996" s="109" t="s">
        <v>717</v>
      </c>
      <c r="L996" s="67">
        <v>5000</v>
      </c>
      <c r="M996" s="67">
        <v>500000</v>
      </c>
      <c r="N996" s="105">
        <v>44197</v>
      </c>
      <c r="O996" s="105">
        <v>44377</v>
      </c>
      <c r="P996" t="s">
        <v>718</v>
      </c>
    </row>
    <row r="997" spans="1:16" ht="15" customHeight="1" x14ac:dyDescent="0.3">
      <c r="A997" t="str">
        <f t="shared" si="16"/>
        <v>11-0-HH 2RATE (CT)-SmartFIX – 2 Year Renewal</v>
      </c>
      <c r="B997" s="67" t="s">
        <v>13</v>
      </c>
      <c r="C997" s="67">
        <v>11</v>
      </c>
      <c r="D997" s="99" t="s">
        <v>20</v>
      </c>
      <c r="E997" s="67" t="s">
        <v>729</v>
      </c>
      <c r="F997" s="67" t="s">
        <v>88</v>
      </c>
      <c r="G997" s="67" t="s">
        <v>722</v>
      </c>
      <c r="H997" s="127">
        <v>0.503</v>
      </c>
      <c r="I997" s="109">
        <v>0.16309999999999999</v>
      </c>
      <c r="J997" s="109">
        <v>0.1208</v>
      </c>
      <c r="K997" s="109" t="s">
        <v>717</v>
      </c>
      <c r="L997" s="67">
        <v>5000</v>
      </c>
      <c r="M997" s="67">
        <v>500000</v>
      </c>
      <c r="N997" s="105">
        <v>44197</v>
      </c>
      <c r="O997" s="105">
        <v>44377</v>
      </c>
      <c r="P997" t="s">
        <v>718</v>
      </c>
    </row>
    <row r="998" spans="1:16" ht="15" customHeight="1" x14ac:dyDescent="0.3">
      <c r="A998" t="str">
        <f t="shared" si="16"/>
        <v>12-0-HH 2RATE (CT)-SmartFIX – 2 Year Renewal</v>
      </c>
      <c r="B998" s="67" t="s">
        <v>13</v>
      </c>
      <c r="C998" s="67">
        <v>12</v>
      </c>
      <c r="D998" s="99" t="s">
        <v>21</v>
      </c>
      <c r="E998" s="67" t="s">
        <v>729</v>
      </c>
      <c r="F998" s="67" t="s">
        <v>88</v>
      </c>
      <c r="G998" s="67" t="s">
        <v>722</v>
      </c>
      <c r="H998" s="127">
        <v>0.46439999999999998</v>
      </c>
      <c r="I998" s="109">
        <v>0.16</v>
      </c>
      <c r="J998" s="109">
        <v>0.1075</v>
      </c>
      <c r="K998" s="109" t="s">
        <v>717</v>
      </c>
      <c r="L998" s="67">
        <v>5000</v>
      </c>
      <c r="M998" s="67">
        <v>500000</v>
      </c>
      <c r="N998" s="105">
        <v>44197</v>
      </c>
      <c r="O998" s="105">
        <v>44377</v>
      </c>
      <c r="P998" t="s">
        <v>718</v>
      </c>
    </row>
    <row r="999" spans="1:16" ht="15" customHeight="1" x14ac:dyDescent="0.3">
      <c r="A999" t="str">
        <f t="shared" si="16"/>
        <v>13-0-HH 2RATE (CT)-SmartFIX – 2 Year Renewal</v>
      </c>
      <c r="B999" s="67" t="s">
        <v>13</v>
      </c>
      <c r="C999" s="67">
        <v>13</v>
      </c>
      <c r="D999" s="99" t="s">
        <v>22</v>
      </c>
      <c r="E999" s="67" t="s">
        <v>729</v>
      </c>
      <c r="F999" s="67" t="s">
        <v>88</v>
      </c>
      <c r="G999" s="67" t="s">
        <v>722</v>
      </c>
      <c r="H999" s="127">
        <v>0.65169999999999995</v>
      </c>
      <c r="I999" s="109">
        <v>0.18390000000000001</v>
      </c>
      <c r="J999" s="109">
        <v>0.13020000000000001</v>
      </c>
      <c r="K999" s="109" t="s">
        <v>717</v>
      </c>
      <c r="L999" s="67">
        <v>5000</v>
      </c>
      <c r="M999" s="67">
        <v>500000</v>
      </c>
      <c r="N999" s="105">
        <v>44197</v>
      </c>
      <c r="O999" s="105">
        <v>44377</v>
      </c>
      <c r="P999" t="s">
        <v>718</v>
      </c>
    </row>
    <row r="1000" spans="1:16" ht="15" customHeight="1" x14ac:dyDescent="0.3">
      <c r="A1000" t="str">
        <f t="shared" si="16"/>
        <v>14-0-HH 2RATE (CT)-SmartFIX – 2 Year Renewal</v>
      </c>
      <c r="B1000" s="67" t="s">
        <v>13</v>
      </c>
      <c r="C1000" s="67">
        <v>14</v>
      </c>
      <c r="D1000" s="99" t="s">
        <v>23</v>
      </c>
      <c r="E1000" s="67" t="s">
        <v>729</v>
      </c>
      <c r="F1000" s="67" t="s">
        <v>88</v>
      </c>
      <c r="G1000" s="67" t="s">
        <v>722</v>
      </c>
      <c r="H1000" s="127">
        <v>0.51680000000000004</v>
      </c>
      <c r="I1000" s="109">
        <v>0.1668</v>
      </c>
      <c r="J1000" s="109">
        <v>0.1258</v>
      </c>
      <c r="K1000" s="109" t="s">
        <v>717</v>
      </c>
      <c r="L1000" s="67">
        <v>5000</v>
      </c>
      <c r="M1000" s="67">
        <v>500000</v>
      </c>
      <c r="N1000" s="105">
        <v>44197</v>
      </c>
      <c r="O1000" s="105">
        <v>44377</v>
      </c>
      <c r="P1000" t="s">
        <v>718</v>
      </c>
    </row>
    <row r="1001" spans="1:16" ht="15" customHeight="1" x14ac:dyDescent="0.3">
      <c r="A1001" t="str">
        <f t="shared" si="16"/>
        <v>15-0-HH 2RATE (CT)-SmartFIX – 2 Year Renewal</v>
      </c>
      <c r="B1001" s="67" t="s">
        <v>13</v>
      </c>
      <c r="C1001" s="67">
        <v>15</v>
      </c>
      <c r="D1001" s="99" t="s">
        <v>24</v>
      </c>
      <c r="E1001" s="67" t="s">
        <v>729</v>
      </c>
      <c r="F1001" s="67" t="s">
        <v>88</v>
      </c>
      <c r="G1001" s="67" t="s">
        <v>722</v>
      </c>
      <c r="H1001" s="127">
        <v>0.625</v>
      </c>
      <c r="I1001" s="109">
        <v>0.16650000000000001</v>
      </c>
      <c r="J1001" s="109">
        <v>0.1258</v>
      </c>
      <c r="K1001" s="109" t="s">
        <v>717</v>
      </c>
      <c r="L1001" s="67">
        <v>5000</v>
      </c>
      <c r="M1001" s="67">
        <v>500000</v>
      </c>
      <c r="N1001" s="105">
        <v>44197</v>
      </c>
      <c r="O1001" s="105">
        <v>44377</v>
      </c>
      <c r="P1001" t="s">
        <v>718</v>
      </c>
    </row>
    <row r="1002" spans="1:16" ht="15" customHeight="1" x14ac:dyDescent="0.3">
      <c r="A1002" t="str">
        <f t="shared" si="16"/>
        <v>16-0-HH 2RATE (CT)-SmartFIX – 2 Year Renewal</v>
      </c>
      <c r="B1002" s="67" t="s">
        <v>13</v>
      </c>
      <c r="C1002" s="67">
        <v>16</v>
      </c>
      <c r="D1002" s="99" t="s">
        <v>25</v>
      </c>
      <c r="E1002" s="67" t="s">
        <v>729</v>
      </c>
      <c r="F1002" s="67" t="s">
        <v>88</v>
      </c>
      <c r="G1002" s="67" t="s">
        <v>722</v>
      </c>
      <c r="H1002" s="127">
        <v>0.58220000000000005</v>
      </c>
      <c r="I1002" s="109">
        <v>0.16880000000000001</v>
      </c>
      <c r="J1002" s="109">
        <v>0.123</v>
      </c>
      <c r="K1002" s="109" t="s">
        <v>717</v>
      </c>
      <c r="L1002" s="67">
        <v>5000</v>
      </c>
      <c r="M1002" s="67">
        <v>500000</v>
      </c>
      <c r="N1002" s="105">
        <v>44197</v>
      </c>
      <c r="O1002" s="105">
        <v>44377</v>
      </c>
      <c r="P1002" t="s">
        <v>718</v>
      </c>
    </row>
    <row r="1003" spans="1:16" ht="15" customHeight="1" x14ac:dyDescent="0.3">
      <c r="A1003" t="str">
        <f t="shared" si="16"/>
        <v>17-0-HH 2RATE (CT)-SmartFIX – 2 Year Renewal</v>
      </c>
      <c r="B1003" s="67" t="s">
        <v>13</v>
      </c>
      <c r="C1003" s="67">
        <v>17</v>
      </c>
      <c r="D1003" s="99" t="s">
        <v>26</v>
      </c>
      <c r="E1003" s="67" t="s">
        <v>729</v>
      </c>
      <c r="F1003" s="67" t="s">
        <v>88</v>
      </c>
      <c r="G1003" s="67" t="s">
        <v>722</v>
      </c>
      <c r="H1003" s="127">
        <v>0.78810000000000002</v>
      </c>
      <c r="I1003" s="109">
        <v>0.17580000000000001</v>
      </c>
      <c r="J1003" s="109">
        <v>0.13389999999999999</v>
      </c>
      <c r="K1003" s="109" t="s">
        <v>717</v>
      </c>
      <c r="L1003" s="67">
        <v>5000</v>
      </c>
      <c r="M1003" s="67">
        <v>500000</v>
      </c>
      <c r="N1003" s="105">
        <v>44197</v>
      </c>
      <c r="O1003" s="105">
        <v>44377</v>
      </c>
      <c r="P1003" t="s">
        <v>718</v>
      </c>
    </row>
    <row r="1004" spans="1:16" ht="15" customHeight="1" x14ac:dyDescent="0.3">
      <c r="A1004" t="str">
        <f t="shared" si="16"/>
        <v>18-0-HH 2RATE (CT)-SmartFIX – 2 Year Renewal</v>
      </c>
      <c r="B1004" s="67" t="s">
        <v>13</v>
      </c>
      <c r="C1004" s="67">
        <v>18</v>
      </c>
      <c r="D1004" s="99" t="s">
        <v>27</v>
      </c>
      <c r="E1004" s="67" t="s">
        <v>729</v>
      </c>
      <c r="F1004" s="67" t="s">
        <v>88</v>
      </c>
      <c r="G1004" s="67" t="s">
        <v>722</v>
      </c>
      <c r="H1004" s="127">
        <v>0.72240000000000004</v>
      </c>
      <c r="I1004" s="109">
        <v>0.16570000000000001</v>
      </c>
      <c r="J1004" s="109">
        <v>0.1226</v>
      </c>
      <c r="K1004" s="109" t="s">
        <v>717</v>
      </c>
      <c r="L1004" s="67">
        <v>5000</v>
      </c>
      <c r="M1004" s="67">
        <v>500000</v>
      </c>
      <c r="N1004" s="105">
        <v>44197</v>
      </c>
      <c r="O1004" s="105">
        <v>44377</v>
      </c>
      <c r="P1004" t="s">
        <v>718</v>
      </c>
    </row>
    <row r="1005" spans="1:16" ht="15" customHeight="1" x14ac:dyDescent="0.3">
      <c r="A1005" t="str">
        <f t="shared" si="16"/>
        <v>19-0-HH 2RATE (CT)-SmartFIX – 2 Year Renewal</v>
      </c>
      <c r="B1005" s="67" t="s">
        <v>13</v>
      </c>
      <c r="C1005" s="67">
        <v>19</v>
      </c>
      <c r="D1005" s="99" t="s">
        <v>28</v>
      </c>
      <c r="E1005" s="67" t="s">
        <v>729</v>
      </c>
      <c r="F1005" s="67" t="s">
        <v>88</v>
      </c>
      <c r="G1005" s="67" t="s">
        <v>722</v>
      </c>
      <c r="H1005" s="127">
        <v>0.56769999999999998</v>
      </c>
      <c r="I1005" s="109">
        <v>0.16259999999999999</v>
      </c>
      <c r="J1005" s="109">
        <v>0.11370000000000001</v>
      </c>
      <c r="K1005" s="109" t="s">
        <v>717</v>
      </c>
      <c r="L1005" s="67">
        <v>5000</v>
      </c>
      <c r="M1005" s="67">
        <v>500000</v>
      </c>
      <c r="N1005" s="105">
        <v>44197</v>
      </c>
      <c r="O1005" s="105">
        <v>44377</v>
      </c>
      <c r="P1005" t="s">
        <v>718</v>
      </c>
    </row>
    <row r="1006" spans="1:16" ht="15" customHeight="1" x14ac:dyDescent="0.3">
      <c r="A1006" t="str">
        <f t="shared" si="16"/>
        <v>20-0-HH 2RATE (CT)-SmartFIX – 2 Year Renewal</v>
      </c>
      <c r="B1006" s="67" t="s">
        <v>13</v>
      </c>
      <c r="C1006" s="67">
        <v>20</v>
      </c>
      <c r="D1006" s="99" t="s">
        <v>29</v>
      </c>
      <c r="E1006" s="67" t="s">
        <v>729</v>
      </c>
      <c r="F1006" s="67" t="s">
        <v>88</v>
      </c>
      <c r="G1006" s="67" t="s">
        <v>722</v>
      </c>
      <c r="H1006" s="127">
        <v>0.59970000000000001</v>
      </c>
      <c r="I1006" s="109">
        <v>0.16120000000000001</v>
      </c>
      <c r="J1006" s="109">
        <v>0.1158</v>
      </c>
      <c r="K1006" s="109" t="s">
        <v>717</v>
      </c>
      <c r="L1006" s="67">
        <v>5000</v>
      </c>
      <c r="M1006" s="67">
        <v>500000</v>
      </c>
      <c r="N1006" s="105">
        <v>44197</v>
      </c>
      <c r="O1006" s="105">
        <v>44377</v>
      </c>
      <c r="P1006" t="s">
        <v>718</v>
      </c>
    </row>
    <row r="1007" spans="1:16" ht="15" customHeight="1" x14ac:dyDescent="0.3">
      <c r="A1007" t="str">
        <f t="shared" si="16"/>
        <v>21-0-HH 2RATE (CT)-SmartFIX – 2 Year Renewal</v>
      </c>
      <c r="B1007" s="67" t="s">
        <v>13</v>
      </c>
      <c r="C1007" s="67">
        <v>21</v>
      </c>
      <c r="D1007" s="99" t="s">
        <v>30</v>
      </c>
      <c r="E1007" s="67" t="s">
        <v>729</v>
      </c>
      <c r="F1007" s="67" t="s">
        <v>88</v>
      </c>
      <c r="G1007" s="67" t="s">
        <v>722</v>
      </c>
      <c r="H1007" s="127">
        <v>0.6159</v>
      </c>
      <c r="I1007" s="109">
        <v>0.16920000000000002</v>
      </c>
      <c r="J1007" s="109">
        <v>0.12789999999999999</v>
      </c>
      <c r="K1007" s="109" t="s">
        <v>717</v>
      </c>
      <c r="L1007" s="67">
        <v>5000</v>
      </c>
      <c r="M1007" s="67">
        <v>500000</v>
      </c>
      <c r="N1007" s="105">
        <v>44197</v>
      </c>
      <c r="O1007" s="105">
        <v>44377</v>
      </c>
      <c r="P1007" t="s">
        <v>718</v>
      </c>
    </row>
    <row r="1008" spans="1:16" ht="15" customHeight="1" x14ac:dyDescent="0.3">
      <c r="A1008" t="str">
        <f t="shared" si="16"/>
        <v>22-0-HH 2RATE (CT)-SmartFIX – 2 Year Renewal</v>
      </c>
      <c r="B1008" s="67" t="s">
        <v>13</v>
      </c>
      <c r="C1008" s="67">
        <v>22</v>
      </c>
      <c r="D1008" s="99" t="s">
        <v>31</v>
      </c>
      <c r="E1008" s="67" t="s">
        <v>729</v>
      </c>
      <c r="F1008" s="67" t="s">
        <v>88</v>
      </c>
      <c r="G1008" s="67" t="s">
        <v>722</v>
      </c>
      <c r="H1008" s="127">
        <v>0.5403</v>
      </c>
      <c r="I1008" s="109">
        <v>0.17269999999999999</v>
      </c>
      <c r="J1008" s="109">
        <v>0.14100000000000001</v>
      </c>
      <c r="K1008" s="109" t="s">
        <v>717</v>
      </c>
      <c r="L1008" s="67">
        <v>5000</v>
      </c>
      <c r="M1008" s="67">
        <v>500000</v>
      </c>
      <c r="N1008" s="105">
        <v>44197</v>
      </c>
      <c r="O1008" s="105">
        <v>44377</v>
      </c>
      <c r="P1008" t="s">
        <v>718</v>
      </c>
    </row>
    <row r="1009" spans="1:16" ht="15" customHeight="1" x14ac:dyDescent="0.3">
      <c r="A1009" t="str">
        <f t="shared" si="16"/>
        <v>23-0-HH 2RATE (CT)-SmartFIX – 2 Year Renewal</v>
      </c>
      <c r="B1009" s="67" t="s">
        <v>13</v>
      </c>
      <c r="C1009" s="67">
        <v>23</v>
      </c>
      <c r="D1009" s="99" t="s">
        <v>32</v>
      </c>
      <c r="E1009" s="67" t="s">
        <v>729</v>
      </c>
      <c r="F1009" s="67" t="s">
        <v>88</v>
      </c>
      <c r="G1009" s="67" t="s">
        <v>722</v>
      </c>
      <c r="H1009" s="127">
        <v>0.64480000000000004</v>
      </c>
      <c r="I1009" s="109">
        <v>0.16120000000000001</v>
      </c>
      <c r="J1009" s="109">
        <v>0.1182</v>
      </c>
      <c r="K1009" s="109" t="s">
        <v>717</v>
      </c>
      <c r="L1009" s="67">
        <v>5000</v>
      </c>
      <c r="M1009" s="67">
        <v>500000</v>
      </c>
      <c r="N1009" s="105">
        <v>44197</v>
      </c>
      <c r="O1009" s="105">
        <v>44377</v>
      </c>
      <c r="P1009" t="s">
        <v>718</v>
      </c>
    </row>
    <row r="1010" spans="1:16" ht="15" customHeight="1" x14ac:dyDescent="0.3">
      <c r="A1010" t="str">
        <f t="shared" si="16"/>
        <v>10-0-HH 2RATE (WC)-SmartFIX – 3 Year</v>
      </c>
      <c r="B1010" s="67" t="s">
        <v>13</v>
      </c>
      <c r="C1010" s="67">
        <v>10</v>
      </c>
      <c r="D1010" s="99" t="s">
        <v>14</v>
      </c>
      <c r="E1010" s="67" t="s">
        <v>730</v>
      </c>
      <c r="F1010" s="67" t="s">
        <v>88</v>
      </c>
      <c r="G1010" s="67" t="s">
        <v>691</v>
      </c>
      <c r="H1010" s="127">
        <v>0.41920000000000002</v>
      </c>
      <c r="I1010" s="109">
        <v>0.16300000000000001</v>
      </c>
      <c r="J1010" s="109">
        <v>0.1085</v>
      </c>
      <c r="K1010" s="109" t="s">
        <v>717</v>
      </c>
      <c r="L1010" s="67">
        <v>5000</v>
      </c>
      <c r="M1010" s="67">
        <v>500000</v>
      </c>
      <c r="N1010" s="105">
        <v>44197</v>
      </c>
      <c r="O1010" s="105">
        <v>44377</v>
      </c>
      <c r="P1010" t="s">
        <v>718</v>
      </c>
    </row>
    <row r="1011" spans="1:16" ht="15" customHeight="1" x14ac:dyDescent="0.3">
      <c r="A1011" t="str">
        <f t="shared" si="16"/>
        <v>11-0-HH 2RATE (WC)-SmartFIX – 3 Year</v>
      </c>
      <c r="B1011" s="67" t="s">
        <v>13</v>
      </c>
      <c r="C1011" s="67">
        <v>11</v>
      </c>
      <c r="D1011" s="99" t="s">
        <v>20</v>
      </c>
      <c r="E1011" s="67" t="s">
        <v>730</v>
      </c>
      <c r="F1011" s="67" t="s">
        <v>88</v>
      </c>
      <c r="G1011" s="67" t="s">
        <v>691</v>
      </c>
      <c r="H1011" s="127">
        <v>0.42980000000000002</v>
      </c>
      <c r="I1011" s="109">
        <v>0.16139999999999999</v>
      </c>
      <c r="J1011" s="109">
        <v>0.11700000000000001</v>
      </c>
      <c r="K1011" s="109" t="s">
        <v>717</v>
      </c>
      <c r="L1011" s="67">
        <v>5000</v>
      </c>
      <c r="M1011" s="67">
        <v>500000</v>
      </c>
      <c r="N1011" s="105">
        <v>44197</v>
      </c>
      <c r="O1011" s="105">
        <v>44377</v>
      </c>
      <c r="P1011" t="s">
        <v>718</v>
      </c>
    </row>
    <row r="1012" spans="1:16" ht="15" customHeight="1" x14ac:dyDescent="0.3">
      <c r="A1012" t="str">
        <f t="shared" si="16"/>
        <v>12-0-HH 2RATE (WC)-SmartFIX – 3 Year</v>
      </c>
      <c r="B1012" s="67" t="s">
        <v>13</v>
      </c>
      <c r="C1012" s="67">
        <v>12</v>
      </c>
      <c r="D1012" s="99" t="s">
        <v>21</v>
      </c>
      <c r="E1012" s="67" t="s">
        <v>730</v>
      </c>
      <c r="F1012" s="67" t="s">
        <v>88</v>
      </c>
      <c r="G1012" s="67" t="s">
        <v>691</v>
      </c>
      <c r="H1012" s="127">
        <v>0.35099999999999998</v>
      </c>
      <c r="I1012" s="109">
        <v>0.1573</v>
      </c>
      <c r="J1012" s="109">
        <v>0.106</v>
      </c>
      <c r="K1012" s="109" t="s">
        <v>717</v>
      </c>
      <c r="L1012" s="67">
        <v>5000</v>
      </c>
      <c r="M1012" s="67">
        <v>500000</v>
      </c>
      <c r="N1012" s="105">
        <v>44197</v>
      </c>
      <c r="O1012" s="105">
        <v>44377</v>
      </c>
      <c r="P1012" t="s">
        <v>718</v>
      </c>
    </row>
    <row r="1013" spans="1:16" ht="15" customHeight="1" x14ac:dyDescent="0.3">
      <c r="A1013" t="str">
        <f t="shared" si="16"/>
        <v>13-0-HH 2RATE (WC)-SmartFIX – 3 Year</v>
      </c>
      <c r="B1013" s="67" t="s">
        <v>13</v>
      </c>
      <c r="C1013" s="67">
        <v>13</v>
      </c>
      <c r="D1013" s="99" t="s">
        <v>22</v>
      </c>
      <c r="E1013" s="67" t="s">
        <v>730</v>
      </c>
      <c r="F1013" s="67" t="s">
        <v>88</v>
      </c>
      <c r="G1013" s="67" t="s">
        <v>691</v>
      </c>
      <c r="H1013" s="127">
        <v>0.39379999999999998</v>
      </c>
      <c r="I1013" s="109">
        <v>0.18360000000000001</v>
      </c>
      <c r="J1013" s="109">
        <v>0.12690000000000001</v>
      </c>
      <c r="K1013" s="109" t="s">
        <v>717</v>
      </c>
      <c r="L1013" s="67">
        <v>5000</v>
      </c>
      <c r="M1013" s="67">
        <v>500000</v>
      </c>
      <c r="N1013" s="105">
        <v>44197</v>
      </c>
      <c r="O1013" s="105">
        <v>44377</v>
      </c>
      <c r="P1013" t="s">
        <v>718</v>
      </c>
    </row>
    <row r="1014" spans="1:16" ht="15" customHeight="1" x14ac:dyDescent="0.3">
      <c r="A1014" t="str">
        <f t="shared" si="16"/>
        <v>14-0-HH 2RATE (WC)-SmartFIX – 3 Year</v>
      </c>
      <c r="B1014" s="67" t="s">
        <v>13</v>
      </c>
      <c r="C1014" s="67">
        <v>14</v>
      </c>
      <c r="D1014" s="99" t="s">
        <v>23</v>
      </c>
      <c r="E1014" s="67" t="s">
        <v>730</v>
      </c>
      <c r="F1014" s="67" t="s">
        <v>88</v>
      </c>
      <c r="G1014" s="67" t="s">
        <v>691</v>
      </c>
      <c r="H1014" s="127">
        <v>0.45290000000000002</v>
      </c>
      <c r="I1014" s="109">
        <v>0.1653</v>
      </c>
      <c r="J1014" s="109">
        <v>0.122</v>
      </c>
      <c r="K1014" s="109" t="s">
        <v>717</v>
      </c>
      <c r="L1014" s="67">
        <v>5000</v>
      </c>
      <c r="M1014" s="67">
        <v>500000</v>
      </c>
      <c r="N1014" s="105">
        <v>44197</v>
      </c>
      <c r="O1014" s="105">
        <v>44377</v>
      </c>
      <c r="P1014" t="s">
        <v>718</v>
      </c>
    </row>
    <row r="1015" spans="1:16" ht="15" customHeight="1" x14ac:dyDescent="0.3">
      <c r="A1015" t="str">
        <f t="shared" si="16"/>
        <v>15-0-HH 2RATE (WC)-SmartFIX – 3 Year</v>
      </c>
      <c r="B1015" s="67" t="s">
        <v>13</v>
      </c>
      <c r="C1015" s="67">
        <v>15</v>
      </c>
      <c r="D1015" s="99" t="s">
        <v>24</v>
      </c>
      <c r="E1015" s="67" t="s">
        <v>730</v>
      </c>
      <c r="F1015" s="67" t="s">
        <v>88</v>
      </c>
      <c r="G1015" s="67" t="s">
        <v>691</v>
      </c>
      <c r="H1015" s="127">
        <v>0.42909999999999998</v>
      </c>
      <c r="I1015" s="109">
        <v>0.16600000000000001</v>
      </c>
      <c r="J1015" s="109">
        <v>0.12039999999999999</v>
      </c>
      <c r="K1015" s="109" t="s">
        <v>717</v>
      </c>
      <c r="L1015" s="67">
        <v>5000</v>
      </c>
      <c r="M1015" s="67">
        <v>500000</v>
      </c>
      <c r="N1015" s="105">
        <v>44197</v>
      </c>
      <c r="O1015" s="105">
        <v>44377</v>
      </c>
      <c r="P1015" t="s">
        <v>718</v>
      </c>
    </row>
    <row r="1016" spans="1:16" ht="15" customHeight="1" x14ac:dyDescent="0.3">
      <c r="A1016" t="str">
        <f t="shared" si="16"/>
        <v>16-0-HH 2RATE (WC)-SmartFIX – 3 Year</v>
      </c>
      <c r="B1016" s="67" t="s">
        <v>13</v>
      </c>
      <c r="C1016" s="67">
        <v>16</v>
      </c>
      <c r="D1016" s="99" t="s">
        <v>25</v>
      </c>
      <c r="E1016" s="67" t="s">
        <v>730</v>
      </c>
      <c r="F1016" s="67" t="s">
        <v>88</v>
      </c>
      <c r="G1016" s="67" t="s">
        <v>691</v>
      </c>
      <c r="H1016" s="127">
        <v>0.38250000000000001</v>
      </c>
      <c r="I1016" s="109">
        <v>0.16839999999999999</v>
      </c>
      <c r="J1016" s="109">
        <v>0.11840000000000001</v>
      </c>
      <c r="K1016" s="109" t="s">
        <v>717</v>
      </c>
      <c r="L1016" s="67">
        <v>5000</v>
      </c>
      <c r="M1016" s="67">
        <v>500000</v>
      </c>
      <c r="N1016" s="105">
        <v>44197</v>
      </c>
      <c r="O1016" s="105">
        <v>44377</v>
      </c>
      <c r="P1016" t="s">
        <v>718</v>
      </c>
    </row>
    <row r="1017" spans="1:16" ht="15" customHeight="1" x14ac:dyDescent="0.3">
      <c r="A1017" t="str">
        <f t="shared" si="16"/>
        <v>17-0-HH 2RATE (WC)-SmartFIX – 3 Year</v>
      </c>
      <c r="B1017" s="67" t="s">
        <v>13</v>
      </c>
      <c r="C1017" s="67">
        <v>17</v>
      </c>
      <c r="D1017" s="99" t="s">
        <v>26</v>
      </c>
      <c r="E1017" s="67" t="s">
        <v>730</v>
      </c>
      <c r="F1017" s="67" t="s">
        <v>88</v>
      </c>
      <c r="G1017" s="67" t="s">
        <v>691</v>
      </c>
      <c r="H1017" s="127">
        <v>0.46820000000000001</v>
      </c>
      <c r="I1017" s="109">
        <v>0.17330000000000001</v>
      </c>
      <c r="J1017" s="109">
        <v>0.128</v>
      </c>
      <c r="K1017" s="109" t="s">
        <v>717</v>
      </c>
      <c r="L1017" s="67">
        <v>5000</v>
      </c>
      <c r="M1017" s="67">
        <v>500000</v>
      </c>
      <c r="N1017" s="105">
        <v>44197</v>
      </c>
      <c r="O1017" s="105">
        <v>44377</v>
      </c>
      <c r="P1017" t="s">
        <v>718</v>
      </c>
    </row>
    <row r="1018" spans="1:16" ht="15" customHeight="1" x14ac:dyDescent="0.3">
      <c r="A1018" t="str">
        <f t="shared" si="16"/>
        <v>18-0-HH 2RATE (WC)-SmartFIX – 3 Year</v>
      </c>
      <c r="B1018" s="67" t="s">
        <v>13</v>
      </c>
      <c r="C1018" s="67">
        <v>18</v>
      </c>
      <c r="D1018" s="99" t="s">
        <v>27</v>
      </c>
      <c r="E1018" s="67" t="s">
        <v>730</v>
      </c>
      <c r="F1018" s="67" t="s">
        <v>88</v>
      </c>
      <c r="G1018" s="67" t="s">
        <v>691</v>
      </c>
      <c r="H1018" s="127">
        <v>0.41039999999999999</v>
      </c>
      <c r="I1018" s="109">
        <v>0.1686</v>
      </c>
      <c r="J1018" s="109">
        <v>0.1211</v>
      </c>
      <c r="K1018" s="109" t="s">
        <v>717</v>
      </c>
      <c r="L1018" s="67">
        <v>5000</v>
      </c>
      <c r="M1018" s="67">
        <v>500000</v>
      </c>
      <c r="N1018" s="105">
        <v>44197</v>
      </c>
      <c r="O1018" s="105">
        <v>44377</v>
      </c>
      <c r="P1018" t="s">
        <v>718</v>
      </c>
    </row>
    <row r="1019" spans="1:16" ht="15" customHeight="1" x14ac:dyDescent="0.3">
      <c r="A1019" t="str">
        <f t="shared" si="16"/>
        <v>19-0-HH 2RATE (WC)-SmartFIX – 3 Year</v>
      </c>
      <c r="B1019" s="67" t="s">
        <v>13</v>
      </c>
      <c r="C1019" s="67">
        <v>19</v>
      </c>
      <c r="D1019" s="99" t="s">
        <v>28</v>
      </c>
      <c r="E1019" s="67" t="s">
        <v>730</v>
      </c>
      <c r="F1019" s="67" t="s">
        <v>88</v>
      </c>
      <c r="G1019" s="67" t="s">
        <v>691</v>
      </c>
      <c r="H1019" s="127">
        <v>0.41199999999999998</v>
      </c>
      <c r="I1019" s="109">
        <v>0.16</v>
      </c>
      <c r="J1019" s="109">
        <v>0.1081</v>
      </c>
      <c r="K1019" s="109" t="s">
        <v>717</v>
      </c>
      <c r="L1019" s="67">
        <v>5000</v>
      </c>
      <c r="M1019" s="67">
        <v>500000</v>
      </c>
      <c r="N1019" s="105">
        <v>44197</v>
      </c>
      <c r="O1019" s="105">
        <v>44377</v>
      </c>
      <c r="P1019" t="s">
        <v>718</v>
      </c>
    </row>
    <row r="1020" spans="1:16" ht="15" customHeight="1" x14ac:dyDescent="0.3">
      <c r="A1020" t="str">
        <f t="shared" si="16"/>
        <v>20-0-HH 2RATE (WC)-SmartFIX – 3 Year</v>
      </c>
      <c r="B1020" s="67" t="s">
        <v>13</v>
      </c>
      <c r="C1020" s="67">
        <v>20</v>
      </c>
      <c r="D1020" s="99" t="s">
        <v>29</v>
      </c>
      <c r="E1020" s="67" t="s">
        <v>730</v>
      </c>
      <c r="F1020" s="67" t="s">
        <v>88</v>
      </c>
      <c r="G1020" s="67" t="s">
        <v>691</v>
      </c>
      <c r="H1020" s="127">
        <v>0.40510000000000002</v>
      </c>
      <c r="I1020" s="109">
        <v>0.16059999999999999</v>
      </c>
      <c r="J1020" s="109">
        <v>0.1106</v>
      </c>
      <c r="K1020" s="109" t="s">
        <v>717</v>
      </c>
      <c r="L1020" s="67">
        <v>5000</v>
      </c>
      <c r="M1020" s="67">
        <v>500000</v>
      </c>
      <c r="N1020" s="105">
        <v>44197</v>
      </c>
      <c r="O1020" s="105">
        <v>44377</v>
      </c>
      <c r="P1020" t="s">
        <v>718</v>
      </c>
    </row>
    <row r="1021" spans="1:16" ht="15" customHeight="1" x14ac:dyDescent="0.3">
      <c r="A1021" t="str">
        <f t="shared" si="16"/>
        <v>21-0-HH 2RATE (WC)-SmartFIX – 3 Year</v>
      </c>
      <c r="B1021" s="67" t="s">
        <v>13</v>
      </c>
      <c r="C1021" s="67">
        <v>21</v>
      </c>
      <c r="D1021" s="99" t="s">
        <v>30</v>
      </c>
      <c r="E1021" s="67" t="s">
        <v>730</v>
      </c>
      <c r="F1021" s="67" t="s">
        <v>88</v>
      </c>
      <c r="G1021" s="67" t="s">
        <v>691</v>
      </c>
      <c r="H1021" s="127">
        <v>0.51429999999999998</v>
      </c>
      <c r="I1021" s="109">
        <v>0.1661</v>
      </c>
      <c r="J1021" s="109">
        <v>0.12509999999999999</v>
      </c>
      <c r="K1021" s="109" t="s">
        <v>717</v>
      </c>
      <c r="L1021" s="67">
        <v>5000</v>
      </c>
      <c r="M1021" s="67">
        <v>500000</v>
      </c>
      <c r="N1021" s="105">
        <v>44197</v>
      </c>
      <c r="O1021" s="105">
        <v>44377</v>
      </c>
      <c r="P1021" t="s">
        <v>718</v>
      </c>
    </row>
    <row r="1022" spans="1:16" ht="15" customHeight="1" x14ac:dyDescent="0.3">
      <c r="A1022" t="str">
        <f t="shared" si="16"/>
        <v>22-0-HH 2RATE (WC)-SmartFIX – 3 Year</v>
      </c>
      <c r="B1022" s="67" t="s">
        <v>13</v>
      </c>
      <c r="C1022" s="67">
        <v>22</v>
      </c>
      <c r="D1022" s="99" t="s">
        <v>31</v>
      </c>
      <c r="E1022" s="67" t="s">
        <v>730</v>
      </c>
      <c r="F1022" s="67" t="s">
        <v>88</v>
      </c>
      <c r="G1022" s="67" t="s">
        <v>691</v>
      </c>
      <c r="H1022" s="127">
        <v>0.4617</v>
      </c>
      <c r="I1022" s="109">
        <v>0.1716</v>
      </c>
      <c r="J1022" s="109">
        <v>0.13</v>
      </c>
      <c r="K1022" s="109" t="s">
        <v>717</v>
      </c>
      <c r="L1022" s="67">
        <v>5000</v>
      </c>
      <c r="M1022" s="67">
        <v>500000</v>
      </c>
      <c r="N1022" s="105">
        <v>44197</v>
      </c>
      <c r="O1022" s="105">
        <v>44377</v>
      </c>
      <c r="P1022" t="s">
        <v>718</v>
      </c>
    </row>
    <row r="1023" spans="1:16" ht="15" customHeight="1" x14ac:dyDescent="0.3">
      <c r="A1023" t="str">
        <f t="shared" si="16"/>
        <v>23-0-HH 2RATE (WC)-SmartFIX – 3 Year</v>
      </c>
      <c r="B1023" s="67" t="s">
        <v>13</v>
      </c>
      <c r="C1023" s="67">
        <v>23</v>
      </c>
      <c r="D1023" s="99" t="s">
        <v>32</v>
      </c>
      <c r="E1023" s="67" t="s">
        <v>730</v>
      </c>
      <c r="F1023" s="67" t="s">
        <v>88</v>
      </c>
      <c r="G1023" s="67" t="s">
        <v>691</v>
      </c>
      <c r="H1023" s="127">
        <v>0.4219</v>
      </c>
      <c r="I1023" s="109">
        <v>0.1578</v>
      </c>
      <c r="J1023" s="109">
        <v>0.1134</v>
      </c>
      <c r="K1023" s="109" t="s">
        <v>717</v>
      </c>
      <c r="L1023" s="67">
        <v>5000</v>
      </c>
      <c r="M1023" s="67">
        <v>500000</v>
      </c>
      <c r="N1023" s="105">
        <v>44197</v>
      </c>
      <c r="O1023" s="105">
        <v>44377</v>
      </c>
      <c r="P1023" t="s">
        <v>718</v>
      </c>
    </row>
    <row r="1024" spans="1:16" ht="15" customHeight="1" x14ac:dyDescent="0.3">
      <c r="A1024" t="str">
        <f t="shared" si="16"/>
        <v>10-0-HH 2RATE (WC)-SmartFIX – 3 Year Renewal</v>
      </c>
      <c r="B1024" s="67" t="s">
        <v>13</v>
      </c>
      <c r="C1024" s="67">
        <v>10</v>
      </c>
      <c r="D1024" s="99" t="s">
        <v>14</v>
      </c>
      <c r="E1024" s="67" t="s">
        <v>730</v>
      </c>
      <c r="F1024" s="67" t="s">
        <v>88</v>
      </c>
      <c r="G1024" s="67" t="s">
        <v>728</v>
      </c>
      <c r="H1024" s="127">
        <v>0.46110000000000001</v>
      </c>
      <c r="I1024" s="109">
        <v>0.16900000000000001</v>
      </c>
      <c r="J1024" s="109">
        <v>0.1145</v>
      </c>
      <c r="K1024" s="109" t="s">
        <v>717</v>
      </c>
      <c r="L1024" s="67">
        <v>5000</v>
      </c>
      <c r="M1024" s="67">
        <v>500000</v>
      </c>
      <c r="N1024" s="105">
        <v>44197</v>
      </c>
      <c r="O1024" s="105">
        <v>44377</v>
      </c>
      <c r="P1024" t="s">
        <v>718</v>
      </c>
    </row>
    <row r="1025" spans="1:16" ht="15" customHeight="1" x14ac:dyDescent="0.3">
      <c r="A1025" t="str">
        <f t="shared" si="16"/>
        <v>11-0-HH 2RATE (WC)-SmartFIX – 3 Year Renewal</v>
      </c>
      <c r="B1025" s="67" t="s">
        <v>13</v>
      </c>
      <c r="C1025" s="67">
        <v>11</v>
      </c>
      <c r="D1025" s="99" t="s">
        <v>20</v>
      </c>
      <c r="E1025" s="67" t="s">
        <v>730</v>
      </c>
      <c r="F1025" s="67" t="s">
        <v>88</v>
      </c>
      <c r="G1025" s="67" t="s">
        <v>728</v>
      </c>
      <c r="H1025" s="127">
        <v>0.47270000000000001</v>
      </c>
      <c r="I1025" s="109">
        <v>0.16739999999999999</v>
      </c>
      <c r="J1025" s="109">
        <v>0.12300000000000001</v>
      </c>
      <c r="K1025" s="109" t="s">
        <v>717</v>
      </c>
      <c r="L1025" s="67">
        <v>5000</v>
      </c>
      <c r="M1025" s="67">
        <v>500000</v>
      </c>
      <c r="N1025" s="105">
        <v>44197</v>
      </c>
      <c r="O1025" s="105">
        <v>44377</v>
      </c>
      <c r="P1025" t="s">
        <v>718</v>
      </c>
    </row>
    <row r="1026" spans="1:16" ht="15" customHeight="1" x14ac:dyDescent="0.3">
      <c r="A1026" t="str">
        <f t="shared" si="16"/>
        <v>12-0-HH 2RATE (WC)-SmartFIX – 3 Year Renewal</v>
      </c>
      <c r="B1026" s="67" t="s">
        <v>13</v>
      </c>
      <c r="C1026" s="67">
        <v>12</v>
      </c>
      <c r="D1026" s="99" t="s">
        <v>21</v>
      </c>
      <c r="E1026" s="67" t="s">
        <v>730</v>
      </c>
      <c r="F1026" s="67" t="s">
        <v>88</v>
      </c>
      <c r="G1026" s="67" t="s">
        <v>728</v>
      </c>
      <c r="H1026" s="127">
        <v>0.3861</v>
      </c>
      <c r="I1026" s="109">
        <v>0.1633</v>
      </c>
      <c r="J1026" s="109">
        <v>0.112</v>
      </c>
      <c r="K1026" s="109" t="s">
        <v>717</v>
      </c>
      <c r="L1026" s="67">
        <v>5000</v>
      </c>
      <c r="M1026" s="67">
        <v>500000</v>
      </c>
      <c r="N1026" s="105">
        <v>44197</v>
      </c>
      <c r="O1026" s="105">
        <v>44377</v>
      </c>
      <c r="P1026" t="s">
        <v>718</v>
      </c>
    </row>
    <row r="1027" spans="1:16" ht="15" customHeight="1" x14ac:dyDescent="0.3">
      <c r="A1027" t="str">
        <f t="shared" si="16"/>
        <v>13-0-HH 2RATE (WC)-SmartFIX – 3 Year Renewal</v>
      </c>
      <c r="B1027" s="67" t="s">
        <v>13</v>
      </c>
      <c r="C1027" s="67">
        <v>13</v>
      </c>
      <c r="D1027" s="99" t="s">
        <v>22</v>
      </c>
      <c r="E1027" s="67" t="s">
        <v>730</v>
      </c>
      <c r="F1027" s="67" t="s">
        <v>88</v>
      </c>
      <c r="G1027" s="67" t="s">
        <v>728</v>
      </c>
      <c r="H1027" s="127">
        <v>0.43309999999999998</v>
      </c>
      <c r="I1027" s="109">
        <v>0.18960000000000002</v>
      </c>
      <c r="J1027" s="109">
        <v>0.13290000000000002</v>
      </c>
      <c r="K1027" s="109" t="s">
        <v>717</v>
      </c>
      <c r="L1027" s="67">
        <v>5000</v>
      </c>
      <c r="M1027" s="67">
        <v>500000</v>
      </c>
      <c r="N1027" s="105">
        <v>44197</v>
      </c>
      <c r="O1027" s="105">
        <v>44377</v>
      </c>
      <c r="P1027" t="s">
        <v>718</v>
      </c>
    </row>
    <row r="1028" spans="1:16" ht="15" customHeight="1" x14ac:dyDescent="0.3">
      <c r="A1028" t="str">
        <f t="shared" si="16"/>
        <v>14-0-HH 2RATE (WC)-SmartFIX – 3 Year Renewal</v>
      </c>
      <c r="B1028" s="67" t="s">
        <v>13</v>
      </c>
      <c r="C1028" s="67">
        <v>14</v>
      </c>
      <c r="D1028" s="99" t="s">
        <v>23</v>
      </c>
      <c r="E1028" s="67" t="s">
        <v>730</v>
      </c>
      <c r="F1028" s="67" t="s">
        <v>88</v>
      </c>
      <c r="G1028" s="67" t="s">
        <v>728</v>
      </c>
      <c r="H1028" s="127">
        <v>0.49819999999999998</v>
      </c>
      <c r="I1028" s="109">
        <v>0.17130000000000001</v>
      </c>
      <c r="J1028" s="109">
        <v>0.128</v>
      </c>
      <c r="K1028" s="109" t="s">
        <v>717</v>
      </c>
      <c r="L1028" s="67">
        <v>5000</v>
      </c>
      <c r="M1028" s="67">
        <v>500000</v>
      </c>
      <c r="N1028" s="105">
        <v>44197</v>
      </c>
      <c r="O1028" s="105">
        <v>44377</v>
      </c>
      <c r="P1028" t="s">
        <v>718</v>
      </c>
    </row>
    <row r="1029" spans="1:16" ht="15" customHeight="1" x14ac:dyDescent="0.3">
      <c r="A1029" t="str">
        <f t="shared" si="16"/>
        <v>15-0-HH 2RATE (WC)-SmartFIX – 3 Year Renewal</v>
      </c>
      <c r="B1029" s="67" t="s">
        <v>13</v>
      </c>
      <c r="C1029" s="67">
        <v>15</v>
      </c>
      <c r="D1029" s="99" t="s">
        <v>24</v>
      </c>
      <c r="E1029" s="67" t="s">
        <v>730</v>
      </c>
      <c r="F1029" s="67" t="s">
        <v>88</v>
      </c>
      <c r="G1029" s="67" t="s">
        <v>728</v>
      </c>
      <c r="H1029" s="127">
        <v>0.47199999999999998</v>
      </c>
      <c r="I1029" s="109">
        <v>0.17200000000000001</v>
      </c>
      <c r="J1029" s="109">
        <v>0.12639999999999998</v>
      </c>
      <c r="K1029" s="109" t="s">
        <v>717</v>
      </c>
      <c r="L1029" s="67">
        <v>5000</v>
      </c>
      <c r="M1029" s="67">
        <v>500000</v>
      </c>
      <c r="N1029" s="105">
        <v>44197</v>
      </c>
      <c r="O1029" s="105">
        <v>44377</v>
      </c>
      <c r="P1029" t="s">
        <v>718</v>
      </c>
    </row>
    <row r="1030" spans="1:16" ht="15" customHeight="1" x14ac:dyDescent="0.3">
      <c r="A1030" t="str">
        <f t="shared" si="16"/>
        <v>16-0-HH 2RATE (WC)-SmartFIX – 3 Year Renewal</v>
      </c>
      <c r="B1030" s="67" t="s">
        <v>13</v>
      </c>
      <c r="C1030" s="67">
        <v>16</v>
      </c>
      <c r="D1030" s="99" t="s">
        <v>25</v>
      </c>
      <c r="E1030" s="67" t="s">
        <v>730</v>
      </c>
      <c r="F1030" s="67" t="s">
        <v>88</v>
      </c>
      <c r="G1030" s="67" t="s">
        <v>728</v>
      </c>
      <c r="H1030" s="127">
        <v>0.42070000000000002</v>
      </c>
      <c r="I1030" s="109">
        <v>0.1744</v>
      </c>
      <c r="J1030" s="109">
        <v>0.12440000000000001</v>
      </c>
      <c r="K1030" s="109" t="s">
        <v>717</v>
      </c>
      <c r="L1030" s="67">
        <v>5000</v>
      </c>
      <c r="M1030" s="67">
        <v>500000</v>
      </c>
      <c r="N1030" s="105">
        <v>44197</v>
      </c>
      <c r="O1030" s="105">
        <v>44377</v>
      </c>
      <c r="P1030" t="s">
        <v>718</v>
      </c>
    </row>
    <row r="1031" spans="1:16" ht="15" customHeight="1" x14ac:dyDescent="0.3">
      <c r="A1031" t="str">
        <f t="shared" si="16"/>
        <v>17-0-HH 2RATE (WC)-SmartFIX – 3 Year Renewal</v>
      </c>
      <c r="B1031" s="67" t="s">
        <v>13</v>
      </c>
      <c r="C1031" s="67">
        <v>17</v>
      </c>
      <c r="D1031" s="99" t="s">
        <v>26</v>
      </c>
      <c r="E1031" s="67" t="s">
        <v>730</v>
      </c>
      <c r="F1031" s="67" t="s">
        <v>88</v>
      </c>
      <c r="G1031" s="67" t="s">
        <v>728</v>
      </c>
      <c r="H1031" s="127">
        <v>0.51500000000000001</v>
      </c>
      <c r="I1031" s="109">
        <v>0.17930000000000001</v>
      </c>
      <c r="J1031" s="109">
        <v>0.13400000000000001</v>
      </c>
      <c r="K1031" s="109" t="s">
        <v>717</v>
      </c>
      <c r="L1031" s="67">
        <v>5000</v>
      </c>
      <c r="M1031" s="67">
        <v>500000</v>
      </c>
      <c r="N1031" s="105">
        <v>44197</v>
      </c>
      <c r="O1031" s="105">
        <v>44377</v>
      </c>
      <c r="P1031" t="s">
        <v>718</v>
      </c>
    </row>
    <row r="1032" spans="1:16" ht="15" customHeight="1" x14ac:dyDescent="0.3">
      <c r="A1032" t="str">
        <f t="shared" si="16"/>
        <v>18-0-HH 2RATE (WC)-SmartFIX – 3 Year Renewal</v>
      </c>
      <c r="B1032" s="67" t="s">
        <v>13</v>
      </c>
      <c r="C1032" s="67">
        <v>18</v>
      </c>
      <c r="D1032" s="99" t="s">
        <v>27</v>
      </c>
      <c r="E1032" s="67" t="s">
        <v>730</v>
      </c>
      <c r="F1032" s="67" t="s">
        <v>88</v>
      </c>
      <c r="G1032" s="67" t="s">
        <v>728</v>
      </c>
      <c r="H1032" s="127">
        <v>0.45150000000000001</v>
      </c>
      <c r="I1032" s="109">
        <v>0.17460000000000001</v>
      </c>
      <c r="J1032" s="109">
        <v>0.12709999999999999</v>
      </c>
      <c r="K1032" s="109" t="s">
        <v>717</v>
      </c>
      <c r="L1032" s="67">
        <v>5000</v>
      </c>
      <c r="M1032" s="67">
        <v>500000</v>
      </c>
      <c r="N1032" s="105">
        <v>44197</v>
      </c>
      <c r="O1032" s="105">
        <v>44377</v>
      </c>
      <c r="P1032" t="s">
        <v>718</v>
      </c>
    </row>
    <row r="1033" spans="1:16" ht="15" customHeight="1" x14ac:dyDescent="0.3">
      <c r="A1033" t="str">
        <f t="shared" si="16"/>
        <v>19-0-HH 2RATE (WC)-SmartFIX – 3 Year Renewal</v>
      </c>
      <c r="B1033" s="67" t="s">
        <v>13</v>
      </c>
      <c r="C1033" s="67">
        <v>19</v>
      </c>
      <c r="D1033" s="99" t="s">
        <v>28</v>
      </c>
      <c r="E1033" s="67" t="s">
        <v>730</v>
      </c>
      <c r="F1033" s="67" t="s">
        <v>88</v>
      </c>
      <c r="G1033" s="67" t="s">
        <v>728</v>
      </c>
      <c r="H1033" s="127">
        <v>0.45319999999999999</v>
      </c>
      <c r="I1033" s="109">
        <v>0.16600000000000001</v>
      </c>
      <c r="J1033" s="109">
        <v>0.11410000000000001</v>
      </c>
      <c r="K1033" s="109" t="s">
        <v>717</v>
      </c>
      <c r="L1033" s="67">
        <v>5000</v>
      </c>
      <c r="M1033" s="67">
        <v>500000</v>
      </c>
      <c r="N1033" s="105">
        <v>44197</v>
      </c>
      <c r="O1033" s="105">
        <v>44377</v>
      </c>
      <c r="P1033" t="s">
        <v>718</v>
      </c>
    </row>
    <row r="1034" spans="1:16" ht="15" customHeight="1" x14ac:dyDescent="0.3">
      <c r="A1034" t="str">
        <f t="shared" si="16"/>
        <v>20-0-HH 2RATE (WC)-SmartFIX – 3 Year Renewal</v>
      </c>
      <c r="B1034" s="67" t="s">
        <v>13</v>
      </c>
      <c r="C1034" s="67">
        <v>20</v>
      </c>
      <c r="D1034" s="99" t="s">
        <v>29</v>
      </c>
      <c r="E1034" s="67" t="s">
        <v>730</v>
      </c>
      <c r="F1034" s="67" t="s">
        <v>88</v>
      </c>
      <c r="G1034" s="67" t="s">
        <v>728</v>
      </c>
      <c r="H1034" s="127">
        <v>0.44569999999999999</v>
      </c>
      <c r="I1034" s="109">
        <v>0.1666</v>
      </c>
      <c r="J1034" s="109">
        <v>0.11660000000000001</v>
      </c>
      <c r="K1034" s="109" t="s">
        <v>717</v>
      </c>
      <c r="L1034" s="67">
        <v>5000</v>
      </c>
      <c r="M1034" s="67">
        <v>500000</v>
      </c>
      <c r="N1034" s="105">
        <v>44197</v>
      </c>
      <c r="O1034" s="105">
        <v>44377</v>
      </c>
      <c r="P1034" t="s">
        <v>718</v>
      </c>
    </row>
    <row r="1035" spans="1:16" ht="15" customHeight="1" x14ac:dyDescent="0.3">
      <c r="A1035" t="str">
        <f t="shared" si="16"/>
        <v>21-0-HH 2RATE (WC)-SmartFIX – 3 Year Renewal</v>
      </c>
      <c r="B1035" s="67" t="s">
        <v>13</v>
      </c>
      <c r="C1035" s="67">
        <v>21</v>
      </c>
      <c r="D1035" s="99" t="s">
        <v>30</v>
      </c>
      <c r="E1035" s="67" t="s">
        <v>730</v>
      </c>
      <c r="F1035" s="67" t="s">
        <v>88</v>
      </c>
      <c r="G1035" s="67" t="s">
        <v>728</v>
      </c>
      <c r="H1035" s="127">
        <v>0.56569999999999998</v>
      </c>
      <c r="I1035" s="109">
        <v>0.1721</v>
      </c>
      <c r="J1035" s="109">
        <v>0.13109999999999999</v>
      </c>
      <c r="K1035" s="109" t="s">
        <v>717</v>
      </c>
      <c r="L1035" s="67">
        <v>5000</v>
      </c>
      <c r="M1035" s="67">
        <v>500000</v>
      </c>
      <c r="N1035" s="105">
        <v>44197</v>
      </c>
      <c r="O1035" s="105">
        <v>44377</v>
      </c>
      <c r="P1035" t="s">
        <v>718</v>
      </c>
    </row>
    <row r="1036" spans="1:16" ht="15" customHeight="1" x14ac:dyDescent="0.3">
      <c r="A1036" t="str">
        <f t="shared" ref="A1036:A1099" si="17">IF(E1036="OP","",CONCATENATE(C1036,"-",RIGHT(F1036,1),"-",IF(OR(E1036="1 Rate MD",E1036="DAY"),"U",IF(OR(E1036="2 Rate MD",E1036="E7"),"E7",IF(OR(E1036="3 Rate MD (EW)",E1036="EW"),"EW",IF(OR(E1036="3 Rate MD",E1036="EWN"),"3RATE",IF(E1036="HH 2RATE (CT)","HH 2RATE (CT)",IF(E1036="HH 2RATE (WC)","HH 2RATE (WC)",IF(E1036="HH 1RATE (CT)","HH 1RATE (CT)",IF(E1036="HH 1RATE (WC)","HH 1RATE (WC)")))))))),"-",G1036))</f>
        <v>22-0-HH 2RATE (WC)-SmartFIX – 3 Year Renewal</v>
      </c>
      <c r="B1036" s="67" t="s">
        <v>13</v>
      </c>
      <c r="C1036" s="67">
        <v>22</v>
      </c>
      <c r="D1036" s="99" t="s">
        <v>31</v>
      </c>
      <c r="E1036" s="67" t="s">
        <v>730</v>
      </c>
      <c r="F1036" s="67" t="s">
        <v>88</v>
      </c>
      <c r="G1036" s="67" t="s">
        <v>728</v>
      </c>
      <c r="H1036" s="127">
        <v>0.50790000000000002</v>
      </c>
      <c r="I1036" s="109">
        <v>0.17760000000000001</v>
      </c>
      <c r="J1036" s="109">
        <v>0.13600000000000001</v>
      </c>
      <c r="K1036" s="109" t="s">
        <v>717</v>
      </c>
      <c r="L1036" s="67">
        <v>5000</v>
      </c>
      <c r="M1036" s="67">
        <v>500000</v>
      </c>
      <c r="N1036" s="105">
        <v>44197</v>
      </c>
      <c r="O1036" s="105">
        <v>44377</v>
      </c>
      <c r="P1036" t="s">
        <v>718</v>
      </c>
    </row>
    <row r="1037" spans="1:16" ht="15" customHeight="1" x14ac:dyDescent="0.3">
      <c r="A1037" t="str">
        <f t="shared" si="17"/>
        <v>23-0-HH 2RATE (WC)-SmartFIX – 3 Year Renewal</v>
      </c>
      <c r="B1037" s="67" t="s">
        <v>13</v>
      </c>
      <c r="C1037" s="67">
        <v>23</v>
      </c>
      <c r="D1037" s="99" t="s">
        <v>32</v>
      </c>
      <c r="E1037" s="67" t="s">
        <v>730</v>
      </c>
      <c r="F1037" s="67" t="s">
        <v>88</v>
      </c>
      <c r="G1037" s="67" t="s">
        <v>728</v>
      </c>
      <c r="H1037" s="127">
        <v>0.46410000000000001</v>
      </c>
      <c r="I1037" s="109">
        <v>0.1638</v>
      </c>
      <c r="J1037" s="109">
        <v>0.11940000000000001</v>
      </c>
      <c r="K1037" s="109" t="s">
        <v>717</v>
      </c>
      <c r="L1037" s="67">
        <v>5000</v>
      </c>
      <c r="M1037" s="67">
        <v>500000</v>
      </c>
      <c r="N1037" s="105">
        <v>44197</v>
      </c>
      <c r="O1037" s="105">
        <v>44377</v>
      </c>
      <c r="P1037" t="s">
        <v>718</v>
      </c>
    </row>
    <row r="1038" spans="1:16" ht="15" customHeight="1" x14ac:dyDescent="0.3">
      <c r="A1038" t="str">
        <f t="shared" si="17"/>
        <v>10-0-HH 2RATE (CT)-SmartFIX – 3 Year</v>
      </c>
      <c r="B1038" s="67" t="s">
        <v>13</v>
      </c>
      <c r="C1038" s="67">
        <v>10</v>
      </c>
      <c r="D1038" s="99" t="s">
        <v>14</v>
      </c>
      <c r="E1038" s="67" t="s">
        <v>729</v>
      </c>
      <c r="F1038" s="67" t="s">
        <v>88</v>
      </c>
      <c r="G1038" s="67" t="s">
        <v>691</v>
      </c>
      <c r="H1038" s="127">
        <v>0.5917</v>
      </c>
      <c r="I1038" s="109">
        <v>0.1618</v>
      </c>
      <c r="J1038" s="109">
        <v>0.1105</v>
      </c>
      <c r="K1038" s="109" t="s">
        <v>717</v>
      </c>
      <c r="L1038" s="67">
        <v>5000</v>
      </c>
      <c r="M1038" s="67">
        <v>500000</v>
      </c>
      <c r="N1038" s="105">
        <v>44197</v>
      </c>
      <c r="O1038" s="105">
        <v>44377</v>
      </c>
      <c r="P1038" t="s">
        <v>718</v>
      </c>
    </row>
    <row r="1039" spans="1:16" ht="15" customHeight="1" x14ac:dyDescent="0.3">
      <c r="A1039" t="str">
        <f t="shared" si="17"/>
        <v>11-0-HH 2RATE (CT)-SmartFIX – 3 Year</v>
      </c>
      <c r="B1039" s="67" t="s">
        <v>13</v>
      </c>
      <c r="C1039" s="67">
        <v>11</v>
      </c>
      <c r="D1039" s="99" t="s">
        <v>20</v>
      </c>
      <c r="E1039" s="67" t="s">
        <v>729</v>
      </c>
      <c r="F1039" s="67" t="s">
        <v>88</v>
      </c>
      <c r="G1039" s="67" t="s">
        <v>691</v>
      </c>
      <c r="H1039" s="127">
        <v>0.52580000000000005</v>
      </c>
      <c r="I1039" s="109">
        <v>0.16139999999999999</v>
      </c>
      <c r="J1039" s="109">
        <v>0.1182</v>
      </c>
      <c r="K1039" s="109" t="s">
        <v>717</v>
      </c>
      <c r="L1039" s="67">
        <v>5000</v>
      </c>
      <c r="M1039" s="67">
        <v>500000</v>
      </c>
      <c r="N1039" s="105">
        <v>44197</v>
      </c>
      <c r="O1039" s="105">
        <v>44377</v>
      </c>
      <c r="P1039" t="s">
        <v>718</v>
      </c>
    </row>
    <row r="1040" spans="1:16" ht="15" customHeight="1" x14ac:dyDescent="0.3">
      <c r="A1040" t="str">
        <f t="shared" si="17"/>
        <v>12-0-HH 2RATE (CT)-SmartFIX – 3 Year</v>
      </c>
      <c r="B1040" s="67" t="s">
        <v>13</v>
      </c>
      <c r="C1040" s="67">
        <v>12</v>
      </c>
      <c r="D1040" s="99" t="s">
        <v>21</v>
      </c>
      <c r="E1040" s="67" t="s">
        <v>729</v>
      </c>
      <c r="F1040" s="67" t="s">
        <v>88</v>
      </c>
      <c r="G1040" s="67" t="s">
        <v>691</v>
      </c>
      <c r="H1040" s="127">
        <v>0.48549999999999999</v>
      </c>
      <c r="I1040" s="109">
        <v>0.16</v>
      </c>
      <c r="J1040" s="109">
        <v>0.106</v>
      </c>
      <c r="K1040" s="109" t="s">
        <v>717</v>
      </c>
      <c r="L1040" s="67">
        <v>5000</v>
      </c>
      <c r="M1040" s="67">
        <v>500000</v>
      </c>
      <c r="N1040" s="105">
        <v>44197</v>
      </c>
      <c r="O1040" s="105">
        <v>44377</v>
      </c>
      <c r="P1040" t="s">
        <v>718</v>
      </c>
    </row>
    <row r="1041" spans="1:16" ht="15" customHeight="1" x14ac:dyDescent="0.3">
      <c r="A1041" t="str">
        <f t="shared" si="17"/>
        <v>13-0-HH 2RATE (CT)-SmartFIX – 3 Year</v>
      </c>
      <c r="B1041" s="67" t="s">
        <v>13</v>
      </c>
      <c r="C1041" s="67">
        <v>13</v>
      </c>
      <c r="D1041" s="99" t="s">
        <v>22</v>
      </c>
      <c r="E1041" s="67" t="s">
        <v>729</v>
      </c>
      <c r="F1041" s="67" t="s">
        <v>88</v>
      </c>
      <c r="G1041" s="67" t="s">
        <v>691</v>
      </c>
      <c r="H1041" s="127">
        <v>0.68140000000000001</v>
      </c>
      <c r="I1041" s="109">
        <v>0.1817</v>
      </c>
      <c r="J1041" s="109">
        <v>0.1295</v>
      </c>
      <c r="K1041" s="109" t="s">
        <v>717</v>
      </c>
      <c r="L1041" s="67">
        <v>5000</v>
      </c>
      <c r="M1041" s="67">
        <v>500000</v>
      </c>
      <c r="N1041" s="105">
        <v>44197</v>
      </c>
      <c r="O1041" s="105">
        <v>44377</v>
      </c>
      <c r="P1041" t="s">
        <v>718</v>
      </c>
    </row>
    <row r="1042" spans="1:16" ht="15" customHeight="1" x14ac:dyDescent="0.3">
      <c r="A1042" t="str">
        <f t="shared" si="17"/>
        <v>14-0-HH 2RATE (CT)-SmartFIX – 3 Year</v>
      </c>
      <c r="B1042" s="67" t="s">
        <v>13</v>
      </c>
      <c r="C1042" s="67">
        <v>14</v>
      </c>
      <c r="D1042" s="99" t="s">
        <v>23</v>
      </c>
      <c r="E1042" s="67" t="s">
        <v>729</v>
      </c>
      <c r="F1042" s="67" t="s">
        <v>88</v>
      </c>
      <c r="G1042" s="67" t="s">
        <v>691</v>
      </c>
      <c r="H1042" s="127">
        <v>0.54020000000000001</v>
      </c>
      <c r="I1042" s="109">
        <v>0.1653</v>
      </c>
      <c r="J1042" s="109">
        <v>0.1232</v>
      </c>
      <c r="K1042" s="109" t="s">
        <v>717</v>
      </c>
      <c r="L1042" s="67">
        <v>5000</v>
      </c>
      <c r="M1042" s="67">
        <v>500000</v>
      </c>
      <c r="N1042" s="105">
        <v>44197</v>
      </c>
      <c r="O1042" s="105">
        <v>44377</v>
      </c>
      <c r="P1042" t="s">
        <v>718</v>
      </c>
    </row>
    <row r="1043" spans="1:16" ht="15" customHeight="1" x14ac:dyDescent="0.3">
      <c r="A1043" t="str">
        <f t="shared" si="17"/>
        <v>15-0-HH 2RATE (CT)-SmartFIX – 3 Year</v>
      </c>
      <c r="B1043" s="67" t="s">
        <v>13</v>
      </c>
      <c r="C1043" s="67">
        <v>15</v>
      </c>
      <c r="D1043" s="99" t="s">
        <v>24</v>
      </c>
      <c r="E1043" s="67" t="s">
        <v>729</v>
      </c>
      <c r="F1043" s="67" t="s">
        <v>88</v>
      </c>
      <c r="G1043" s="67" t="s">
        <v>691</v>
      </c>
      <c r="H1043" s="127">
        <v>0.65339999999999998</v>
      </c>
      <c r="I1043" s="109">
        <v>0.16450000000000001</v>
      </c>
      <c r="J1043" s="109">
        <v>0.12280000000000001</v>
      </c>
      <c r="K1043" s="109" t="s">
        <v>717</v>
      </c>
      <c r="L1043" s="67">
        <v>5000</v>
      </c>
      <c r="M1043" s="67">
        <v>500000</v>
      </c>
      <c r="N1043" s="105">
        <v>44197</v>
      </c>
      <c r="O1043" s="105">
        <v>44377</v>
      </c>
      <c r="P1043" t="s">
        <v>718</v>
      </c>
    </row>
    <row r="1044" spans="1:16" ht="15" customHeight="1" x14ac:dyDescent="0.3">
      <c r="A1044" t="str">
        <f t="shared" si="17"/>
        <v>16-0-HH 2RATE (CT)-SmartFIX – 3 Year</v>
      </c>
      <c r="B1044" s="67" t="s">
        <v>13</v>
      </c>
      <c r="C1044" s="67">
        <v>16</v>
      </c>
      <c r="D1044" s="99" t="s">
        <v>25</v>
      </c>
      <c r="E1044" s="67" t="s">
        <v>729</v>
      </c>
      <c r="F1044" s="67" t="s">
        <v>88</v>
      </c>
      <c r="G1044" s="67" t="s">
        <v>691</v>
      </c>
      <c r="H1044" s="127">
        <v>0.60860000000000003</v>
      </c>
      <c r="I1044" s="109">
        <v>0.16689999999999999</v>
      </c>
      <c r="J1044" s="109">
        <v>0.12039999999999999</v>
      </c>
      <c r="K1044" s="109" t="s">
        <v>717</v>
      </c>
      <c r="L1044" s="67">
        <v>5000</v>
      </c>
      <c r="M1044" s="67">
        <v>500000</v>
      </c>
      <c r="N1044" s="105">
        <v>44197</v>
      </c>
      <c r="O1044" s="105">
        <v>44377</v>
      </c>
      <c r="P1044" t="s">
        <v>718</v>
      </c>
    </row>
    <row r="1045" spans="1:16" ht="15" customHeight="1" x14ac:dyDescent="0.3">
      <c r="A1045" t="str">
        <f t="shared" si="17"/>
        <v>17-0-HH 2RATE (CT)-SmartFIX – 3 Year</v>
      </c>
      <c r="B1045" s="67" t="s">
        <v>13</v>
      </c>
      <c r="C1045" s="67">
        <v>17</v>
      </c>
      <c r="D1045" s="99" t="s">
        <v>26</v>
      </c>
      <c r="E1045" s="67" t="s">
        <v>729</v>
      </c>
      <c r="F1045" s="67" t="s">
        <v>88</v>
      </c>
      <c r="G1045" s="67" t="s">
        <v>691</v>
      </c>
      <c r="H1045" s="127">
        <v>0.82389999999999997</v>
      </c>
      <c r="I1045" s="109">
        <v>0.1845</v>
      </c>
      <c r="J1045" s="109">
        <v>0.1411</v>
      </c>
      <c r="K1045" s="109" t="s">
        <v>717</v>
      </c>
      <c r="L1045" s="67">
        <v>5000</v>
      </c>
      <c r="M1045" s="67">
        <v>500000</v>
      </c>
      <c r="N1045" s="105">
        <v>44197</v>
      </c>
      <c r="O1045" s="105">
        <v>44377</v>
      </c>
      <c r="P1045" t="s">
        <v>718</v>
      </c>
    </row>
    <row r="1046" spans="1:16" ht="15" customHeight="1" x14ac:dyDescent="0.3">
      <c r="A1046" t="str">
        <f t="shared" si="17"/>
        <v>18-0-HH 2RATE (CT)-SmartFIX – 3 Year</v>
      </c>
      <c r="B1046" s="67" t="s">
        <v>13</v>
      </c>
      <c r="C1046" s="67">
        <v>18</v>
      </c>
      <c r="D1046" s="99" t="s">
        <v>27</v>
      </c>
      <c r="E1046" s="67" t="s">
        <v>729</v>
      </c>
      <c r="F1046" s="67" t="s">
        <v>88</v>
      </c>
      <c r="G1046" s="67" t="s">
        <v>691</v>
      </c>
      <c r="H1046" s="127">
        <v>0.75529999999999997</v>
      </c>
      <c r="I1046" s="109">
        <v>0.16819999999999999</v>
      </c>
      <c r="J1046" s="109">
        <v>0.1244</v>
      </c>
      <c r="K1046" s="109" t="s">
        <v>717</v>
      </c>
      <c r="L1046" s="67">
        <v>5000</v>
      </c>
      <c r="M1046" s="67">
        <v>500000</v>
      </c>
      <c r="N1046" s="105">
        <v>44197</v>
      </c>
      <c r="O1046" s="105">
        <v>44377</v>
      </c>
      <c r="P1046" t="s">
        <v>718</v>
      </c>
    </row>
    <row r="1047" spans="1:16" ht="15" customHeight="1" x14ac:dyDescent="0.3">
      <c r="A1047" t="str">
        <f t="shared" si="17"/>
        <v>19-0-HH 2RATE (CT)-SmartFIX – 3 Year</v>
      </c>
      <c r="B1047" s="67" t="s">
        <v>13</v>
      </c>
      <c r="C1047" s="67">
        <v>19</v>
      </c>
      <c r="D1047" s="99" t="s">
        <v>28</v>
      </c>
      <c r="E1047" s="67" t="s">
        <v>729</v>
      </c>
      <c r="F1047" s="67" t="s">
        <v>88</v>
      </c>
      <c r="G1047" s="67" t="s">
        <v>691</v>
      </c>
      <c r="H1047" s="127">
        <v>0.59350000000000003</v>
      </c>
      <c r="I1047" s="109">
        <v>0.16389999999999999</v>
      </c>
      <c r="J1047" s="109">
        <v>0.1157</v>
      </c>
      <c r="K1047" s="109" t="s">
        <v>717</v>
      </c>
      <c r="L1047" s="67">
        <v>5000</v>
      </c>
      <c r="M1047" s="67">
        <v>500000</v>
      </c>
      <c r="N1047" s="105">
        <v>44197</v>
      </c>
      <c r="O1047" s="105">
        <v>44377</v>
      </c>
      <c r="P1047" t="s">
        <v>718</v>
      </c>
    </row>
    <row r="1048" spans="1:16" ht="15" customHeight="1" x14ac:dyDescent="0.3">
      <c r="A1048" t="str">
        <f t="shared" si="17"/>
        <v>20-0-HH 2RATE (CT)-SmartFIX – 3 Year</v>
      </c>
      <c r="B1048" s="67" t="s">
        <v>13</v>
      </c>
      <c r="C1048" s="67">
        <v>20</v>
      </c>
      <c r="D1048" s="99" t="s">
        <v>29</v>
      </c>
      <c r="E1048" s="67" t="s">
        <v>729</v>
      </c>
      <c r="F1048" s="67" t="s">
        <v>88</v>
      </c>
      <c r="G1048" s="67" t="s">
        <v>691</v>
      </c>
      <c r="H1048" s="127">
        <v>0.627</v>
      </c>
      <c r="I1048" s="109">
        <v>0.16339999999999999</v>
      </c>
      <c r="J1048" s="109">
        <v>0.1188</v>
      </c>
      <c r="K1048" s="109" t="s">
        <v>717</v>
      </c>
      <c r="L1048" s="67">
        <v>5000</v>
      </c>
      <c r="M1048" s="67">
        <v>500000</v>
      </c>
      <c r="N1048" s="105">
        <v>44197</v>
      </c>
      <c r="O1048" s="105">
        <v>44377</v>
      </c>
      <c r="P1048" t="s">
        <v>718</v>
      </c>
    </row>
    <row r="1049" spans="1:16" ht="15" customHeight="1" x14ac:dyDescent="0.3">
      <c r="A1049" t="str">
        <f t="shared" si="17"/>
        <v>21-0-HH 2RATE (CT)-SmartFIX – 3 Year</v>
      </c>
      <c r="B1049" s="67" t="s">
        <v>13</v>
      </c>
      <c r="C1049" s="67">
        <v>21</v>
      </c>
      <c r="D1049" s="99" t="s">
        <v>30</v>
      </c>
      <c r="E1049" s="67" t="s">
        <v>729</v>
      </c>
      <c r="F1049" s="67" t="s">
        <v>88</v>
      </c>
      <c r="G1049" s="67" t="s">
        <v>691</v>
      </c>
      <c r="H1049" s="127">
        <v>0.64390000000000003</v>
      </c>
      <c r="I1049" s="109">
        <v>0.1668</v>
      </c>
      <c r="J1049" s="109">
        <v>0.126</v>
      </c>
      <c r="K1049" s="109" t="s">
        <v>717</v>
      </c>
      <c r="L1049" s="67">
        <v>5000</v>
      </c>
      <c r="M1049" s="67">
        <v>500000</v>
      </c>
      <c r="N1049" s="105">
        <v>44197</v>
      </c>
      <c r="O1049" s="105">
        <v>44377</v>
      </c>
      <c r="P1049" t="s">
        <v>718</v>
      </c>
    </row>
    <row r="1050" spans="1:16" ht="15" customHeight="1" x14ac:dyDescent="0.3">
      <c r="A1050" t="str">
        <f t="shared" si="17"/>
        <v>22-0-HH 2RATE (CT)-SmartFIX – 3 Year</v>
      </c>
      <c r="B1050" s="67" t="s">
        <v>13</v>
      </c>
      <c r="C1050" s="67">
        <v>22</v>
      </c>
      <c r="D1050" s="99" t="s">
        <v>31</v>
      </c>
      <c r="E1050" s="67" t="s">
        <v>729</v>
      </c>
      <c r="F1050" s="67" t="s">
        <v>88</v>
      </c>
      <c r="G1050" s="67" t="s">
        <v>691</v>
      </c>
      <c r="H1050" s="127">
        <v>0.56479999999999997</v>
      </c>
      <c r="I1050" s="109">
        <v>0.1696</v>
      </c>
      <c r="J1050" s="109">
        <v>0.13600000000000001</v>
      </c>
      <c r="K1050" s="109" t="s">
        <v>717</v>
      </c>
      <c r="L1050" s="67">
        <v>5000</v>
      </c>
      <c r="M1050" s="67">
        <v>500000</v>
      </c>
      <c r="N1050" s="105">
        <v>44197</v>
      </c>
      <c r="O1050" s="105">
        <v>44377</v>
      </c>
      <c r="P1050" t="s">
        <v>718</v>
      </c>
    </row>
    <row r="1051" spans="1:16" ht="15" customHeight="1" x14ac:dyDescent="0.3">
      <c r="A1051" t="str">
        <f t="shared" si="17"/>
        <v>23-0-HH 2RATE (CT)-SmartFIX – 3 Year</v>
      </c>
      <c r="B1051" s="67" t="s">
        <v>13</v>
      </c>
      <c r="C1051" s="67">
        <v>23</v>
      </c>
      <c r="D1051" s="99" t="s">
        <v>32</v>
      </c>
      <c r="E1051" s="67" t="s">
        <v>729</v>
      </c>
      <c r="F1051" s="67" t="s">
        <v>88</v>
      </c>
      <c r="G1051" s="67" t="s">
        <v>691</v>
      </c>
      <c r="H1051" s="127">
        <v>0.67410000000000003</v>
      </c>
      <c r="I1051" s="109">
        <v>0.16239999999999999</v>
      </c>
      <c r="J1051" s="109">
        <v>0.1197</v>
      </c>
      <c r="K1051" s="109" t="s">
        <v>717</v>
      </c>
      <c r="L1051" s="67">
        <v>5000</v>
      </c>
      <c r="M1051" s="67">
        <v>500000</v>
      </c>
      <c r="N1051" s="105">
        <v>44197</v>
      </c>
      <c r="O1051" s="105">
        <v>44377</v>
      </c>
      <c r="P1051" t="s">
        <v>718</v>
      </c>
    </row>
    <row r="1052" spans="1:16" ht="15" customHeight="1" x14ac:dyDescent="0.3">
      <c r="A1052" t="str">
        <f t="shared" si="17"/>
        <v>10-0-HH 2RATE (CT)-SmartFIX – 3 Year Renewal</v>
      </c>
      <c r="B1052" s="67" t="s">
        <v>13</v>
      </c>
      <c r="C1052" s="67">
        <v>10</v>
      </c>
      <c r="D1052" s="99" t="s">
        <v>14</v>
      </c>
      <c r="E1052" s="67" t="s">
        <v>729</v>
      </c>
      <c r="F1052" s="67" t="s">
        <v>88</v>
      </c>
      <c r="G1052" s="67" t="s">
        <v>728</v>
      </c>
      <c r="H1052" s="127">
        <v>0.65090000000000003</v>
      </c>
      <c r="I1052" s="109">
        <v>0.1658</v>
      </c>
      <c r="J1052" s="109">
        <v>0.1145</v>
      </c>
      <c r="K1052" s="109" t="s">
        <v>717</v>
      </c>
      <c r="L1052" s="67">
        <v>5000</v>
      </c>
      <c r="M1052" s="67">
        <v>500000</v>
      </c>
      <c r="N1052" s="105">
        <v>44197</v>
      </c>
      <c r="O1052" s="105">
        <v>44377</v>
      </c>
      <c r="P1052" t="s">
        <v>718</v>
      </c>
    </row>
    <row r="1053" spans="1:16" ht="15" customHeight="1" x14ac:dyDescent="0.3">
      <c r="A1053" t="str">
        <f t="shared" si="17"/>
        <v>11-0-HH 2RATE (CT)-SmartFIX – 3 Year Renewal</v>
      </c>
      <c r="B1053" s="67" t="s">
        <v>13</v>
      </c>
      <c r="C1053" s="67">
        <v>11</v>
      </c>
      <c r="D1053" s="99" t="s">
        <v>20</v>
      </c>
      <c r="E1053" s="67" t="s">
        <v>729</v>
      </c>
      <c r="F1053" s="67" t="s">
        <v>88</v>
      </c>
      <c r="G1053" s="67" t="s">
        <v>728</v>
      </c>
      <c r="H1053" s="127">
        <v>0.57840000000000003</v>
      </c>
      <c r="I1053" s="109">
        <v>0.16539999999999999</v>
      </c>
      <c r="J1053" s="109">
        <v>0.1222</v>
      </c>
      <c r="K1053" s="109" t="s">
        <v>717</v>
      </c>
      <c r="L1053" s="67">
        <v>5000</v>
      </c>
      <c r="M1053" s="67">
        <v>500000</v>
      </c>
      <c r="N1053" s="105">
        <v>44197</v>
      </c>
      <c r="O1053" s="105">
        <v>44377</v>
      </c>
      <c r="P1053" t="s">
        <v>718</v>
      </c>
    </row>
    <row r="1054" spans="1:16" ht="15" customHeight="1" x14ac:dyDescent="0.3">
      <c r="A1054" t="str">
        <f t="shared" si="17"/>
        <v>12-0-HH 2RATE (CT)-SmartFIX – 3 Year Renewal</v>
      </c>
      <c r="B1054" s="67" t="s">
        <v>13</v>
      </c>
      <c r="C1054" s="67">
        <v>12</v>
      </c>
      <c r="D1054" s="99" t="s">
        <v>21</v>
      </c>
      <c r="E1054" s="67" t="s">
        <v>729</v>
      </c>
      <c r="F1054" s="67" t="s">
        <v>88</v>
      </c>
      <c r="G1054" s="67" t="s">
        <v>728</v>
      </c>
      <c r="H1054" s="127">
        <v>0.53400000000000003</v>
      </c>
      <c r="I1054" s="109">
        <v>0.16400000000000001</v>
      </c>
      <c r="J1054" s="109">
        <v>0.11</v>
      </c>
      <c r="K1054" s="109" t="s">
        <v>717</v>
      </c>
      <c r="L1054" s="67">
        <v>5000</v>
      </c>
      <c r="M1054" s="67">
        <v>500000</v>
      </c>
      <c r="N1054" s="105">
        <v>44197</v>
      </c>
      <c r="O1054" s="105">
        <v>44377</v>
      </c>
      <c r="P1054" t="s">
        <v>718</v>
      </c>
    </row>
    <row r="1055" spans="1:16" ht="15" customHeight="1" x14ac:dyDescent="0.3">
      <c r="A1055" t="str">
        <f t="shared" si="17"/>
        <v>13-0-HH 2RATE (CT)-SmartFIX – 3 Year Renewal</v>
      </c>
      <c r="B1055" s="67" t="s">
        <v>13</v>
      </c>
      <c r="C1055" s="67">
        <v>13</v>
      </c>
      <c r="D1055" s="99" t="s">
        <v>22</v>
      </c>
      <c r="E1055" s="67" t="s">
        <v>729</v>
      </c>
      <c r="F1055" s="67" t="s">
        <v>88</v>
      </c>
      <c r="G1055" s="67" t="s">
        <v>728</v>
      </c>
      <c r="H1055" s="127">
        <v>0.74950000000000006</v>
      </c>
      <c r="I1055" s="109">
        <v>0.1857</v>
      </c>
      <c r="J1055" s="109">
        <v>0.13350000000000001</v>
      </c>
      <c r="K1055" s="109" t="s">
        <v>717</v>
      </c>
      <c r="L1055" s="67">
        <v>5000</v>
      </c>
      <c r="M1055" s="67">
        <v>500000</v>
      </c>
      <c r="N1055" s="105">
        <v>44197</v>
      </c>
      <c r="O1055" s="105">
        <v>44377</v>
      </c>
      <c r="P1055" t="s">
        <v>718</v>
      </c>
    </row>
    <row r="1056" spans="1:16" ht="15" customHeight="1" x14ac:dyDescent="0.3">
      <c r="A1056" t="str">
        <f t="shared" si="17"/>
        <v>14-0-HH 2RATE (CT)-SmartFIX – 3 Year Renewal</v>
      </c>
      <c r="B1056" s="67" t="s">
        <v>13</v>
      </c>
      <c r="C1056" s="67">
        <v>14</v>
      </c>
      <c r="D1056" s="99" t="s">
        <v>23</v>
      </c>
      <c r="E1056" s="67" t="s">
        <v>729</v>
      </c>
      <c r="F1056" s="67" t="s">
        <v>88</v>
      </c>
      <c r="G1056" s="67" t="s">
        <v>728</v>
      </c>
      <c r="H1056" s="127">
        <v>0.59430000000000005</v>
      </c>
      <c r="I1056" s="109">
        <v>0.16930000000000001</v>
      </c>
      <c r="J1056" s="109">
        <v>0.12720000000000001</v>
      </c>
      <c r="K1056" s="109" t="s">
        <v>717</v>
      </c>
      <c r="L1056" s="67">
        <v>5000</v>
      </c>
      <c r="M1056" s="67">
        <v>500000</v>
      </c>
      <c r="N1056" s="105">
        <v>44197</v>
      </c>
      <c r="O1056" s="105">
        <v>44377</v>
      </c>
      <c r="P1056" t="s">
        <v>718</v>
      </c>
    </row>
    <row r="1057" spans="1:16" ht="15" customHeight="1" x14ac:dyDescent="0.3">
      <c r="A1057" t="str">
        <f t="shared" si="17"/>
        <v>15-0-HH 2RATE (CT)-SmartFIX – 3 Year Renewal</v>
      </c>
      <c r="B1057" s="67" t="s">
        <v>13</v>
      </c>
      <c r="C1057" s="67">
        <v>15</v>
      </c>
      <c r="D1057" s="99" t="s">
        <v>24</v>
      </c>
      <c r="E1057" s="67" t="s">
        <v>729</v>
      </c>
      <c r="F1057" s="67" t="s">
        <v>88</v>
      </c>
      <c r="G1057" s="67" t="s">
        <v>728</v>
      </c>
      <c r="H1057" s="127">
        <v>0.71879999999999999</v>
      </c>
      <c r="I1057" s="109">
        <v>0.16850000000000001</v>
      </c>
      <c r="J1057" s="109">
        <v>0.1268</v>
      </c>
      <c r="K1057" s="109" t="s">
        <v>717</v>
      </c>
      <c r="L1057" s="67">
        <v>5000</v>
      </c>
      <c r="M1057" s="67">
        <v>500000</v>
      </c>
      <c r="N1057" s="105">
        <v>44197</v>
      </c>
      <c r="O1057" s="105">
        <v>44377</v>
      </c>
      <c r="P1057" t="s">
        <v>718</v>
      </c>
    </row>
    <row r="1058" spans="1:16" ht="15" customHeight="1" x14ac:dyDescent="0.3">
      <c r="A1058" t="str">
        <f t="shared" si="17"/>
        <v>16-0-HH 2RATE (CT)-SmartFIX – 3 Year Renewal</v>
      </c>
      <c r="B1058" s="67" t="s">
        <v>13</v>
      </c>
      <c r="C1058" s="67">
        <v>16</v>
      </c>
      <c r="D1058" s="99" t="s">
        <v>25</v>
      </c>
      <c r="E1058" s="67" t="s">
        <v>729</v>
      </c>
      <c r="F1058" s="67" t="s">
        <v>88</v>
      </c>
      <c r="G1058" s="67" t="s">
        <v>728</v>
      </c>
      <c r="H1058" s="127">
        <v>0.66949999999999998</v>
      </c>
      <c r="I1058" s="109">
        <v>0.1709</v>
      </c>
      <c r="J1058" s="109">
        <v>0.1244</v>
      </c>
      <c r="K1058" s="109" t="s">
        <v>717</v>
      </c>
      <c r="L1058" s="67">
        <v>5000</v>
      </c>
      <c r="M1058" s="67">
        <v>500000</v>
      </c>
      <c r="N1058" s="105">
        <v>44197</v>
      </c>
      <c r="O1058" s="105">
        <v>44377</v>
      </c>
      <c r="P1058" t="s">
        <v>718</v>
      </c>
    </row>
    <row r="1059" spans="1:16" ht="15" customHeight="1" x14ac:dyDescent="0.3">
      <c r="A1059" t="str">
        <f t="shared" si="17"/>
        <v>17-0-HH 2RATE (CT)-SmartFIX – 3 Year Renewal</v>
      </c>
      <c r="B1059" s="67" t="s">
        <v>13</v>
      </c>
      <c r="C1059" s="67">
        <v>17</v>
      </c>
      <c r="D1059" s="99" t="s">
        <v>26</v>
      </c>
      <c r="E1059" s="67" t="s">
        <v>729</v>
      </c>
      <c r="F1059" s="67" t="s">
        <v>88</v>
      </c>
      <c r="G1059" s="67" t="s">
        <v>728</v>
      </c>
      <c r="H1059" s="127">
        <v>0.90629999999999999</v>
      </c>
      <c r="I1059" s="109">
        <v>0.1885</v>
      </c>
      <c r="J1059" s="109">
        <v>0.14510000000000001</v>
      </c>
      <c r="K1059" s="109" t="s">
        <v>717</v>
      </c>
      <c r="L1059" s="67">
        <v>5000</v>
      </c>
      <c r="M1059" s="67">
        <v>500000</v>
      </c>
      <c r="N1059" s="105">
        <v>44197</v>
      </c>
      <c r="O1059" s="105">
        <v>44377</v>
      </c>
      <c r="P1059" t="s">
        <v>718</v>
      </c>
    </row>
    <row r="1060" spans="1:16" ht="15" customHeight="1" x14ac:dyDescent="0.3">
      <c r="A1060" t="str">
        <f t="shared" si="17"/>
        <v>18-0-HH 2RATE (CT)-SmartFIX – 3 Year Renewal</v>
      </c>
      <c r="B1060" s="67" t="s">
        <v>13</v>
      </c>
      <c r="C1060" s="67">
        <v>18</v>
      </c>
      <c r="D1060" s="99" t="s">
        <v>27</v>
      </c>
      <c r="E1060" s="67" t="s">
        <v>729</v>
      </c>
      <c r="F1060" s="67" t="s">
        <v>88</v>
      </c>
      <c r="G1060" s="67" t="s">
        <v>728</v>
      </c>
      <c r="H1060" s="127">
        <v>0.83079999999999998</v>
      </c>
      <c r="I1060" s="109">
        <v>0.17219999999999999</v>
      </c>
      <c r="J1060" s="109">
        <v>0.12839999999999999</v>
      </c>
      <c r="K1060" s="109" t="s">
        <v>717</v>
      </c>
      <c r="L1060" s="67">
        <v>5000</v>
      </c>
      <c r="M1060" s="67">
        <v>500000</v>
      </c>
      <c r="N1060" s="105">
        <v>44197</v>
      </c>
      <c r="O1060" s="105">
        <v>44377</v>
      </c>
      <c r="P1060" t="s">
        <v>718</v>
      </c>
    </row>
    <row r="1061" spans="1:16" ht="15" customHeight="1" x14ac:dyDescent="0.3">
      <c r="A1061" t="str">
        <f t="shared" si="17"/>
        <v>19-0-HH 2RATE (CT)-SmartFIX – 3 Year Renewal</v>
      </c>
      <c r="B1061" s="67" t="s">
        <v>13</v>
      </c>
      <c r="C1061" s="67">
        <v>19</v>
      </c>
      <c r="D1061" s="99" t="s">
        <v>28</v>
      </c>
      <c r="E1061" s="67" t="s">
        <v>729</v>
      </c>
      <c r="F1061" s="67" t="s">
        <v>88</v>
      </c>
      <c r="G1061" s="67" t="s">
        <v>728</v>
      </c>
      <c r="H1061" s="127">
        <v>0.65290000000000004</v>
      </c>
      <c r="I1061" s="109">
        <v>0.16789999999999999</v>
      </c>
      <c r="J1061" s="109">
        <v>0.1197</v>
      </c>
      <c r="K1061" s="109" t="s">
        <v>717</v>
      </c>
      <c r="L1061" s="67">
        <v>5000</v>
      </c>
      <c r="M1061" s="67">
        <v>500000</v>
      </c>
      <c r="N1061" s="105">
        <v>44197</v>
      </c>
      <c r="O1061" s="105">
        <v>44377</v>
      </c>
      <c r="P1061" t="s">
        <v>718</v>
      </c>
    </row>
    <row r="1062" spans="1:16" ht="15" customHeight="1" x14ac:dyDescent="0.3">
      <c r="A1062" t="str">
        <f t="shared" si="17"/>
        <v>20-0-HH 2RATE (CT)-SmartFIX – 3 Year Renewal</v>
      </c>
      <c r="B1062" s="67" t="s">
        <v>13</v>
      </c>
      <c r="C1062" s="67">
        <v>20</v>
      </c>
      <c r="D1062" s="99" t="s">
        <v>29</v>
      </c>
      <c r="E1062" s="67" t="s">
        <v>729</v>
      </c>
      <c r="F1062" s="67" t="s">
        <v>88</v>
      </c>
      <c r="G1062" s="67" t="s">
        <v>728</v>
      </c>
      <c r="H1062" s="127">
        <v>0.68969999999999998</v>
      </c>
      <c r="I1062" s="109">
        <v>0.16739999999999999</v>
      </c>
      <c r="J1062" s="109">
        <v>0.12280000000000001</v>
      </c>
      <c r="K1062" s="109" t="s">
        <v>717</v>
      </c>
      <c r="L1062" s="67">
        <v>5000</v>
      </c>
      <c r="M1062" s="67">
        <v>500000</v>
      </c>
      <c r="N1062" s="105">
        <v>44197</v>
      </c>
      <c r="O1062" s="105">
        <v>44377</v>
      </c>
      <c r="P1062" t="s">
        <v>718</v>
      </c>
    </row>
    <row r="1063" spans="1:16" ht="15" customHeight="1" x14ac:dyDescent="0.3">
      <c r="A1063" t="str">
        <f t="shared" si="17"/>
        <v>21-0-HH 2RATE (CT)-SmartFIX – 3 Year Renewal</v>
      </c>
      <c r="B1063" s="67" t="s">
        <v>13</v>
      </c>
      <c r="C1063" s="67">
        <v>21</v>
      </c>
      <c r="D1063" s="99" t="s">
        <v>30</v>
      </c>
      <c r="E1063" s="67" t="s">
        <v>729</v>
      </c>
      <c r="F1063" s="67" t="s">
        <v>88</v>
      </c>
      <c r="G1063" s="67" t="s">
        <v>728</v>
      </c>
      <c r="H1063" s="127">
        <v>0.70830000000000004</v>
      </c>
      <c r="I1063" s="109">
        <v>0.17080000000000001</v>
      </c>
      <c r="J1063" s="109">
        <v>0.13</v>
      </c>
      <c r="K1063" s="109" t="s">
        <v>717</v>
      </c>
      <c r="L1063" s="67">
        <v>5000</v>
      </c>
      <c r="M1063" s="67">
        <v>500000</v>
      </c>
      <c r="N1063" s="105">
        <v>44197</v>
      </c>
      <c r="O1063" s="105">
        <v>44377</v>
      </c>
      <c r="P1063" t="s">
        <v>718</v>
      </c>
    </row>
    <row r="1064" spans="1:16" ht="15" customHeight="1" x14ac:dyDescent="0.3">
      <c r="A1064" t="str">
        <f t="shared" si="17"/>
        <v>22-0-HH 2RATE (CT)-SmartFIX – 3 Year Renewal</v>
      </c>
      <c r="B1064" s="67" t="s">
        <v>13</v>
      </c>
      <c r="C1064" s="67">
        <v>22</v>
      </c>
      <c r="D1064" s="99" t="s">
        <v>31</v>
      </c>
      <c r="E1064" s="67" t="s">
        <v>729</v>
      </c>
      <c r="F1064" s="67" t="s">
        <v>88</v>
      </c>
      <c r="G1064" s="67" t="s">
        <v>728</v>
      </c>
      <c r="H1064" s="127">
        <v>0.62129999999999996</v>
      </c>
      <c r="I1064" s="109">
        <v>0.1736</v>
      </c>
      <c r="J1064" s="109">
        <v>0.14000000000000001</v>
      </c>
      <c r="K1064" s="109" t="s">
        <v>717</v>
      </c>
      <c r="L1064" s="67">
        <v>5000</v>
      </c>
      <c r="M1064" s="67">
        <v>500000</v>
      </c>
      <c r="N1064" s="105">
        <v>44197</v>
      </c>
      <c r="O1064" s="105">
        <v>44377</v>
      </c>
      <c r="P1064" t="s">
        <v>718</v>
      </c>
    </row>
    <row r="1065" spans="1:16" ht="15" customHeight="1" x14ac:dyDescent="0.3">
      <c r="A1065" t="str">
        <f t="shared" si="17"/>
        <v>23-0-HH 2RATE (CT)-SmartFIX – 3 Year Renewal</v>
      </c>
      <c r="B1065" s="67" t="s">
        <v>13</v>
      </c>
      <c r="C1065" s="67">
        <v>23</v>
      </c>
      <c r="D1065" s="99" t="s">
        <v>32</v>
      </c>
      <c r="E1065" s="67" t="s">
        <v>729</v>
      </c>
      <c r="F1065" s="67" t="s">
        <v>88</v>
      </c>
      <c r="G1065" s="67" t="s">
        <v>728</v>
      </c>
      <c r="H1065" s="127">
        <v>0.74150000000000005</v>
      </c>
      <c r="I1065" s="109">
        <v>0.16639999999999999</v>
      </c>
      <c r="J1065" s="109">
        <v>0.1237</v>
      </c>
      <c r="K1065" s="109" t="s">
        <v>717</v>
      </c>
      <c r="L1065" s="67">
        <v>5000</v>
      </c>
      <c r="M1065" s="67">
        <v>500000</v>
      </c>
      <c r="N1065" s="105">
        <v>44197</v>
      </c>
      <c r="O1065" s="105">
        <v>44377</v>
      </c>
      <c r="P1065" t="s">
        <v>718</v>
      </c>
    </row>
    <row r="1066" spans="1:16" ht="15" customHeight="1" x14ac:dyDescent="0.3">
      <c r="A1066" t="str">
        <f t="shared" si="17"/>
        <v>10-0-HH 1RATE (CT)-SmartTRACKER</v>
      </c>
      <c r="B1066" s="67" t="s">
        <v>13</v>
      </c>
      <c r="C1066" s="67">
        <v>10</v>
      </c>
      <c r="D1066" s="99" t="s">
        <v>14</v>
      </c>
      <c r="E1066" s="67" t="s">
        <v>731</v>
      </c>
      <c r="F1066" s="67" t="s">
        <v>88</v>
      </c>
      <c r="G1066" s="67" t="s">
        <v>127</v>
      </c>
      <c r="H1066" s="127">
        <v>0.50439999999999996</v>
      </c>
      <c r="I1066" s="109">
        <v>0.15890000000000001</v>
      </c>
      <c r="J1066" s="109"/>
      <c r="K1066" s="109"/>
      <c r="L1066" s="67">
        <v>5000</v>
      </c>
      <c r="M1066" s="67">
        <v>500000</v>
      </c>
      <c r="N1066" s="105">
        <v>44197</v>
      </c>
      <c r="O1066" s="105">
        <v>44377</v>
      </c>
      <c r="P1066" t="s">
        <v>718</v>
      </c>
    </row>
    <row r="1067" spans="1:16" ht="15" customHeight="1" x14ac:dyDescent="0.3">
      <c r="A1067" t="str">
        <f t="shared" si="17"/>
        <v>11-0-HH 1RATE (CT)-SmartTRACKER</v>
      </c>
      <c r="B1067" s="67" t="s">
        <v>13</v>
      </c>
      <c r="C1067" s="67">
        <v>11</v>
      </c>
      <c r="D1067" s="99" t="s">
        <v>20</v>
      </c>
      <c r="E1067" s="67" t="s">
        <v>731</v>
      </c>
      <c r="F1067" s="67" t="s">
        <v>88</v>
      </c>
      <c r="G1067" s="67" t="s">
        <v>127</v>
      </c>
      <c r="H1067" s="127">
        <v>0.44829999999999998</v>
      </c>
      <c r="I1067" s="109">
        <v>0.15790000000000001</v>
      </c>
      <c r="J1067" s="109"/>
      <c r="K1067" s="109"/>
      <c r="L1067" s="67">
        <v>5000</v>
      </c>
      <c r="M1067" s="67">
        <v>500000</v>
      </c>
      <c r="N1067" s="105">
        <v>44197</v>
      </c>
      <c r="O1067" s="105">
        <v>44377</v>
      </c>
      <c r="P1067" t="s">
        <v>718</v>
      </c>
    </row>
    <row r="1068" spans="1:16" ht="15" customHeight="1" x14ac:dyDescent="0.3">
      <c r="A1068" t="str">
        <f t="shared" si="17"/>
        <v>12-0-HH 1RATE (CT)-SmartTRACKER</v>
      </c>
      <c r="B1068" s="67" t="s">
        <v>13</v>
      </c>
      <c r="C1068" s="67">
        <v>12</v>
      </c>
      <c r="D1068" s="99" t="s">
        <v>21</v>
      </c>
      <c r="E1068" s="67" t="s">
        <v>731</v>
      </c>
      <c r="F1068" s="67" t="s">
        <v>88</v>
      </c>
      <c r="G1068" s="67" t="s">
        <v>127</v>
      </c>
      <c r="H1068" s="127">
        <v>0.41389999999999999</v>
      </c>
      <c r="I1068" s="109">
        <v>0.1547</v>
      </c>
      <c r="J1068" s="109"/>
      <c r="K1068" s="109"/>
      <c r="L1068" s="67">
        <v>5000</v>
      </c>
      <c r="M1068" s="67">
        <v>500000</v>
      </c>
      <c r="N1068" s="105">
        <v>44197</v>
      </c>
      <c r="O1068" s="105">
        <v>44377</v>
      </c>
      <c r="P1068" t="s">
        <v>718</v>
      </c>
    </row>
    <row r="1069" spans="1:16" ht="15" customHeight="1" x14ac:dyDescent="0.3">
      <c r="A1069" t="str">
        <f t="shared" si="17"/>
        <v>13-0-HH 1RATE (CT)-SmartTRACKER</v>
      </c>
      <c r="B1069" s="67" t="s">
        <v>13</v>
      </c>
      <c r="C1069" s="67">
        <v>13</v>
      </c>
      <c r="D1069" s="99" t="s">
        <v>22</v>
      </c>
      <c r="E1069" s="67" t="s">
        <v>731</v>
      </c>
      <c r="F1069" s="67" t="s">
        <v>88</v>
      </c>
      <c r="G1069" s="67" t="s">
        <v>127</v>
      </c>
      <c r="H1069" s="127">
        <v>0.58089999999999997</v>
      </c>
      <c r="I1069" s="109">
        <v>0.18659999999999999</v>
      </c>
      <c r="J1069" s="109"/>
      <c r="K1069" s="109"/>
      <c r="L1069" s="67">
        <v>5000</v>
      </c>
      <c r="M1069" s="67">
        <v>500000</v>
      </c>
      <c r="N1069" s="105">
        <v>44197</v>
      </c>
      <c r="O1069" s="105">
        <v>44377</v>
      </c>
      <c r="P1069" t="s">
        <v>718</v>
      </c>
    </row>
    <row r="1070" spans="1:16" ht="15" customHeight="1" x14ac:dyDescent="0.3">
      <c r="A1070" t="str">
        <f t="shared" si="17"/>
        <v>14-0-HH 1RATE (CT)-SmartTRACKER</v>
      </c>
      <c r="B1070" s="67" t="s">
        <v>13</v>
      </c>
      <c r="C1070" s="67">
        <v>14</v>
      </c>
      <c r="D1070" s="99" t="s">
        <v>23</v>
      </c>
      <c r="E1070" s="67" t="s">
        <v>731</v>
      </c>
      <c r="F1070" s="67" t="s">
        <v>88</v>
      </c>
      <c r="G1070" s="67" t="s">
        <v>127</v>
      </c>
      <c r="H1070" s="127">
        <v>0.46060000000000001</v>
      </c>
      <c r="I1070" s="109">
        <v>0.16209999999999999</v>
      </c>
      <c r="J1070" s="109"/>
      <c r="K1070" s="109"/>
      <c r="L1070" s="67">
        <v>5000</v>
      </c>
      <c r="M1070" s="67">
        <v>500000</v>
      </c>
      <c r="N1070" s="105">
        <v>44197</v>
      </c>
      <c r="O1070" s="105">
        <v>44377</v>
      </c>
      <c r="P1070" t="s">
        <v>718</v>
      </c>
    </row>
    <row r="1071" spans="1:16" ht="15" customHeight="1" x14ac:dyDescent="0.3">
      <c r="A1071" t="str">
        <f t="shared" si="17"/>
        <v>15-0-HH 1RATE (CT)-SmartTRACKER</v>
      </c>
      <c r="B1071" s="67" t="s">
        <v>13</v>
      </c>
      <c r="C1071" s="67">
        <v>15</v>
      </c>
      <c r="D1071" s="99" t="s">
        <v>24</v>
      </c>
      <c r="E1071" s="67" t="s">
        <v>731</v>
      </c>
      <c r="F1071" s="67" t="s">
        <v>88</v>
      </c>
      <c r="G1071" s="67" t="s">
        <v>127</v>
      </c>
      <c r="H1071" s="127">
        <v>0.55710000000000004</v>
      </c>
      <c r="I1071" s="109">
        <v>0.15970000000000001</v>
      </c>
      <c r="J1071" s="109"/>
      <c r="K1071" s="109"/>
      <c r="L1071" s="67">
        <v>5000</v>
      </c>
      <c r="M1071" s="67">
        <v>500000</v>
      </c>
      <c r="N1071" s="105">
        <v>44197</v>
      </c>
      <c r="O1071" s="105">
        <v>44377</v>
      </c>
      <c r="P1071" t="s">
        <v>718</v>
      </c>
    </row>
    <row r="1072" spans="1:16" ht="15" customHeight="1" x14ac:dyDescent="0.3">
      <c r="A1072" t="str">
        <f t="shared" si="17"/>
        <v>16-0-HH 1RATE (CT)-SmartTRACKER</v>
      </c>
      <c r="B1072" s="67" t="s">
        <v>13</v>
      </c>
      <c r="C1072" s="67">
        <v>16</v>
      </c>
      <c r="D1072" s="99" t="s">
        <v>25</v>
      </c>
      <c r="E1072" s="67" t="s">
        <v>731</v>
      </c>
      <c r="F1072" s="67" t="s">
        <v>88</v>
      </c>
      <c r="G1072" s="67" t="s">
        <v>127</v>
      </c>
      <c r="H1072" s="127">
        <v>0.51890000000000003</v>
      </c>
      <c r="I1072" s="109">
        <v>0.16259999999999999</v>
      </c>
      <c r="J1072" s="109"/>
      <c r="K1072" s="109"/>
      <c r="L1072" s="67">
        <v>5000</v>
      </c>
      <c r="M1072" s="67">
        <v>500000</v>
      </c>
      <c r="N1072" s="105">
        <v>44197</v>
      </c>
      <c r="O1072" s="105">
        <v>44377</v>
      </c>
      <c r="P1072" t="s">
        <v>718</v>
      </c>
    </row>
    <row r="1073" spans="1:16" ht="15" customHeight="1" x14ac:dyDescent="0.3">
      <c r="A1073" t="str">
        <f t="shared" si="17"/>
        <v>17-0-HH 1RATE (CT)-SmartTRACKER</v>
      </c>
      <c r="B1073" s="67" t="s">
        <v>13</v>
      </c>
      <c r="C1073" s="67">
        <v>17</v>
      </c>
      <c r="D1073" s="99" t="s">
        <v>26</v>
      </c>
      <c r="E1073" s="67" t="s">
        <v>731</v>
      </c>
      <c r="F1073" s="67" t="s">
        <v>88</v>
      </c>
      <c r="G1073" s="67" t="s">
        <v>127</v>
      </c>
      <c r="H1073" s="127">
        <v>0.70240000000000002</v>
      </c>
      <c r="I1073" s="109">
        <v>0.16089999999999999</v>
      </c>
      <c r="J1073" s="109"/>
      <c r="K1073" s="109"/>
      <c r="L1073" s="67">
        <v>5000</v>
      </c>
      <c r="M1073" s="67">
        <v>500000</v>
      </c>
      <c r="N1073" s="105">
        <v>44197</v>
      </c>
      <c r="O1073" s="105">
        <v>44377</v>
      </c>
      <c r="P1073" t="s">
        <v>718</v>
      </c>
    </row>
    <row r="1074" spans="1:16" ht="15" customHeight="1" x14ac:dyDescent="0.3">
      <c r="A1074" t="str">
        <f t="shared" si="17"/>
        <v>18-0-HH 1RATE (CT)-SmartTRACKER</v>
      </c>
      <c r="B1074" s="67" t="s">
        <v>13</v>
      </c>
      <c r="C1074" s="67">
        <v>18</v>
      </c>
      <c r="D1074" s="99" t="s">
        <v>27</v>
      </c>
      <c r="E1074" s="67" t="s">
        <v>731</v>
      </c>
      <c r="F1074" s="67" t="s">
        <v>88</v>
      </c>
      <c r="G1074" s="67" t="s">
        <v>127</v>
      </c>
      <c r="H1074" s="127">
        <v>0.64390000000000003</v>
      </c>
      <c r="I1074" s="109">
        <v>0.15659999999999999</v>
      </c>
      <c r="J1074" s="109"/>
      <c r="K1074" s="109"/>
      <c r="L1074" s="67">
        <v>5000</v>
      </c>
      <c r="M1074" s="67">
        <v>500000</v>
      </c>
      <c r="N1074" s="105">
        <v>44197</v>
      </c>
      <c r="O1074" s="105">
        <v>44377</v>
      </c>
      <c r="P1074" t="s">
        <v>718</v>
      </c>
    </row>
    <row r="1075" spans="1:16" ht="15" customHeight="1" x14ac:dyDescent="0.3">
      <c r="A1075" t="str">
        <f t="shared" si="17"/>
        <v>19-0-HH 1RATE (CT)-SmartTRACKER</v>
      </c>
      <c r="B1075" s="67" t="s">
        <v>13</v>
      </c>
      <c r="C1075" s="67">
        <v>19</v>
      </c>
      <c r="D1075" s="99" t="s">
        <v>28</v>
      </c>
      <c r="E1075" s="67" t="s">
        <v>731</v>
      </c>
      <c r="F1075" s="67" t="s">
        <v>88</v>
      </c>
      <c r="G1075" s="67" t="s">
        <v>127</v>
      </c>
      <c r="H1075" s="127">
        <v>0.50600000000000001</v>
      </c>
      <c r="I1075" s="109">
        <v>0.15790000000000001</v>
      </c>
      <c r="J1075" s="109"/>
      <c r="K1075" s="109"/>
      <c r="L1075" s="67">
        <v>5000</v>
      </c>
      <c r="M1075" s="67">
        <v>500000</v>
      </c>
      <c r="N1075" s="105">
        <v>44197</v>
      </c>
      <c r="O1075" s="105">
        <v>44377</v>
      </c>
      <c r="P1075" t="s">
        <v>718</v>
      </c>
    </row>
    <row r="1076" spans="1:16" ht="15" customHeight="1" x14ac:dyDescent="0.3">
      <c r="A1076" t="str">
        <f t="shared" si="17"/>
        <v>20-0-HH 1RATE (CT)-SmartTRACKER</v>
      </c>
      <c r="B1076" s="67" t="s">
        <v>13</v>
      </c>
      <c r="C1076" s="67">
        <v>20</v>
      </c>
      <c r="D1076" s="99" t="s">
        <v>29</v>
      </c>
      <c r="E1076" s="67" t="s">
        <v>731</v>
      </c>
      <c r="F1076" s="67" t="s">
        <v>88</v>
      </c>
      <c r="G1076" s="67" t="s">
        <v>127</v>
      </c>
      <c r="H1076" s="127">
        <v>0.53449999999999998</v>
      </c>
      <c r="I1076" s="109">
        <v>0.15590000000000001</v>
      </c>
      <c r="J1076" s="109"/>
      <c r="K1076" s="109"/>
      <c r="L1076" s="67">
        <v>5000</v>
      </c>
      <c r="M1076" s="67">
        <v>500000</v>
      </c>
      <c r="N1076" s="105">
        <v>44197</v>
      </c>
      <c r="O1076" s="105">
        <v>44377</v>
      </c>
      <c r="P1076" t="s">
        <v>718</v>
      </c>
    </row>
    <row r="1077" spans="1:16" ht="15" customHeight="1" x14ac:dyDescent="0.3">
      <c r="A1077" t="str">
        <f t="shared" si="17"/>
        <v>21-0-HH 1RATE (CT)-SmartTRACKER</v>
      </c>
      <c r="B1077" s="67" t="s">
        <v>13</v>
      </c>
      <c r="C1077" s="67">
        <v>21</v>
      </c>
      <c r="D1077" s="99" t="s">
        <v>30</v>
      </c>
      <c r="E1077" s="67" t="s">
        <v>731</v>
      </c>
      <c r="F1077" s="67" t="s">
        <v>88</v>
      </c>
      <c r="G1077" s="67" t="s">
        <v>127</v>
      </c>
      <c r="H1077" s="127">
        <v>0.54900000000000004</v>
      </c>
      <c r="I1077" s="109">
        <v>0.16489999999999999</v>
      </c>
      <c r="J1077" s="109"/>
      <c r="K1077" s="109"/>
      <c r="L1077" s="67">
        <v>5000</v>
      </c>
      <c r="M1077" s="67">
        <v>500000</v>
      </c>
      <c r="N1077" s="105">
        <v>44197</v>
      </c>
      <c r="O1077" s="105">
        <v>44377</v>
      </c>
      <c r="P1077" t="s">
        <v>718</v>
      </c>
    </row>
    <row r="1078" spans="1:16" ht="15" customHeight="1" x14ac:dyDescent="0.3">
      <c r="A1078" t="str">
        <f t="shared" si="17"/>
        <v>22-0-HH 1RATE (CT)-SmartTRACKER</v>
      </c>
      <c r="B1078" s="67" t="s">
        <v>13</v>
      </c>
      <c r="C1078" s="67">
        <v>22</v>
      </c>
      <c r="D1078" s="99" t="s">
        <v>31</v>
      </c>
      <c r="E1078" s="67" t="s">
        <v>731</v>
      </c>
      <c r="F1078" s="67" t="s">
        <v>88</v>
      </c>
      <c r="G1078" s="67" t="s">
        <v>127</v>
      </c>
      <c r="H1078" s="127">
        <v>0.48149999999999998</v>
      </c>
      <c r="I1078" s="109">
        <v>0.15609999999999999</v>
      </c>
      <c r="J1078" s="109"/>
      <c r="K1078" s="109"/>
      <c r="L1078" s="67">
        <v>5000</v>
      </c>
      <c r="M1078" s="67">
        <v>500000</v>
      </c>
      <c r="N1078" s="105">
        <v>44197</v>
      </c>
      <c r="O1078" s="105">
        <v>44377</v>
      </c>
      <c r="P1078" t="s">
        <v>718</v>
      </c>
    </row>
    <row r="1079" spans="1:16" ht="15" customHeight="1" x14ac:dyDescent="0.3">
      <c r="A1079" t="str">
        <f t="shared" si="17"/>
        <v>23-0-HH 1RATE (CT)-SmartTRACKER</v>
      </c>
      <c r="B1079" s="67" t="s">
        <v>13</v>
      </c>
      <c r="C1079" s="67">
        <v>23</v>
      </c>
      <c r="D1079" s="99" t="s">
        <v>32</v>
      </c>
      <c r="E1079" s="67" t="s">
        <v>731</v>
      </c>
      <c r="F1079" s="67" t="s">
        <v>88</v>
      </c>
      <c r="G1079" s="67" t="s">
        <v>127</v>
      </c>
      <c r="H1079" s="127">
        <v>0.57469999999999999</v>
      </c>
      <c r="I1079" s="109">
        <v>0.15529999999999999</v>
      </c>
      <c r="J1079" s="109"/>
      <c r="K1079" s="109"/>
      <c r="L1079" s="67">
        <v>5000</v>
      </c>
      <c r="M1079" s="67">
        <v>500000</v>
      </c>
      <c r="N1079" s="105">
        <v>44197</v>
      </c>
      <c r="O1079" s="105">
        <v>44377</v>
      </c>
      <c r="P1079" t="s">
        <v>718</v>
      </c>
    </row>
    <row r="1080" spans="1:16" ht="15" customHeight="1" x14ac:dyDescent="0.3">
      <c r="A1080" t="str">
        <f t="shared" si="17"/>
        <v>10-0-HH 1RATE (CT)-SmartTRACKER Renewal</v>
      </c>
      <c r="B1080" s="67" t="s">
        <v>13</v>
      </c>
      <c r="C1080" s="67">
        <v>10</v>
      </c>
      <c r="D1080" s="99" t="s">
        <v>14</v>
      </c>
      <c r="E1080" s="67" t="s">
        <v>731</v>
      </c>
      <c r="F1080" s="67" t="s">
        <v>88</v>
      </c>
      <c r="G1080" s="67" t="s">
        <v>723</v>
      </c>
      <c r="H1080" s="127">
        <v>0.55479999999999996</v>
      </c>
      <c r="I1080" s="109">
        <v>0.16290000000000002</v>
      </c>
      <c r="J1080" s="109"/>
      <c r="K1080" s="109"/>
      <c r="L1080" s="67">
        <v>5000</v>
      </c>
      <c r="M1080" s="67">
        <v>500000</v>
      </c>
      <c r="N1080" s="105">
        <v>44197</v>
      </c>
      <c r="O1080" s="105">
        <v>44377</v>
      </c>
      <c r="P1080" t="s">
        <v>718</v>
      </c>
    </row>
    <row r="1081" spans="1:16" ht="15" customHeight="1" x14ac:dyDescent="0.3">
      <c r="A1081" t="str">
        <f t="shared" si="17"/>
        <v>11-0-HH 1RATE (CT)-SmartTRACKER Renewal</v>
      </c>
      <c r="B1081" s="67" t="s">
        <v>13</v>
      </c>
      <c r="C1081" s="67">
        <v>11</v>
      </c>
      <c r="D1081" s="99" t="s">
        <v>20</v>
      </c>
      <c r="E1081" s="67" t="s">
        <v>731</v>
      </c>
      <c r="F1081" s="67" t="s">
        <v>88</v>
      </c>
      <c r="G1081" s="67" t="s">
        <v>723</v>
      </c>
      <c r="H1081" s="127">
        <v>0.49309999999999998</v>
      </c>
      <c r="I1081" s="109">
        <v>0.16190000000000002</v>
      </c>
      <c r="J1081" s="109"/>
      <c r="K1081" s="109"/>
      <c r="L1081" s="67">
        <v>5000</v>
      </c>
      <c r="M1081" s="67">
        <v>500000</v>
      </c>
      <c r="N1081" s="105">
        <v>44197</v>
      </c>
      <c r="O1081" s="105">
        <v>44377</v>
      </c>
      <c r="P1081" t="s">
        <v>718</v>
      </c>
    </row>
    <row r="1082" spans="1:16" ht="15" customHeight="1" x14ac:dyDescent="0.3">
      <c r="A1082" t="str">
        <f t="shared" si="17"/>
        <v>12-0-HH 1RATE (CT)-SmartTRACKER Renewal</v>
      </c>
      <c r="B1082" s="67" t="s">
        <v>13</v>
      </c>
      <c r="C1082" s="67">
        <v>12</v>
      </c>
      <c r="D1082" s="99" t="s">
        <v>21</v>
      </c>
      <c r="E1082" s="67" t="s">
        <v>731</v>
      </c>
      <c r="F1082" s="67" t="s">
        <v>88</v>
      </c>
      <c r="G1082" s="67" t="s">
        <v>723</v>
      </c>
      <c r="H1082" s="127">
        <v>0.45529999999999998</v>
      </c>
      <c r="I1082" s="109">
        <v>0.15870000000000001</v>
      </c>
      <c r="J1082" s="109"/>
      <c r="K1082" s="109"/>
      <c r="L1082" s="67">
        <v>5000</v>
      </c>
      <c r="M1082" s="67">
        <v>500000</v>
      </c>
      <c r="N1082" s="105">
        <v>44197</v>
      </c>
      <c r="O1082" s="105">
        <v>44377</v>
      </c>
      <c r="P1082" t="s">
        <v>718</v>
      </c>
    </row>
    <row r="1083" spans="1:16" ht="15" customHeight="1" x14ac:dyDescent="0.3">
      <c r="A1083" t="str">
        <f t="shared" si="17"/>
        <v>13-0-HH 1RATE (CT)-SmartTRACKER Renewal</v>
      </c>
      <c r="B1083" s="67" t="s">
        <v>13</v>
      </c>
      <c r="C1083" s="67">
        <v>13</v>
      </c>
      <c r="D1083" s="99" t="s">
        <v>22</v>
      </c>
      <c r="E1083" s="67" t="s">
        <v>731</v>
      </c>
      <c r="F1083" s="67" t="s">
        <v>88</v>
      </c>
      <c r="G1083" s="67" t="s">
        <v>723</v>
      </c>
      <c r="H1083" s="127">
        <v>0.63900000000000001</v>
      </c>
      <c r="I1083" s="109">
        <v>0.19059999999999999</v>
      </c>
      <c r="J1083" s="109"/>
      <c r="K1083" s="109"/>
      <c r="L1083" s="67">
        <v>5000</v>
      </c>
      <c r="M1083" s="67">
        <v>500000</v>
      </c>
      <c r="N1083" s="105">
        <v>44197</v>
      </c>
      <c r="O1083" s="105">
        <v>44377</v>
      </c>
      <c r="P1083" t="s">
        <v>718</v>
      </c>
    </row>
    <row r="1084" spans="1:16" ht="15" customHeight="1" x14ac:dyDescent="0.3">
      <c r="A1084" t="str">
        <f t="shared" si="17"/>
        <v>14-0-HH 1RATE (CT)-SmartTRACKER Renewal</v>
      </c>
      <c r="B1084" s="67" t="s">
        <v>13</v>
      </c>
      <c r="C1084" s="67">
        <v>14</v>
      </c>
      <c r="D1084" s="99" t="s">
        <v>23</v>
      </c>
      <c r="E1084" s="67" t="s">
        <v>731</v>
      </c>
      <c r="F1084" s="67" t="s">
        <v>88</v>
      </c>
      <c r="G1084" s="67" t="s">
        <v>723</v>
      </c>
      <c r="H1084" s="127">
        <v>0.50660000000000005</v>
      </c>
      <c r="I1084" s="109">
        <v>0.1661</v>
      </c>
      <c r="J1084" s="109"/>
      <c r="K1084" s="109"/>
      <c r="L1084" s="67">
        <v>5000</v>
      </c>
      <c r="M1084" s="67">
        <v>500000</v>
      </c>
      <c r="N1084" s="105">
        <v>44197</v>
      </c>
      <c r="O1084" s="105">
        <v>44377</v>
      </c>
      <c r="P1084" t="s">
        <v>718</v>
      </c>
    </row>
    <row r="1085" spans="1:16" ht="15" customHeight="1" x14ac:dyDescent="0.3">
      <c r="A1085" t="str">
        <f t="shared" si="17"/>
        <v>15-0-HH 1RATE (CT)-SmartTRACKER Renewal</v>
      </c>
      <c r="B1085" s="67" t="s">
        <v>13</v>
      </c>
      <c r="C1085" s="67">
        <v>15</v>
      </c>
      <c r="D1085" s="99" t="s">
        <v>24</v>
      </c>
      <c r="E1085" s="67" t="s">
        <v>731</v>
      </c>
      <c r="F1085" s="67" t="s">
        <v>88</v>
      </c>
      <c r="G1085" s="67" t="s">
        <v>723</v>
      </c>
      <c r="H1085" s="127">
        <v>0.61280000000000001</v>
      </c>
      <c r="I1085" s="109">
        <v>0.16370000000000001</v>
      </c>
      <c r="J1085" s="109"/>
      <c r="K1085" s="109"/>
      <c r="L1085" s="67">
        <v>5000</v>
      </c>
      <c r="M1085" s="67">
        <v>500000</v>
      </c>
      <c r="N1085" s="105">
        <v>44197</v>
      </c>
      <c r="O1085" s="105">
        <v>44377</v>
      </c>
      <c r="P1085" t="s">
        <v>718</v>
      </c>
    </row>
    <row r="1086" spans="1:16" ht="15" customHeight="1" x14ac:dyDescent="0.3">
      <c r="A1086" t="str">
        <f t="shared" si="17"/>
        <v>16-0-HH 1RATE (CT)-SmartTRACKER Renewal</v>
      </c>
      <c r="B1086" s="67" t="s">
        <v>13</v>
      </c>
      <c r="C1086" s="67">
        <v>16</v>
      </c>
      <c r="D1086" s="99" t="s">
        <v>25</v>
      </c>
      <c r="E1086" s="67" t="s">
        <v>731</v>
      </c>
      <c r="F1086" s="67" t="s">
        <v>88</v>
      </c>
      <c r="G1086" s="67" t="s">
        <v>723</v>
      </c>
      <c r="H1086" s="127">
        <v>0.57079999999999997</v>
      </c>
      <c r="I1086" s="109">
        <v>0.1666</v>
      </c>
      <c r="J1086" s="109"/>
      <c r="K1086" s="109"/>
      <c r="L1086" s="67">
        <v>5000</v>
      </c>
      <c r="M1086" s="67">
        <v>500000</v>
      </c>
      <c r="N1086" s="105">
        <v>44197</v>
      </c>
      <c r="O1086" s="105">
        <v>44377</v>
      </c>
      <c r="P1086" t="s">
        <v>718</v>
      </c>
    </row>
    <row r="1087" spans="1:16" ht="15" customHeight="1" x14ac:dyDescent="0.3">
      <c r="A1087" t="str">
        <f t="shared" si="17"/>
        <v>17-0-HH 1RATE (CT)-SmartTRACKER Renewal</v>
      </c>
      <c r="B1087" s="67" t="s">
        <v>13</v>
      </c>
      <c r="C1087" s="67">
        <v>17</v>
      </c>
      <c r="D1087" s="99" t="s">
        <v>26</v>
      </c>
      <c r="E1087" s="67" t="s">
        <v>731</v>
      </c>
      <c r="F1087" s="67" t="s">
        <v>88</v>
      </c>
      <c r="G1087" s="67" t="s">
        <v>723</v>
      </c>
      <c r="H1087" s="127">
        <v>0.77270000000000005</v>
      </c>
      <c r="I1087" s="109">
        <v>0.16489999999999999</v>
      </c>
      <c r="J1087" s="109"/>
      <c r="K1087" s="109"/>
      <c r="L1087" s="67">
        <v>5000</v>
      </c>
      <c r="M1087" s="67">
        <v>500000</v>
      </c>
      <c r="N1087" s="105">
        <v>44197</v>
      </c>
      <c r="O1087" s="105">
        <v>44377</v>
      </c>
      <c r="P1087" t="s">
        <v>718</v>
      </c>
    </row>
    <row r="1088" spans="1:16" ht="15" customHeight="1" x14ac:dyDescent="0.3">
      <c r="A1088" t="str">
        <f t="shared" si="17"/>
        <v>18-0-HH 1RATE (CT)-SmartTRACKER Renewal</v>
      </c>
      <c r="B1088" s="67" t="s">
        <v>13</v>
      </c>
      <c r="C1088" s="67">
        <v>18</v>
      </c>
      <c r="D1088" s="99" t="s">
        <v>27</v>
      </c>
      <c r="E1088" s="67" t="s">
        <v>731</v>
      </c>
      <c r="F1088" s="67" t="s">
        <v>88</v>
      </c>
      <c r="G1088" s="67" t="s">
        <v>723</v>
      </c>
      <c r="H1088" s="127">
        <v>0.70830000000000004</v>
      </c>
      <c r="I1088" s="109">
        <v>0.16059999999999999</v>
      </c>
      <c r="J1088" s="109"/>
      <c r="K1088" s="109"/>
      <c r="L1088" s="67">
        <v>5000</v>
      </c>
      <c r="M1088" s="67">
        <v>500000</v>
      </c>
      <c r="N1088" s="105">
        <v>44197</v>
      </c>
      <c r="O1088" s="105">
        <v>44377</v>
      </c>
      <c r="P1088" t="s">
        <v>718</v>
      </c>
    </row>
    <row r="1089" spans="1:16" ht="15" customHeight="1" x14ac:dyDescent="0.3">
      <c r="A1089" t="str">
        <f t="shared" si="17"/>
        <v>19-0-HH 1RATE (CT)-SmartTRACKER Renewal</v>
      </c>
      <c r="B1089" s="67" t="s">
        <v>13</v>
      </c>
      <c r="C1089" s="67">
        <v>19</v>
      </c>
      <c r="D1089" s="99" t="s">
        <v>28</v>
      </c>
      <c r="E1089" s="67" t="s">
        <v>731</v>
      </c>
      <c r="F1089" s="67" t="s">
        <v>88</v>
      </c>
      <c r="G1089" s="67" t="s">
        <v>723</v>
      </c>
      <c r="H1089" s="127">
        <v>0.55659999999999998</v>
      </c>
      <c r="I1089" s="109">
        <v>0.16190000000000002</v>
      </c>
      <c r="J1089" s="109"/>
      <c r="K1089" s="109"/>
      <c r="L1089" s="67">
        <v>5000</v>
      </c>
      <c r="M1089" s="67">
        <v>500000</v>
      </c>
      <c r="N1089" s="105">
        <v>44197</v>
      </c>
      <c r="O1089" s="105">
        <v>44377</v>
      </c>
      <c r="P1089" t="s">
        <v>718</v>
      </c>
    </row>
    <row r="1090" spans="1:16" ht="15" customHeight="1" x14ac:dyDescent="0.3">
      <c r="A1090" t="str">
        <f t="shared" si="17"/>
        <v>20-0-HH 1RATE (CT)-SmartTRACKER Renewal</v>
      </c>
      <c r="B1090" s="67" t="s">
        <v>13</v>
      </c>
      <c r="C1090" s="67">
        <v>20</v>
      </c>
      <c r="D1090" s="99" t="s">
        <v>29</v>
      </c>
      <c r="E1090" s="67" t="s">
        <v>731</v>
      </c>
      <c r="F1090" s="67" t="s">
        <v>88</v>
      </c>
      <c r="G1090" s="67" t="s">
        <v>723</v>
      </c>
      <c r="H1090" s="127">
        <v>0.58799999999999997</v>
      </c>
      <c r="I1090" s="109">
        <v>0.15990000000000001</v>
      </c>
      <c r="J1090" s="109"/>
      <c r="K1090" s="109"/>
      <c r="L1090" s="67">
        <v>5000</v>
      </c>
      <c r="M1090" s="67">
        <v>500000</v>
      </c>
      <c r="N1090" s="105">
        <v>44197</v>
      </c>
      <c r="O1090" s="105">
        <v>44377</v>
      </c>
      <c r="P1090" t="s">
        <v>718</v>
      </c>
    </row>
    <row r="1091" spans="1:16" ht="15" customHeight="1" x14ac:dyDescent="0.3">
      <c r="A1091" t="str">
        <f t="shared" si="17"/>
        <v>21-0-HH 1RATE (CT)-SmartTRACKER Renewal</v>
      </c>
      <c r="B1091" s="67" t="s">
        <v>13</v>
      </c>
      <c r="C1091" s="67">
        <v>21</v>
      </c>
      <c r="D1091" s="99" t="s">
        <v>30</v>
      </c>
      <c r="E1091" s="67" t="s">
        <v>731</v>
      </c>
      <c r="F1091" s="67" t="s">
        <v>88</v>
      </c>
      <c r="G1091" s="67" t="s">
        <v>723</v>
      </c>
      <c r="H1091" s="127">
        <v>0.60389999999999999</v>
      </c>
      <c r="I1091" s="109">
        <v>0.16889999999999999</v>
      </c>
      <c r="J1091" s="109"/>
      <c r="K1091" s="109"/>
      <c r="L1091" s="67">
        <v>5000</v>
      </c>
      <c r="M1091" s="67">
        <v>500000</v>
      </c>
      <c r="N1091" s="105">
        <v>44197</v>
      </c>
      <c r="O1091" s="105">
        <v>44377</v>
      </c>
      <c r="P1091" t="s">
        <v>718</v>
      </c>
    </row>
    <row r="1092" spans="1:16" ht="15" customHeight="1" x14ac:dyDescent="0.3">
      <c r="A1092" t="str">
        <f t="shared" si="17"/>
        <v>22-0-HH 1RATE (CT)-SmartTRACKER Renewal</v>
      </c>
      <c r="B1092" s="67" t="s">
        <v>13</v>
      </c>
      <c r="C1092" s="67">
        <v>22</v>
      </c>
      <c r="D1092" s="99" t="s">
        <v>31</v>
      </c>
      <c r="E1092" s="67" t="s">
        <v>731</v>
      </c>
      <c r="F1092" s="67" t="s">
        <v>88</v>
      </c>
      <c r="G1092" s="67" t="s">
        <v>723</v>
      </c>
      <c r="H1092" s="127">
        <v>0.52969999999999995</v>
      </c>
      <c r="I1092" s="109">
        <v>0.16009999999999999</v>
      </c>
      <c r="J1092" s="109"/>
      <c r="K1092" s="109"/>
      <c r="L1092" s="67">
        <v>5000</v>
      </c>
      <c r="M1092" s="67">
        <v>500000</v>
      </c>
      <c r="N1092" s="105">
        <v>44197</v>
      </c>
      <c r="O1092" s="105">
        <v>44377</v>
      </c>
      <c r="P1092" t="s">
        <v>718</v>
      </c>
    </row>
    <row r="1093" spans="1:16" ht="15" customHeight="1" x14ac:dyDescent="0.3">
      <c r="A1093" t="str">
        <f t="shared" si="17"/>
        <v>23-0-HH 1RATE (CT)-SmartTRACKER Renewal</v>
      </c>
      <c r="B1093" s="67" t="s">
        <v>13</v>
      </c>
      <c r="C1093" s="67">
        <v>23</v>
      </c>
      <c r="D1093" s="99" t="s">
        <v>32</v>
      </c>
      <c r="E1093" s="67" t="s">
        <v>731</v>
      </c>
      <c r="F1093" s="67" t="s">
        <v>88</v>
      </c>
      <c r="G1093" s="67" t="s">
        <v>723</v>
      </c>
      <c r="H1093" s="127">
        <v>0.6321</v>
      </c>
      <c r="I1093" s="109">
        <v>0.1593</v>
      </c>
      <c r="J1093" s="109"/>
      <c r="K1093" s="109"/>
      <c r="L1093" s="67">
        <v>5000</v>
      </c>
      <c r="M1093" s="67">
        <v>500000</v>
      </c>
      <c r="N1093" s="105">
        <v>44197</v>
      </c>
      <c r="O1093" s="105">
        <v>44377</v>
      </c>
      <c r="P1093" t="s">
        <v>718</v>
      </c>
    </row>
    <row r="1094" spans="1:16" ht="15" customHeight="1" x14ac:dyDescent="0.3">
      <c r="A1094" t="str">
        <f t="shared" si="17"/>
        <v>10-0-HH 1RATE (CT)-SmartFIX – 1 Year</v>
      </c>
      <c r="B1094" s="67" t="s">
        <v>13</v>
      </c>
      <c r="C1094" s="67">
        <v>10</v>
      </c>
      <c r="D1094" s="99" t="s">
        <v>14</v>
      </c>
      <c r="E1094" s="67" t="s">
        <v>731</v>
      </c>
      <c r="F1094" s="67" t="s">
        <v>88</v>
      </c>
      <c r="G1094" s="67" t="s">
        <v>686</v>
      </c>
      <c r="H1094" s="127">
        <v>0.50439999999999996</v>
      </c>
      <c r="I1094" s="109">
        <v>0.15890000000000001</v>
      </c>
      <c r="J1094" s="109"/>
      <c r="K1094" s="109"/>
      <c r="L1094" s="67">
        <v>5000</v>
      </c>
      <c r="M1094" s="67">
        <v>500000</v>
      </c>
      <c r="N1094" s="105">
        <v>44197</v>
      </c>
      <c r="O1094" s="105">
        <v>44377</v>
      </c>
      <c r="P1094" t="s">
        <v>718</v>
      </c>
    </row>
    <row r="1095" spans="1:16" ht="15" customHeight="1" x14ac:dyDescent="0.3">
      <c r="A1095" t="str">
        <f t="shared" si="17"/>
        <v>11-0-HH 1RATE (CT)-SmartFIX – 1 Year</v>
      </c>
      <c r="B1095" s="67" t="s">
        <v>13</v>
      </c>
      <c r="C1095" s="67">
        <v>11</v>
      </c>
      <c r="D1095" s="99" t="s">
        <v>20</v>
      </c>
      <c r="E1095" s="67" t="s">
        <v>731</v>
      </c>
      <c r="F1095" s="67" t="s">
        <v>88</v>
      </c>
      <c r="G1095" s="67" t="s">
        <v>686</v>
      </c>
      <c r="H1095" s="127">
        <v>0.44829999999999998</v>
      </c>
      <c r="I1095" s="109">
        <v>0.15790000000000001</v>
      </c>
      <c r="J1095" s="109"/>
      <c r="K1095" s="109"/>
      <c r="L1095" s="67">
        <v>5000</v>
      </c>
      <c r="M1095" s="67">
        <v>500000</v>
      </c>
      <c r="N1095" s="105">
        <v>44197</v>
      </c>
      <c r="O1095" s="105">
        <v>44377</v>
      </c>
      <c r="P1095" t="s">
        <v>718</v>
      </c>
    </row>
    <row r="1096" spans="1:16" ht="15" customHeight="1" x14ac:dyDescent="0.3">
      <c r="A1096" t="str">
        <f t="shared" si="17"/>
        <v>12-0-HH 1RATE (CT)-SmartFIX – 1 Year</v>
      </c>
      <c r="B1096" s="67" t="s">
        <v>13</v>
      </c>
      <c r="C1096" s="67">
        <v>12</v>
      </c>
      <c r="D1096" s="99" t="s">
        <v>21</v>
      </c>
      <c r="E1096" s="67" t="s">
        <v>731</v>
      </c>
      <c r="F1096" s="67" t="s">
        <v>88</v>
      </c>
      <c r="G1096" s="67" t="s">
        <v>686</v>
      </c>
      <c r="H1096" s="127">
        <v>0.41389999999999999</v>
      </c>
      <c r="I1096" s="109">
        <v>0.1547</v>
      </c>
      <c r="J1096" s="109"/>
      <c r="K1096" s="109"/>
      <c r="L1096" s="67">
        <v>5000</v>
      </c>
      <c r="M1096" s="67">
        <v>500000</v>
      </c>
      <c r="N1096" s="105">
        <v>44197</v>
      </c>
      <c r="O1096" s="105">
        <v>44377</v>
      </c>
      <c r="P1096" t="s">
        <v>718</v>
      </c>
    </row>
    <row r="1097" spans="1:16" ht="15" customHeight="1" x14ac:dyDescent="0.3">
      <c r="A1097" t="str">
        <f t="shared" si="17"/>
        <v>13-0-HH 1RATE (CT)-SmartFIX – 1 Year</v>
      </c>
      <c r="B1097" s="67" t="s">
        <v>13</v>
      </c>
      <c r="C1097" s="67">
        <v>13</v>
      </c>
      <c r="D1097" s="99" t="s">
        <v>22</v>
      </c>
      <c r="E1097" s="67" t="s">
        <v>731</v>
      </c>
      <c r="F1097" s="67" t="s">
        <v>88</v>
      </c>
      <c r="G1097" s="67" t="s">
        <v>686</v>
      </c>
      <c r="H1097" s="127">
        <v>0.58089999999999997</v>
      </c>
      <c r="I1097" s="109">
        <v>0.18659999999999999</v>
      </c>
      <c r="J1097" s="109"/>
      <c r="K1097" s="109"/>
      <c r="L1097" s="67">
        <v>5000</v>
      </c>
      <c r="M1097" s="67">
        <v>500000</v>
      </c>
      <c r="N1097" s="105">
        <v>44197</v>
      </c>
      <c r="O1097" s="105">
        <v>44377</v>
      </c>
      <c r="P1097" t="s">
        <v>718</v>
      </c>
    </row>
    <row r="1098" spans="1:16" ht="15" customHeight="1" x14ac:dyDescent="0.3">
      <c r="A1098" t="str">
        <f t="shared" si="17"/>
        <v>14-0-HH 1RATE (CT)-SmartFIX – 1 Year</v>
      </c>
      <c r="B1098" s="67" t="s">
        <v>13</v>
      </c>
      <c r="C1098" s="67">
        <v>14</v>
      </c>
      <c r="D1098" s="99" t="s">
        <v>23</v>
      </c>
      <c r="E1098" s="67" t="s">
        <v>731</v>
      </c>
      <c r="F1098" s="67" t="s">
        <v>88</v>
      </c>
      <c r="G1098" s="67" t="s">
        <v>686</v>
      </c>
      <c r="H1098" s="127">
        <v>0.46060000000000001</v>
      </c>
      <c r="I1098" s="109">
        <v>0.16209999999999999</v>
      </c>
      <c r="J1098" s="109"/>
      <c r="K1098" s="109"/>
      <c r="L1098" s="67">
        <v>5000</v>
      </c>
      <c r="M1098" s="67">
        <v>500000</v>
      </c>
      <c r="N1098" s="105">
        <v>44197</v>
      </c>
      <c r="O1098" s="105">
        <v>44377</v>
      </c>
      <c r="P1098" t="s">
        <v>718</v>
      </c>
    </row>
    <row r="1099" spans="1:16" ht="15" customHeight="1" x14ac:dyDescent="0.3">
      <c r="A1099" t="str">
        <f t="shared" si="17"/>
        <v>15-0-HH 1RATE (CT)-SmartFIX – 1 Year</v>
      </c>
      <c r="B1099" s="67" t="s">
        <v>13</v>
      </c>
      <c r="C1099" s="67">
        <v>15</v>
      </c>
      <c r="D1099" s="99" t="s">
        <v>24</v>
      </c>
      <c r="E1099" s="67" t="s">
        <v>731</v>
      </c>
      <c r="F1099" s="67" t="s">
        <v>88</v>
      </c>
      <c r="G1099" s="67" t="s">
        <v>686</v>
      </c>
      <c r="H1099" s="127">
        <v>0.55710000000000004</v>
      </c>
      <c r="I1099" s="109">
        <v>0.15970000000000001</v>
      </c>
      <c r="J1099" s="109"/>
      <c r="K1099" s="109"/>
      <c r="L1099" s="67">
        <v>5000</v>
      </c>
      <c r="M1099" s="67">
        <v>500000</v>
      </c>
      <c r="N1099" s="105">
        <v>44197</v>
      </c>
      <c r="O1099" s="105">
        <v>44377</v>
      </c>
      <c r="P1099" t="s">
        <v>718</v>
      </c>
    </row>
    <row r="1100" spans="1:16" ht="15" customHeight="1" x14ac:dyDescent="0.3">
      <c r="A1100" t="str">
        <f t="shared" ref="A1100:A1163" si="18">IF(E1100="OP","",CONCATENATE(C1100,"-",RIGHT(F1100,1),"-",IF(OR(E1100="1 Rate MD",E1100="DAY"),"U",IF(OR(E1100="2 Rate MD",E1100="E7"),"E7",IF(OR(E1100="3 Rate MD (EW)",E1100="EW"),"EW",IF(OR(E1100="3 Rate MD",E1100="EWN"),"3RATE",IF(E1100="HH 2RATE (CT)","HH 2RATE (CT)",IF(E1100="HH 2RATE (WC)","HH 2RATE (WC)",IF(E1100="HH 1RATE (CT)","HH 1RATE (CT)",IF(E1100="HH 1RATE (WC)","HH 1RATE (WC)")))))))),"-",G1100))</f>
        <v>16-0-HH 1RATE (CT)-SmartFIX – 1 Year</v>
      </c>
      <c r="B1100" s="67" t="s">
        <v>13</v>
      </c>
      <c r="C1100" s="67">
        <v>16</v>
      </c>
      <c r="D1100" s="99" t="s">
        <v>25</v>
      </c>
      <c r="E1100" s="67" t="s">
        <v>731</v>
      </c>
      <c r="F1100" s="67" t="s">
        <v>88</v>
      </c>
      <c r="G1100" s="67" t="s">
        <v>686</v>
      </c>
      <c r="H1100" s="127">
        <v>0.51890000000000003</v>
      </c>
      <c r="I1100" s="109">
        <v>0.16259999999999999</v>
      </c>
      <c r="J1100" s="109"/>
      <c r="K1100" s="109"/>
      <c r="L1100" s="67">
        <v>5000</v>
      </c>
      <c r="M1100" s="67">
        <v>500000</v>
      </c>
      <c r="N1100" s="105">
        <v>44197</v>
      </c>
      <c r="O1100" s="105">
        <v>44377</v>
      </c>
      <c r="P1100" t="s">
        <v>718</v>
      </c>
    </row>
    <row r="1101" spans="1:16" ht="15" customHeight="1" x14ac:dyDescent="0.3">
      <c r="A1101" t="str">
        <f t="shared" si="18"/>
        <v>17-0-HH 1RATE (CT)-SmartFIX – 1 Year</v>
      </c>
      <c r="B1101" s="67" t="s">
        <v>13</v>
      </c>
      <c r="C1101" s="67">
        <v>17</v>
      </c>
      <c r="D1101" s="99" t="s">
        <v>26</v>
      </c>
      <c r="E1101" s="67" t="s">
        <v>731</v>
      </c>
      <c r="F1101" s="67" t="s">
        <v>88</v>
      </c>
      <c r="G1101" s="67" t="s">
        <v>686</v>
      </c>
      <c r="H1101" s="127">
        <v>0.70240000000000002</v>
      </c>
      <c r="I1101" s="109">
        <v>0.16089999999999999</v>
      </c>
      <c r="J1101" s="109"/>
      <c r="K1101" s="109"/>
      <c r="L1101" s="67">
        <v>5000</v>
      </c>
      <c r="M1101" s="67">
        <v>500000</v>
      </c>
      <c r="N1101" s="105">
        <v>44197</v>
      </c>
      <c r="O1101" s="105">
        <v>44377</v>
      </c>
      <c r="P1101" t="s">
        <v>718</v>
      </c>
    </row>
    <row r="1102" spans="1:16" ht="15" customHeight="1" x14ac:dyDescent="0.3">
      <c r="A1102" t="str">
        <f t="shared" si="18"/>
        <v>18-0-HH 1RATE (CT)-SmartFIX – 1 Year</v>
      </c>
      <c r="B1102" s="67" t="s">
        <v>13</v>
      </c>
      <c r="C1102" s="67">
        <v>18</v>
      </c>
      <c r="D1102" s="99" t="s">
        <v>27</v>
      </c>
      <c r="E1102" s="67" t="s">
        <v>731</v>
      </c>
      <c r="F1102" s="67" t="s">
        <v>88</v>
      </c>
      <c r="G1102" s="67" t="s">
        <v>686</v>
      </c>
      <c r="H1102" s="127">
        <v>0.64390000000000003</v>
      </c>
      <c r="I1102" s="109">
        <v>0.15659999999999999</v>
      </c>
      <c r="J1102" s="109"/>
      <c r="K1102" s="109"/>
      <c r="L1102" s="67">
        <v>5000</v>
      </c>
      <c r="M1102" s="67">
        <v>500000</v>
      </c>
      <c r="N1102" s="105">
        <v>44197</v>
      </c>
      <c r="O1102" s="105">
        <v>44377</v>
      </c>
      <c r="P1102" t="s">
        <v>718</v>
      </c>
    </row>
    <row r="1103" spans="1:16" ht="15" customHeight="1" x14ac:dyDescent="0.3">
      <c r="A1103" t="str">
        <f t="shared" si="18"/>
        <v>19-0-HH 1RATE (CT)-SmartFIX – 1 Year</v>
      </c>
      <c r="B1103" s="67" t="s">
        <v>13</v>
      </c>
      <c r="C1103" s="67">
        <v>19</v>
      </c>
      <c r="D1103" s="99" t="s">
        <v>28</v>
      </c>
      <c r="E1103" s="67" t="s">
        <v>731</v>
      </c>
      <c r="F1103" s="67" t="s">
        <v>88</v>
      </c>
      <c r="G1103" s="67" t="s">
        <v>686</v>
      </c>
      <c r="H1103" s="127">
        <v>0.50600000000000001</v>
      </c>
      <c r="I1103" s="109">
        <v>0.15790000000000001</v>
      </c>
      <c r="J1103" s="109"/>
      <c r="K1103" s="109"/>
      <c r="L1103" s="67">
        <v>5000</v>
      </c>
      <c r="M1103" s="67">
        <v>500000</v>
      </c>
      <c r="N1103" s="105">
        <v>44197</v>
      </c>
      <c r="O1103" s="105">
        <v>44377</v>
      </c>
      <c r="P1103" t="s">
        <v>718</v>
      </c>
    </row>
    <row r="1104" spans="1:16" ht="15" customHeight="1" x14ac:dyDescent="0.3">
      <c r="A1104" t="str">
        <f t="shared" si="18"/>
        <v>20-0-HH 1RATE (CT)-SmartFIX – 1 Year</v>
      </c>
      <c r="B1104" s="67" t="s">
        <v>13</v>
      </c>
      <c r="C1104" s="67">
        <v>20</v>
      </c>
      <c r="D1104" s="99" t="s">
        <v>29</v>
      </c>
      <c r="E1104" s="67" t="s">
        <v>731</v>
      </c>
      <c r="F1104" s="67" t="s">
        <v>88</v>
      </c>
      <c r="G1104" s="67" t="s">
        <v>686</v>
      </c>
      <c r="H1104" s="127">
        <v>0.53449999999999998</v>
      </c>
      <c r="I1104" s="109">
        <v>0.15590000000000001</v>
      </c>
      <c r="J1104" s="109"/>
      <c r="K1104" s="109"/>
      <c r="L1104" s="67">
        <v>5000</v>
      </c>
      <c r="M1104" s="67">
        <v>500000</v>
      </c>
      <c r="N1104" s="105">
        <v>44197</v>
      </c>
      <c r="O1104" s="105">
        <v>44377</v>
      </c>
      <c r="P1104" t="s">
        <v>718</v>
      </c>
    </row>
    <row r="1105" spans="1:16" ht="15" customHeight="1" x14ac:dyDescent="0.3">
      <c r="A1105" t="str">
        <f t="shared" si="18"/>
        <v>21-0-HH 1RATE (CT)-SmartFIX – 1 Year</v>
      </c>
      <c r="B1105" s="67" t="s">
        <v>13</v>
      </c>
      <c r="C1105" s="67">
        <v>21</v>
      </c>
      <c r="D1105" s="99" t="s">
        <v>30</v>
      </c>
      <c r="E1105" s="67" t="s">
        <v>731</v>
      </c>
      <c r="F1105" s="67" t="s">
        <v>88</v>
      </c>
      <c r="G1105" s="67" t="s">
        <v>686</v>
      </c>
      <c r="H1105" s="127">
        <v>0.54900000000000004</v>
      </c>
      <c r="I1105" s="109">
        <v>0.16489999999999999</v>
      </c>
      <c r="J1105" s="109"/>
      <c r="K1105" s="109"/>
      <c r="L1105" s="67">
        <v>5000</v>
      </c>
      <c r="M1105" s="67">
        <v>500000</v>
      </c>
      <c r="N1105" s="105">
        <v>44197</v>
      </c>
      <c r="O1105" s="105">
        <v>44377</v>
      </c>
      <c r="P1105" t="s">
        <v>718</v>
      </c>
    </row>
    <row r="1106" spans="1:16" ht="15" customHeight="1" x14ac:dyDescent="0.3">
      <c r="A1106" t="str">
        <f t="shared" si="18"/>
        <v>22-0-HH 1RATE (CT)-SmartFIX – 1 Year</v>
      </c>
      <c r="B1106" s="67" t="s">
        <v>13</v>
      </c>
      <c r="C1106" s="67">
        <v>22</v>
      </c>
      <c r="D1106" s="99" t="s">
        <v>31</v>
      </c>
      <c r="E1106" s="67" t="s">
        <v>731</v>
      </c>
      <c r="F1106" s="67" t="s">
        <v>88</v>
      </c>
      <c r="G1106" s="67" t="s">
        <v>686</v>
      </c>
      <c r="H1106" s="127">
        <v>0.48149999999999998</v>
      </c>
      <c r="I1106" s="109">
        <v>0.15609999999999999</v>
      </c>
      <c r="J1106" s="109"/>
      <c r="K1106" s="109"/>
      <c r="L1106" s="67">
        <v>5000</v>
      </c>
      <c r="M1106" s="67">
        <v>500000</v>
      </c>
      <c r="N1106" s="105">
        <v>44197</v>
      </c>
      <c r="O1106" s="105">
        <v>44377</v>
      </c>
      <c r="P1106" t="s">
        <v>718</v>
      </c>
    </row>
    <row r="1107" spans="1:16" ht="15" customHeight="1" x14ac:dyDescent="0.3">
      <c r="A1107" t="str">
        <f t="shared" si="18"/>
        <v>23-0-HH 1RATE (CT)-SmartFIX – 1 Year</v>
      </c>
      <c r="B1107" s="67" t="s">
        <v>13</v>
      </c>
      <c r="C1107" s="67">
        <v>23</v>
      </c>
      <c r="D1107" s="99" t="s">
        <v>32</v>
      </c>
      <c r="E1107" s="67" t="s">
        <v>731</v>
      </c>
      <c r="F1107" s="67" t="s">
        <v>88</v>
      </c>
      <c r="G1107" s="67" t="s">
        <v>686</v>
      </c>
      <c r="H1107" s="127">
        <v>0.57469999999999999</v>
      </c>
      <c r="I1107" s="109">
        <v>0.15529999999999999</v>
      </c>
      <c r="J1107" s="109"/>
      <c r="K1107" s="109"/>
      <c r="L1107" s="67">
        <v>5000</v>
      </c>
      <c r="M1107" s="67">
        <v>500000</v>
      </c>
      <c r="N1107" s="105">
        <v>44197</v>
      </c>
      <c r="O1107" s="105">
        <v>44377</v>
      </c>
      <c r="P1107" t="s">
        <v>718</v>
      </c>
    </row>
    <row r="1108" spans="1:16" ht="15" customHeight="1" x14ac:dyDescent="0.3">
      <c r="A1108" t="str">
        <f t="shared" si="18"/>
        <v>10-0-HH 1RATE (CT)-SmartFIX – 1 Year Renewal</v>
      </c>
      <c r="B1108" s="67" t="s">
        <v>13</v>
      </c>
      <c r="C1108" s="67">
        <v>10</v>
      </c>
      <c r="D1108" s="99" t="s">
        <v>14</v>
      </c>
      <c r="E1108" s="67" t="s">
        <v>731</v>
      </c>
      <c r="F1108" s="67" t="s">
        <v>88</v>
      </c>
      <c r="G1108" s="67" t="s">
        <v>721</v>
      </c>
      <c r="H1108" s="127">
        <v>0.55479999999999996</v>
      </c>
      <c r="I1108" s="109">
        <v>0.16290000000000002</v>
      </c>
      <c r="J1108" s="109"/>
      <c r="K1108" s="109"/>
      <c r="L1108" s="67">
        <v>5000</v>
      </c>
      <c r="M1108" s="67">
        <v>500000</v>
      </c>
      <c r="N1108" s="105">
        <v>44197</v>
      </c>
      <c r="O1108" s="105">
        <v>44377</v>
      </c>
      <c r="P1108" t="s">
        <v>718</v>
      </c>
    </row>
    <row r="1109" spans="1:16" ht="15" customHeight="1" x14ac:dyDescent="0.3">
      <c r="A1109" t="str">
        <f t="shared" si="18"/>
        <v>11-0-HH 1RATE (CT)-SmartFIX – 1 Year Renewal</v>
      </c>
      <c r="B1109" s="67" t="s">
        <v>13</v>
      </c>
      <c r="C1109" s="67">
        <v>11</v>
      </c>
      <c r="D1109" s="99" t="s">
        <v>20</v>
      </c>
      <c r="E1109" s="67" t="s">
        <v>731</v>
      </c>
      <c r="F1109" s="67" t="s">
        <v>88</v>
      </c>
      <c r="G1109" s="67" t="s">
        <v>721</v>
      </c>
      <c r="H1109" s="127">
        <v>0.49309999999999998</v>
      </c>
      <c r="I1109" s="109">
        <v>0.16190000000000002</v>
      </c>
      <c r="J1109" s="109"/>
      <c r="K1109" s="109"/>
      <c r="L1109" s="67">
        <v>5000</v>
      </c>
      <c r="M1109" s="67">
        <v>500000</v>
      </c>
      <c r="N1109" s="105">
        <v>44197</v>
      </c>
      <c r="O1109" s="105">
        <v>44377</v>
      </c>
      <c r="P1109" t="s">
        <v>718</v>
      </c>
    </row>
    <row r="1110" spans="1:16" ht="15" customHeight="1" x14ac:dyDescent="0.3">
      <c r="A1110" t="str">
        <f t="shared" si="18"/>
        <v>12-0-HH 1RATE (CT)-SmartFIX – 1 Year Renewal</v>
      </c>
      <c r="B1110" s="67" t="s">
        <v>13</v>
      </c>
      <c r="C1110" s="67">
        <v>12</v>
      </c>
      <c r="D1110" s="99" t="s">
        <v>21</v>
      </c>
      <c r="E1110" s="67" t="s">
        <v>731</v>
      </c>
      <c r="F1110" s="67" t="s">
        <v>88</v>
      </c>
      <c r="G1110" s="67" t="s">
        <v>721</v>
      </c>
      <c r="H1110" s="127">
        <v>0.45529999999999998</v>
      </c>
      <c r="I1110" s="109">
        <v>0.15870000000000001</v>
      </c>
      <c r="J1110" s="109"/>
      <c r="K1110" s="109"/>
      <c r="L1110" s="67">
        <v>5000</v>
      </c>
      <c r="M1110" s="67">
        <v>500000</v>
      </c>
      <c r="N1110" s="105">
        <v>44197</v>
      </c>
      <c r="O1110" s="105">
        <v>44377</v>
      </c>
      <c r="P1110" t="s">
        <v>718</v>
      </c>
    </row>
    <row r="1111" spans="1:16" ht="15" customHeight="1" x14ac:dyDescent="0.3">
      <c r="A1111" t="str">
        <f t="shared" si="18"/>
        <v>13-0-HH 1RATE (CT)-SmartFIX – 1 Year Renewal</v>
      </c>
      <c r="B1111" s="67" t="s">
        <v>13</v>
      </c>
      <c r="C1111" s="67">
        <v>13</v>
      </c>
      <c r="D1111" s="99" t="s">
        <v>22</v>
      </c>
      <c r="E1111" s="67" t="s">
        <v>731</v>
      </c>
      <c r="F1111" s="67" t="s">
        <v>88</v>
      </c>
      <c r="G1111" s="67" t="s">
        <v>721</v>
      </c>
      <c r="H1111" s="127">
        <v>0.63900000000000001</v>
      </c>
      <c r="I1111" s="109">
        <v>0.19059999999999999</v>
      </c>
      <c r="J1111" s="109"/>
      <c r="K1111" s="109"/>
      <c r="L1111" s="67">
        <v>5000</v>
      </c>
      <c r="M1111" s="67">
        <v>500000</v>
      </c>
      <c r="N1111" s="105">
        <v>44197</v>
      </c>
      <c r="O1111" s="105">
        <v>44377</v>
      </c>
      <c r="P1111" t="s">
        <v>718</v>
      </c>
    </row>
    <row r="1112" spans="1:16" ht="15" customHeight="1" x14ac:dyDescent="0.3">
      <c r="A1112" t="str">
        <f t="shared" si="18"/>
        <v>14-0-HH 1RATE (CT)-SmartFIX – 1 Year Renewal</v>
      </c>
      <c r="B1112" s="67" t="s">
        <v>13</v>
      </c>
      <c r="C1112" s="67">
        <v>14</v>
      </c>
      <c r="D1112" s="99" t="s">
        <v>23</v>
      </c>
      <c r="E1112" s="67" t="s">
        <v>731</v>
      </c>
      <c r="F1112" s="67" t="s">
        <v>88</v>
      </c>
      <c r="G1112" s="67" t="s">
        <v>721</v>
      </c>
      <c r="H1112" s="127">
        <v>0.50660000000000005</v>
      </c>
      <c r="I1112" s="109">
        <v>0.1661</v>
      </c>
      <c r="J1112" s="109"/>
      <c r="K1112" s="109"/>
      <c r="L1112" s="67">
        <v>5000</v>
      </c>
      <c r="M1112" s="67">
        <v>500000</v>
      </c>
      <c r="N1112" s="105">
        <v>44197</v>
      </c>
      <c r="O1112" s="105">
        <v>44377</v>
      </c>
      <c r="P1112" t="s">
        <v>718</v>
      </c>
    </row>
    <row r="1113" spans="1:16" ht="15" customHeight="1" x14ac:dyDescent="0.3">
      <c r="A1113" t="str">
        <f t="shared" si="18"/>
        <v>15-0-HH 1RATE (CT)-SmartFIX – 1 Year Renewal</v>
      </c>
      <c r="B1113" s="67" t="s">
        <v>13</v>
      </c>
      <c r="C1113" s="67">
        <v>15</v>
      </c>
      <c r="D1113" s="99" t="s">
        <v>24</v>
      </c>
      <c r="E1113" s="67" t="s">
        <v>731</v>
      </c>
      <c r="F1113" s="67" t="s">
        <v>88</v>
      </c>
      <c r="G1113" s="67" t="s">
        <v>721</v>
      </c>
      <c r="H1113" s="127">
        <v>0.61280000000000001</v>
      </c>
      <c r="I1113" s="109">
        <v>0.16370000000000001</v>
      </c>
      <c r="J1113" s="109"/>
      <c r="K1113" s="109"/>
      <c r="L1113" s="67">
        <v>5000</v>
      </c>
      <c r="M1113" s="67">
        <v>500000</v>
      </c>
      <c r="N1113" s="105">
        <v>44197</v>
      </c>
      <c r="O1113" s="105">
        <v>44377</v>
      </c>
      <c r="P1113" t="s">
        <v>718</v>
      </c>
    </row>
    <row r="1114" spans="1:16" ht="15" customHeight="1" x14ac:dyDescent="0.3">
      <c r="A1114" t="str">
        <f t="shared" si="18"/>
        <v>16-0-HH 1RATE (CT)-SmartFIX – 1 Year Renewal</v>
      </c>
      <c r="B1114" s="67" t="s">
        <v>13</v>
      </c>
      <c r="C1114" s="67">
        <v>16</v>
      </c>
      <c r="D1114" s="99" t="s">
        <v>25</v>
      </c>
      <c r="E1114" s="67" t="s">
        <v>731</v>
      </c>
      <c r="F1114" s="67" t="s">
        <v>88</v>
      </c>
      <c r="G1114" s="67" t="s">
        <v>721</v>
      </c>
      <c r="H1114" s="127">
        <v>0.57079999999999997</v>
      </c>
      <c r="I1114" s="109">
        <v>0.1666</v>
      </c>
      <c r="J1114" s="109"/>
      <c r="K1114" s="109"/>
      <c r="L1114" s="67">
        <v>5000</v>
      </c>
      <c r="M1114" s="67">
        <v>500000</v>
      </c>
      <c r="N1114" s="105">
        <v>44197</v>
      </c>
      <c r="O1114" s="105">
        <v>44377</v>
      </c>
      <c r="P1114" t="s">
        <v>718</v>
      </c>
    </row>
    <row r="1115" spans="1:16" ht="15" customHeight="1" x14ac:dyDescent="0.3">
      <c r="A1115" t="str">
        <f t="shared" si="18"/>
        <v>17-0-HH 1RATE (CT)-SmartFIX – 1 Year Renewal</v>
      </c>
      <c r="B1115" s="67" t="s">
        <v>13</v>
      </c>
      <c r="C1115" s="67">
        <v>17</v>
      </c>
      <c r="D1115" s="99" t="s">
        <v>26</v>
      </c>
      <c r="E1115" s="67" t="s">
        <v>731</v>
      </c>
      <c r="F1115" s="67" t="s">
        <v>88</v>
      </c>
      <c r="G1115" s="67" t="s">
        <v>721</v>
      </c>
      <c r="H1115" s="127">
        <v>0.77270000000000005</v>
      </c>
      <c r="I1115" s="109">
        <v>0.16489999999999999</v>
      </c>
      <c r="J1115" s="109"/>
      <c r="K1115" s="109"/>
      <c r="L1115" s="67">
        <v>5000</v>
      </c>
      <c r="M1115" s="67">
        <v>500000</v>
      </c>
      <c r="N1115" s="105">
        <v>44197</v>
      </c>
      <c r="O1115" s="105">
        <v>44377</v>
      </c>
      <c r="P1115" t="s">
        <v>718</v>
      </c>
    </row>
    <row r="1116" spans="1:16" ht="15" customHeight="1" x14ac:dyDescent="0.3">
      <c r="A1116" t="str">
        <f t="shared" si="18"/>
        <v>18-0-HH 1RATE (CT)-SmartFIX – 1 Year Renewal</v>
      </c>
      <c r="B1116" s="67" t="s">
        <v>13</v>
      </c>
      <c r="C1116" s="67">
        <v>18</v>
      </c>
      <c r="D1116" s="99" t="s">
        <v>27</v>
      </c>
      <c r="E1116" s="67" t="s">
        <v>731</v>
      </c>
      <c r="F1116" s="67" t="s">
        <v>88</v>
      </c>
      <c r="G1116" s="67" t="s">
        <v>721</v>
      </c>
      <c r="H1116" s="127">
        <v>0.70830000000000004</v>
      </c>
      <c r="I1116" s="109">
        <v>0.16059999999999999</v>
      </c>
      <c r="J1116" s="109"/>
      <c r="K1116" s="109"/>
      <c r="L1116" s="67">
        <v>5000</v>
      </c>
      <c r="M1116" s="67">
        <v>500000</v>
      </c>
      <c r="N1116" s="105">
        <v>44197</v>
      </c>
      <c r="O1116" s="105">
        <v>44377</v>
      </c>
      <c r="P1116" t="s">
        <v>718</v>
      </c>
    </row>
    <row r="1117" spans="1:16" ht="15" customHeight="1" x14ac:dyDescent="0.3">
      <c r="A1117" t="str">
        <f t="shared" si="18"/>
        <v>19-0-HH 1RATE (CT)-SmartFIX – 1 Year Renewal</v>
      </c>
      <c r="B1117" s="67" t="s">
        <v>13</v>
      </c>
      <c r="C1117" s="67">
        <v>19</v>
      </c>
      <c r="D1117" s="99" t="s">
        <v>28</v>
      </c>
      <c r="E1117" s="67" t="s">
        <v>731</v>
      </c>
      <c r="F1117" s="67" t="s">
        <v>88</v>
      </c>
      <c r="G1117" s="67" t="s">
        <v>721</v>
      </c>
      <c r="H1117" s="127">
        <v>0.55659999999999998</v>
      </c>
      <c r="I1117" s="109">
        <v>0.16190000000000002</v>
      </c>
      <c r="J1117" s="109"/>
      <c r="K1117" s="109"/>
      <c r="L1117" s="67">
        <v>5000</v>
      </c>
      <c r="M1117" s="67">
        <v>500000</v>
      </c>
      <c r="N1117" s="105">
        <v>44197</v>
      </c>
      <c r="O1117" s="105">
        <v>44377</v>
      </c>
      <c r="P1117" t="s">
        <v>718</v>
      </c>
    </row>
    <row r="1118" spans="1:16" ht="15" customHeight="1" x14ac:dyDescent="0.3">
      <c r="A1118" t="str">
        <f t="shared" si="18"/>
        <v>20-0-HH 1RATE (CT)-SmartFIX – 1 Year Renewal</v>
      </c>
      <c r="B1118" s="67" t="s">
        <v>13</v>
      </c>
      <c r="C1118" s="67">
        <v>20</v>
      </c>
      <c r="D1118" s="99" t="s">
        <v>29</v>
      </c>
      <c r="E1118" s="67" t="s">
        <v>731</v>
      </c>
      <c r="F1118" s="67" t="s">
        <v>88</v>
      </c>
      <c r="G1118" s="67" t="s">
        <v>721</v>
      </c>
      <c r="H1118" s="39">
        <v>0.58799999999999997</v>
      </c>
      <c r="I1118" s="109">
        <v>0.15990000000000001</v>
      </c>
      <c r="J1118" s="109"/>
      <c r="K1118" s="109"/>
      <c r="L1118" s="67">
        <v>5000</v>
      </c>
      <c r="M1118" s="67">
        <v>500000</v>
      </c>
      <c r="N1118" s="105">
        <v>44197</v>
      </c>
      <c r="O1118" s="105">
        <v>44377</v>
      </c>
      <c r="P1118" t="s">
        <v>718</v>
      </c>
    </row>
    <row r="1119" spans="1:16" ht="15" customHeight="1" x14ac:dyDescent="0.3">
      <c r="A1119" t="str">
        <f t="shared" si="18"/>
        <v>21-0-HH 1RATE (CT)-SmartFIX – 1 Year Renewal</v>
      </c>
      <c r="B1119" s="67" t="s">
        <v>13</v>
      </c>
      <c r="C1119" s="67">
        <v>21</v>
      </c>
      <c r="D1119" s="99" t="s">
        <v>30</v>
      </c>
      <c r="E1119" s="67" t="s">
        <v>731</v>
      </c>
      <c r="F1119" s="67" t="s">
        <v>88</v>
      </c>
      <c r="G1119" s="67" t="s">
        <v>721</v>
      </c>
      <c r="H1119" s="39">
        <v>0.60389999999999999</v>
      </c>
      <c r="I1119" s="109">
        <v>0.16889999999999999</v>
      </c>
      <c r="J1119" s="109"/>
      <c r="K1119" s="109"/>
      <c r="L1119" s="67">
        <v>5000</v>
      </c>
      <c r="M1119" s="67">
        <v>500000</v>
      </c>
      <c r="N1119" s="105">
        <v>44197</v>
      </c>
      <c r="O1119" s="105">
        <v>44377</v>
      </c>
      <c r="P1119" t="s">
        <v>718</v>
      </c>
    </row>
    <row r="1120" spans="1:16" ht="15" customHeight="1" x14ac:dyDescent="0.3">
      <c r="A1120" t="str">
        <f t="shared" si="18"/>
        <v>22-0-HH 1RATE (CT)-SmartFIX – 1 Year Renewal</v>
      </c>
      <c r="B1120" s="67" t="s">
        <v>13</v>
      </c>
      <c r="C1120" s="67">
        <v>22</v>
      </c>
      <c r="D1120" s="99" t="s">
        <v>31</v>
      </c>
      <c r="E1120" s="67" t="s">
        <v>731</v>
      </c>
      <c r="F1120" s="67" t="s">
        <v>88</v>
      </c>
      <c r="G1120" s="67" t="s">
        <v>721</v>
      </c>
      <c r="H1120" s="39">
        <v>0.52969999999999995</v>
      </c>
      <c r="I1120" s="109">
        <v>0.16009999999999999</v>
      </c>
      <c r="J1120" s="109"/>
      <c r="K1120" s="109"/>
      <c r="L1120" s="67">
        <v>5000</v>
      </c>
      <c r="M1120" s="67">
        <v>500000</v>
      </c>
      <c r="N1120" s="105">
        <v>44197</v>
      </c>
      <c r="O1120" s="105">
        <v>44377</v>
      </c>
      <c r="P1120" t="s">
        <v>718</v>
      </c>
    </row>
    <row r="1121" spans="1:16" ht="15" customHeight="1" x14ac:dyDescent="0.3">
      <c r="A1121" t="str">
        <f t="shared" si="18"/>
        <v>23-0-HH 1RATE (CT)-SmartFIX – 1 Year Renewal</v>
      </c>
      <c r="B1121" s="67" t="s">
        <v>13</v>
      </c>
      <c r="C1121" s="67">
        <v>23</v>
      </c>
      <c r="D1121" s="99" t="s">
        <v>32</v>
      </c>
      <c r="E1121" s="67" t="s">
        <v>731</v>
      </c>
      <c r="F1121" s="67" t="s">
        <v>88</v>
      </c>
      <c r="G1121" s="67" t="s">
        <v>721</v>
      </c>
      <c r="H1121" s="39">
        <v>0.6321</v>
      </c>
      <c r="I1121" s="109">
        <v>0.1593</v>
      </c>
      <c r="J1121" s="109"/>
      <c r="K1121" s="109"/>
      <c r="L1121" s="67">
        <v>5000</v>
      </c>
      <c r="M1121" s="67">
        <v>500000</v>
      </c>
      <c r="N1121" s="105">
        <v>44197</v>
      </c>
      <c r="O1121" s="105">
        <v>44377</v>
      </c>
      <c r="P1121" t="s">
        <v>718</v>
      </c>
    </row>
    <row r="1122" spans="1:16" ht="15" customHeight="1" x14ac:dyDescent="0.3">
      <c r="A1122" t="str">
        <f t="shared" si="18"/>
        <v>10-0-HH 1RATE (WC)-SmartTRACKER</v>
      </c>
      <c r="B1122" s="67" t="s">
        <v>13</v>
      </c>
      <c r="C1122" s="67">
        <v>10</v>
      </c>
      <c r="D1122" s="99" t="s">
        <v>14</v>
      </c>
      <c r="E1122" s="67" t="s">
        <v>732</v>
      </c>
      <c r="F1122" s="67" t="s">
        <v>88</v>
      </c>
      <c r="G1122" s="67" t="s">
        <v>127</v>
      </c>
      <c r="H1122" s="39">
        <v>0.40300000000000002</v>
      </c>
      <c r="I1122" s="109">
        <v>0.15490000000000001</v>
      </c>
      <c r="J1122" s="109"/>
      <c r="K1122" s="109"/>
      <c r="L1122" s="67">
        <v>5000</v>
      </c>
      <c r="M1122" s="67">
        <v>500000</v>
      </c>
      <c r="N1122" s="105">
        <v>44197</v>
      </c>
      <c r="O1122" s="105">
        <v>44377</v>
      </c>
      <c r="P1122" t="s">
        <v>718</v>
      </c>
    </row>
    <row r="1123" spans="1:16" ht="15" customHeight="1" x14ac:dyDescent="0.3">
      <c r="A1123" t="str">
        <f t="shared" si="18"/>
        <v>11-0-HH 1RATE (WC)-SmartTRACKER</v>
      </c>
      <c r="B1123" s="67" t="s">
        <v>13</v>
      </c>
      <c r="C1123" s="67">
        <v>11</v>
      </c>
      <c r="D1123" s="99" t="s">
        <v>20</v>
      </c>
      <c r="E1123" s="67" t="s">
        <v>732</v>
      </c>
      <c r="F1123" s="67" t="s">
        <v>88</v>
      </c>
      <c r="G1123" s="67" t="s">
        <v>127</v>
      </c>
      <c r="H1123" s="39">
        <v>0.41310000000000002</v>
      </c>
      <c r="I1123" s="109">
        <v>0.15529999999999999</v>
      </c>
      <c r="J1123" s="109"/>
      <c r="K1123" s="109"/>
      <c r="L1123" s="67">
        <v>5000</v>
      </c>
      <c r="M1123" s="67">
        <v>500000</v>
      </c>
      <c r="N1123" s="105">
        <v>44197</v>
      </c>
      <c r="O1123" s="105">
        <v>44377</v>
      </c>
      <c r="P1123" t="s">
        <v>718</v>
      </c>
    </row>
    <row r="1124" spans="1:16" ht="15" customHeight="1" x14ac:dyDescent="0.3">
      <c r="A1124" t="str">
        <f t="shared" si="18"/>
        <v>12-0-HH 1RATE (WC)-SmartTRACKER</v>
      </c>
      <c r="B1124" s="67" t="s">
        <v>13</v>
      </c>
      <c r="C1124" s="67">
        <v>12</v>
      </c>
      <c r="D1124" s="99" t="s">
        <v>21</v>
      </c>
      <c r="E1124" s="67" t="s">
        <v>732</v>
      </c>
      <c r="F1124" s="67" t="s">
        <v>88</v>
      </c>
      <c r="G1124" s="67" t="s">
        <v>127</v>
      </c>
      <c r="H1124" s="39">
        <v>0.33729999999999999</v>
      </c>
      <c r="I1124" s="109">
        <v>0.14940000000000001</v>
      </c>
      <c r="J1124" s="109"/>
      <c r="K1124" s="109"/>
      <c r="L1124" s="67">
        <v>5000</v>
      </c>
      <c r="M1124" s="67">
        <v>500000</v>
      </c>
      <c r="N1124" s="105">
        <v>44197</v>
      </c>
      <c r="O1124" s="105">
        <v>44377</v>
      </c>
      <c r="P1124" t="s">
        <v>718</v>
      </c>
    </row>
    <row r="1125" spans="1:16" ht="15" customHeight="1" x14ac:dyDescent="0.3">
      <c r="A1125" t="str">
        <f t="shared" si="18"/>
        <v>13-0-HH 1RATE (WC)-SmartTRACKER</v>
      </c>
      <c r="B1125" s="67" t="s">
        <v>13</v>
      </c>
      <c r="C1125" s="67">
        <v>13</v>
      </c>
      <c r="D1125" s="99" t="s">
        <v>22</v>
      </c>
      <c r="E1125" s="67" t="s">
        <v>732</v>
      </c>
      <c r="F1125" s="67" t="s">
        <v>88</v>
      </c>
      <c r="G1125" s="67" t="s">
        <v>127</v>
      </c>
      <c r="H1125" s="39">
        <v>0.3785</v>
      </c>
      <c r="I1125" s="109">
        <v>0.17849999999999999</v>
      </c>
      <c r="J1125" s="109"/>
      <c r="K1125" s="109"/>
      <c r="L1125" s="67">
        <v>5000</v>
      </c>
      <c r="M1125" s="67">
        <v>500000</v>
      </c>
      <c r="N1125" s="105">
        <v>44197</v>
      </c>
      <c r="O1125" s="105">
        <v>44377</v>
      </c>
      <c r="P1125" t="s">
        <v>718</v>
      </c>
    </row>
    <row r="1126" spans="1:16" ht="15" customHeight="1" x14ac:dyDescent="0.3">
      <c r="A1126" t="str">
        <f t="shared" si="18"/>
        <v>14-0-HH 1RATE (WC)-SmartTRACKER</v>
      </c>
      <c r="B1126" s="67" t="s">
        <v>13</v>
      </c>
      <c r="C1126" s="67">
        <v>14</v>
      </c>
      <c r="D1126" s="99" t="s">
        <v>23</v>
      </c>
      <c r="E1126" s="67" t="s">
        <v>732</v>
      </c>
      <c r="F1126" s="67" t="s">
        <v>88</v>
      </c>
      <c r="G1126" s="67" t="s">
        <v>127</v>
      </c>
      <c r="H1126" s="127">
        <v>0.43530000000000002</v>
      </c>
      <c r="I1126" s="109">
        <v>0.15909999999999999</v>
      </c>
      <c r="J1126" s="109"/>
      <c r="K1126" s="109"/>
      <c r="L1126" s="67">
        <v>5000</v>
      </c>
      <c r="M1126" s="67">
        <v>500000</v>
      </c>
      <c r="N1126" s="105">
        <v>44197</v>
      </c>
      <c r="O1126" s="105">
        <v>44377</v>
      </c>
      <c r="P1126" t="s">
        <v>718</v>
      </c>
    </row>
    <row r="1127" spans="1:16" ht="15" customHeight="1" x14ac:dyDescent="0.3">
      <c r="A1127" t="str">
        <f t="shared" si="18"/>
        <v>15-0-HH 1RATE (WC)-SmartTRACKER</v>
      </c>
      <c r="B1127" s="67" t="s">
        <v>13</v>
      </c>
      <c r="C1127" s="67">
        <v>15</v>
      </c>
      <c r="D1127" s="99" t="s">
        <v>24</v>
      </c>
      <c r="E1127" s="67" t="s">
        <v>732</v>
      </c>
      <c r="F1127" s="67" t="s">
        <v>88</v>
      </c>
      <c r="G1127" s="67" t="s">
        <v>127</v>
      </c>
      <c r="H1127" s="127">
        <v>0.41239999999999999</v>
      </c>
      <c r="I1127" s="109">
        <v>0.15429999999999999</v>
      </c>
      <c r="J1127" s="109"/>
      <c r="K1127" s="109"/>
      <c r="L1127" s="67">
        <v>5000</v>
      </c>
      <c r="M1127" s="67">
        <v>500000</v>
      </c>
      <c r="N1127" s="105">
        <v>44197</v>
      </c>
      <c r="O1127" s="105">
        <v>44377</v>
      </c>
      <c r="P1127" t="s">
        <v>718</v>
      </c>
    </row>
    <row r="1128" spans="1:16" ht="15" customHeight="1" x14ac:dyDescent="0.3">
      <c r="A1128" t="str">
        <f t="shared" si="18"/>
        <v>16-0-HH 1RATE (WC)-SmartTRACKER</v>
      </c>
      <c r="B1128" s="67" t="s">
        <v>13</v>
      </c>
      <c r="C1128" s="67">
        <v>16</v>
      </c>
      <c r="D1128" s="99" t="s">
        <v>25</v>
      </c>
      <c r="E1128" s="67" t="s">
        <v>732</v>
      </c>
      <c r="F1128" s="67" t="s">
        <v>88</v>
      </c>
      <c r="G1128" s="67" t="s">
        <v>127</v>
      </c>
      <c r="H1128" s="127">
        <v>0.36770000000000003</v>
      </c>
      <c r="I1128" s="109">
        <v>0.15890000000000001</v>
      </c>
      <c r="J1128" s="109"/>
      <c r="K1128" s="109"/>
      <c r="L1128" s="67">
        <v>5000</v>
      </c>
      <c r="M1128" s="67">
        <v>500000</v>
      </c>
      <c r="N1128" s="105">
        <v>44197</v>
      </c>
      <c r="O1128" s="105">
        <v>44377</v>
      </c>
      <c r="P1128" t="s">
        <v>718</v>
      </c>
    </row>
    <row r="1129" spans="1:16" ht="15" customHeight="1" x14ac:dyDescent="0.3">
      <c r="A1129" t="str">
        <f t="shared" si="18"/>
        <v>17-0-HH 1RATE (WC)-SmartTRACKER</v>
      </c>
      <c r="B1129" s="67" t="s">
        <v>13</v>
      </c>
      <c r="C1129" s="67">
        <v>17</v>
      </c>
      <c r="D1129" s="99" t="s">
        <v>26</v>
      </c>
      <c r="E1129" s="67" t="s">
        <v>732</v>
      </c>
      <c r="F1129" s="67" t="s">
        <v>88</v>
      </c>
      <c r="G1129" s="67" t="s">
        <v>127</v>
      </c>
      <c r="H1129" s="127">
        <v>0.45</v>
      </c>
      <c r="I1129" s="109">
        <v>0.16619999999999999</v>
      </c>
      <c r="J1129" s="109"/>
      <c r="K1129" s="109"/>
      <c r="L1129" s="67">
        <v>5000</v>
      </c>
      <c r="M1129" s="67">
        <v>500000</v>
      </c>
      <c r="N1129" s="105">
        <v>44197</v>
      </c>
      <c r="O1129" s="105">
        <v>44377</v>
      </c>
      <c r="P1129" t="s">
        <v>718</v>
      </c>
    </row>
    <row r="1130" spans="1:16" ht="15" customHeight="1" x14ac:dyDescent="0.3">
      <c r="A1130" t="str">
        <f t="shared" si="18"/>
        <v>18-0-HH 1RATE (WC)-SmartTRACKER</v>
      </c>
      <c r="B1130" s="67" t="s">
        <v>13</v>
      </c>
      <c r="C1130" s="67">
        <v>18</v>
      </c>
      <c r="D1130" s="99" t="s">
        <v>27</v>
      </c>
      <c r="E1130" s="67" t="s">
        <v>732</v>
      </c>
      <c r="F1130" s="67" t="s">
        <v>88</v>
      </c>
      <c r="G1130" s="67" t="s">
        <v>127</v>
      </c>
      <c r="H1130" s="127">
        <v>0.39450000000000002</v>
      </c>
      <c r="I1130" s="109">
        <v>0.15629999999999999</v>
      </c>
      <c r="J1130" s="109"/>
      <c r="K1130" s="109"/>
      <c r="L1130" s="67">
        <v>5000</v>
      </c>
      <c r="M1130" s="67">
        <v>500000</v>
      </c>
      <c r="N1130" s="105">
        <v>44197</v>
      </c>
      <c r="O1130" s="105">
        <v>44377</v>
      </c>
      <c r="P1130" t="s">
        <v>718</v>
      </c>
    </row>
    <row r="1131" spans="1:16" ht="15" customHeight="1" x14ac:dyDescent="0.3">
      <c r="A1131" t="str">
        <f t="shared" si="18"/>
        <v>19-0-HH 1RATE (WC)-SmartTRACKER</v>
      </c>
      <c r="B1131" s="67" t="s">
        <v>13</v>
      </c>
      <c r="C1131" s="67">
        <v>19</v>
      </c>
      <c r="D1131" s="99" t="s">
        <v>28</v>
      </c>
      <c r="E1131" s="67" t="s">
        <v>732</v>
      </c>
      <c r="F1131" s="67" t="s">
        <v>88</v>
      </c>
      <c r="G1131" s="67" t="s">
        <v>127</v>
      </c>
      <c r="H1131" s="127">
        <v>0.39610000000000001</v>
      </c>
      <c r="I1131" s="109">
        <v>0.15459999999999999</v>
      </c>
      <c r="J1131" s="109"/>
      <c r="K1131" s="109"/>
      <c r="L1131" s="67">
        <v>5000</v>
      </c>
      <c r="M1131" s="67">
        <v>500000</v>
      </c>
      <c r="N1131" s="105">
        <v>44197</v>
      </c>
      <c r="O1131" s="105">
        <v>44377</v>
      </c>
      <c r="P1131" t="s">
        <v>718</v>
      </c>
    </row>
    <row r="1132" spans="1:16" ht="15" customHeight="1" x14ac:dyDescent="0.3">
      <c r="A1132" t="str">
        <f t="shared" si="18"/>
        <v>20-0-HH 1RATE (WC)-SmartTRACKER</v>
      </c>
      <c r="B1132" s="67" t="s">
        <v>13</v>
      </c>
      <c r="C1132" s="67">
        <v>20</v>
      </c>
      <c r="D1132" s="99" t="s">
        <v>29</v>
      </c>
      <c r="E1132" s="67" t="s">
        <v>732</v>
      </c>
      <c r="F1132" s="67" t="s">
        <v>88</v>
      </c>
      <c r="G1132" s="67" t="s">
        <v>127</v>
      </c>
      <c r="H1132" s="127">
        <v>0.38940000000000002</v>
      </c>
      <c r="I1132" s="109">
        <v>0.1585</v>
      </c>
      <c r="J1132" s="109"/>
      <c r="K1132" s="109"/>
      <c r="L1132" s="67">
        <v>5000</v>
      </c>
      <c r="M1132" s="67">
        <v>500000</v>
      </c>
      <c r="N1132" s="105">
        <v>44197</v>
      </c>
      <c r="O1132" s="105">
        <v>44377</v>
      </c>
      <c r="P1132" t="s">
        <v>718</v>
      </c>
    </row>
    <row r="1133" spans="1:16" ht="15" customHeight="1" x14ac:dyDescent="0.3">
      <c r="A1133" t="str">
        <f t="shared" si="18"/>
        <v>21-0-HH 1RATE (WC)-SmartTRACKER</v>
      </c>
      <c r="B1133" s="67" t="s">
        <v>13</v>
      </c>
      <c r="C1133" s="67">
        <v>21</v>
      </c>
      <c r="D1133" s="99" t="s">
        <v>30</v>
      </c>
      <c r="E1133" s="67" t="s">
        <v>732</v>
      </c>
      <c r="F1133" s="67" t="s">
        <v>88</v>
      </c>
      <c r="G1133" s="67" t="s">
        <v>127</v>
      </c>
      <c r="H1133" s="127">
        <v>0.49430000000000002</v>
      </c>
      <c r="I1133" s="109">
        <v>0.16220000000000001</v>
      </c>
      <c r="J1133" s="109"/>
      <c r="K1133" s="109"/>
      <c r="L1133" s="67">
        <v>5000</v>
      </c>
      <c r="M1133" s="67">
        <v>500000</v>
      </c>
      <c r="N1133" s="105">
        <v>44197</v>
      </c>
      <c r="O1133" s="105">
        <v>44377</v>
      </c>
      <c r="P1133" t="s">
        <v>718</v>
      </c>
    </row>
    <row r="1134" spans="1:16" ht="15" customHeight="1" x14ac:dyDescent="0.3">
      <c r="A1134" t="str">
        <f t="shared" si="18"/>
        <v>22-0-HH 1RATE (WC)-SmartTRACKER</v>
      </c>
      <c r="B1134" s="67" t="s">
        <v>13</v>
      </c>
      <c r="C1134" s="67">
        <v>22</v>
      </c>
      <c r="D1134" s="99" t="s">
        <v>31</v>
      </c>
      <c r="E1134" s="67" t="s">
        <v>732</v>
      </c>
      <c r="F1134" s="67" t="s">
        <v>88</v>
      </c>
      <c r="G1134" s="67" t="s">
        <v>127</v>
      </c>
      <c r="H1134" s="127">
        <v>0.44379999999999997</v>
      </c>
      <c r="I1134" s="109">
        <v>0.17399999999999999</v>
      </c>
      <c r="J1134" s="109"/>
      <c r="K1134" s="109"/>
      <c r="L1134" s="67">
        <v>5000</v>
      </c>
      <c r="M1134" s="67">
        <v>500000</v>
      </c>
      <c r="N1134" s="105">
        <v>44197</v>
      </c>
      <c r="O1134" s="105">
        <v>44377</v>
      </c>
      <c r="P1134" t="s">
        <v>718</v>
      </c>
    </row>
    <row r="1135" spans="1:16" ht="15" customHeight="1" x14ac:dyDescent="0.3">
      <c r="A1135" t="str">
        <f t="shared" si="18"/>
        <v>23-0-HH 1RATE (WC)-SmartTRACKER</v>
      </c>
      <c r="B1135" s="67" t="s">
        <v>13</v>
      </c>
      <c r="C1135" s="67">
        <v>23</v>
      </c>
      <c r="D1135" s="99" t="s">
        <v>32</v>
      </c>
      <c r="E1135" s="67" t="s">
        <v>732</v>
      </c>
      <c r="F1135" s="67" t="s">
        <v>88</v>
      </c>
      <c r="G1135" s="67" t="s">
        <v>127</v>
      </c>
      <c r="H1135" s="127">
        <v>0.40550000000000003</v>
      </c>
      <c r="I1135" s="109">
        <v>0.1502</v>
      </c>
      <c r="J1135" s="109"/>
      <c r="K1135" s="109"/>
      <c r="L1135" s="67">
        <v>5000</v>
      </c>
      <c r="M1135" s="67">
        <v>500000</v>
      </c>
      <c r="N1135" s="105">
        <v>44197</v>
      </c>
      <c r="O1135" s="105">
        <v>44377</v>
      </c>
      <c r="P1135" t="s">
        <v>718</v>
      </c>
    </row>
    <row r="1136" spans="1:16" ht="15" customHeight="1" x14ac:dyDescent="0.3">
      <c r="A1136" t="str">
        <f t="shared" si="18"/>
        <v>10-0-HH 1RATE (WC)-SmartTRACKER Renewal</v>
      </c>
      <c r="B1136" s="67" t="s">
        <v>13</v>
      </c>
      <c r="C1136" s="67">
        <v>10</v>
      </c>
      <c r="D1136" s="99" t="s">
        <v>14</v>
      </c>
      <c r="E1136" s="67" t="s">
        <v>732</v>
      </c>
      <c r="F1136" s="67" t="s">
        <v>88</v>
      </c>
      <c r="G1136" s="67" t="s">
        <v>723</v>
      </c>
      <c r="H1136" s="127">
        <v>0.44330000000000003</v>
      </c>
      <c r="I1136" s="109">
        <v>0.16090000000000002</v>
      </c>
      <c r="J1136" s="109"/>
      <c r="K1136" s="109"/>
      <c r="L1136" s="67">
        <v>5000</v>
      </c>
      <c r="M1136" s="67">
        <v>500000</v>
      </c>
      <c r="N1136" s="105">
        <v>44197</v>
      </c>
      <c r="O1136" s="105">
        <v>44377</v>
      </c>
      <c r="P1136" t="s">
        <v>718</v>
      </c>
    </row>
    <row r="1137" spans="1:16" ht="15" customHeight="1" x14ac:dyDescent="0.3">
      <c r="A1137" t="str">
        <f t="shared" si="18"/>
        <v>11-0-HH 1RATE (WC)-SmartTRACKER Renewal</v>
      </c>
      <c r="B1137" s="67" t="s">
        <v>13</v>
      </c>
      <c r="C1137" s="67">
        <v>11</v>
      </c>
      <c r="D1137" s="99" t="s">
        <v>20</v>
      </c>
      <c r="E1137" s="67" t="s">
        <v>732</v>
      </c>
      <c r="F1137" s="67" t="s">
        <v>88</v>
      </c>
      <c r="G1137" s="67" t="s">
        <v>723</v>
      </c>
      <c r="H1137" s="127">
        <v>0.45440000000000003</v>
      </c>
      <c r="I1137" s="109">
        <v>0.1613</v>
      </c>
      <c r="J1137" s="109"/>
      <c r="K1137" s="109"/>
      <c r="L1137" s="67">
        <v>5000</v>
      </c>
      <c r="M1137" s="67">
        <v>500000</v>
      </c>
      <c r="N1137" s="105">
        <v>44197</v>
      </c>
      <c r="O1137" s="105">
        <v>44377</v>
      </c>
      <c r="P1137" t="s">
        <v>718</v>
      </c>
    </row>
    <row r="1138" spans="1:16" ht="15" customHeight="1" x14ac:dyDescent="0.3">
      <c r="A1138" t="str">
        <f t="shared" si="18"/>
        <v>12-0-HH 1RATE (WC)-SmartTRACKER Renewal</v>
      </c>
      <c r="B1138" s="67" t="s">
        <v>13</v>
      </c>
      <c r="C1138" s="67">
        <v>12</v>
      </c>
      <c r="D1138" s="99" t="s">
        <v>21</v>
      </c>
      <c r="E1138" s="67" t="s">
        <v>732</v>
      </c>
      <c r="F1138" s="67" t="s">
        <v>88</v>
      </c>
      <c r="G1138" s="67" t="s">
        <v>723</v>
      </c>
      <c r="H1138" s="127">
        <v>0.371</v>
      </c>
      <c r="I1138" s="109">
        <v>0.15540000000000001</v>
      </c>
      <c r="J1138" s="109"/>
      <c r="K1138" s="109"/>
      <c r="L1138" s="67">
        <v>5000</v>
      </c>
      <c r="M1138" s="67">
        <v>500000</v>
      </c>
      <c r="N1138" s="105">
        <v>44197</v>
      </c>
      <c r="O1138" s="105">
        <v>44377</v>
      </c>
      <c r="P1138" t="s">
        <v>718</v>
      </c>
    </row>
    <row r="1139" spans="1:16" ht="15" customHeight="1" x14ac:dyDescent="0.3">
      <c r="A1139" t="str">
        <f t="shared" si="18"/>
        <v>13-0-HH 1RATE (WC)-SmartTRACKER Renewal</v>
      </c>
      <c r="B1139" s="67" t="s">
        <v>13</v>
      </c>
      <c r="C1139" s="67">
        <v>13</v>
      </c>
      <c r="D1139" s="99" t="s">
        <v>22</v>
      </c>
      <c r="E1139" s="67" t="s">
        <v>732</v>
      </c>
      <c r="F1139" s="67" t="s">
        <v>88</v>
      </c>
      <c r="G1139" s="67" t="s">
        <v>723</v>
      </c>
      <c r="H1139" s="127">
        <v>0.4163</v>
      </c>
      <c r="I1139" s="109">
        <v>0.1845</v>
      </c>
      <c r="J1139" s="109"/>
      <c r="K1139" s="109"/>
      <c r="L1139" s="67">
        <v>5000</v>
      </c>
      <c r="M1139" s="67">
        <v>500000</v>
      </c>
      <c r="N1139" s="105">
        <v>44197</v>
      </c>
      <c r="O1139" s="105">
        <v>44377</v>
      </c>
      <c r="P1139" t="s">
        <v>718</v>
      </c>
    </row>
    <row r="1140" spans="1:16" ht="15" customHeight="1" x14ac:dyDescent="0.3">
      <c r="A1140" t="str">
        <f t="shared" si="18"/>
        <v>14-0-HH 1RATE (WC)-SmartTRACKER Renewal</v>
      </c>
      <c r="B1140" s="67" t="s">
        <v>13</v>
      </c>
      <c r="C1140" s="67">
        <v>14</v>
      </c>
      <c r="D1140" s="99" t="s">
        <v>23</v>
      </c>
      <c r="E1140" s="67" t="s">
        <v>732</v>
      </c>
      <c r="F1140" s="67" t="s">
        <v>88</v>
      </c>
      <c r="G1140" s="67" t="s">
        <v>723</v>
      </c>
      <c r="H1140" s="127">
        <v>0.4788</v>
      </c>
      <c r="I1140" s="109">
        <v>0.1651</v>
      </c>
      <c r="J1140" s="109"/>
      <c r="K1140" s="109"/>
      <c r="L1140" s="67">
        <v>5000</v>
      </c>
      <c r="M1140" s="67">
        <v>500000</v>
      </c>
      <c r="N1140" s="105">
        <v>44197</v>
      </c>
      <c r="O1140" s="105">
        <v>44377</v>
      </c>
      <c r="P1140" t="s">
        <v>718</v>
      </c>
    </row>
    <row r="1141" spans="1:16" ht="15" customHeight="1" x14ac:dyDescent="0.3">
      <c r="A1141" t="str">
        <f t="shared" si="18"/>
        <v>15-0-HH 1RATE (WC)-SmartTRACKER Renewal</v>
      </c>
      <c r="B1141" s="67" t="s">
        <v>13</v>
      </c>
      <c r="C1141" s="67">
        <v>15</v>
      </c>
      <c r="D1141" s="99" t="s">
        <v>24</v>
      </c>
      <c r="E1141" s="67" t="s">
        <v>732</v>
      </c>
      <c r="F1141" s="67" t="s">
        <v>88</v>
      </c>
      <c r="G1141" s="67" t="s">
        <v>723</v>
      </c>
      <c r="H1141" s="127">
        <v>0.4536</v>
      </c>
      <c r="I1141" s="109">
        <v>0.1603</v>
      </c>
      <c r="J1141" s="109"/>
      <c r="K1141" s="109"/>
      <c r="L1141" s="67">
        <v>5000</v>
      </c>
      <c r="M1141" s="67">
        <v>500000</v>
      </c>
      <c r="N1141" s="105">
        <v>44197</v>
      </c>
      <c r="O1141" s="105">
        <v>44377</v>
      </c>
      <c r="P1141" t="s">
        <v>718</v>
      </c>
    </row>
    <row r="1142" spans="1:16" ht="15" customHeight="1" x14ac:dyDescent="0.3">
      <c r="A1142" t="str">
        <f t="shared" si="18"/>
        <v>16-0-HH 1RATE (WC)-SmartTRACKER Renewal</v>
      </c>
      <c r="B1142" s="67" t="s">
        <v>13</v>
      </c>
      <c r="C1142" s="67">
        <v>16</v>
      </c>
      <c r="D1142" s="99" t="s">
        <v>25</v>
      </c>
      <c r="E1142" s="67" t="s">
        <v>732</v>
      </c>
      <c r="F1142" s="67" t="s">
        <v>88</v>
      </c>
      <c r="G1142" s="67" t="s">
        <v>723</v>
      </c>
      <c r="H1142" s="127">
        <v>0.40439999999999998</v>
      </c>
      <c r="I1142" s="109">
        <v>0.16490000000000002</v>
      </c>
      <c r="J1142" s="109"/>
      <c r="K1142" s="109"/>
      <c r="L1142" s="67">
        <v>5000</v>
      </c>
      <c r="M1142" s="67">
        <v>500000</v>
      </c>
      <c r="N1142" s="105">
        <v>44197</v>
      </c>
      <c r="O1142" s="105">
        <v>44377</v>
      </c>
      <c r="P1142" t="s">
        <v>718</v>
      </c>
    </row>
    <row r="1143" spans="1:16" ht="15" customHeight="1" x14ac:dyDescent="0.3">
      <c r="A1143" t="str">
        <f t="shared" si="18"/>
        <v>17-0-HH 1RATE (WC)-SmartTRACKER Renewal</v>
      </c>
      <c r="B1143" s="67" t="s">
        <v>13</v>
      </c>
      <c r="C1143" s="67">
        <v>17</v>
      </c>
      <c r="D1143" s="99" t="s">
        <v>26</v>
      </c>
      <c r="E1143" s="67" t="s">
        <v>732</v>
      </c>
      <c r="F1143" s="67" t="s">
        <v>88</v>
      </c>
      <c r="G1143" s="67" t="s">
        <v>723</v>
      </c>
      <c r="H1143" s="127">
        <v>0.495</v>
      </c>
      <c r="I1143" s="109">
        <v>0.17219999999999999</v>
      </c>
      <c r="J1143" s="109"/>
      <c r="K1143" s="109"/>
      <c r="L1143" s="67">
        <v>5000</v>
      </c>
      <c r="M1143" s="67">
        <v>500000</v>
      </c>
      <c r="N1143" s="105">
        <v>44197</v>
      </c>
      <c r="O1143" s="105">
        <v>44377</v>
      </c>
      <c r="P1143" t="s">
        <v>718</v>
      </c>
    </row>
    <row r="1144" spans="1:16" ht="15" customHeight="1" x14ac:dyDescent="0.3">
      <c r="A1144" t="str">
        <f t="shared" si="18"/>
        <v>18-0-HH 1RATE (WC)-SmartTRACKER Renewal</v>
      </c>
      <c r="B1144" s="67" t="s">
        <v>13</v>
      </c>
      <c r="C1144" s="67">
        <v>18</v>
      </c>
      <c r="D1144" s="99" t="s">
        <v>27</v>
      </c>
      <c r="E1144" s="67" t="s">
        <v>732</v>
      </c>
      <c r="F1144" s="67" t="s">
        <v>88</v>
      </c>
      <c r="G1144" s="67" t="s">
        <v>723</v>
      </c>
      <c r="H1144" s="127">
        <v>0.43390000000000001</v>
      </c>
      <c r="I1144" s="109">
        <v>0.1623</v>
      </c>
      <c r="J1144" s="109"/>
      <c r="K1144" s="109"/>
      <c r="L1144" s="67">
        <v>5000</v>
      </c>
      <c r="M1144" s="67">
        <v>500000</v>
      </c>
      <c r="N1144" s="105">
        <v>44197</v>
      </c>
      <c r="O1144" s="105">
        <v>44377</v>
      </c>
      <c r="P1144" t="s">
        <v>718</v>
      </c>
    </row>
    <row r="1145" spans="1:16" ht="15" customHeight="1" x14ac:dyDescent="0.3">
      <c r="A1145" t="str">
        <f t="shared" si="18"/>
        <v>19-0-HH 1RATE (WC)-SmartTRACKER Renewal</v>
      </c>
      <c r="B1145" s="67" t="s">
        <v>13</v>
      </c>
      <c r="C1145" s="67">
        <v>19</v>
      </c>
      <c r="D1145" s="99" t="s">
        <v>28</v>
      </c>
      <c r="E1145" s="67" t="s">
        <v>732</v>
      </c>
      <c r="F1145" s="67" t="s">
        <v>88</v>
      </c>
      <c r="G1145" s="67" t="s">
        <v>723</v>
      </c>
      <c r="H1145" s="127">
        <v>0.43569999999999998</v>
      </c>
      <c r="I1145" s="109">
        <v>0.16059999999999999</v>
      </c>
      <c r="J1145" s="109"/>
      <c r="K1145" s="109"/>
      <c r="L1145" s="67">
        <v>5000</v>
      </c>
      <c r="M1145" s="67">
        <v>500000</v>
      </c>
      <c r="N1145" s="105">
        <v>44197</v>
      </c>
      <c r="O1145" s="105">
        <v>44377</v>
      </c>
      <c r="P1145" t="s">
        <v>718</v>
      </c>
    </row>
    <row r="1146" spans="1:16" ht="15" customHeight="1" x14ac:dyDescent="0.3">
      <c r="A1146" t="str">
        <f t="shared" si="18"/>
        <v>20-0-HH 1RATE (WC)-SmartTRACKER Renewal</v>
      </c>
      <c r="B1146" s="67" t="s">
        <v>13</v>
      </c>
      <c r="C1146" s="67">
        <v>20</v>
      </c>
      <c r="D1146" s="99" t="s">
        <v>29</v>
      </c>
      <c r="E1146" s="67" t="s">
        <v>732</v>
      </c>
      <c r="F1146" s="67" t="s">
        <v>88</v>
      </c>
      <c r="G1146" s="67" t="s">
        <v>723</v>
      </c>
      <c r="H1146" s="127">
        <v>0.42830000000000001</v>
      </c>
      <c r="I1146" s="109">
        <v>0.16450000000000001</v>
      </c>
      <c r="J1146" s="109"/>
      <c r="K1146" s="109"/>
      <c r="L1146" s="67">
        <v>5000</v>
      </c>
      <c r="M1146" s="67">
        <v>500000</v>
      </c>
      <c r="N1146" s="105">
        <v>44197</v>
      </c>
      <c r="O1146" s="105">
        <v>44377</v>
      </c>
      <c r="P1146" t="s">
        <v>718</v>
      </c>
    </row>
    <row r="1147" spans="1:16" ht="15" customHeight="1" x14ac:dyDescent="0.3">
      <c r="A1147" t="str">
        <f t="shared" si="18"/>
        <v>21-0-HH 1RATE (WC)-SmartTRACKER Renewal</v>
      </c>
      <c r="B1147" s="67" t="s">
        <v>13</v>
      </c>
      <c r="C1147" s="67">
        <v>21</v>
      </c>
      <c r="D1147" s="99" t="s">
        <v>30</v>
      </c>
      <c r="E1147" s="67" t="s">
        <v>732</v>
      </c>
      <c r="F1147" s="67" t="s">
        <v>88</v>
      </c>
      <c r="G1147" s="67" t="s">
        <v>723</v>
      </c>
      <c r="H1147" s="127">
        <v>0.54369999999999996</v>
      </c>
      <c r="I1147" s="109">
        <v>0.16820000000000002</v>
      </c>
      <c r="J1147" s="109"/>
      <c r="K1147" s="109"/>
      <c r="L1147" s="67">
        <v>5000</v>
      </c>
      <c r="M1147" s="67">
        <v>500000</v>
      </c>
      <c r="N1147" s="105">
        <v>44197</v>
      </c>
      <c r="O1147" s="105">
        <v>44377</v>
      </c>
      <c r="P1147" t="s">
        <v>718</v>
      </c>
    </row>
    <row r="1148" spans="1:16" ht="15" customHeight="1" x14ac:dyDescent="0.3">
      <c r="A1148" t="str">
        <f t="shared" si="18"/>
        <v>22-0-HH 1RATE (WC)-SmartTRACKER Renewal</v>
      </c>
      <c r="B1148" s="67" t="s">
        <v>13</v>
      </c>
      <c r="C1148" s="67">
        <v>22</v>
      </c>
      <c r="D1148" s="99" t="s">
        <v>31</v>
      </c>
      <c r="E1148" s="67" t="s">
        <v>732</v>
      </c>
      <c r="F1148" s="67" t="s">
        <v>88</v>
      </c>
      <c r="G1148" s="67" t="s">
        <v>723</v>
      </c>
      <c r="H1148" s="127">
        <v>0.48820000000000002</v>
      </c>
      <c r="I1148" s="109">
        <v>0.18</v>
      </c>
      <c r="J1148" s="109"/>
      <c r="K1148" s="109"/>
      <c r="L1148" s="67">
        <v>5000</v>
      </c>
      <c r="M1148" s="67">
        <v>500000</v>
      </c>
      <c r="N1148" s="105">
        <v>44197</v>
      </c>
      <c r="O1148" s="105">
        <v>44377</v>
      </c>
      <c r="P1148" t="s">
        <v>718</v>
      </c>
    </row>
    <row r="1149" spans="1:16" ht="15" customHeight="1" x14ac:dyDescent="0.3">
      <c r="A1149" t="str">
        <f t="shared" si="18"/>
        <v>23-0-HH 1RATE (WC)-SmartTRACKER Renewal</v>
      </c>
      <c r="B1149" s="67" t="s">
        <v>13</v>
      </c>
      <c r="C1149" s="67">
        <v>23</v>
      </c>
      <c r="D1149" s="99" t="s">
        <v>32</v>
      </c>
      <c r="E1149" s="67" t="s">
        <v>732</v>
      </c>
      <c r="F1149" s="67" t="s">
        <v>88</v>
      </c>
      <c r="G1149" s="67" t="s">
        <v>723</v>
      </c>
      <c r="H1149" s="127">
        <v>0.44600000000000001</v>
      </c>
      <c r="I1149" s="109">
        <v>0.15620000000000001</v>
      </c>
      <c r="J1149" s="109"/>
      <c r="K1149" s="109"/>
      <c r="L1149" s="67">
        <v>5000</v>
      </c>
      <c r="M1149" s="67">
        <v>500000</v>
      </c>
      <c r="N1149" s="105">
        <v>44197</v>
      </c>
      <c r="O1149" s="105">
        <v>44377</v>
      </c>
      <c r="P1149" t="s">
        <v>718</v>
      </c>
    </row>
    <row r="1150" spans="1:16" ht="15" customHeight="1" x14ac:dyDescent="0.3">
      <c r="A1150" t="str">
        <f t="shared" si="18"/>
        <v>10-0-HH 1RATE (WC)-SmartFIX – 1 Year</v>
      </c>
      <c r="B1150" s="67" t="s">
        <v>13</v>
      </c>
      <c r="C1150" s="67">
        <v>10</v>
      </c>
      <c r="D1150" s="99" t="s">
        <v>14</v>
      </c>
      <c r="E1150" s="67" t="s">
        <v>732</v>
      </c>
      <c r="F1150" s="67" t="s">
        <v>88</v>
      </c>
      <c r="G1150" s="67" t="s">
        <v>686</v>
      </c>
      <c r="H1150" s="127">
        <v>0.40300000000000002</v>
      </c>
      <c r="I1150" s="109">
        <v>0.15490000000000001</v>
      </c>
      <c r="J1150" s="109"/>
      <c r="K1150" s="109"/>
      <c r="L1150" s="67">
        <v>5000</v>
      </c>
      <c r="M1150" s="67">
        <v>500000</v>
      </c>
      <c r="N1150" s="105">
        <v>44197</v>
      </c>
      <c r="O1150" s="105">
        <v>44377</v>
      </c>
      <c r="P1150" t="s">
        <v>718</v>
      </c>
    </row>
    <row r="1151" spans="1:16" ht="15" customHeight="1" x14ac:dyDescent="0.3">
      <c r="A1151" t="str">
        <f t="shared" si="18"/>
        <v>11-0-HH 1RATE (WC)-SmartFIX – 1 Year</v>
      </c>
      <c r="B1151" s="67" t="s">
        <v>13</v>
      </c>
      <c r="C1151" s="67">
        <v>11</v>
      </c>
      <c r="D1151" s="99" t="s">
        <v>20</v>
      </c>
      <c r="E1151" s="67" t="s">
        <v>732</v>
      </c>
      <c r="F1151" s="67" t="s">
        <v>88</v>
      </c>
      <c r="G1151" s="67" t="s">
        <v>686</v>
      </c>
      <c r="H1151" s="127">
        <v>0.41310000000000002</v>
      </c>
      <c r="I1151" s="109">
        <v>0.15529999999999999</v>
      </c>
      <c r="J1151" s="109"/>
      <c r="K1151" s="109"/>
      <c r="L1151" s="67">
        <v>5000</v>
      </c>
      <c r="M1151" s="67">
        <v>500000</v>
      </c>
      <c r="N1151" s="105">
        <v>44197</v>
      </c>
      <c r="O1151" s="105">
        <v>44377</v>
      </c>
      <c r="P1151" t="s">
        <v>718</v>
      </c>
    </row>
    <row r="1152" spans="1:16" ht="15" customHeight="1" x14ac:dyDescent="0.3">
      <c r="A1152" t="str">
        <f t="shared" si="18"/>
        <v>12-0-HH 1RATE (WC)-SmartFIX – 1 Year</v>
      </c>
      <c r="B1152" s="67" t="s">
        <v>13</v>
      </c>
      <c r="C1152" s="67">
        <v>12</v>
      </c>
      <c r="D1152" s="99" t="s">
        <v>21</v>
      </c>
      <c r="E1152" s="67" t="s">
        <v>732</v>
      </c>
      <c r="F1152" s="67" t="s">
        <v>88</v>
      </c>
      <c r="G1152" s="67" t="s">
        <v>686</v>
      </c>
      <c r="H1152" s="127">
        <v>0.33729999999999999</v>
      </c>
      <c r="I1152" s="109">
        <v>0.14940000000000001</v>
      </c>
      <c r="J1152" s="109"/>
      <c r="K1152" s="109"/>
      <c r="L1152" s="67">
        <v>5000</v>
      </c>
      <c r="M1152" s="67">
        <v>500000</v>
      </c>
      <c r="N1152" s="105">
        <v>44197</v>
      </c>
      <c r="O1152" s="105">
        <v>44377</v>
      </c>
      <c r="P1152" t="s">
        <v>718</v>
      </c>
    </row>
    <row r="1153" spans="1:16" ht="15" customHeight="1" x14ac:dyDescent="0.3">
      <c r="A1153" t="str">
        <f t="shared" si="18"/>
        <v>13-0-HH 1RATE (WC)-SmartFIX – 1 Year</v>
      </c>
      <c r="B1153" s="67" t="s">
        <v>13</v>
      </c>
      <c r="C1153" s="67">
        <v>13</v>
      </c>
      <c r="D1153" s="99" t="s">
        <v>22</v>
      </c>
      <c r="E1153" s="67" t="s">
        <v>732</v>
      </c>
      <c r="F1153" s="67" t="s">
        <v>88</v>
      </c>
      <c r="G1153" s="67" t="s">
        <v>686</v>
      </c>
      <c r="H1153" s="127">
        <v>0.3785</v>
      </c>
      <c r="I1153" s="109">
        <v>0.17849999999999999</v>
      </c>
      <c r="J1153" s="109"/>
      <c r="K1153" s="109"/>
      <c r="L1153" s="67">
        <v>5000</v>
      </c>
      <c r="M1153" s="67">
        <v>500000</v>
      </c>
      <c r="N1153" s="105">
        <v>44197</v>
      </c>
      <c r="O1153" s="105">
        <v>44377</v>
      </c>
      <c r="P1153" t="s">
        <v>718</v>
      </c>
    </row>
    <row r="1154" spans="1:16" ht="15" customHeight="1" x14ac:dyDescent="0.3">
      <c r="A1154" t="str">
        <f t="shared" si="18"/>
        <v>14-0-HH 1RATE (WC)-SmartFIX – 1 Year</v>
      </c>
      <c r="B1154" s="67" t="s">
        <v>13</v>
      </c>
      <c r="C1154" s="67">
        <v>14</v>
      </c>
      <c r="D1154" s="99" t="s">
        <v>23</v>
      </c>
      <c r="E1154" s="67" t="s">
        <v>732</v>
      </c>
      <c r="F1154" s="67" t="s">
        <v>88</v>
      </c>
      <c r="G1154" s="67" t="s">
        <v>686</v>
      </c>
      <c r="H1154" s="127">
        <v>0.43530000000000002</v>
      </c>
      <c r="I1154" s="109">
        <v>0.15909999999999999</v>
      </c>
      <c r="J1154" s="109"/>
      <c r="K1154" s="109"/>
      <c r="L1154" s="67">
        <v>5000</v>
      </c>
      <c r="M1154" s="67">
        <v>500000</v>
      </c>
      <c r="N1154" s="105">
        <v>44197</v>
      </c>
      <c r="O1154" s="105">
        <v>44377</v>
      </c>
      <c r="P1154" t="s">
        <v>718</v>
      </c>
    </row>
    <row r="1155" spans="1:16" ht="15" customHeight="1" x14ac:dyDescent="0.3">
      <c r="A1155" t="str">
        <f t="shared" si="18"/>
        <v>15-0-HH 1RATE (WC)-SmartFIX – 1 Year</v>
      </c>
      <c r="B1155" s="67" t="s">
        <v>13</v>
      </c>
      <c r="C1155" s="67">
        <v>15</v>
      </c>
      <c r="D1155" s="99" t="s">
        <v>24</v>
      </c>
      <c r="E1155" s="67" t="s">
        <v>732</v>
      </c>
      <c r="F1155" s="67" t="s">
        <v>88</v>
      </c>
      <c r="G1155" s="67" t="s">
        <v>686</v>
      </c>
      <c r="H1155" s="127">
        <v>0.41239999999999999</v>
      </c>
      <c r="I1155" s="109">
        <v>0.15429999999999999</v>
      </c>
      <c r="J1155" s="109"/>
      <c r="K1155" s="109"/>
      <c r="L1155" s="67">
        <v>5000</v>
      </c>
      <c r="M1155" s="67">
        <v>500000</v>
      </c>
      <c r="N1155" s="105">
        <v>44197</v>
      </c>
      <c r="O1155" s="105">
        <v>44377</v>
      </c>
      <c r="P1155" t="s">
        <v>718</v>
      </c>
    </row>
    <row r="1156" spans="1:16" ht="15" customHeight="1" x14ac:dyDescent="0.3">
      <c r="A1156" t="str">
        <f t="shared" si="18"/>
        <v>16-0-HH 1RATE (WC)-SmartFIX – 1 Year</v>
      </c>
      <c r="B1156" s="67" t="s">
        <v>13</v>
      </c>
      <c r="C1156" s="67">
        <v>16</v>
      </c>
      <c r="D1156" s="99" t="s">
        <v>25</v>
      </c>
      <c r="E1156" s="67" t="s">
        <v>732</v>
      </c>
      <c r="F1156" s="67" t="s">
        <v>88</v>
      </c>
      <c r="G1156" s="67" t="s">
        <v>686</v>
      </c>
      <c r="H1156" s="127">
        <v>0.36770000000000003</v>
      </c>
      <c r="I1156" s="109">
        <v>0.15890000000000001</v>
      </c>
      <c r="J1156" s="109"/>
      <c r="K1156" s="109"/>
      <c r="L1156" s="67">
        <v>5000</v>
      </c>
      <c r="M1156" s="67">
        <v>500000</v>
      </c>
      <c r="N1156" s="105">
        <v>44197</v>
      </c>
      <c r="O1156" s="105">
        <v>44377</v>
      </c>
      <c r="P1156" t="s">
        <v>718</v>
      </c>
    </row>
    <row r="1157" spans="1:16" ht="15" customHeight="1" x14ac:dyDescent="0.3">
      <c r="A1157" t="str">
        <f t="shared" si="18"/>
        <v>17-0-HH 1RATE (WC)-SmartFIX – 1 Year</v>
      </c>
      <c r="B1157" s="67" t="s">
        <v>13</v>
      </c>
      <c r="C1157" s="67">
        <v>17</v>
      </c>
      <c r="D1157" s="99" t="s">
        <v>26</v>
      </c>
      <c r="E1157" s="67" t="s">
        <v>732</v>
      </c>
      <c r="F1157" s="67" t="s">
        <v>88</v>
      </c>
      <c r="G1157" s="67" t="s">
        <v>686</v>
      </c>
      <c r="H1157" s="127">
        <v>0.45</v>
      </c>
      <c r="I1157" s="109">
        <v>0.16619999999999999</v>
      </c>
      <c r="J1157" s="109"/>
      <c r="K1157" s="109"/>
      <c r="L1157" s="67">
        <v>5000</v>
      </c>
      <c r="M1157" s="67">
        <v>500000</v>
      </c>
      <c r="N1157" s="105">
        <v>44197</v>
      </c>
      <c r="O1157" s="105">
        <v>44377</v>
      </c>
      <c r="P1157" t="s">
        <v>718</v>
      </c>
    </row>
    <row r="1158" spans="1:16" ht="15" customHeight="1" x14ac:dyDescent="0.3">
      <c r="A1158" t="str">
        <f t="shared" si="18"/>
        <v>18-0-HH 1RATE (WC)-SmartFIX – 1 Year</v>
      </c>
      <c r="B1158" s="67" t="s">
        <v>13</v>
      </c>
      <c r="C1158" s="67">
        <v>18</v>
      </c>
      <c r="D1158" s="99" t="s">
        <v>27</v>
      </c>
      <c r="E1158" s="67" t="s">
        <v>732</v>
      </c>
      <c r="F1158" s="67" t="s">
        <v>88</v>
      </c>
      <c r="G1158" s="67" t="s">
        <v>686</v>
      </c>
      <c r="H1158" s="127">
        <v>0.39450000000000002</v>
      </c>
      <c r="I1158" s="109">
        <v>0.15629999999999999</v>
      </c>
      <c r="J1158" s="109"/>
      <c r="K1158" s="109"/>
      <c r="L1158" s="67">
        <v>5000</v>
      </c>
      <c r="M1158" s="67">
        <v>500000</v>
      </c>
      <c r="N1158" s="105">
        <v>44197</v>
      </c>
      <c r="O1158" s="105">
        <v>44377</v>
      </c>
      <c r="P1158" t="s">
        <v>718</v>
      </c>
    </row>
    <row r="1159" spans="1:16" ht="15" customHeight="1" x14ac:dyDescent="0.3">
      <c r="A1159" t="str">
        <f t="shared" si="18"/>
        <v>19-0-HH 1RATE (WC)-SmartFIX – 1 Year</v>
      </c>
      <c r="B1159" s="67" t="s">
        <v>13</v>
      </c>
      <c r="C1159" s="67">
        <v>19</v>
      </c>
      <c r="D1159" s="99" t="s">
        <v>28</v>
      </c>
      <c r="E1159" s="67" t="s">
        <v>732</v>
      </c>
      <c r="F1159" s="67" t="s">
        <v>88</v>
      </c>
      <c r="G1159" s="67" t="s">
        <v>686</v>
      </c>
      <c r="H1159" s="127">
        <v>0.39610000000000001</v>
      </c>
      <c r="I1159" s="109">
        <v>0.15459999999999999</v>
      </c>
      <c r="J1159" s="109"/>
      <c r="K1159" s="109"/>
      <c r="L1159" s="67">
        <v>5000</v>
      </c>
      <c r="M1159" s="67">
        <v>500000</v>
      </c>
      <c r="N1159" s="105">
        <v>44197</v>
      </c>
      <c r="O1159" s="105">
        <v>44377</v>
      </c>
      <c r="P1159" t="s">
        <v>718</v>
      </c>
    </row>
    <row r="1160" spans="1:16" ht="15" customHeight="1" x14ac:dyDescent="0.3">
      <c r="A1160" t="str">
        <f t="shared" si="18"/>
        <v>20-0-HH 1RATE (WC)-SmartFIX – 1 Year</v>
      </c>
      <c r="B1160" s="67" t="s">
        <v>13</v>
      </c>
      <c r="C1160" s="67">
        <v>20</v>
      </c>
      <c r="D1160" s="99" t="s">
        <v>29</v>
      </c>
      <c r="E1160" s="67" t="s">
        <v>732</v>
      </c>
      <c r="F1160" s="67" t="s">
        <v>88</v>
      </c>
      <c r="G1160" s="67" t="s">
        <v>686</v>
      </c>
      <c r="H1160" s="127">
        <v>0.38940000000000002</v>
      </c>
      <c r="I1160" s="109">
        <v>0.1585</v>
      </c>
      <c r="J1160" s="109"/>
      <c r="K1160" s="109"/>
      <c r="L1160" s="67">
        <v>5000</v>
      </c>
      <c r="M1160" s="67">
        <v>500000</v>
      </c>
      <c r="N1160" s="105">
        <v>44197</v>
      </c>
      <c r="O1160" s="105">
        <v>44377</v>
      </c>
      <c r="P1160" t="s">
        <v>718</v>
      </c>
    </row>
    <row r="1161" spans="1:16" ht="15" customHeight="1" x14ac:dyDescent="0.3">
      <c r="A1161" t="str">
        <f t="shared" si="18"/>
        <v>21-0-HH 1RATE (WC)-SmartFIX – 1 Year</v>
      </c>
      <c r="B1161" s="67" t="s">
        <v>13</v>
      </c>
      <c r="C1161" s="67">
        <v>21</v>
      </c>
      <c r="D1161" s="99" t="s">
        <v>30</v>
      </c>
      <c r="E1161" s="67" t="s">
        <v>732</v>
      </c>
      <c r="F1161" s="67" t="s">
        <v>88</v>
      </c>
      <c r="G1161" s="67" t="s">
        <v>686</v>
      </c>
      <c r="H1161" s="127">
        <v>0.49430000000000002</v>
      </c>
      <c r="I1161" s="109">
        <v>0.16220000000000001</v>
      </c>
      <c r="J1161" s="109"/>
      <c r="K1161" s="109"/>
      <c r="L1161" s="67">
        <v>5000</v>
      </c>
      <c r="M1161" s="67">
        <v>500000</v>
      </c>
      <c r="N1161" s="105">
        <v>44197</v>
      </c>
      <c r="O1161" s="105">
        <v>44377</v>
      </c>
      <c r="P1161" t="s">
        <v>718</v>
      </c>
    </row>
    <row r="1162" spans="1:16" ht="15" customHeight="1" x14ac:dyDescent="0.3">
      <c r="A1162" t="str">
        <f t="shared" si="18"/>
        <v>22-0-HH 1RATE (WC)-SmartFIX – 1 Year</v>
      </c>
      <c r="B1162" s="67" t="s">
        <v>13</v>
      </c>
      <c r="C1162" s="67">
        <v>22</v>
      </c>
      <c r="D1162" s="99" t="s">
        <v>31</v>
      </c>
      <c r="E1162" s="67" t="s">
        <v>732</v>
      </c>
      <c r="F1162" s="67" t="s">
        <v>88</v>
      </c>
      <c r="G1162" s="67" t="s">
        <v>686</v>
      </c>
      <c r="H1162" s="127">
        <v>0.44379999999999997</v>
      </c>
      <c r="I1162" s="109">
        <v>0.17399999999999999</v>
      </c>
      <c r="J1162" s="109"/>
      <c r="K1162" s="109"/>
      <c r="L1162" s="67">
        <v>5000</v>
      </c>
      <c r="M1162" s="67">
        <v>500000</v>
      </c>
      <c r="N1162" s="105">
        <v>44197</v>
      </c>
      <c r="O1162" s="105">
        <v>44377</v>
      </c>
      <c r="P1162" t="s">
        <v>718</v>
      </c>
    </row>
    <row r="1163" spans="1:16" ht="15" customHeight="1" x14ac:dyDescent="0.3">
      <c r="A1163" t="str">
        <f t="shared" si="18"/>
        <v>23-0-HH 1RATE (WC)-SmartFIX – 1 Year</v>
      </c>
      <c r="B1163" s="67" t="s">
        <v>13</v>
      </c>
      <c r="C1163" s="67">
        <v>23</v>
      </c>
      <c r="D1163" s="99" t="s">
        <v>32</v>
      </c>
      <c r="E1163" s="67" t="s">
        <v>732</v>
      </c>
      <c r="F1163" s="67" t="s">
        <v>88</v>
      </c>
      <c r="G1163" s="67" t="s">
        <v>686</v>
      </c>
      <c r="H1163" s="127">
        <v>0.40550000000000003</v>
      </c>
      <c r="I1163" s="109">
        <v>0.1502</v>
      </c>
      <c r="J1163" s="109"/>
      <c r="K1163" s="109"/>
      <c r="L1163" s="67">
        <v>5000</v>
      </c>
      <c r="M1163" s="67">
        <v>500000</v>
      </c>
      <c r="N1163" s="105">
        <v>44197</v>
      </c>
      <c r="O1163" s="105">
        <v>44377</v>
      </c>
      <c r="P1163" t="s">
        <v>718</v>
      </c>
    </row>
    <row r="1164" spans="1:16" ht="15" customHeight="1" x14ac:dyDescent="0.3">
      <c r="A1164" t="str">
        <f t="shared" ref="A1164:A1227" si="19">IF(E1164="OP","",CONCATENATE(C1164,"-",RIGHT(F1164,1),"-",IF(OR(E1164="1 Rate MD",E1164="DAY"),"U",IF(OR(E1164="2 Rate MD",E1164="E7"),"E7",IF(OR(E1164="3 Rate MD (EW)",E1164="EW"),"EW",IF(OR(E1164="3 Rate MD",E1164="EWN"),"3RATE",IF(E1164="HH 2RATE (CT)","HH 2RATE (CT)",IF(E1164="HH 2RATE (WC)","HH 2RATE (WC)",IF(E1164="HH 1RATE (CT)","HH 1RATE (CT)",IF(E1164="HH 1RATE (WC)","HH 1RATE (WC)")))))))),"-",G1164))</f>
        <v>10-0-HH 1RATE (WC)-SmartFIX – 1 Year Renewal</v>
      </c>
      <c r="B1164" s="67" t="s">
        <v>13</v>
      </c>
      <c r="C1164" s="67">
        <v>10</v>
      </c>
      <c r="D1164" s="99" t="s">
        <v>14</v>
      </c>
      <c r="E1164" s="67" t="s">
        <v>732</v>
      </c>
      <c r="F1164" s="67" t="s">
        <v>88</v>
      </c>
      <c r="G1164" s="67" t="s">
        <v>721</v>
      </c>
      <c r="H1164" s="127">
        <v>0.44330000000000003</v>
      </c>
      <c r="I1164" s="109">
        <v>0.16090000000000002</v>
      </c>
      <c r="J1164" s="109"/>
      <c r="K1164" s="109"/>
      <c r="L1164" s="67">
        <v>5000</v>
      </c>
      <c r="M1164" s="67">
        <v>500000</v>
      </c>
      <c r="N1164" s="105">
        <v>44197</v>
      </c>
      <c r="O1164" s="105">
        <v>44377</v>
      </c>
      <c r="P1164" t="s">
        <v>718</v>
      </c>
    </row>
    <row r="1165" spans="1:16" ht="15" customHeight="1" x14ac:dyDescent="0.3">
      <c r="A1165" t="str">
        <f t="shared" si="19"/>
        <v>11-0-HH 1RATE (WC)-SmartFIX – 1 Year Renewal</v>
      </c>
      <c r="B1165" s="67" t="s">
        <v>13</v>
      </c>
      <c r="C1165" s="67">
        <v>11</v>
      </c>
      <c r="D1165" s="99" t="s">
        <v>20</v>
      </c>
      <c r="E1165" s="67" t="s">
        <v>732</v>
      </c>
      <c r="F1165" s="67" t="s">
        <v>88</v>
      </c>
      <c r="G1165" s="67" t="s">
        <v>721</v>
      </c>
      <c r="H1165" s="127">
        <v>0.45440000000000003</v>
      </c>
      <c r="I1165" s="109">
        <v>0.1613</v>
      </c>
      <c r="J1165" s="109"/>
      <c r="K1165" s="109"/>
      <c r="L1165" s="67">
        <v>5000</v>
      </c>
      <c r="M1165" s="67">
        <v>500000</v>
      </c>
      <c r="N1165" s="105">
        <v>44197</v>
      </c>
      <c r="O1165" s="105">
        <v>44377</v>
      </c>
      <c r="P1165" t="s">
        <v>718</v>
      </c>
    </row>
    <row r="1166" spans="1:16" ht="15" customHeight="1" x14ac:dyDescent="0.3">
      <c r="A1166" t="str">
        <f t="shared" si="19"/>
        <v>12-0-HH 1RATE (WC)-SmartFIX – 1 Year Renewal</v>
      </c>
      <c r="B1166" s="67" t="s">
        <v>13</v>
      </c>
      <c r="C1166" s="67">
        <v>12</v>
      </c>
      <c r="D1166" s="99" t="s">
        <v>21</v>
      </c>
      <c r="E1166" s="67" t="s">
        <v>732</v>
      </c>
      <c r="F1166" s="67" t="s">
        <v>88</v>
      </c>
      <c r="G1166" s="67" t="s">
        <v>721</v>
      </c>
      <c r="H1166" s="127">
        <v>0.371</v>
      </c>
      <c r="I1166" s="109">
        <v>0.15540000000000001</v>
      </c>
      <c r="J1166" s="109"/>
      <c r="K1166" s="109"/>
      <c r="L1166" s="67">
        <v>5000</v>
      </c>
      <c r="M1166" s="67">
        <v>500000</v>
      </c>
      <c r="N1166" s="105">
        <v>44197</v>
      </c>
      <c r="O1166" s="105">
        <v>44377</v>
      </c>
      <c r="P1166" t="s">
        <v>718</v>
      </c>
    </row>
    <row r="1167" spans="1:16" ht="15" customHeight="1" x14ac:dyDescent="0.3">
      <c r="A1167" t="str">
        <f t="shared" si="19"/>
        <v>13-0-HH 1RATE (WC)-SmartFIX – 1 Year Renewal</v>
      </c>
      <c r="B1167" s="67" t="s">
        <v>13</v>
      </c>
      <c r="C1167" s="67">
        <v>13</v>
      </c>
      <c r="D1167" s="99" t="s">
        <v>22</v>
      </c>
      <c r="E1167" s="67" t="s">
        <v>732</v>
      </c>
      <c r="F1167" s="67" t="s">
        <v>88</v>
      </c>
      <c r="G1167" s="67" t="s">
        <v>721</v>
      </c>
      <c r="H1167" s="127">
        <v>0.4163</v>
      </c>
      <c r="I1167" s="109">
        <v>0.1845</v>
      </c>
      <c r="J1167" s="109"/>
      <c r="K1167" s="109"/>
      <c r="L1167" s="67">
        <v>5000</v>
      </c>
      <c r="M1167" s="67">
        <v>500000</v>
      </c>
      <c r="N1167" s="105">
        <v>44197</v>
      </c>
      <c r="O1167" s="105">
        <v>44377</v>
      </c>
      <c r="P1167" t="s">
        <v>718</v>
      </c>
    </row>
    <row r="1168" spans="1:16" ht="15" customHeight="1" x14ac:dyDescent="0.3">
      <c r="A1168" t="str">
        <f t="shared" si="19"/>
        <v>14-0-HH 1RATE (WC)-SmartFIX – 1 Year Renewal</v>
      </c>
      <c r="B1168" s="67" t="s">
        <v>13</v>
      </c>
      <c r="C1168" s="67">
        <v>14</v>
      </c>
      <c r="D1168" s="99" t="s">
        <v>23</v>
      </c>
      <c r="E1168" s="67" t="s">
        <v>732</v>
      </c>
      <c r="F1168" s="67" t="s">
        <v>88</v>
      </c>
      <c r="G1168" s="67" t="s">
        <v>721</v>
      </c>
      <c r="H1168" s="127">
        <v>0.4788</v>
      </c>
      <c r="I1168" s="109">
        <v>0.1651</v>
      </c>
      <c r="J1168" s="109"/>
      <c r="K1168" s="109"/>
      <c r="L1168" s="67">
        <v>5000</v>
      </c>
      <c r="M1168" s="67">
        <v>500000</v>
      </c>
      <c r="N1168" s="105">
        <v>44197</v>
      </c>
      <c r="O1168" s="105">
        <v>44377</v>
      </c>
      <c r="P1168" t="s">
        <v>718</v>
      </c>
    </row>
    <row r="1169" spans="1:16" ht="15" customHeight="1" x14ac:dyDescent="0.3">
      <c r="A1169" t="str">
        <f t="shared" si="19"/>
        <v>15-0-HH 1RATE (WC)-SmartFIX – 1 Year Renewal</v>
      </c>
      <c r="B1169" s="67" t="s">
        <v>13</v>
      </c>
      <c r="C1169" s="67">
        <v>15</v>
      </c>
      <c r="D1169" s="99" t="s">
        <v>24</v>
      </c>
      <c r="E1169" s="67" t="s">
        <v>732</v>
      </c>
      <c r="F1169" s="67" t="s">
        <v>88</v>
      </c>
      <c r="G1169" s="67" t="s">
        <v>721</v>
      </c>
      <c r="H1169" s="127">
        <v>0.4536</v>
      </c>
      <c r="I1169" s="109">
        <v>0.1603</v>
      </c>
      <c r="J1169" s="109"/>
      <c r="K1169" s="109"/>
      <c r="L1169" s="67">
        <v>5000</v>
      </c>
      <c r="M1169" s="67">
        <v>500000</v>
      </c>
      <c r="N1169" s="105">
        <v>44197</v>
      </c>
      <c r="O1169" s="105">
        <v>44377</v>
      </c>
      <c r="P1169" t="s">
        <v>718</v>
      </c>
    </row>
    <row r="1170" spans="1:16" ht="15" customHeight="1" x14ac:dyDescent="0.3">
      <c r="A1170" t="str">
        <f t="shared" si="19"/>
        <v>16-0-HH 1RATE (WC)-SmartFIX – 1 Year Renewal</v>
      </c>
      <c r="B1170" s="67" t="s">
        <v>13</v>
      </c>
      <c r="C1170" s="67">
        <v>16</v>
      </c>
      <c r="D1170" s="99" t="s">
        <v>25</v>
      </c>
      <c r="E1170" s="67" t="s">
        <v>732</v>
      </c>
      <c r="F1170" s="67" t="s">
        <v>88</v>
      </c>
      <c r="G1170" s="67" t="s">
        <v>721</v>
      </c>
      <c r="H1170" s="127">
        <v>0.40439999999999998</v>
      </c>
      <c r="I1170" s="109">
        <v>0.16490000000000002</v>
      </c>
      <c r="J1170" s="109"/>
      <c r="K1170" s="109"/>
      <c r="L1170" s="67">
        <v>5000</v>
      </c>
      <c r="M1170" s="67">
        <v>500000</v>
      </c>
      <c r="N1170" s="105">
        <v>44197</v>
      </c>
      <c r="O1170" s="105">
        <v>44377</v>
      </c>
      <c r="P1170" t="s">
        <v>718</v>
      </c>
    </row>
    <row r="1171" spans="1:16" ht="15" customHeight="1" x14ac:dyDescent="0.3">
      <c r="A1171" t="str">
        <f t="shared" si="19"/>
        <v>17-0-HH 1RATE (WC)-SmartFIX – 1 Year Renewal</v>
      </c>
      <c r="B1171" s="67" t="s">
        <v>13</v>
      </c>
      <c r="C1171" s="67">
        <v>17</v>
      </c>
      <c r="D1171" s="99" t="s">
        <v>26</v>
      </c>
      <c r="E1171" s="67" t="s">
        <v>732</v>
      </c>
      <c r="F1171" s="67" t="s">
        <v>88</v>
      </c>
      <c r="G1171" s="67" t="s">
        <v>721</v>
      </c>
      <c r="H1171" s="127">
        <v>0.495</v>
      </c>
      <c r="I1171" s="109">
        <v>0.17219999999999999</v>
      </c>
      <c r="J1171" s="109"/>
      <c r="K1171" s="109"/>
      <c r="L1171" s="67">
        <v>5000</v>
      </c>
      <c r="M1171" s="67">
        <v>500000</v>
      </c>
      <c r="N1171" s="105">
        <v>44197</v>
      </c>
      <c r="O1171" s="105">
        <v>44377</v>
      </c>
      <c r="P1171" t="s">
        <v>718</v>
      </c>
    </row>
    <row r="1172" spans="1:16" ht="15" customHeight="1" x14ac:dyDescent="0.3">
      <c r="A1172" t="str">
        <f t="shared" si="19"/>
        <v>18-0-HH 1RATE (WC)-SmartFIX – 1 Year Renewal</v>
      </c>
      <c r="B1172" s="67" t="s">
        <v>13</v>
      </c>
      <c r="C1172" s="67">
        <v>18</v>
      </c>
      <c r="D1172" s="99" t="s">
        <v>27</v>
      </c>
      <c r="E1172" s="67" t="s">
        <v>732</v>
      </c>
      <c r="F1172" s="67" t="s">
        <v>88</v>
      </c>
      <c r="G1172" s="67" t="s">
        <v>721</v>
      </c>
      <c r="H1172" s="127">
        <v>0.43390000000000001</v>
      </c>
      <c r="I1172" s="109">
        <v>0.1623</v>
      </c>
      <c r="J1172" s="109"/>
      <c r="K1172" s="109"/>
      <c r="L1172" s="67">
        <v>5000</v>
      </c>
      <c r="M1172" s="67">
        <v>500000</v>
      </c>
      <c r="N1172" s="105">
        <v>44197</v>
      </c>
      <c r="O1172" s="105">
        <v>44377</v>
      </c>
      <c r="P1172" t="s">
        <v>718</v>
      </c>
    </row>
    <row r="1173" spans="1:16" ht="15" customHeight="1" x14ac:dyDescent="0.3">
      <c r="A1173" t="str">
        <f t="shared" si="19"/>
        <v>19-0-HH 1RATE (WC)-SmartFIX – 1 Year Renewal</v>
      </c>
      <c r="B1173" s="67" t="s">
        <v>13</v>
      </c>
      <c r="C1173" s="67">
        <v>19</v>
      </c>
      <c r="D1173" s="99" t="s">
        <v>28</v>
      </c>
      <c r="E1173" s="67" t="s">
        <v>732</v>
      </c>
      <c r="F1173" s="67" t="s">
        <v>88</v>
      </c>
      <c r="G1173" s="67" t="s">
        <v>721</v>
      </c>
      <c r="H1173" s="127">
        <v>0.43569999999999998</v>
      </c>
      <c r="I1173" s="109">
        <v>0.16059999999999999</v>
      </c>
      <c r="J1173" s="109"/>
      <c r="K1173" s="109"/>
      <c r="L1173" s="67">
        <v>5000</v>
      </c>
      <c r="M1173" s="67">
        <v>500000</v>
      </c>
      <c r="N1173" s="105">
        <v>44197</v>
      </c>
      <c r="O1173" s="105">
        <v>44377</v>
      </c>
      <c r="P1173" t="s">
        <v>718</v>
      </c>
    </row>
    <row r="1174" spans="1:16" ht="15" customHeight="1" x14ac:dyDescent="0.3">
      <c r="A1174" t="str">
        <f t="shared" si="19"/>
        <v>20-0-HH 1RATE (WC)-SmartFIX – 1 Year Renewal</v>
      </c>
      <c r="B1174" s="67" t="s">
        <v>13</v>
      </c>
      <c r="C1174" s="67">
        <v>20</v>
      </c>
      <c r="D1174" s="99" t="s">
        <v>29</v>
      </c>
      <c r="E1174" s="67" t="s">
        <v>732</v>
      </c>
      <c r="F1174" s="67" t="s">
        <v>88</v>
      </c>
      <c r="G1174" s="67" t="s">
        <v>721</v>
      </c>
      <c r="H1174" s="127">
        <v>0.42830000000000001</v>
      </c>
      <c r="I1174" s="109">
        <v>0.16450000000000001</v>
      </c>
      <c r="J1174" s="109"/>
      <c r="K1174" s="109"/>
      <c r="L1174" s="67">
        <v>5000</v>
      </c>
      <c r="M1174" s="67">
        <v>500000</v>
      </c>
      <c r="N1174" s="105">
        <v>44197</v>
      </c>
      <c r="O1174" s="105">
        <v>44377</v>
      </c>
      <c r="P1174" t="s">
        <v>718</v>
      </c>
    </row>
    <row r="1175" spans="1:16" ht="15" customHeight="1" x14ac:dyDescent="0.3">
      <c r="A1175" t="str">
        <f t="shared" si="19"/>
        <v>21-0-HH 1RATE (WC)-SmartFIX – 1 Year Renewal</v>
      </c>
      <c r="B1175" s="67" t="s">
        <v>13</v>
      </c>
      <c r="C1175" s="67">
        <v>21</v>
      </c>
      <c r="D1175" s="99" t="s">
        <v>30</v>
      </c>
      <c r="E1175" s="67" t="s">
        <v>732</v>
      </c>
      <c r="F1175" s="67" t="s">
        <v>88</v>
      </c>
      <c r="G1175" s="67" t="s">
        <v>721</v>
      </c>
      <c r="H1175" s="127">
        <v>0.54369999999999996</v>
      </c>
      <c r="I1175" s="109">
        <v>0.16820000000000002</v>
      </c>
      <c r="J1175" s="109"/>
      <c r="K1175" s="109"/>
      <c r="L1175" s="67">
        <v>5000</v>
      </c>
      <c r="M1175" s="67">
        <v>500000</v>
      </c>
      <c r="N1175" s="105">
        <v>44197</v>
      </c>
      <c r="O1175" s="105">
        <v>44377</v>
      </c>
      <c r="P1175" t="s">
        <v>718</v>
      </c>
    </row>
    <row r="1176" spans="1:16" ht="15" customHeight="1" x14ac:dyDescent="0.3">
      <c r="A1176" t="str">
        <f t="shared" si="19"/>
        <v>22-0-HH 1RATE (WC)-SmartFIX – 1 Year Renewal</v>
      </c>
      <c r="B1176" s="67" t="s">
        <v>13</v>
      </c>
      <c r="C1176" s="67">
        <v>22</v>
      </c>
      <c r="D1176" s="99" t="s">
        <v>31</v>
      </c>
      <c r="E1176" s="67" t="s">
        <v>732</v>
      </c>
      <c r="F1176" s="67" t="s">
        <v>88</v>
      </c>
      <c r="G1176" s="67" t="s">
        <v>721</v>
      </c>
      <c r="H1176" s="127">
        <v>0.48820000000000002</v>
      </c>
      <c r="I1176" s="109">
        <v>0.18</v>
      </c>
      <c r="J1176" s="109"/>
      <c r="K1176" s="109"/>
      <c r="L1176" s="67">
        <v>5000</v>
      </c>
      <c r="M1176" s="67">
        <v>500000</v>
      </c>
      <c r="N1176" s="105">
        <v>44197</v>
      </c>
      <c r="O1176" s="105">
        <v>44377</v>
      </c>
      <c r="P1176" t="s">
        <v>718</v>
      </c>
    </row>
    <row r="1177" spans="1:16" ht="15" customHeight="1" x14ac:dyDescent="0.3">
      <c r="A1177" t="str">
        <f t="shared" si="19"/>
        <v>23-0-HH 1RATE (WC)-SmartFIX – 1 Year Renewal</v>
      </c>
      <c r="B1177" s="67" t="s">
        <v>13</v>
      </c>
      <c r="C1177" s="67">
        <v>23</v>
      </c>
      <c r="D1177" s="99" t="s">
        <v>32</v>
      </c>
      <c r="E1177" s="67" t="s">
        <v>732</v>
      </c>
      <c r="F1177" s="67" t="s">
        <v>88</v>
      </c>
      <c r="G1177" s="67" t="s">
        <v>721</v>
      </c>
      <c r="H1177" s="127">
        <v>0.44600000000000001</v>
      </c>
      <c r="I1177" s="109">
        <v>0.15620000000000001</v>
      </c>
      <c r="J1177" s="109"/>
      <c r="K1177" s="109"/>
      <c r="L1177" s="67">
        <v>5000</v>
      </c>
      <c r="M1177" s="67">
        <v>500000</v>
      </c>
      <c r="N1177" s="105">
        <v>44197</v>
      </c>
      <c r="O1177" s="105">
        <v>44377</v>
      </c>
      <c r="P1177" t="s">
        <v>718</v>
      </c>
    </row>
    <row r="1178" spans="1:16" ht="15" customHeight="1" x14ac:dyDescent="0.3">
      <c r="A1178" t="str">
        <f t="shared" si="19"/>
        <v>10-0-HH 1RATE (WC)-SmartFIX – 2 Year</v>
      </c>
      <c r="B1178" s="67" t="s">
        <v>13</v>
      </c>
      <c r="C1178" s="67">
        <v>10</v>
      </c>
      <c r="D1178" s="99" t="s">
        <v>14</v>
      </c>
      <c r="E1178" s="67" t="s">
        <v>732</v>
      </c>
      <c r="F1178" s="67" t="s">
        <v>88</v>
      </c>
      <c r="G1178" s="67" t="s">
        <v>687</v>
      </c>
      <c r="H1178" s="127">
        <v>0.41099999999999998</v>
      </c>
      <c r="I1178" s="109">
        <v>0.15340000000000001</v>
      </c>
      <c r="J1178" s="109"/>
      <c r="K1178" s="109"/>
      <c r="L1178" s="67">
        <v>5000</v>
      </c>
      <c r="M1178" s="67">
        <v>500000</v>
      </c>
      <c r="N1178" s="105">
        <v>44197</v>
      </c>
      <c r="O1178" s="105">
        <v>44377</v>
      </c>
      <c r="P1178" t="s">
        <v>718</v>
      </c>
    </row>
    <row r="1179" spans="1:16" ht="15" customHeight="1" x14ac:dyDescent="0.3">
      <c r="A1179" t="str">
        <f t="shared" si="19"/>
        <v>11-0-HH 1RATE (WC)-SmartFIX – 2 Year</v>
      </c>
      <c r="B1179" s="67" t="s">
        <v>13</v>
      </c>
      <c r="C1179" s="67">
        <v>11</v>
      </c>
      <c r="D1179" s="99" t="s">
        <v>20</v>
      </c>
      <c r="E1179" s="67" t="s">
        <v>732</v>
      </c>
      <c r="F1179" s="67" t="s">
        <v>88</v>
      </c>
      <c r="G1179" s="67" t="s">
        <v>687</v>
      </c>
      <c r="H1179" s="127">
        <v>0.4214</v>
      </c>
      <c r="I1179" s="109">
        <v>0.15340000000000001</v>
      </c>
      <c r="J1179" s="109"/>
      <c r="K1179" s="109"/>
      <c r="L1179" s="67">
        <v>5000</v>
      </c>
      <c r="M1179" s="67">
        <v>500000</v>
      </c>
      <c r="N1179" s="105">
        <v>44197</v>
      </c>
      <c r="O1179" s="105">
        <v>44377</v>
      </c>
      <c r="P1179" t="s">
        <v>718</v>
      </c>
    </row>
    <row r="1180" spans="1:16" ht="15" customHeight="1" x14ac:dyDescent="0.3">
      <c r="A1180" t="str">
        <f t="shared" si="19"/>
        <v>12-0-HH 1RATE (WC)-SmartFIX – 2 Year</v>
      </c>
      <c r="B1180" s="67" t="s">
        <v>13</v>
      </c>
      <c r="C1180" s="67">
        <v>12</v>
      </c>
      <c r="D1180" s="99" t="s">
        <v>21</v>
      </c>
      <c r="E1180" s="67" t="s">
        <v>732</v>
      </c>
      <c r="F1180" s="67" t="s">
        <v>88</v>
      </c>
      <c r="G1180" s="67" t="s">
        <v>687</v>
      </c>
      <c r="H1180" s="127">
        <v>0.34410000000000002</v>
      </c>
      <c r="I1180" s="109">
        <v>0.14760000000000001</v>
      </c>
      <c r="J1180" s="109"/>
      <c r="K1180" s="109"/>
      <c r="L1180" s="67">
        <v>5000</v>
      </c>
      <c r="M1180" s="67">
        <v>500000</v>
      </c>
      <c r="N1180" s="105">
        <v>44197</v>
      </c>
      <c r="O1180" s="105">
        <v>44377</v>
      </c>
      <c r="P1180" t="s">
        <v>718</v>
      </c>
    </row>
    <row r="1181" spans="1:16" ht="15" customHeight="1" x14ac:dyDescent="0.3">
      <c r="A1181" t="str">
        <f t="shared" si="19"/>
        <v>13-0-HH 1RATE (WC)-SmartFIX – 2 Year</v>
      </c>
      <c r="B1181" s="67" t="s">
        <v>13</v>
      </c>
      <c r="C1181" s="67">
        <v>13</v>
      </c>
      <c r="D1181" s="99" t="s">
        <v>22</v>
      </c>
      <c r="E1181" s="67" t="s">
        <v>732</v>
      </c>
      <c r="F1181" s="67" t="s">
        <v>88</v>
      </c>
      <c r="G1181" s="67" t="s">
        <v>687</v>
      </c>
      <c r="H1181" s="127">
        <v>0.3861</v>
      </c>
      <c r="I1181" s="109">
        <v>0.18090000000000001</v>
      </c>
      <c r="J1181" s="109"/>
      <c r="K1181" s="109"/>
      <c r="L1181" s="67">
        <v>5000</v>
      </c>
      <c r="M1181" s="67">
        <v>500000</v>
      </c>
      <c r="N1181" s="105">
        <v>44197</v>
      </c>
      <c r="O1181" s="105">
        <v>44377</v>
      </c>
      <c r="P1181" t="s">
        <v>718</v>
      </c>
    </row>
    <row r="1182" spans="1:16" ht="15" customHeight="1" x14ac:dyDescent="0.3">
      <c r="A1182" t="str">
        <f t="shared" si="19"/>
        <v>14-0-HH 1RATE (WC)-SmartFIX – 2 Year</v>
      </c>
      <c r="B1182" s="67" t="s">
        <v>13</v>
      </c>
      <c r="C1182" s="67">
        <v>14</v>
      </c>
      <c r="D1182" s="99" t="s">
        <v>23</v>
      </c>
      <c r="E1182" s="67" t="s">
        <v>732</v>
      </c>
      <c r="F1182" s="67" t="s">
        <v>88</v>
      </c>
      <c r="G1182" s="67" t="s">
        <v>687</v>
      </c>
      <c r="H1182" s="127">
        <v>0.44400000000000001</v>
      </c>
      <c r="I1182" s="109">
        <v>0.15690000000000001</v>
      </c>
      <c r="J1182" s="109"/>
      <c r="K1182" s="109"/>
      <c r="L1182" s="67">
        <v>5000</v>
      </c>
      <c r="M1182" s="67">
        <v>500000</v>
      </c>
      <c r="N1182" s="105">
        <v>44197</v>
      </c>
      <c r="O1182" s="105">
        <v>44377</v>
      </c>
      <c r="P1182" t="s">
        <v>718</v>
      </c>
    </row>
    <row r="1183" spans="1:16" ht="15" customHeight="1" x14ac:dyDescent="0.3">
      <c r="A1183" t="str">
        <f t="shared" si="19"/>
        <v>15-0-HH 1RATE (WC)-SmartFIX – 2 Year</v>
      </c>
      <c r="B1183" s="67" t="s">
        <v>13</v>
      </c>
      <c r="C1183" s="67">
        <v>15</v>
      </c>
      <c r="D1183" s="99" t="s">
        <v>24</v>
      </c>
      <c r="E1183" s="67" t="s">
        <v>732</v>
      </c>
      <c r="F1183" s="67" t="s">
        <v>88</v>
      </c>
      <c r="G1183" s="67" t="s">
        <v>687</v>
      </c>
      <c r="H1183" s="127">
        <v>0.42070000000000002</v>
      </c>
      <c r="I1183" s="109">
        <v>0.156</v>
      </c>
      <c r="J1183" s="109"/>
      <c r="K1183" s="109"/>
      <c r="L1183" s="67">
        <v>5000</v>
      </c>
      <c r="M1183" s="67">
        <v>500000</v>
      </c>
      <c r="N1183" s="105">
        <v>44197</v>
      </c>
      <c r="O1183" s="105">
        <v>44377</v>
      </c>
      <c r="P1183" t="s">
        <v>718</v>
      </c>
    </row>
    <row r="1184" spans="1:16" ht="15" customHeight="1" x14ac:dyDescent="0.3">
      <c r="A1184" t="str">
        <f t="shared" si="19"/>
        <v>16-0-HH 1RATE (WC)-SmartFIX – 2 Year</v>
      </c>
      <c r="B1184" s="67" t="s">
        <v>13</v>
      </c>
      <c r="C1184" s="67">
        <v>16</v>
      </c>
      <c r="D1184" s="99" t="s">
        <v>25</v>
      </c>
      <c r="E1184" s="67" t="s">
        <v>732</v>
      </c>
      <c r="F1184" s="67" t="s">
        <v>88</v>
      </c>
      <c r="G1184" s="67" t="s">
        <v>687</v>
      </c>
      <c r="H1184" s="127">
        <v>0.375</v>
      </c>
      <c r="I1184" s="109">
        <v>0.15840000000000001</v>
      </c>
      <c r="J1184" s="109"/>
      <c r="K1184" s="109"/>
      <c r="L1184" s="67">
        <v>5000</v>
      </c>
      <c r="M1184" s="67">
        <v>500000</v>
      </c>
      <c r="N1184" s="105">
        <v>44197</v>
      </c>
      <c r="O1184" s="105">
        <v>44377</v>
      </c>
      <c r="P1184" t="s">
        <v>718</v>
      </c>
    </row>
    <row r="1185" spans="1:16" ht="15" customHeight="1" x14ac:dyDescent="0.3">
      <c r="A1185" t="str">
        <f t="shared" si="19"/>
        <v>17-0-HH 1RATE (WC)-SmartFIX – 2 Year</v>
      </c>
      <c r="B1185" s="67" t="s">
        <v>13</v>
      </c>
      <c r="C1185" s="67">
        <v>17</v>
      </c>
      <c r="D1185" s="99" t="s">
        <v>26</v>
      </c>
      <c r="E1185" s="67" t="s">
        <v>732</v>
      </c>
      <c r="F1185" s="67" t="s">
        <v>88</v>
      </c>
      <c r="G1185" s="67" t="s">
        <v>687</v>
      </c>
      <c r="H1185" s="127">
        <v>0.45900000000000002</v>
      </c>
      <c r="I1185" s="109">
        <v>0.16539999999999999</v>
      </c>
      <c r="J1185" s="109"/>
      <c r="K1185" s="109"/>
      <c r="L1185" s="67">
        <v>5000</v>
      </c>
      <c r="M1185" s="67">
        <v>500000</v>
      </c>
      <c r="N1185" s="105">
        <v>44197</v>
      </c>
      <c r="O1185" s="105">
        <v>44377</v>
      </c>
      <c r="P1185" t="s">
        <v>718</v>
      </c>
    </row>
    <row r="1186" spans="1:16" ht="15" customHeight="1" x14ac:dyDescent="0.3">
      <c r="A1186" t="str">
        <f t="shared" si="19"/>
        <v>18-0-HH 1RATE (WC)-SmartFIX – 2 Year</v>
      </c>
      <c r="B1186" s="67" t="s">
        <v>13</v>
      </c>
      <c r="C1186" s="67">
        <v>18</v>
      </c>
      <c r="D1186" s="99" t="s">
        <v>27</v>
      </c>
      <c r="E1186" s="67" t="s">
        <v>732</v>
      </c>
      <c r="F1186" s="67" t="s">
        <v>88</v>
      </c>
      <c r="G1186" s="67" t="s">
        <v>687</v>
      </c>
      <c r="H1186" s="127">
        <v>0.40239999999999998</v>
      </c>
      <c r="I1186" s="109">
        <v>0.15790000000000001</v>
      </c>
      <c r="J1186" s="109"/>
      <c r="K1186" s="109"/>
      <c r="L1186" s="67">
        <v>5000</v>
      </c>
      <c r="M1186" s="67">
        <v>500000</v>
      </c>
      <c r="N1186" s="105">
        <v>44197</v>
      </c>
      <c r="O1186" s="105">
        <v>44377</v>
      </c>
      <c r="P1186" t="s">
        <v>718</v>
      </c>
    </row>
    <row r="1187" spans="1:16" ht="15" customHeight="1" x14ac:dyDescent="0.3">
      <c r="A1187" t="str">
        <f t="shared" si="19"/>
        <v>19-0-HH 1RATE (WC)-SmartFIX – 2 Year</v>
      </c>
      <c r="B1187" s="67" t="s">
        <v>13</v>
      </c>
      <c r="C1187" s="67">
        <v>19</v>
      </c>
      <c r="D1187" s="99" t="s">
        <v>28</v>
      </c>
      <c r="E1187" s="67" t="s">
        <v>732</v>
      </c>
      <c r="F1187" s="67" t="s">
        <v>88</v>
      </c>
      <c r="G1187" s="67" t="s">
        <v>687</v>
      </c>
      <c r="H1187" s="127">
        <v>0.40400000000000003</v>
      </c>
      <c r="I1187" s="109">
        <v>0.15129999999999999</v>
      </c>
      <c r="J1187" s="109"/>
      <c r="K1187" s="109"/>
      <c r="L1187" s="67">
        <v>5000</v>
      </c>
      <c r="M1187" s="67">
        <v>500000</v>
      </c>
      <c r="N1187" s="105">
        <v>44197</v>
      </c>
      <c r="O1187" s="105">
        <v>44377</v>
      </c>
      <c r="P1187" t="s">
        <v>718</v>
      </c>
    </row>
    <row r="1188" spans="1:16" ht="15" customHeight="1" x14ac:dyDescent="0.3">
      <c r="A1188" t="str">
        <f t="shared" si="19"/>
        <v>20-0-HH 1RATE (WC)-SmartFIX – 2 Year</v>
      </c>
      <c r="B1188" s="67" t="s">
        <v>13</v>
      </c>
      <c r="C1188" s="67">
        <v>20</v>
      </c>
      <c r="D1188" s="99" t="s">
        <v>29</v>
      </c>
      <c r="E1188" s="67" t="s">
        <v>732</v>
      </c>
      <c r="F1188" s="67" t="s">
        <v>88</v>
      </c>
      <c r="G1188" s="67" t="s">
        <v>687</v>
      </c>
      <c r="H1188" s="127">
        <v>0.3972</v>
      </c>
      <c r="I1188" s="109">
        <v>0.15720000000000001</v>
      </c>
      <c r="J1188" s="109"/>
      <c r="K1188" s="109"/>
      <c r="L1188" s="67">
        <v>5000</v>
      </c>
      <c r="M1188" s="67">
        <v>500000</v>
      </c>
      <c r="N1188" s="105">
        <v>44197</v>
      </c>
      <c r="O1188" s="105">
        <v>44377</v>
      </c>
      <c r="P1188" t="s">
        <v>718</v>
      </c>
    </row>
    <row r="1189" spans="1:16" ht="15" customHeight="1" x14ac:dyDescent="0.3">
      <c r="A1189" t="str">
        <f t="shared" si="19"/>
        <v>21-0-HH 1RATE (WC)-SmartFIX – 2 Year</v>
      </c>
      <c r="B1189" s="67" t="s">
        <v>13</v>
      </c>
      <c r="C1189" s="67">
        <v>21</v>
      </c>
      <c r="D1189" s="99" t="s">
        <v>30</v>
      </c>
      <c r="E1189" s="67" t="s">
        <v>732</v>
      </c>
      <c r="F1189" s="67" t="s">
        <v>88</v>
      </c>
      <c r="G1189" s="67" t="s">
        <v>687</v>
      </c>
      <c r="H1189" s="127">
        <v>0.50419999999999998</v>
      </c>
      <c r="I1189" s="109">
        <v>0.15959999999999999</v>
      </c>
      <c r="J1189" s="109"/>
      <c r="K1189" s="109"/>
      <c r="L1189" s="67">
        <v>5000</v>
      </c>
      <c r="M1189" s="67">
        <v>500000</v>
      </c>
      <c r="N1189" s="105">
        <v>44197</v>
      </c>
      <c r="O1189" s="105">
        <v>44377</v>
      </c>
      <c r="P1189" t="s">
        <v>718</v>
      </c>
    </row>
    <row r="1190" spans="1:16" ht="15" customHeight="1" x14ac:dyDescent="0.3">
      <c r="A1190" t="str">
        <f t="shared" si="19"/>
        <v>22-0-HH 1RATE (WC)-SmartFIX – 2 Year</v>
      </c>
      <c r="B1190" s="67" t="s">
        <v>13</v>
      </c>
      <c r="C1190" s="67">
        <v>22</v>
      </c>
      <c r="D1190" s="99" t="s">
        <v>31</v>
      </c>
      <c r="E1190" s="67" t="s">
        <v>732</v>
      </c>
      <c r="F1190" s="67" t="s">
        <v>88</v>
      </c>
      <c r="G1190" s="67" t="s">
        <v>687</v>
      </c>
      <c r="H1190" s="127">
        <v>0.4526</v>
      </c>
      <c r="I1190" s="109">
        <v>0.17050000000000001</v>
      </c>
      <c r="J1190" s="109"/>
      <c r="K1190" s="109"/>
      <c r="L1190" s="67">
        <v>5000</v>
      </c>
      <c r="M1190" s="67">
        <v>500000</v>
      </c>
      <c r="N1190" s="105">
        <v>44197</v>
      </c>
      <c r="O1190" s="105">
        <v>44377</v>
      </c>
      <c r="P1190" t="s">
        <v>718</v>
      </c>
    </row>
    <row r="1191" spans="1:16" ht="15" customHeight="1" x14ac:dyDescent="0.3">
      <c r="A1191" t="str">
        <f t="shared" si="19"/>
        <v>23-0-HH 1RATE (WC)-SmartFIX – 2 Year</v>
      </c>
      <c r="B1191" s="67" t="s">
        <v>13</v>
      </c>
      <c r="C1191" s="67">
        <v>23</v>
      </c>
      <c r="D1191" s="99" t="s">
        <v>32</v>
      </c>
      <c r="E1191" s="67" t="s">
        <v>732</v>
      </c>
      <c r="F1191" s="67" t="s">
        <v>88</v>
      </c>
      <c r="G1191" s="67" t="s">
        <v>687</v>
      </c>
      <c r="H1191" s="127">
        <v>0.41370000000000001</v>
      </c>
      <c r="I1191" s="109">
        <v>0.1489</v>
      </c>
      <c r="J1191" s="109"/>
      <c r="K1191" s="109"/>
      <c r="L1191" s="67">
        <v>5000</v>
      </c>
      <c r="M1191" s="67">
        <v>500000</v>
      </c>
      <c r="N1191" s="105">
        <v>44197</v>
      </c>
      <c r="O1191" s="105">
        <v>44377</v>
      </c>
      <c r="P1191" t="s">
        <v>718</v>
      </c>
    </row>
    <row r="1192" spans="1:16" ht="15" customHeight="1" x14ac:dyDescent="0.3">
      <c r="A1192" t="str">
        <f t="shared" si="19"/>
        <v>10-0-HH 1RATE (WC)-SmartFIX – 2 Year Renewal</v>
      </c>
      <c r="B1192" s="67" t="s">
        <v>13</v>
      </c>
      <c r="C1192" s="67">
        <v>10</v>
      </c>
      <c r="D1192" s="99" t="s">
        <v>14</v>
      </c>
      <c r="E1192" s="67" t="s">
        <v>732</v>
      </c>
      <c r="F1192" s="67" t="s">
        <v>88</v>
      </c>
      <c r="G1192" s="67" t="s">
        <v>722</v>
      </c>
      <c r="H1192" s="127">
        <v>0.4521</v>
      </c>
      <c r="I1192" s="109">
        <v>0.15940000000000001</v>
      </c>
      <c r="J1192" s="109"/>
      <c r="K1192" s="109"/>
      <c r="L1192" s="67">
        <v>5000</v>
      </c>
      <c r="M1192" s="67">
        <v>500000</v>
      </c>
      <c r="N1192" s="105">
        <v>44197</v>
      </c>
      <c r="O1192" s="105">
        <v>44377</v>
      </c>
      <c r="P1192" t="s">
        <v>718</v>
      </c>
    </row>
    <row r="1193" spans="1:16" ht="15" customHeight="1" x14ac:dyDescent="0.3">
      <c r="A1193" t="str">
        <f t="shared" si="19"/>
        <v>11-0-HH 1RATE (WC)-SmartFIX – 2 Year Renewal</v>
      </c>
      <c r="B1193" s="67" t="s">
        <v>13</v>
      </c>
      <c r="C1193" s="67">
        <v>11</v>
      </c>
      <c r="D1193" s="99" t="s">
        <v>20</v>
      </c>
      <c r="E1193" s="67" t="s">
        <v>732</v>
      </c>
      <c r="F1193" s="67" t="s">
        <v>88</v>
      </c>
      <c r="G1193" s="67" t="s">
        <v>722</v>
      </c>
      <c r="H1193" s="127">
        <v>0.46350000000000002</v>
      </c>
      <c r="I1193" s="109">
        <v>0.15940000000000001</v>
      </c>
      <c r="J1193" s="109"/>
      <c r="K1193" s="109"/>
      <c r="L1193" s="67">
        <v>5000</v>
      </c>
      <c r="M1193" s="67">
        <v>500000</v>
      </c>
      <c r="N1193" s="105">
        <v>44197</v>
      </c>
      <c r="O1193" s="105">
        <v>44377</v>
      </c>
      <c r="P1193" t="s">
        <v>718</v>
      </c>
    </row>
    <row r="1194" spans="1:16" ht="15" customHeight="1" x14ac:dyDescent="0.3">
      <c r="A1194" t="str">
        <f t="shared" si="19"/>
        <v>12-0-HH 1RATE (WC)-SmartFIX – 2 Year Renewal</v>
      </c>
      <c r="B1194" s="67" t="s">
        <v>13</v>
      </c>
      <c r="C1194" s="67">
        <v>12</v>
      </c>
      <c r="D1194" s="99" t="s">
        <v>21</v>
      </c>
      <c r="E1194" s="67" t="s">
        <v>732</v>
      </c>
      <c r="F1194" s="67" t="s">
        <v>88</v>
      </c>
      <c r="G1194" s="67" t="s">
        <v>722</v>
      </c>
      <c r="H1194" s="127">
        <v>0.3785</v>
      </c>
      <c r="I1194" s="109">
        <v>0.15360000000000001</v>
      </c>
      <c r="J1194" s="109"/>
      <c r="K1194" s="109"/>
      <c r="L1194" s="67">
        <v>5000</v>
      </c>
      <c r="M1194" s="67">
        <v>500000</v>
      </c>
      <c r="N1194" s="105">
        <v>44197</v>
      </c>
      <c r="O1194" s="105">
        <v>44377</v>
      </c>
      <c r="P1194" t="s">
        <v>718</v>
      </c>
    </row>
    <row r="1195" spans="1:16" ht="15" customHeight="1" x14ac:dyDescent="0.3">
      <c r="A1195" t="str">
        <f t="shared" si="19"/>
        <v>13-0-HH 1RATE (WC)-SmartFIX – 2 Year Renewal</v>
      </c>
      <c r="B1195" s="67" t="s">
        <v>13</v>
      </c>
      <c r="C1195" s="67">
        <v>13</v>
      </c>
      <c r="D1195" s="99" t="s">
        <v>22</v>
      </c>
      <c r="E1195" s="67" t="s">
        <v>732</v>
      </c>
      <c r="F1195" s="67" t="s">
        <v>88</v>
      </c>
      <c r="G1195" s="67" t="s">
        <v>722</v>
      </c>
      <c r="H1195" s="127">
        <v>0.42470000000000002</v>
      </c>
      <c r="I1195" s="109">
        <v>0.18690000000000001</v>
      </c>
      <c r="J1195" s="109"/>
      <c r="K1195" s="109"/>
      <c r="L1195" s="67">
        <v>5000</v>
      </c>
      <c r="M1195" s="67">
        <v>500000</v>
      </c>
      <c r="N1195" s="105">
        <v>44197</v>
      </c>
      <c r="O1195" s="105">
        <v>44377</v>
      </c>
      <c r="P1195" t="s">
        <v>718</v>
      </c>
    </row>
    <row r="1196" spans="1:16" ht="15" customHeight="1" x14ac:dyDescent="0.3">
      <c r="A1196" t="str">
        <f t="shared" si="19"/>
        <v>14-0-HH 1RATE (WC)-SmartFIX – 2 Year Renewal</v>
      </c>
      <c r="B1196" s="67" t="s">
        <v>13</v>
      </c>
      <c r="C1196" s="67">
        <v>14</v>
      </c>
      <c r="D1196" s="99" t="s">
        <v>23</v>
      </c>
      <c r="E1196" s="67" t="s">
        <v>732</v>
      </c>
      <c r="F1196" s="67" t="s">
        <v>88</v>
      </c>
      <c r="G1196" s="67" t="s">
        <v>722</v>
      </c>
      <c r="H1196" s="127">
        <v>0.4884</v>
      </c>
      <c r="I1196" s="109">
        <v>0.16290000000000002</v>
      </c>
      <c r="J1196" s="109"/>
      <c r="K1196" s="109"/>
      <c r="L1196" s="67">
        <v>5000</v>
      </c>
      <c r="M1196" s="67">
        <v>500000</v>
      </c>
      <c r="N1196" s="105">
        <v>44197</v>
      </c>
      <c r="O1196" s="105">
        <v>44377</v>
      </c>
      <c r="P1196" t="s">
        <v>718</v>
      </c>
    </row>
    <row r="1197" spans="1:16" ht="15" customHeight="1" x14ac:dyDescent="0.3">
      <c r="A1197" t="str">
        <f t="shared" si="19"/>
        <v>15-0-HH 1RATE (WC)-SmartFIX – 2 Year Renewal</v>
      </c>
      <c r="B1197" s="67" t="s">
        <v>13</v>
      </c>
      <c r="C1197" s="67">
        <v>15</v>
      </c>
      <c r="D1197" s="99" t="s">
        <v>24</v>
      </c>
      <c r="E1197" s="67" t="s">
        <v>732</v>
      </c>
      <c r="F1197" s="67" t="s">
        <v>88</v>
      </c>
      <c r="G1197" s="67" t="s">
        <v>722</v>
      </c>
      <c r="H1197" s="127">
        <v>0.4627</v>
      </c>
      <c r="I1197" s="109">
        <v>0.16200000000000001</v>
      </c>
      <c r="J1197" s="109"/>
      <c r="K1197" s="109"/>
      <c r="L1197" s="67">
        <v>5000</v>
      </c>
      <c r="M1197" s="67">
        <v>500000</v>
      </c>
      <c r="N1197" s="105">
        <v>44197</v>
      </c>
      <c r="O1197" s="105">
        <v>44377</v>
      </c>
      <c r="P1197" t="s">
        <v>718</v>
      </c>
    </row>
    <row r="1198" spans="1:16" ht="15" customHeight="1" x14ac:dyDescent="0.3">
      <c r="A1198" t="str">
        <f t="shared" si="19"/>
        <v>16-0-HH 1RATE (WC)-SmartFIX – 2 Year Renewal</v>
      </c>
      <c r="B1198" s="67" t="s">
        <v>13</v>
      </c>
      <c r="C1198" s="67">
        <v>16</v>
      </c>
      <c r="D1198" s="99" t="s">
        <v>25</v>
      </c>
      <c r="E1198" s="67" t="s">
        <v>732</v>
      </c>
      <c r="F1198" s="67" t="s">
        <v>88</v>
      </c>
      <c r="G1198" s="67" t="s">
        <v>722</v>
      </c>
      <c r="H1198" s="127">
        <v>0.41249999999999998</v>
      </c>
      <c r="I1198" s="109">
        <v>0.16440000000000002</v>
      </c>
      <c r="J1198" s="109"/>
      <c r="K1198" s="109"/>
      <c r="L1198" s="67">
        <v>5000</v>
      </c>
      <c r="M1198" s="67">
        <v>500000</v>
      </c>
      <c r="N1198" s="105">
        <v>44197</v>
      </c>
      <c r="O1198" s="105">
        <v>44377</v>
      </c>
      <c r="P1198" t="s">
        <v>718</v>
      </c>
    </row>
    <row r="1199" spans="1:16" ht="15" customHeight="1" x14ac:dyDescent="0.3">
      <c r="A1199" t="str">
        <f t="shared" si="19"/>
        <v>17-0-HH 1RATE (WC)-SmartFIX – 2 Year Renewal</v>
      </c>
      <c r="B1199" s="67" t="s">
        <v>13</v>
      </c>
      <c r="C1199" s="67">
        <v>17</v>
      </c>
      <c r="D1199" s="99" t="s">
        <v>26</v>
      </c>
      <c r="E1199" s="67" t="s">
        <v>732</v>
      </c>
      <c r="F1199" s="67" t="s">
        <v>88</v>
      </c>
      <c r="G1199" s="67" t="s">
        <v>722</v>
      </c>
      <c r="H1199" s="127">
        <v>0.50490000000000002</v>
      </c>
      <c r="I1199" s="109">
        <v>0.1714</v>
      </c>
      <c r="J1199" s="109"/>
      <c r="K1199" s="109"/>
      <c r="L1199" s="67">
        <v>5000</v>
      </c>
      <c r="M1199" s="67">
        <v>500000</v>
      </c>
      <c r="N1199" s="105">
        <v>44197</v>
      </c>
      <c r="O1199" s="105">
        <v>44377</v>
      </c>
      <c r="P1199" t="s">
        <v>718</v>
      </c>
    </row>
    <row r="1200" spans="1:16" ht="15" customHeight="1" x14ac:dyDescent="0.3">
      <c r="A1200" t="str">
        <f t="shared" si="19"/>
        <v>18-0-HH 1RATE (WC)-SmartFIX – 2 Year Renewal</v>
      </c>
      <c r="B1200" s="67" t="s">
        <v>13</v>
      </c>
      <c r="C1200" s="67">
        <v>18</v>
      </c>
      <c r="D1200" s="99" t="s">
        <v>27</v>
      </c>
      <c r="E1200" s="67" t="s">
        <v>732</v>
      </c>
      <c r="F1200" s="67" t="s">
        <v>88</v>
      </c>
      <c r="G1200" s="67" t="s">
        <v>722</v>
      </c>
      <c r="H1200" s="127">
        <v>0.44259999999999999</v>
      </c>
      <c r="I1200" s="109">
        <v>0.16390000000000002</v>
      </c>
      <c r="J1200" s="109"/>
      <c r="K1200" s="109"/>
      <c r="L1200" s="67">
        <v>5000</v>
      </c>
      <c r="M1200" s="67">
        <v>500000</v>
      </c>
      <c r="N1200" s="105">
        <v>44197</v>
      </c>
      <c r="O1200" s="105">
        <v>44377</v>
      </c>
      <c r="P1200" t="s">
        <v>718</v>
      </c>
    </row>
    <row r="1201" spans="1:16" ht="15" customHeight="1" x14ac:dyDescent="0.3">
      <c r="A1201" t="str">
        <f t="shared" si="19"/>
        <v>19-0-HH 1RATE (WC)-SmartFIX – 2 Year Renewal</v>
      </c>
      <c r="B1201" s="67" t="s">
        <v>13</v>
      </c>
      <c r="C1201" s="67">
        <v>19</v>
      </c>
      <c r="D1201" s="99" t="s">
        <v>28</v>
      </c>
      <c r="E1201" s="67" t="s">
        <v>732</v>
      </c>
      <c r="F1201" s="67" t="s">
        <v>88</v>
      </c>
      <c r="G1201" s="67" t="s">
        <v>722</v>
      </c>
      <c r="H1201" s="127">
        <v>0.44440000000000002</v>
      </c>
      <c r="I1201" s="109">
        <v>0.1573</v>
      </c>
      <c r="J1201" s="109"/>
      <c r="K1201" s="109"/>
      <c r="L1201" s="67">
        <v>5000</v>
      </c>
      <c r="M1201" s="67">
        <v>500000</v>
      </c>
      <c r="N1201" s="105">
        <v>44197</v>
      </c>
      <c r="O1201" s="105">
        <v>44377</v>
      </c>
      <c r="P1201" t="s">
        <v>718</v>
      </c>
    </row>
    <row r="1202" spans="1:16" ht="15" customHeight="1" x14ac:dyDescent="0.3">
      <c r="A1202" t="str">
        <f t="shared" si="19"/>
        <v>20-0-HH 1RATE (WC)-SmartFIX – 2 Year Renewal</v>
      </c>
      <c r="B1202" s="67" t="s">
        <v>13</v>
      </c>
      <c r="C1202" s="67">
        <v>20</v>
      </c>
      <c r="D1202" s="99" t="s">
        <v>29</v>
      </c>
      <c r="E1202" s="67" t="s">
        <v>732</v>
      </c>
      <c r="F1202" s="67" t="s">
        <v>88</v>
      </c>
      <c r="G1202" s="67" t="s">
        <v>722</v>
      </c>
      <c r="H1202" s="127">
        <v>0.43690000000000001</v>
      </c>
      <c r="I1202" s="109">
        <v>0.16320000000000001</v>
      </c>
      <c r="J1202" s="109"/>
      <c r="K1202" s="109"/>
      <c r="L1202" s="67">
        <v>5000</v>
      </c>
      <c r="M1202" s="67">
        <v>500000</v>
      </c>
      <c r="N1202" s="105">
        <v>44197</v>
      </c>
      <c r="O1202" s="105">
        <v>44377</v>
      </c>
      <c r="P1202" t="s">
        <v>718</v>
      </c>
    </row>
    <row r="1203" spans="1:16" ht="15" customHeight="1" x14ac:dyDescent="0.3">
      <c r="A1203" t="str">
        <f t="shared" si="19"/>
        <v>21-0-HH 1RATE (WC)-SmartFIX – 2 Year Renewal</v>
      </c>
      <c r="B1203" s="67" t="s">
        <v>13</v>
      </c>
      <c r="C1203" s="67">
        <v>21</v>
      </c>
      <c r="D1203" s="99" t="s">
        <v>30</v>
      </c>
      <c r="E1203" s="67" t="s">
        <v>732</v>
      </c>
      <c r="F1203" s="67" t="s">
        <v>88</v>
      </c>
      <c r="G1203" s="67" t="s">
        <v>722</v>
      </c>
      <c r="H1203" s="127">
        <v>0.55459999999999998</v>
      </c>
      <c r="I1203" s="109">
        <v>0.1656</v>
      </c>
      <c r="J1203" s="109"/>
      <c r="K1203" s="109"/>
      <c r="L1203" s="67">
        <v>5000</v>
      </c>
      <c r="M1203" s="67">
        <v>500000</v>
      </c>
      <c r="N1203" s="105">
        <v>44197</v>
      </c>
      <c r="O1203" s="105">
        <v>44377</v>
      </c>
      <c r="P1203" t="s">
        <v>718</v>
      </c>
    </row>
    <row r="1204" spans="1:16" ht="15" customHeight="1" x14ac:dyDescent="0.3">
      <c r="A1204" t="str">
        <f t="shared" si="19"/>
        <v>22-0-HH 1RATE (WC)-SmartFIX – 2 Year Renewal</v>
      </c>
      <c r="B1204" s="67" t="s">
        <v>13</v>
      </c>
      <c r="C1204" s="67">
        <v>22</v>
      </c>
      <c r="D1204" s="99" t="s">
        <v>31</v>
      </c>
      <c r="E1204" s="67" t="s">
        <v>732</v>
      </c>
      <c r="F1204" s="67" t="s">
        <v>88</v>
      </c>
      <c r="G1204" s="67" t="s">
        <v>722</v>
      </c>
      <c r="H1204" s="127">
        <v>0.49790000000000001</v>
      </c>
      <c r="I1204" s="109">
        <v>0.17650000000000002</v>
      </c>
      <c r="J1204" s="109"/>
      <c r="K1204" s="109"/>
      <c r="L1204" s="67">
        <v>5000</v>
      </c>
      <c r="M1204" s="67">
        <v>500000</v>
      </c>
      <c r="N1204" s="105">
        <v>44197</v>
      </c>
      <c r="O1204" s="105">
        <v>44377</v>
      </c>
      <c r="P1204" t="s">
        <v>718</v>
      </c>
    </row>
    <row r="1205" spans="1:16" ht="15" customHeight="1" x14ac:dyDescent="0.3">
      <c r="A1205" t="str">
        <f t="shared" si="19"/>
        <v>23-0-HH 1RATE (WC)-SmartFIX – 2 Year Renewal</v>
      </c>
      <c r="B1205" s="67" t="s">
        <v>13</v>
      </c>
      <c r="C1205" s="67">
        <v>23</v>
      </c>
      <c r="D1205" s="99" t="s">
        <v>32</v>
      </c>
      <c r="E1205" s="67" t="s">
        <v>732</v>
      </c>
      <c r="F1205" s="67" t="s">
        <v>88</v>
      </c>
      <c r="G1205" s="67" t="s">
        <v>722</v>
      </c>
      <c r="H1205" s="127">
        <v>0.45500000000000002</v>
      </c>
      <c r="I1205" s="109">
        <v>0.15490000000000001</v>
      </c>
      <c r="J1205" s="109"/>
      <c r="K1205" s="109"/>
      <c r="L1205" s="67">
        <v>5000</v>
      </c>
      <c r="M1205" s="67">
        <v>500000</v>
      </c>
      <c r="N1205" s="105">
        <v>44197</v>
      </c>
      <c r="O1205" s="105">
        <v>44377</v>
      </c>
      <c r="P1205" t="s">
        <v>718</v>
      </c>
    </row>
    <row r="1206" spans="1:16" ht="15" customHeight="1" x14ac:dyDescent="0.3">
      <c r="A1206" t="str">
        <f t="shared" si="19"/>
        <v>10-0-HH 1RATE (CT)-SmartFIX – 2 Year</v>
      </c>
      <c r="B1206" s="67" t="s">
        <v>13</v>
      </c>
      <c r="C1206" s="67">
        <v>10</v>
      </c>
      <c r="D1206" s="99" t="s">
        <v>14</v>
      </c>
      <c r="E1206" s="67" t="s">
        <v>731</v>
      </c>
      <c r="F1206" s="67" t="s">
        <v>88</v>
      </c>
      <c r="G1206" s="67" t="s">
        <v>687</v>
      </c>
      <c r="H1206" s="127">
        <v>0.51449999999999996</v>
      </c>
      <c r="I1206" s="109">
        <v>0.15959999999999999</v>
      </c>
      <c r="J1206" s="109"/>
      <c r="K1206" s="109"/>
      <c r="L1206" s="67">
        <v>5000</v>
      </c>
      <c r="M1206" s="67">
        <v>500000</v>
      </c>
      <c r="N1206" s="105">
        <v>44197</v>
      </c>
      <c r="O1206" s="105">
        <v>44377</v>
      </c>
      <c r="P1206" t="s">
        <v>718</v>
      </c>
    </row>
    <row r="1207" spans="1:16" ht="15" customHeight="1" x14ac:dyDescent="0.3">
      <c r="A1207" t="str">
        <f t="shared" si="19"/>
        <v>11-0-HH 1RATE (CT)-SmartFIX – 2 Year</v>
      </c>
      <c r="B1207" s="67" t="s">
        <v>13</v>
      </c>
      <c r="C1207" s="67">
        <v>11</v>
      </c>
      <c r="D1207" s="99" t="s">
        <v>20</v>
      </c>
      <c r="E1207" s="67" t="s">
        <v>731</v>
      </c>
      <c r="F1207" s="67" t="s">
        <v>88</v>
      </c>
      <c r="G1207" s="67" t="s">
        <v>687</v>
      </c>
      <c r="H1207" s="127">
        <v>0.4572</v>
      </c>
      <c r="I1207" s="109">
        <v>0.1585</v>
      </c>
      <c r="J1207" s="109"/>
      <c r="K1207" s="109"/>
      <c r="L1207" s="67">
        <v>5000</v>
      </c>
      <c r="M1207" s="67">
        <v>500000</v>
      </c>
      <c r="N1207" s="105">
        <v>44197</v>
      </c>
      <c r="O1207" s="105">
        <v>44377</v>
      </c>
      <c r="P1207" t="s">
        <v>718</v>
      </c>
    </row>
    <row r="1208" spans="1:16" ht="15" customHeight="1" x14ac:dyDescent="0.3">
      <c r="A1208" t="str">
        <f t="shared" si="19"/>
        <v>12-0-HH 1RATE (CT)-SmartFIX – 2 Year</v>
      </c>
      <c r="B1208" s="67" t="s">
        <v>13</v>
      </c>
      <c r="C1208" s="67">
        <v>12</v>
      </c>
      <c r="D1208" s="99" t="s">
        <v>21</v>
      </c>
      <c r="E1208" s="67" t="s">
        <v>731</v>
      </c>
      <c r="F1208" s="67" t="s">
        <v>88</v>
      </c>
      <c r="G1208" s="67" t="s">
        <v>687</v>
      </c>
      <c r="H1208" s="127">
        <v>0.42220000000000002</v>
      </c>
      <c r="I1208" s="109">
        <v>0.15490000000000001</v>
      </c>
      <c r="J1208" s="109"/>
      <c r="K1208" s="109"/>
      <c r="L1208" s="67">
        <v>5000</v>
      </c>
      <c r="M1208" s="67">
        <v>500000</v>
      </c>
      <c r="N1208" s="105">
        <v>44197</v>
      </c>
      <c r="O1208" s="105">
        <v>44377</v>
      </c>
      <c r="P1208" t="s">
        <v>718</v>
      </c>
    </row>
    <row r="1209" spans="1:16" ht="15" customHeight="1" x14ac:dyDescent="0.3">
      <c r="A1209" t="str">
        <f t="shared" si="19"/>
        <v>13-0-HH 1RATE (CT)-SmartFIX – 2 Year</v>
      </c>
      <c r="B1209" s="67" t="s">
        <v>13</v>
      </c>
      <c r="C1209" s="67">
        <v>13</v>
      </c>
      <c r="D1209" s="99" t="s">
        <v>22</v>
      </c>
      <c r="E1209" s="67" t="s">
        <v>731</v>
      </c>
      <c r="F1209" s="67" t="s">
        <v>88</v>
      </c>
      <c r="G1209" s="67" t="s">
        <v>687</v>
      </c>
      <c r="H1209" s="127">
        <v>0.59250000000000003</v>
      </c>
      <c r="I1209" s="109">
        <v>0.19159999999999999</v>
      </c>
      <c r="J1209" s="109"/>
      <c r="K1209" s="109"/>
      <c r="L1209" s="67">
        <v>5000</v>
      </c>
      <c r="M1209" s="67">
        <v>500000</v>
      </c>
      <c r="N1209" s="105">
        <v>44197</v>
      </c>
      <c r="O1209" s="105">
        <v>44377</v>
      </c>
      <c r="P1209" t="s">
        <v>718</v>
      </c>
    </row>
    <row r="1210" spans="1:16" ht="15" customHeight="1" x14ac:dyDescent="0.3">
      <c r="A1210" t="str">
        <f t="shared" si="19"/>
        <v>14-0-HH 1RATE (CT)-SmartFIX – 2 Year</v>
      </c>
      <c r="B1210" s="67" t="s">
        <v>13</v>
      </c>
      <c r="C1210" s="67">
        <v>14</v>
      </c>
      <c r="D1210" s="99" t="s">
        <v>23</v>
      </c>
      <c r="E1210" s="67" t="s">
        <v>731</v>
      </c>
      <c r="F1210" s="67" t="s">
        <v>88</v>
      </c>
      <c r="G1210" s="67" t="s">
        <v>687</v>
      </c>
      <c r="H1210" s="127">
        <v>0.4698</v>
      </c>
      <c r="I1210" s="109">
        <v>0.16270000000000001</v>
      </c>
      <c r="J1210" s="109"/>
      <c r="K1210" s="109"/>
      <c r="L1210" s="67">
        <v>5000</v>
      </c>
      <c r="M1210" s="67">
        <v>500000</v>
      </c>
      <c r="N1210" s="105">
        <v>44197</v>
      </c>
      <c r="O1210" s="105">
        <v>44377</v>
      </c>
      <c r="P1210" t="s">
        <v>718</v>
      </c>
    </row>
    <row r="1211" spans="1:16" ht="15" customHeight="1" x14ac:dyDescent="0.3">
      <c r="A1211" t="str">
        <f t="shared" si="19"/>
        <v>15-0-HH 1RATE (CT)-SmartFIX – 2 Year</v>
      </c>
      <c r="B1211" s="67" t="s">
        <v>13</v>
      </c>
      <c r="C1211" s="67">
        <v>15</v>
      </c>
      <c r="D1211" s="99" t="s">
        <v>24</v>
      </c>
      <c r="E1211" s="67" t="s">
        <v>731</v>
      </c>
      <c r="F1211" s="67" t="s">
        <v>88</v>
      </c>
      <c r="G1211" s="67" t="s">
        <v>687</v>
      </c>
      <c r="H1211" s="127">
        <v>0.56820000000000004</v>
      </c>
      <c r="I1211" s="109">
        <v>0.16209999999999999</v>
      </c>
      <c r="J1211" s="109"/>
      <c r="K1211" s="109"/>
      <c r="L1211" s="67">
        <v>5000</v>
      </c>
      <c r="M1211" s="67">
        <v>500000</v>
      </c>
      <c r="N1211" s="105">
        <v>44197</v>
      </c>
      <c r="O1211" s="105">
        <v>44377</v>
      </c>
      <c r="P1211" t="s">
        <v>718</v>
      </c>
    </row>
    <row r="1212" spans="1:16" ht="15" customHeight="1" x14ac:dyDescent="0.3">
      <c r="A1212" t="str">
        <f t="shared" si="19"/>
        <v>16-0-HH 1RATE (CT)-SmartFIX – 2 Year</v>
      </c>
      <c r="B1212" s="67" t="s">
        <v>13</v>
      </c>
      <c r="C1212" s="67">
        <v>16</v>
      </c>
      <c r="D1212" s="99" t="s">
        <v>25</v>
      </c>
      <c r="E1212" s="67" t="s">
        <v>731</v>
      </c>
      <c r="F1212" s="67" t="s">
        <v>88</v>
      </c>
      <c r="G1212" s="67" t="s">
        <v>687</v>
      </c>
      <c r="H1212" s="127">
        <v>0.5292</v>
      </c>
      <c r="I1212" s="109">
        <v>0.16439999999999999</v>
      </c>
      <c r="J1212" s="109"/>
      <c r="K1212" s="109"/>
      <c r="L1212" s="67">
        <v>5000</v>
      </c>
      <c r="M1212" s="67">
        <v>500000</v>
      </c>
      <c r="N1212" s="105">
        <v>44197</v>
      </c>
      <c r="O1212" s="105">
        <v>44377</v>
      </c>
      <c r="P1212" t="s">
        <v>718</v>
      </c>
    </row>
    <row r="1213" spans="1:16" ht="15" customHeight="1" x14ac:dyDescent="0.3">
      <c r="A1213" t="str">
        <f t="shared" si="19"/>
        <v>17-0-HH 1RATE (CT)-SmartFIX – 2 Year</v>
      </c>
      <c r="B1213" s="67" t="s">
        <v>13</v>
      </c>
      <c r="C1213" s="67">
        <v>17</v>
      </c>
      <c r="D1213" s="99" t="s">
        <v>26</v>
      </c>
      <c r="E1213" s="67" t="s">
        <v>731</v>
      </c>
      <c r="F1213" s="67" t="s">
        <v>88</v>
      </c>
      <c r="G1213" s="67" t="s">
        <v>687</v>
      </c>
      <c r="H1213" s="127">
        <v>0.71650000000000003</v>
      </c>
      <c r="I1213" s="109">
        <v>0.1628</v>
      </c>
      <c r="J1213" s="109"/>
      <c r="K1213" s="109"/>
      <c r="L1213" s="67">
        <v>5000</v>
      </c>
      <c r="M1213" s="67">
        <v>500000</v>
      </c>
      <c r="N1213" s="105">
        <v>44197</v>
      </c>
      <c r="O1213" s="105">
        <v>44377</v>
      </c>
      <c r="P1213" t="s">
        <v>718</v>
      </c>
    </row>
    <row r="1214" spans="1:16" ht="15" customHeight="1" x14ac:dyDescent="0.3">
      <c r="A1214" t="str">
        <f t="shared" si="19"/>
        <v>18-0-HH 1RATE (CT)-SmartFIX – 2 Year</v>
      </c>
      <c r="B1214" s="67" t="s">
        <v>13</v>
      </c>
      <c r="C1214" s="67">
        <v>18</v>
      </c>
      <c r="D1214" s="99" t="s">
        <v>27</v>
      </c>
      <c r="E1214" s="67" t="s">
        <v>731</v>
      </c>
      <c r="F1214" s="67" t="s">
        <v>88</v>
      </c>
      <c r="G1214" s="67" t="s">
        <v>687</v>
      </c>
      <c r="H1214" s="127">
        <v>0.65680000000000005</v>
      </c>
      <c r="I1214" s="109">
        <v>0.1605</v>
      </c>
      <c r="J1214" s="109"/>
      <c r="K1214" s="109"/>
      <c r="L1214" s="67">
        <v>5000</v>
      </c>
      <c r="M1214" s="67">
        <v>500000</v>
      </c>
      <c r="N1214" s="105">
        <v>44197</v>
      </c>
      <c r="O1214" s="105">
        <v>44377</v>
      </c>
      <c r="P1214" t="s">
        <v>718</v>
      </c>
    </row>
    <row r="1215" spans="1:16" ht="15" customHeight="1" x14ac:dyDescent="0.3">
      <c r="A1215" t="str">
        <f t="shared" si="19"/>
        <v>19-0-HH 1RATE (CT)-SmartFIX – 2 Year</v>
      </c>
      <c r="B1215" s="67" t="s">
        <v>13</v>
      </c>
      <c r="C1215" s="67">
        <v>19</v>
      </c>
      <c r="D1215" s="99" t="s">
        <v>28</v>
      </c>
      <c r="E1215" s="67" t="s">
        <v>731</v>
      </c>
      <c r="F1215" s="67" t="s">
        <v>88</v>
      </c>
      <c r="G1215" s="67" t="s">
        <v>687</v>
      </c>
      <c r="H1215" s="127">
        <v>0.5161</v>
      </c>
      <c r="I1215" s="109">
        <v>0.1578</v>
      </c>
      <c r="J1215" s="109"/>
      <c r="K1215" s="109"/>
      <c r="L1215" s="67">
        <v>5000</v>
      </c>
      <c r="M1215" s="67">
        <v>500000</v>
      </c>
      <c r="N1215" s="105">
        <v>44197</v>
      </c>
      <c r="O1215" s="105">
        <v>44377</v>
      </c>
      <c r="P1215" t="s">
        <v>718</v>
      </c>
    </row>
    <row r="1216" spans="1:16" ht="15" customHeight="1" x14ac:dyDescent="0.3">
      <c r="A1216" t="str">
        <f t="shared" si="19"/>
        <v>20-0-HH 1RATE (CT)-SmartFIX – 2 Year</v>
      </c>
      <c r="B1216" s="67" t="s">
        <v>13</v>
      </c>
      <c r="C1216" s="67">
        <v>20</v>
      </c>
      <c r="D1216" s="99" t="s">
        <v>29</v>
      </c>
      <c r="E1216" s="67" t="s">
        <v>731</v>
      </c>
      <c r="F1216" s="67" t="s">
        <v>88</v>
      </c>
      <c r="G1216" s="67" t="s">
        <v>687</v>
      </c>
      <c r="H1216" s="127">
        <v>0.54520000000000002</v>
      </c>
      <c r="I1216" s="109">
        <v>0.15709999999999999</v>
      </c>
      <c r="J1216" s="109"/>
      <c r="K1216" s="109"/>
      <c r="L1216" s="67">
        <v>5000</v>
      </c>
      <c r="M1216" s="67">
        <v>500000</v>
      </c>
      <c r="N1216" s="105">
        <v>44197</v>
      </c>
      <c r="O1216" s="105">
        <v>44377</v>
      </c>
      <c r="P1216" t="s">
        <v>718</v>
      </c>
    </row>
    <row r="1217" spans="1:16" ht="15" customHeight="1" x14ac:dyDescent="0.3">
      <c r="A1217" t="str">
        <f t="shared" si="19"/>
        <v>21-0-HH 1RATE (CT)-SmartFIX – 2 Year</v>
      </c>
      <c r="B1217" s="67" t="s">
        <v>13</v>
      </c>
      <c r="C1217" s="67">
        <v>21</v>
      </c>
      <c r="D1217" s="99" t="s">
        <v>30</v>
      </c>
      <c r="E1217" s="67" t="s">
        <v>731</v>
      </c>
      <c r="F1217" s="67" t="s">
        <v>88</v>
      </c>
      <c r="G1217" s="67" t="s">
        <v>687</v>
      </c>
      <c r="H1217" s="127">
        <v>0.55989999999999995</v>
      </c>
      <c r="I1217" s="109">
        <v>0.1646</v>
      </c>
      <c r="J1217" s="109"/>
      <c r="K1217" s="109"/>
      <c r="L1217" s="67">
        <v>5000</v>
      </c>
      <c r="M1217" s="67">
        <v>500000</v>
      </c>
      <c r="N1217" s="105">
        <v>44197</v>
      </c>
      <c r="O1217" s="105">
        <v>44377</v>
      </c>
      <c r="P1217" t="s">
        <v>718</v>
      </c>
    </row>
    <row r="1218" spans="1:16" ht="15" customHeight="1" x14ac:dyDescent="0.3">
      <c r="A1218" t="str">
        <f t="shared" si="19"/>
        <v>22-0-HH 1RATE (CT)-SmartFIX – 2 Year</v>
      </c>
      <c r="B1218" s="67" t="s">
        <v>13</v>
      </c>
      <c r="C1218" s="67">
        <v>22</v>
      </c>
      <c r="D1218" s="99" t="s">
        <v>31</v>
      </c>
      <c r="E1218" s="67" t="s">
        <v>731</v>
      </c>
      <c r="F1218" s="67" t="s">
        <v>88</v>
      </c>
      <c r="G1218" s="67" t="s">
        <v>687</v>
      </c>
      <c r="H1218" s="127">
        <v>0.49120000000000003</v>
      </c>
      <c r="I1218" s="109">
        <v>0.1633</v>
      </c>
      <c r="J1218" s="109"/>
      <c r="K1218" s="109"/>
      <c r="L1218" s="67">
        <v>5000</v>
      </c>
      <c r="M1218" s="67">
        <v>500000</v>
      </c>
      <c r="N1218" s="105">
        <v>44197</v>
      </c>
      <c r="O1218" s="105">
        <v>44377</v>
      </c>
      <c r="P1218" t="s">
        <v>718</v>
      </c>
    </row>
    <row r="1219" spans="1:16" ht="15" customHeight="1" x14ac:dyDescent="0.3">
      <c r="A1219" t="str">
        <f t="shared" si="19"/>
        <v>23-0-HH 1RATE (CT)-SmartFIX – 2 Year</v>
      </c>
      <c r="B1219" s="67" t="s">
        <v>13</v>
      </c>
      <c r="C1219" s="67">
        <v>23</v>
      </c>
      <c r="D1219" s="99" t="s">
        <v>32</v>
      </c>
      <c r="E1219" s="67" t="s">
        <v>731</v>
      </c>
      <c r="F1219" s="67" t="s">
        <v>88</v>
      </c>
      <c r="G1219" s="67" t="s">
        <v>687</v>
      </c>
      <c r="H1219" s="127">
        <v>0.58620000000000005</v>
      </c>
      <c r="I1219" s="109">
        <v>0.1565</v>
      </c>
      <c r="J1219" s="109"/>
      <c r="K1219" s="109"/>
      <c r="L1219" s="67">
        <v>5000</v>
      </c>
      <c r="M1219" s="67">
        <v>500000</v>
      </c>
      <c r="N1219" s="105">
        <v>44197</v>
      </c>
      <c r="O1219" s="105">
        <v>44377</v>
      </c>
      <c r="P1219" t="s">
        <v>718</v>
      </c>
    </row>
    <row r="1220" spans="1:16" ht="15" customHeight="1" x14ac:dyDescent="0.3">
      <c r="A1220" t="str">
        <f t="shared" si="19"/>
        <v>10-0-HH 1RATE (CT)-SmartFIX – 2 Year Renewal</v>
      </c>
      <c r="B1220" s="67" t="s">
        <v>13</v>
      </c>
      <c r="C1220" s="67">
        <v>10</v>
      </c>
      <c r="D1220" s="99" t="s">
        <v>14</v>
      </c>
      <c r="E1220" s="67" t="s">
        <v>731</v>
      </c>
      <c r="F1220" s="67" t="s">
        <v>88</v>
      </c>
      <c r="G1220" s="67" t="s">
        <v>722</v>
      </c>
      <c r="H1220" s="127">
        <v>0.56599999999999995</v>
      </c>
      <c r="I1220" s="109">
        <v>0.1636</v>
      </c>
      <c r="J1220" s="109"/>
      <c r="K1220" s="109"/>
      <c r="L1220" s="67">
        <v>5000</v>
      </c>
      <c r="M1220" s="67">
        <v>500000</v>
      </c>
      <c r="N1220" s="105">
        <v>44197</v>
      </c>
      <c r="O1220" s="105">
        <v>44377</v>
      </c>
      <c r="P1220" t="s">
        <v>718</v>
      </c>
    </row>
    <row r="1221" spans="1:16" ht="15" customHeight="1" x14ac:dyDescent="0.3">
      <c r="A1221" t="str">
        <f t="shared" si="19"/>
        <v>11-0-HH 1RATE (CT)-SmartFIX – 2 Year Renewal</v>
      </c>
      <c r="B1221" s="67" t="s">
        <v>13</v>
      </c>
      <c r="C1221" s="67">
        <v>11</v>
      </c>
      <c r="D1221" s="99" t="s">
        <v>20</v>
      </c>
      <c r="E1221" s="67" t="s">
        <v>731</v>
      </c>
      <c r="F1221" s="67" t="s">
        <v>88</v>
      </c>
      <c r="G1221" s="67" t="s">
        <v>722</v>
      </c>
      <c r="H1221" s="127">
        <v>0.503</v>
      </c>
      <c r="I1221" s="109">
        <v>0.16250000000000001</v>
      </c>
      <c r="J1221" s="109"/>
      <c r="K1221" s="109"/>
      <c r="L1221" s="67">
        <v>5000</v>
      </c>
      <c r="M1221" s="67">
        <v>500000</v>
      </c>
      <c r="N1221" s="105">
        <v>44197</v>
      </c>
      <c r="O1221" s="105">
        <v>44377</v>
      </c>
      <c r="P1221" t="s">
        <v>718</v>
      </c>
    </row>
    <row r="1222" spans="1:16" ht="15" customHeight="1" x14ac:dyDescent="0.3">
      <c r="A1222" t="str">
        <f t="shared" si="19"/>
        <v>12-0-HH 1RATE (CT)-SmartFIX – 2 Year Renewal</v>
      </c>
      <c r="B1222" s="67" t="s">
        <v>13</v>
      </c>
      <c r="C1222" s="67">
        <v>12</v>
      </c>
      <c r="D1222" s="99" t="s">
        <v>21</v>
      </c>
      <c r="E1222" s="67" t="s">
        <v>731</v>
      </c>
      <c r="F1222" s="67" t="s">
        <v>88</v>
      </c>
      <c r="G1222" s="67" t="s">
        <v>722</v>
      </c>
      <c r="H1222" s="127">
        <v>0.46439999999999998</v>
      </c>
      <c r="I1222" s="109">
        <v>0.15890000000000001</v>
      </c>
      <c r="J1222" s="109"/>
      <c r="K1222" s="109"/>
      <c r="L1222" s="67">
        <v>5000</v>
      </c>
      <c r="M1222" s="67">
        <v>500000</v>
      </c>
      <c r="N1222" s="105">
        <v>44197</v>
      </c>
      <c r="O1222" s="105">
        <v>44377</v>
      </c>
      <c r="P1222" t="s">
        <v>718</v>
      </c>
    </row>
    <row r="1223" spans="1:16" ht="15" customHeight="1" x14ac:dyDescent="0.3">
      <c r="A1223" t="str">
        <f t="shared" si="19"/>
        <v>13-0-HH 1RATE (CT)-SmartFIX – 2 Year Renewal</v>
      </c>
      <c r="B1223" s="67" t="s">
        <v>13</v>
      </c>
      <c r="C1223" s="67">
        <v>13</v>
      </c>
      <c r="D1223" s="99" t="s">
        <v>22</v>
      </c>
      <c r="E1223" s="67" t="s">
        <v>731</v>
      </c>
      <c r="F1223" s="67" t="s">
        <v>88</v>
      </c>
      <c r="G1223" s="67" t="s">
        <v>722</v>
      </c>
      <c r="H1223" s="127">
        <v>0.65169999999999995</v>
      </c>
      <c r="I1223" s="109">
        <v>0.1956</v>
      </c>
      <c r="J1223" s="109"/>
      <c r="K1223" s="109"/>
      <c r="L1223" s="67">
        <v>5000</v>
      </c>
      <c r="M1223" s="67">
        <v>500000</v>
      </c>
      <c r="N1223" s="105">
        <v>44197</v>
      </c>
      <c r="O1223" s="105">
        <v>44377</v>
      </c>
      <c r="P1223" t="s">
        <v>718</v>
      </c>
    </row>
    <row r="1224" spans="1:16" ht="15" customHeight="1" x14ac:dyDescent="0.3">
      <c r="A1224" t="str">
        <f t="shared" si="19"/>
        <v>14-0-HH 1RATE (CT)-SmartFIX – 2 Year Renewal</v>
      </c>
      <c r="B1224" s="67" t="s">
        <v>13</v>
      </c>
      <c r="C1224" s="67">
        <v>14</v>
      </c>
      <c r="D1224" s="99" t="s">
        <v>23</v>
      </c>
      <c r="E1224" s="67" t="s">
        <v>731</v>
      </c>
      <c r="F1224" s="67" t="s">
        <v>88</v>
      </c>
      <c r="G1224" s="67" t="s">
        <v>722</v>
      </c>
      <c r="H1224" s="127">
        <v>0.51680000000000004</v>
      </c>
      <c r="I1224" s="109">
        <v>0.16670000000000001</v>
      </c>
      <c r="J1224" s="109"/>
      <c r="K1224" s="109"/>
      <c r="L1224" s="67">
        <v>5000</v>
      </c>
      <c r="M1224" s="67">
        <v>500000</v>
      </c>
      <c r="N1224" s="105">
        <v>44197</v>
      </c>
      <c r="O1224" s="105">
        <v>44377</v>
      </c>
      <c r="P1224" t="s">
        <v>718</v>
      </c>
    </row>
    <row r="1225" spans="1:16" ht="15" customHeight="1" x14ac:dyDescent="0.3">
      <c r="A1225" t="str">
        <f t="shared" si="19"/>
        <v>15-0-HH 1RATE (CT)-SmartFIX – 2 Year Renewal</v>
      </c>
      <c r="B1225" s="67" t="s">
        <v>13</v>
      </c>
      <c r="C1225" s="67">
        <v>15</v>
      </c>
      <c r="D1225" s="99" t="s">
        <v>24</v>
      </c>
      <c r="E1225" s="67" t="s">
        <v>731</v>
      </c>
      <c r="F1225" s="67" t="s">
        <v>88</v>
      </c>
      <c r="G1225" s="67" t="s">
        <v>722</v>
      </c>
      <c r="H1225" s="127">
        <v>0.625</v>
      </c>
      <c r="I1225" s="109">
        <v>0.1661</v>
      </c>
      <c r="J1225" s="109"/>
      <c r="K1225" s="109"/>
      <c r="L1225" s="67">
        <v>5000</v>
      </c>
      <c r="M1225" s="67">
        <v>500000</v>
      </c>
      <c r="N1225" s="105">
        <v>44197</v>
      </c>
      <c r="O1225" s="105">
        <v>44377</v>
      </c>
      <c r="P1225" t="s">
        <v>718</v>
      </c>
    </row>
    <row r="1226" spans="1:16" ht="15" customHeight="1" x14ac:dyDescent="0.3">
      <c r="A1226" t="str">
        <f t="shared" si="19"/>
        <v>16-0-HH 1RATE (CT)-SmartFIX – 2 Year Renewal</v>
      </c>
      <c r="B1226" s="67" t="s">
        <v>13</v>
      </c>
      <c r="C1226" s="67">
        <v>16</v>
      </c>
      <c r="D1226" s="99" t="s">
        <v>25</v>
      </c>
      <c r="E1226" s="67" t="s">
        <v>731</v>
      </c>
      <c r="F1226" s="67" t="s">
        <v>88</v>
      </c>
      <c r="G1226" s="67" t="s">
        <v>722</v>
      </c>
      <c r="H1226" s="127">
        <v>0.58220000000000005</v>
      </c>
      <c r="I1226" s="109">
        <v>0.16839999999999999</v>
      </c>
      <c r="J1226" s="109"/>
      <c r="K1226" s="109"/>
      <c r="L1226" s="67">
        <v>5000</v>
      </c>
      <c r="M1226" s="67">
        <v>500000</v>
      </c>
      <c r="N1226" s="105">
        <v>44197</v>
      </c>
      <c r="O1226" s="105">
        <v>44377</v>
      </c>
      <c r="P1226" t="s">
        <v>718</v>
      </c>
    </row>
    <row r="1227" spans="1:16" ht="15" customHeight="1" x14ac:dyDescent="0.3">
      <c r="A1227" t="str">
        <f t="shared" si="19"/>
        <v>17-0-HH 1RATE (CT)-SmartFIX – 2 Year Renewal</v>
      </c>
      <c r="B1227" s="67" t="s">
        <v>13</v>
      </c>
      <c r="C1227" s="67">
        <v>17</v>
      </c>
      <c r="D1227" s="99" t="s">
        <v>26</v>
      </c>
      <c r="E1227" s="67" t="s">
        <v>731</v>
      </c>
      <c r="F1227" s="67" t="s">
        <v>88</v>
      </c>
      <c r="G1227" s="67" t="s">
        <v>722</v>
      </c>
      <c r="H1227" s="127">
        <v>0.78810000000000002</v>
      </c>
      <c r="I1227" s="109">
        <v>0.1668</v>
      </c>
      <c r="J1227" s="109"/>
      <c r="K1227" s="109"/>
      <c r="L1227" s="67">
        <v>5000</v>
      </c>
      <c r="M1227" s="67">
        <v>500000</v>
      </c>
      <c r="N1227" s="105">
        <v>44197</v>
      </c>
      <c r="O1227" s="105">
        <v>44377</v>
      </c>
      <c r="P1227" t="s">
        <v>718</v>
      </c>
    </row>
    <row r="1228" spans="1:16" ht="15" customHeight="1" x14ac:dyDescent="0.3">
      <c r="A1228" t="str">
        <f t="shared" ref="A1228:A1291" si="20">IF(E1228="OP","",CONCATENATE(C1228,"-",RIGHT(F1228,1),"-",IF(OR(E1228="1 Rate MD",E1228="DAY"),"U",IF(OR(E1228="2 Rate MD",E1228="E7"),"E7",IF(OR(E1228="3 Rate MD (EW)",E1228="EW"),"EW",IF(OR(E1228="3 Rate MD",E1228="EWN"),"3RATE",IF(E1228="HH 2RATE (CT)","HH 2RATE (CT)",IF(E1228="HH 2RATE (WC)","HH 2RATE (WC)",IF(E1228="HH 1RATE (CT)","HH 1RATE (CT)",IF(E1228="HH 1RATE (WC)","HH 1RATE (WC)")))))))),"-",G1228))</f>
        <v>18-0-HH 1RATE (CT)-SmartFIX – 2 Year Renewal</v>
      </c>
      <c r="B1228" s="67" t="s">
        <v>13</v>
      </c>
      <c r="C1228" s="67">
        <v>18</v>
      </c>
      <c r="D1228" s="99" t="s">
        <v>27</v>
      </c>
      <c r="E1228" s="67" t="s">
        <v>731</v>
      </c>
      <c r="F1228" s="67" t="s">
        <v>88</v>
      </c>
      <c r="G1228" s="67" t="s">
        <v>722</v>
      </c>
      <c r="H1228" s="127">
        <v>0.72240000000000004</v>
      </c>
      <c r="I1228" s="109">
        <v>0.16450000000000001</v>
      </c>
      <c r="J1228" s="109"/>
      <c r="K1228" s="109"/>
      <c r="L1228" s="67">
        <v>5000</v>
      </c>
      <c r="M1228" s="67">
        <v>500000</v>
      </c>
      <c r="N1228" s="105">
        <v>44197</v>
      </c>
      <c r="O1228" s="105">
        <v>44377</v>
      </c>
      <c r="P1228" t="s">
        <v>718</v>
      </c>
    </row>
    <row r="1229" spans="1:16" ht="15" customHeight="1" x14ac:dyDescent="0.3">
      <c r="A1229" t="str">
        <f t="shared" si="20"/>
        <v>19-0-HH 1RATE (CT)-SmartFIX – 2 Year Renewal</v>
      </c>
      <c r="B1229" s="67" t="s">
        <v>13</v>
      </c>
      <c r="C1229" s="67">
        <v>19</v>
      </c>
      <c r="D1229" s="99" t="s">
        <v>28</v>
      </c>
      <c r="E1229" s="67" t="s">
        <v>731</v>
      </c>
      <c r="F1229" s="67" t="s">
        <v>88</v>
      </c>
      <c r="G1229" s="67" t="s">
        <v>722</v>
      </c>
      <c r="H1229" s="127">
        <v>0.56769999999999998</v>
      </c>
      <c r="I1229" s="109">
        <v>0.1618</v>
      </c>
      <c r="J1229" s="109"/>
      <c r="K1229" s="109"/>
      <c r="L1229" s="67">
        <v>5000</v>
      </c>
      <c r="M1229" s="67">
        <v>500000</v>
      </c>
      <c r="N1229" s="105">
        <v>44197</v>
      </c>
      <c r="O1229" s="105">
        <v>44377</v>
      </c>
      <c r="P1229" t="s">
        <v>718</v>
      </c>
    </row>
    <row r="1230" spans="1:16" ht="15" customHeight="1" x14ac:dyDescent="0.3">
      <c r="A1230" t="str">
        <f t="shared" si="20"/>
        <v>20-0-HH 1RATE (CT)-SmartFIX – 2 Year Renewal</v>
      </c>
      <c r="B1230" s="67" t="s">
        <v>13</v>
      </c>
      <c r="C1230" s="67">
        <v>20</v>
      </c>
      <c r="D1230" s="99" t="s">
        <v>29</v>
      </c>
      <c r="E1230" s="67" t="s">
        <v>731</v>
      </c>
      <c r="F1230" s="67" t="s">
        <v>88</v>
      </c>
      <c r="G1230" s="67" t="s">
        <v>722</v>
      </c>
      <c r="H1230" s="127">
        <v>0.59970000000000001</v>
      </c>
      <c r="I1230" s="109">
        <v>0.16109999999999999</v>
      </c>
      <c r="J1230" s="109"/>
      <c r="K1230" s="109"/>
      <c r="L1230" s="67">
        <v>5000</v>
      </c>
      <c r="M1230" s="67">
        <v>500000</v>
      </c>
      <c r="N1230" s="105">
        <v>44197</v>
      </c>
      <c r="O1230" s="105">
        <v>44377</v>
      </c>
      <c r="P1230" t="s">
        <v>718</v>
      </c>
    </row>
    <row r="1231" spans="1:16" ht="15" customHeight="1" x14ac:dyDescent="0.3">
      <c r="A1231" t="str">
        <f t="shared" si="20"/>
        <v>21-0-HH 1RATE (CT)-SmartFIX – 2 Year Renewal</v>
      </c>
      <c r="B1231" s="67" t="s">
        <v>13</v>
      </c>
      <c r="C1231" s="67">
        <v>21</v>
      </c>
      <c r="D1231" s="99" t="s">
        <v>30</v>
      </c>
      <c r="E1231" s="67" t="s">
        <v>731</v>
      </c>
      <c r="F1231" s="67" t="s">
        <v>88</v>
      </c>
      <c r="G1231" s="67" t="s">
        <v>722</v>
      </c>
      <c r="H1231" s="127">
        <v>0.6159</v>
      </c>
      <c r="I1231" s="109">
        <v>0.1686</v>
      </c>
      <c r="J1231" s="109"/>
      <c r="K1231" s="109"/>
      <c r="L1231" s="67">
        <v>5000</v>
      </c>
      <c r="M1231" s="67">
        <v>500000</v>
      </c>
      <c r="N1231" s="105">
        <v>44197</v>
      </c>
      <c r="O1231" s="105">
        <v>44377</v>
      </c>
      <c r="P1231" t="s">
        <v>718</v>
      </c>
    </row>
    <row r="1232" spans="1:16" ht="15" customHeight="1" x14ac:dyDescent="0.3">
      <c r="A1232" t="str">
        <f t="shared" si="20"/>
        <v>22-0-HH 1RATE (CT)-SmartFIX – 2 Year Renewal</v>
      </c>
      <c r="B1232" s="67" t="s">
        <v>13</v>
      </c>
      <c r="C1232" s="67">
        <v>22</v>
      </c>
      <c r="D1232" s="99" t="s">
        <v>31</v>
      </c>
      <c r="E1232" s="67" t="s">
        <v>731</v>
      </c>
      <c r="F1232" s="67" t="s">
        <v>88</v>
      </c>
      <c r="G1232" s="67" t="s">
        <v>722</v>
      </c>
      <c r="H1232" s="127">
        <v>0.5403</v>
      </c>
      <c r="I1232" s="109">
        <v>0.1673</v>
      </c>
      <c r="J1232" s="109"/>
      <c r="K1232" s="109"/>
      <c r="L1232" s="67">
        <v>5000</v>
      </c>
      <c r="M1232" s="67">
        <v>500000</v>
      </c>
      <c r="N1232" s="105">
        <v>44197</v>
      </c>
      <c r="O1232" s="105">
        <v>44377</v>
      </c>
      <c r="P1232" t="s">
        <v>718</v>
      </c>
    </row>
    <row r="1233" spans="1:16" ht="15" customHeight="1" x14ac:dyDescent="0.3">
      <c r="A1233" t="str">
        <f t="shared" si="20"/>
        <v>23-0-HH 1RATE (CT)-SmartFIX – 2 Year Renewal</v>
      </c>
      <c r="B1233" s="67" t="s">
        <v>13</v>
      </c>
      <c r="C1233" s="67">
        <v>23</v>
      </c>
      <c r="D1233" s="99" t="s">
        <v>32</v>
      </c>
      <c r="E1233" s="67" t="s">
        <v>731</v>
      </c>
      <c r="F1233" s="67" t="s">
        <v>88</v>
      </c>
      <c r="G1233" s="67" t="s">
        <v>722</v>
      </c>
      <c r="H1233" s="127">
        <v>0.64480000000000004</v>
      </c>
      <c r="I1233" s="109">
        <v>0.1605</v>
      </c>
      <c r="J1233" s="109"/>
      <c r="K1233" s="109"/>
      <c r="L1233" s="67">
        <v>5000</v>
      </c>
      <c r="M1233" s="67">
        <v>500000</v>
      </c>
      <c r="N1233" s="105">
        <v>44197</v>
      </c>
      <c r="O1233" s="105">
        <v>44377</v>
      </c>
      <c r="P1233" t="s">
        <v>718</v>
      </c>
    </row>
    <row r="1234" spans="1:16" ht="15" customHeight="1" x14ac:dyDescent="0.3">
      <c r="A1234" t="str">
        <f t="shared" si="20"/>
        <v>10-0-HH 1RATE (WC)-SmartFIX – 3 Year</v>
      </c>
      <c r="B1234" s="67" t="s">
        <v>13</v>
      </c>
      <c r="C1234" s="67">
        <v>10</v>
      </c>
      <c r="D1234" s="99" t="s">
        <v>14</v>
      </c>
      <c r="E1234" s="67" t="s">
        <v>732</v>
      </c>
      <c r="F1234" s="67" t="s">
        <v>88</v>
      </c>
      <c r="G1234" s="67" t="s">
        <v>691</v>
      </c>
      <c r="H1234" s="127">
        <v>0.41920000000000002</v>
      </c>
      <c r="I1234" s="109">
        <v>0.15670000000000001</v>
      </c>
      <c r="J1234" s="109"/>
      <c r="K1234" s="109"/>
      <c r="L1234" s="67">
        <v>5000</v>
      </c>
      <c r="M1234" s="67">
        <v>500000</v>
      </c>
      <c r="N1234" s="105">
        <v>44197</v>
      </c>
      <c r="O1234" s="105">
        <v>44377</v>
      </c>
      <c r="P1234" t="s">
        <v>718</v>
      </c>
    </row>
    <row r="1235" spans="1:16" ht="15" customHeight="1" x14ac:dyDescent="0.3">
      <c r="A1235" t="str">
        <f t="shared" si="20"/>
        <v>11-0-HH 1RATE (WC)-SmartFIX – 3 Year</v>
      </c>
      <c r="B1235" s="67" t="s">
        <v>13</v>
      </c>
      <c r="C1235" s="67">
        <v>11</v>
      </c>
      <c r="D1235" s="99" t="s">
        <v>20</v>
      </c>
      <c r="E1235" s="67" t="s">
        <v>732</v>
      </c>
      <c r="F1235" s="67" t="s">
        <v>88</v>
      </c>
      <c r="G1235" s="67" t="s">
        <v>691</v>
      </c>
      <c r="H1235" s="127">
        <v>0.42980000000000002</v>
      </c>
      <c r="I1235" s="109">
        <v>0.15490000000000001</v>
      </c>
      <c r="J1235" s="109"/>
      <c r="K1235" s="109"/>
      <c r="L1235" s="67">
        <v>5000</v>
      </c>
      <c r="M1235" s="67">
        <v>500000</v>
      </c>
      <c r="N1235" s="105">
        <v>44197</v>
      </c>
      <c r="O1235" s="105">
        <v>44377</v>
      </c>
      <c r="P1235" t="s">
        <v>718</v>
      </c>
    </row>
    <row r="1236" spans="1:16" ht="15" customHeight="1" x14ac:dyDescent="0.3">
      <c r="A1236" t="str">
        <f t="shared" si="20"/>
        <v>12-0-HH 1RATE (WC)-SmartFIX – 3 Year</v>
      </c>
      <c r="B1236" s="67" t="s">
        <v>13</v>
      </c>
      <c r="C1236" s="67">
        <v>12</v>
      </c>
      <c r="D1236" s="99" t="s">
        <v>21</v>
      </c>
      <c r="E1236" s="67" t="s">
        <v>732</v>
      </c>
      <c r="F1236" s="67" t="s">
        <v>88</v>
      </c>
      <c r="G1236" s="67" t="s">
        <v>691</v>
      </c>
      <c r="H1236" s="127">
        <v>0.35099999999999998</v>
      </c>
      <c r="I1236" s="109">
        <v>0.152</v>
      </c>
      <c r="J1236" s="109"/>
      <c r="K1236" s="109"/>
      <c r="L1236" s="67">
        <v>5000</v>
      </c>
      <c r="M1236" s="67">
        <v>500000</v>
      </c>
      <c r="N1236" s="105">
        <v>44197</v>
      </c>
      <c r="O1236" s="105">
        <v>44377</v>
      </c>
      <c r="P1236" t="s">
        <v>718</v>
      </c>
    </row>
    <row r="1237" spans="1:16" ht="15" customHeight="1" x14ac:dyDescent="0.3">
      <c r="A1237" t="str">
        <f t="shared" si="20"/>
        <v>13-0-HH 1RATE (WC)-SmartFIX – 3 Year</v>
      </c>
      <c r="B1237" s="67" t="s">
        <v>13</v>
      </c>
      <c r="C1237" s="67">
        <v>13</v>
      </c>
      <c r="D1237" s="99" t="s">
        <v>22</v>
      </c>
      <c r="E1237" s="67" t="s">
        <v>732</v>
      </c>
      <c r="F1237" s="67" t="s">
        <v>88</v>
      </c>
      <c r="G1237" s="67" t="s">
        <v>691</v>
      </c>
      <c r="H1237" s="127">
        <v>0.39379999999999998</v>
      </c>
      <c r="I1237" s="109">
        <v>0.1782</v>
      </c>
      <c r="J1237" s="109"/>
      <c r="K1237" s="109"/>
      <c r="L1237" s="67">
        <v>5000</v>
      </c>
      <c r="M1237" s="67">
        <v>500000</v>
      </c>
      <c r="N1237" s="105">
        <v>44197</v>
      </c>
      <c r="O1237" s="105">
        <v>44377</v>
      </c>
      <c r="P1237" t="s">
        <v>718</v>
      </c>
    </row>
    <row r="1238" spans="1:16" ht="15" customHeight="1" x14ac:dyDescent="0.3">
      <c r="A1238" t="str">
        <f t="shared" si="20"/>
        <v>14-0-HH 1RATE (WC)-SmartFIX – 3 Year</v>
      </c>
      <c r="B1238" s="67" t="s">
        <v>13</v>
      </c>
      <c r="C1238" s="67">
        <v>14</v>
      </c>
      <c r="D1238" s="99" t="s">
        <v>23</v>
      </c>
      <c r="E1238" s="67" t="s">
        <v>732</v>
      </c>
      <c r="F1238" s="67" t="s">
        <v>88</v>
      </c>
      <c r="G1238" s="67" t="s">
        <v>691</v>
      </c>
      <c r="H1238" s="127">
        <v>0.45290000000000002</v>
      </c>
      <c r="I1238" s="109">
        <v>0.16009999999999999</v>
      </c>
      <c r="J1238" s="109"/>
      <c r="K1238" s="109"/>
      <c r="L1238" s="67">
        <v>5000</v>
      </c>
      <c r="M1238" s="67">
        <v>500000</v>
      </c>
      <c r="N1238" s="105">
        <v>44197</v>
      </c>
      <c r="O1238" s="105">
        <v>44377</v>
      </c>
      <c r="P1238" t="s">
        <v>718</v>
      </c>
    </row>
    <row r="1239" spans="1:16" ht="15" customHeight="1" x14ac:dyDescent="0.3">
      <c r="A1239" t="str">
        <f t="shared" si="20"/>
        <v>15-0-HH 1RATE (WC)-SmartFIX – 3 Year</v>
      </c>
      <c r="B1239" s="67" t="s">
        <v>13</v>
      </c>
      <c r="C1239" s="67">
        <v>15</v>
      </c>
      <c r="D1239" s="99" t="s">
        <v>24</v>
      </c>
      <c r="E1239" s="67" t="s">
        <v>732</v>
      </c>
      <c r="F1239" s="67" t="s">
        <v>88</v>
      </c>
      <c r="G1239" s="67" t="s">
        <v>691</v>
      </c>
      <c r="H1239" s="127">
        <v>0.42909999999999998</v>
      </c>
      <c r="I1239" s="109">
        <v>0.15820000000000001</v>
      </c>
      <c r="J1239" s="109"/>
      <c r="K1239" s="109"/>
      <c r="L1239" s="67">
        <v>5000</v>
      </c>
      <c r="M1239" s="67">
        <v>500000</v>
      </c>
      <c r="N1239" s="105">
        <v>44197</v>
      </c>
      <c r="O1239" s="105">
        <v>44377</v>
      </c>
      <c r="P1239" t="s">
        <v>718</v>
      </c>
    </row>
    <row r="1240" spans="1:16" ht="15" customHeight="1" x14ac:dyDescent="0.3">
      <c r="A1240" t="str">
        <f t="shared" si="20"/>
        <v>16-0-HH 1RATE (WC)-SmartFIX – 3 Year</v>
      </c>
      <c r="B1240" s="67" t="s">
        <v>13</v>
      </c>
      <c r="C1240" s="67">
        <v>16</v>
      </c>
      <c r="D1240" s="99" t="s">
        <v>25</v>
      </c>
      <c r="E1240" s="67" t="s">
        <v>732</v>
      </c>
      <c r="F1240" s="67" t="s">
        <v>88</v>
      </c>
      <c r="G1240" s="67" t="s">
        <v>691</v>
      </c>
      <c r="H1240" s="127">
        <v>0.38250000000000001</v>
      </c>
      <c r="I1240" s="109">
        <v>0.1613</v>
      </c>
      <c r="J1240" s="109"/>
      <c r="K1240" s="109"/>
      <c r="L1240" s="67">
        <v>5000</v>
      </c>
      <c r="M1240" s="67">
        <v>500000</v>
      </c>
      <c r="N1240" s="105">
        <v>44197</v>
      </c>
      <c r="O1240" s="105">
        <v>44377</v>
      </c>
      <c r="P1240" t="s">
        <v>718</v>
      </c>
    </row>
    <row r="1241" spans="1:16" ht="15" customHeight="1" x14ac:dyDescent="0.3">
      <c r="A1241" t="str">
        <f t="shared" si="20"/>
        <v>17-0-HH 1RATE (WC)-SmartFIX – 3 Year</v>
      </c>
      <c r="B1241" s="67" t="s">
        <v>13</v>
      </c>
      <c r="C1241" s="67">
        <v>17</v>
      </c>
      <c r="D1241" s="99" t="s">
        <v>26</v>
      </c>
      <c r="E1241" s="67" t="s">
        <v>732</v>
      </c>
      <c r="F1241" s="67" t="s">
        <v>88</v>
      </c>
      <c r="G1241" s="67" t="s">
        <v>691</v>
      </c>
      <c r="H1241" s="127">
        <v>0.46820000000000001</v>
      </c>
      <c r="I1241" s="109">
        <v>0.17280000000000001</v>
      </c>
      <c r="J1241" s="109"/>
      <c r="K1241" s="109"/>
      <c r="L1241" s="67">
        <v>5000</v>
      </c>
      <c r="M1241" s="67">
        <v>500000</v>
      </c>
      <c r="N1241" s="105">
        <v>44197</v>
      </c>
      <c r="O1241" s="105">
        <v>44377</v>
      </c>
      <c r="P1241" t="s">
        <v>718</v>
      </c>
    </row>
    <row r="1242" spans="1:16" ht="15" customHeight="1" x14ac:dyDescent="0.3">
      <c r="A1242" t="str">
        <f t="shared" si="20"/>
        <v>18-0-HH 1RATE (WC)-SmartFIX – 3 Year</v>
      </c>
      <c r="B1242" s="67" t="s">
        <v>13</v>
      </c>
      <c r="C1242" s="67">
        <v>18</v>
      </c>
      <c r="D1242" s="99" t="s">
        <v>27</v>
      </c>
      <c r="E1242" s="67" t="s">
        <v>732</v>
      </c>
      <c r="F1242" s="67" t="s">
        <v>88</v>
      </c>
      <c r="G1242" s="67" t="s">
        <v>691</v>
      </c>
      <c r="H1242" s="127">
        <v>0.41039999999999999</v>
      </c>
      <c r="I1242" s="109">
        <v>0.16070000000000001</v>
      </c>
      <c r="J1242" s="109"/>
      <c r="K1242" s="109"/>
      <c r="L1242" s="67">
        <v>5000</v>
      </c>
      <c r="M1242" s="67">
        <v>500000</v>
      </c>
      <c r="N1242" s="105">
        <v>44197</v>
      </c>
      <c r="O1242" s="105">
        <v>44377</v>
      </c>
      <c r="P1242" t="s">
        <v>718</v>
      </c>
    </row>
    <row r="1243" spans="1:16" ht="15" customHeight="1" x14ac:dyDescent="0.3">
      <c r="A1243" t="str">
        <f t="shared" si="20"/>
        <v>19-0-HH 1RATE (WC)-SmartFIX – 3 Year</v>
      </c>
      <c r="B1243" s="67" t="s">
        <v>13</v>
      </c>
      <c r="C1243" s="67">
        <v>19</v>
      </c>
      <c r="D1243" s="99" t="s">
        <v>28</v>
      </c>
      <c r="E1243" s="67" t="s">
        <v>732</v>
      </c>
      <c r="F1243" s="67" t="s">
        <v>88</v>
      </c>
      <c r="G1243" s="67" t="s">
        <v>691</v>
      </c>
      <c r="H1243" s="127">
        <v>0.41199999999999998</v>
      </c>
      <c r="I1243" s="109">
        <v>0.15310000000000001</v>
      </c>
      <c r="J1243" s="109"/>
      <c r="K1243" s="109"/>
      <c r="L1243" s="67">
        <v>5000</v>
      </c>
      <c r="M1243" s="67">
        <v>500000</v>
      </c>
      <c r="N1243" s="105">
        <v>44197</v>
      </c>
      <c r="O1243" s="105">
        <v>44377</v>
      </c>
      <c r="P1243" t="s">
        <v>718</v>
      </c>
    </row>
    <row r="1244" spans="1:16" ht="15" customHeight="1" x14ac:dyDescent="0.3">
      <c r="A1244" t="str">
        <f t="shared" si="20"/>
        <v>20-0-HH 1RATE (WC)-SmartFIX – 3 Year</v>
      </c>
      <c r="B1244" s="67" t="s">
        <v>13</v>
      </c>
      <c r="C1244" s="67">
        <v>20</v>
      </c>
      <c r="D1244" s="99" t="s">
        <v>29</v>
      </c>
      <c r="E1244" s="67" t="s">
        <v>732</v>
      </c>
      <c r="F1244" s="67" t="s">
        <v>88</v>
      </c>
      <c r="G1244" s="67" t="s">
        <v>691</v>
      </c>
      <c r="H1244" s="127">
        <v>0.40510000000000002</v>
      </c>
      <c r="I1244" s="109">
        <v>0.15290000000000001</v>
      </c>
      <c r="J1244" s="109"/>
      <c r="K1244" s="109"/>
      <c r="L1244" s="67">
        <v>5000</v>
      </c>
      <c r="M1244" s="67">
        <v>500000</v>
      </c>
      <c r="N1244" s="105">
        <v>44197</v>
      </c>
      <c r="O1244" s="105">
        <v>44377</v>
      </c>
      <c r="P1244" t="s">
        <v>718</v>
      </c>
    </row>
    <row r="1245" spans="1:16" ht="15" customHeight="1" x14ac:dyDescent="0.3">
      <c r="A1245" t="str">
        <f t="shared" si="20"/>
        <v>21-0-HH 1RATE (WC)-SmartFIX – 3 Year</v>
      </c>
      <c r="B1245" s="67" t="s">
        <v>13</v>
      </c>
      <c r="C1245" s="67">
        <v>21</v>
      </c>
      <c r="D1245" s="99" t="s">
        <v>30</v>
      </c>
      <c r="E1245" s="67" t="s">
        <v>732</v>
      </c>
      <c r="F1245" s="67" t="s">
        <v>88</v>
      </c>
      <c r="G1245" s="67" t="s">
        <v>691</v>
      </c>
      <c r="H1245" s="127">
        <v>0.51429999999999998</v>
      </c>
      <c r="I1245" s="109">
        <v>0.1605</v>
      </c>
      <c r="J1245" s="109"/>
      <c r="K1245" s="109"/>
      <c r="L1245" s="67">
        <v>5000</v>
      </c>
      <c r="M1245" s="67">
        <v>500000</v>
      </c>
      <c r="N1245" s="105">
        <v>44197</v>
      </c>
      <c r="O1245" s="105">
        <v>44377</v>
      </c>
      <c r="P1245" t="s">
        <v>718</v>
      </c>
    </row>
    <row r="1246" spans="1:16" ht="15" customHeight="1" x14ac:dyDescent="0.3">
      <c r="A1246" t="str">
        <f t="shared" si="20"/>
        <v>22-0-HH 1RATE (WC)-SmartFIX – 3 Year</v>
      </c>
      <c r="B1246" s="67" t="s">
        <v>13</v>
      </c>
      <c r="C1246" s="67">
        <v>22</v>
      </c>
      <c r="D1246" s="99" t="s">
        <v>31</v>
      </c>
      <c r="E1246" s="67" t="s">
        <v>732</v>
      </c>
      <c r="F1246" s="67" t="s">
        <v>88</v>
      </c>
      <c r="G1246" s="67" t="s">
        <v>691</v>
      </c>
      <c r="H1246" s="127">
        <v>0.4617</v>
      </c>
      <c r="I1246" s="109">
        <v>0.1656</v>
      </c>
      <c r="J1246" s="109"/>
      <c r="K1246" s="109"/>
      <c r="L1246" s="67">
        <v>5000</v>
      </c>
      <c r="M1246" s="67">
        <v>500000</v>
      </c>
      <c r="N1246" s="105">
        <v>44197</v>
      </c>
      <c r="O1246" s="105">
        <v>44377</v>
      </c>
      <c r="P1246" t="s">
        <v>718</v>
      </c>
    </row>
    <row r="1247" spans="1:16" ht="15" customHeight="1" x14ac:dyDescent="0.3">
      <c r="A1247" t="str">
        <f t="shared" si="20"/>
        <v>23-0-HH 1RATE (WC)-SmartFIX – 3 Year</v>
      </c>
      <c r="B1247" s="67" t="s">
        <v>13</v>
      </c>
      <c r="C1247" s="67">
        <v>23</v>
      </c>
      <c r="D1247" s="99" t="s">
        <v>32</v>
      </c>
      <c r="E1247" s="67" t="s">
        <v>732</v>
      </c>
      <c r="F1247" s="67" t="s">
        <v>88</v>
      </c>
      <c r="G1247" s="67" t="s">
        <v>691</v>
      </c>
      <c r="H1247" s="127">
        <v>0.4219</v>
      </c>
      <c r="I1247" s="109">
        <v>0.15040000000000001</v>
      </c>
      <c r="J1247" s="109"/>
      <c r="K1247" s="109"/>
      <c r="L1247" s="67">
        <v>5000</v>
      </c>
      <c r="M1247" s="67">
        <v>500000</v>
      </c>
      <c r="N1247" s="105">
        <v>44197</v>
      </c>
      <c r="O1247" s="105">
        <v>44377</v>
      </c>
      <c r="P1247" t="s">
        <v>718</v>
      </c>
    </row>
    <row r="1248" spans="1:16" ht="15" customHeight="1" x14ac:dyDescent="0.3">
      <c r="A1248" t="str">
        <f t="shared" si="20"/>
        <v>10-0-HH 1RATE (WC)-SmartFIX – 3 Year Renewal</v>
      </c>
      <c r="B1248" s="67" t="s">
        <v>13</v>
      </c>
      <c r="C1248" s="67">
        <v>10</v>
      </c>
      <c r="D1248" s="99" t="s">
        <v>14</v>
      </c>
      <c r="E1248" s="67" t="s">
        <v>732</v>
      </c>
      <c r="F1248" s="67" t="s">
        <v>88</v>
      </c>
      <c r="G1248" s="67" t="s">
        <v>728</v>
      </c>
      <c r="H1248" s="127">
        <v>0.46110000000000001</v>
      </c>
      <c r="I1248" s="109">
        <v>0.16270000000000001</v>
      </c>
      <c r="J1248" s="109"/>
      <c r="K1248" s="109"/>
      <c r="L1248" s="67">
        <v>5000</v>
      </c>
      <c r="M1248" s="67">
        <v>500000</v>
      </c>
      <c r="N1248" s="105">
        <v>44197</v>
      </c>
      <c r="O1248" s="105">
        <v>44377</v>
      </c>
      <c r="P1248" t="s">
        <v>718</v>
      </c>
    </row>
    <row r="1249" spans="1:16" ht="15" customHeight="1" x14ac:dyDescent="0.3">
      <c r="A1249" t="str">
        <f t="shared" si="20"/>
        <v>11-0-HH 1RATE (WC)-SmartFIX – 3 Year Renewal</v>
      </c>
      <c r="B1249" s="67" t="s">
        <v>13</v>
      </c>
      <c r="C1249" s="67">
        <v>11</v>
      </c>
      <c r="D1249" s="99" t="s">
        <v>20</v>
      </c>
      <c r="E1249" s="67" t="s">
        <v>732</v>
      </c>
      <c r="F1249" s="67" t="s">
        <v>88</v>
      </c>
      <c r="G1249" s="67" t="s">
        <v>728</v>
      </c>
      <c r="H1249" s="127">
        <v>0.47270000000000001</v>
      </c>
      <c r="I1249" s="109">
        <v>0.16090000000000002</v>
      </c>
      <c r="J1249" s="109"/>
      <c r="K1249" s="109"/>
      <c r="L1249" s="67">
        <v>5000</v>
      </c>
      <c r="M1249" s="67">
        <v>500000</v>
      </c>
      <c r="N1249" s="105">
        <v>44197</v>
      </c>
      <c r="O1249" s="105">
        <v>44377</v>
      </c>
      <c r="P1249" t="s">
        <v>718</v>
      </c>
    </row>
    <row r="1250" spans="1:16" ht="15" customHeight="1" x14ac:dyDescent="0.3">
      <c r="A1250" t="str">
        <f t="shared" si="20"/>
        <v>12-0-HH 1RATE (WC)-SmartFIX – 3 Year Renewal</v>
      </c>
      <c r="B1250" s="67" t="s">
        <v>13</v>
      </c>
      <c r="C1250" s="67">
        <v>12</v>
      </c>
      <c r="D1250" s="99" t="s">
        <v>21</v>
      </c>
      <c r="E1250" s="67" t="s">
        <v>732</v>
      </c>
      <c r="F1250" s="67" t="s">
        <v>88</v>
      </c>
      <c r="G1250" s="67" t="s">
        <v>728</v>
      </c>
      <c r="H1250" s="127">
        <v>0.3861</v>
      </c>
      <c r="I1250" s="109">
        <v>0.158</v>
      </c>
      <c r="J1250" s="109"/>
      <c r="K1250" s="109"/>
      <c r="L1250" s="67">
        <v>5000</v>
      </c>
      <c r="M1250" s="67">
        <v>500000</v>
      </c>
      <c r="N1250" s="105">
        <v>44197</v>
      </c>
      <c r="O1250" s="105">
        <v>44377</v>
      </c>
      <c r="P1250" t="s">
        <v>718</v>
      </c>
    </row>
    <row r="1251" spans="1:16" ht="15" customHeight="1" x14ac:dyDescent="0.3">
      <c r="A1251" t="str">
        <f t="shared" si="20"/>
        <v>13-0-HH 1RATE (WC)-SmartFIX – 3 Year Renewal</v>
      </c>
      <c r="B1251" s="67" t="s">
        <v>13</v>
      </c>
      <c r="C1251" s="67">
        <v>13</v>
      </c>
      <c r="D1251" s="99" t="s">
        <v>22</v>
      </c>
      <c r="E1251" s="67" t="s">
        <v>732</v>
      </c>
      <c r="F1251" s="67" t="s">
        <v>88</v>
      </c>
      <c r="G1251" s="67" t="s">
        <v>728</v>
      </c>
      <c r="H1251" s="127">
        <v>0.43309999999999998</v>
      </c>
      <c r="I1251" s="109">
        <v>0.1842</v>
      </c>
      <c r="J1251" s="109"/>
      <c r="K1251" s="109"/>
      <c r="L1251" s="67">
        <v>5000</v>
      </c>
      <c r="M1251" s="67">
        <v>500000</v>
      </c>
      <c r="N1251" s="105">
        <v>44197</v>
      </c>
      <c r="O1251" s="105">
        <v>44377</v>
      </c>
      <c r="P1251" t="s">
        <v>718</v>
      </c>
    </row>
    <row r="1252" spans="1:16" ht="15" customHeight="1" x14ac:dyDescent="0.3">
      <c r="A1252" t="str">
        <f t="shared" si="20"/>
        <v>14-0-HH 1RATE (WC)-SmartFIX – 3 Year Renewal</v>
      </c>
      <c r="B1252" s="67" t="s">
        <v>13</v>
      </c>
      <c r="C1252" s="67">
        <v>14</v>
      </c>
      <c r="D1252" s="99" t="s">
        <v>23</v>
      </c>
      <c r="E1252" s="67" t="s">
        <v>732</v>
      </c>
      <c r="F1252" s="67" t="s">
        <v>88</v>
      </c>
      <c r="G1252" s="67" t="s">
        <v>728</v>
      </c>
      <c r="H1252" s="127">
        <v>0.49819999999999998</v>
      </c>
      <c r="I1252" s="109">
        <v>0.1661</v>
      </c>
      <c r="J1252" s="109"/>
      <c r="K1252" s="109"/>
      <c r="L1252" s="67">
        <v>5000</v>
      </c>
      <c r="M1252" s="67">
        <v>500000</v>
      </c>
      <c r="N1252" s="105">
        <v>44197</v>
      </c>
      <c r="O1252" s="105">
        <v>44377</v>
      </c>
      <c r="P1252" t="s">
        <v>718</v>
      </c>
    </row>
    <row r="1253" spans="1:16" ht="15" customHeight="1" x14ac:dyDescent="0.3">
      <c r="A1253" t="str">
        <f t="shared" si="20"/>
        <v>15-0-HH 1RATE (WC)-SmartFIX – 3 Year Renewal</v>
      </c>
      <c r="B1253" s="67" t="s">
        <v>13</v>
      </c>
      <c r="C1253" s="67">
        <v>15</v>
      </c>
      <c r="D1253" s="99" t="s">
        <v>24</v>
      </c>
      <c r="E1253" s="67" t="s">
        <v>732</v>
      </c>
      <c r="F1253" s="67" t="s">
        <v>88</v>
      </c>
      <c r="G1253" s="67" t="s">
        <v>728</v>
      </c>
      <c r="H1253" s="127">
        <v>0.47199999999999998</v>
      </c>
      <c r="I1253" s="109">
        <v>0.16420000000000001</v>
      </c>
      <c r="J1253" s="109"/>
      <c r="K1253" s="109"/>
      <c r="L1253" s="67">
        <v>5000</v>
      </c>
      <c r="M1253" s="67">
        <v>500000</v>
      </c>
      <c r="N1253" s="105">
        <v>44197</v>
      </c>
      <c r="O1253" s="105">
        <v>44377</v>
      </c>
      <c r="P1253" t="s">
        <v>718</v>
      </c>
    </row>
    <row r="1254" spans="1:16" ht="15" customHeight="1" x14ac:dyDescent="0.3">
      <c r="A1254" t="str">
        <f t="shared" si="20"/>
        <v>16-0-HH 1RATE (WC)-SmartFIX – 3 Year Renewal</v>
      </c>
      <c r="B1254" s="67" t="s">
        <v>13</v>
      </c>
      <c r="C1254" s="67">
        <v>16</v>
      </c>
      <c r="D1254" s="99" t="s">
        <v>25</v>
      </c>
      <c r="E1254" s="67" t="s">
        <v>732</v>
      </c>
      <c r="F1254" s="67" t="s">
        <v>88</v>
      </c>
      <c r="G1254" s="67" t="s">
        <v>728</v>
      </c>
      <c r="H1254" s="127">
        <v>0.42070000000000002</v>
      </c>
      <c r="I1254" s="109">
        <v>0.1673</v>
      </c>
      <c r="J1254" s="109"/>
      <c r="K1254" s="109"/>
      <c r="L1254" s="67">
        <v>5000</v>
      </c>
      <c r="M1254" s="67">
        <v>500000</v>
      </c>
      <c r="N1254" s="105">
        <v>44197</v>
      </c>
      <c r="O1254" s="105">
        <v>44377</v>
      </c>
      <c r="P1254" t="s">
        <v>718</v>
      </c>
    </row>
    <row r="1255" spans="1:16" ht="15" customHeight="1" x14ac:dyDescent="0.3">
      <c r="A1255" t="str">
        <f t="shared" si="20"/>
        <v>17-0-HH 1RATE (WC)-SmartFIX – 3 Year Renewal</v>
      </c>
      <c r="B1255" s="67" t="s">
        <v>13</v>
      </c>
      <c r="C1255" s="67">
        <v>17</v>
      </c>
      <c r="D1255" s="99" t="s">
        <v>26</v>
      </c>
      <c r="E1255" s="67" t="s">
        <v>732</v>
      </c>
      <c r="F1255" s="67" t="s">
        <v>88</v>
      </c>
      <c r="G1255" s="67" t="s">
        <v>728</v>
      </c>
      <c r="H1255" s="127">
        <v>0.51500000000000001</v>
      </c>
      <c r="I1255" s="109">
        <v>0.17880000000000001</v>
      </c>
      <c r="J1255" s="109"/>
      <c r="K1255" s="109"/>
      <c r="L1255" s="67">
        <v>5000</v>
      </c>
      <c r="M1255" s="67">
        <v>500000</v>
      </c>
      <c r="N1255" s="105">
        <v>44197</v>
      </c>
      <c r="O1255" s="105">
        <v>44377</v>
      </c>
      <c r="P1255" t="s">
        <v>718</v>
      </c>
    </row>
    <row r="1256" spans="1:16" ht="15" customHeight="1" x14ac:dyDescent="0.3">
      <c r="A1256" t="str">
        <f t="shared" si="20"/>
        <v>18-0-HH 1RATE (WC)-SmartFIX – 3 Year Renewal</v>
      </c>
      <c r="B1256" s="67" t="s">
        <v>13</v>
      </c>
      <c r="C1256" s="67">
        <v>18</v>
      </c>
      <c r="D1256" s="99" t="s">
        <v>27</v>
      </c>
      <c r="E1256" s="67" t="s">
        <v>732</v>
      </c>
      <c r="F1256" s="67" t="s">
        <v>88</v>
      </c>
      <c r="G1256" s="67" t="s">
        <v>728</v>
      </c>
      <c r="H1256" s="127">
        <v>0.45150000000000001</v>
      </c>
      <c r="I1256" s="109">
        <v>0.16670000000000001</v>
      </c>
      <c r="J1256" s="109"/>
      <c r="K1256" s="109"/>
      <c r="L1256" s="67">
        <v>5000</v>
      </c>
      <c r="M1256" s="67">
        <v>500000</v>
      </c>
      <c r="N1256" s="105">
        <v>44197</v>
      </c>
      <c r="O1256" s="105">
        <v>44377</v>
      </c>
      <c r="P1256" t="s">
        <v>718</v>
      </c>
    </row>
    <row r="1257" spans="1:16" ht="15" customHeight="1" x14ac:dyDescent="0.3">
      <c r="A1257" t="str">
        <f t="shared" si="20"/>
        <v>19-0-HH 1RATE (WC)-SmartFIX – 3 Year Renewal</v>
      </c>
      <c r="B1257" s="67" t="s">
        <v>13</v>
      </c>
      <c r="C1257" s="67">
        <v>19</v>
      </c>
      <c r="D1257" s="99" t="s">
        <v>28</v>
      </c>
      <c r="E1257" s="67" t="s">
        <v>732</v>
      </c>
      <c r="F1257" s="67" t="s">
        <v>88</v>
      </c>
      <c r="G1257" s="67" t="s">
        <v>728</v>
      </c>
      <c r="H1257" s="127">
        <v>0.45319999999999999</v>
      </c>
      <c r="I1257" s="109">
        <v>0.15910000000000002</v>
      </c>
      <c r="J1257" s="109"/>
      <c r="K1257" s="109"/>
      <c r="L1257" s="67">
        <v>5000</v>
      </c>
      <c r="M1257" s="67">
        <v>500000</v>
      </c>
      <c r="N1257" s="105">
        <v>44197</v>
      </c>
      <c r="O1257" s="105">
        <v>44377</v>
      </c>
      <c r="P1257" t="s">
        <v>718</v>
      </c>
    </row>
    <row r="1258" spans="1:16" ht="15" customHeight="1" x14ac:dyDescent="0.3">
      <c r="A1258" t="str">
        <f t="shared" si="20"/>
        <v>20-0-HH 1RATE (WC)-SmartFIX – 3 Year Renewal</v>
      </c>
      <c r="B1258" s="67" t="s">
        <v>13</v>
      </c>
      <c r="C1258" s="67">
        <v>20</v>
      </c>
      <c r="D1258" s="99" t="s">
        <v>29</v>
      </c>
      <c r="E1258" s="67" t="s">
        <v>732</v>
      </c>
      <c r="F1258" s="67" t="s">
        <v>88</v>
      </c>
      <c r="G1258" s="67" t="s">
        <v>728</v>
      </c>
      <c r="H1258" s="127">
        <v>0.44569999999999999</v>
      </c>
      <c r="I1258" s="109">
        <v>0.15890000000000001</v>
      </c>
      <c r="J1258" s="109"/>
      <c r="K1258" s="109"/>
      <c r="L1258" s="67">
        <v>5000</v>
      </c>
      <c r="M1258" s="67">
        <v>500000</v>
      </c>
      <c r="N1258" s="105">
        <v>44197</v>
      </c>
      <c r="O1258" s="105">
        <v>44377</v>
      </c>
      <c r="P1258" t="s">
        <v>718</v>
      </c>
    </row>
    <row r="1259" spans="1:16" ht="15" customHeight="1" x14ac:dyDescent="0.3">
      <c r="A1259" t="str">
        <f t="shared" si="20"/>
        <v>21-0-HH 1RATE (WC)-SmartFIX – 3 Year Renewal</v>
      </c>
      <c r="B1259" s="67" t="s">
        <v>13</v>
      </c>
      <c r="C1259" s="67">
        <v>21</v>
      </c>
      <c r="D1259" s="99" t="s">
        <v>30</v>
      </c>
      <c r="E1259" s="67" t="s">
        <v>732</v>
      </c>
      <c r="F1259" s="67" t="s">
        <v>88</v>
      </c>
      <c r="G1259" s="67" t="s">
        <v>728</v>
      </c>
      <c r="H1259" s="127">
        <v>0.56569999999999998</v>
      </c>
      <c r="I1259" s="109">
        <v>0.16650000000000001</v>
      </c>
      <c r="J1259" s="109"/>
      <c r="K1259" s="109"/>
      <c r="L1259" s="67">
        <v>5000</v>
      </c>
      <c r="M1259" s="67">
        <v>500000</v>
      </c>
      <c r="N1259" s="105">
        <v>44197</v>
      </c>
      <c r="O1259" s="105">
        <v>44377</v>
      </c>
      <c r="P1259" t="s">
        <v>718</v>
      </c>
    </row>
    <row r="1260" spans="1:16" ht="15" customHeight="1" x14ac:dyDescent="0.3">
      <c r="A1260" t="str">
        <f t="shared" si="20"/>
        <v>22-0-HH 1RATE (WC)-SmartFIX – 3 Year Renewal</v>
      </c>
      <c r="B1260" s="67" t="s">
        <v>13</v>
      </c>
      <c r="C1260" s="67">
        <v>22</v>
      </c>
      <c r="D1260" s="99" t="s">
        <v>31</v>
      </c>
      <c r="E1260" s="67" t="s">
        <v>732</v>
      </c>
      <c r="F1260" s="67" t="s">
        <v>88</v>
      </c>
      <c r="G1260" s="67" t="s">
        <v>728</v>
      </c>
      <c r="H1260" s="127">
        <v>0.50790000000000002</v>
      </c>
      <c r="I1260" s="109">
        <v>0.1716</v>
      </c>
      <c r="J1260" s="109"/>
      <c r="K1260" s="109"/>
      <c r="L1260" s="67">
        <v>5000</v>
      </c>
      <c r="M1260" s="67">
        <v>500000</v>
      </c>
      <c r="N1260" s="105">
        <v>44197</v>
      </c>
      <c r="O1260" s="105">
        <v>44377</v>
      </c>
      <c r="P1260" t="s">
        <v>718</v>
      </c>
    </row>
    <row r="1261" spans="1:16" ht="15" customHeight="1" x14ac:dyDescent="0.3">
      <c r="A1261" t="str">
        <f t="shared" si="20"/>
        <v>23-0-HH 1RATE (WC)-SmartFIX – 3 Year Renewal</v>
      </c>
      <c r="B1261" s="67" t="s">
        <v>13</v>
      </c>
      <c r="C1261" s="67">
        <v>23</v>
      </c>
      <c r="D1261" s="99" t="s">
        <v>32</v>
      </c>
      <c r="E1261" s="67" t="s">
        <v>732</v>
      </c>
      <c r="F1261" s="67" t="s">
        <v>88</v>
      </c>
      <c r="G1261" s="67" t="s">
        <v>728</v>
      </c>
      <c r="H1261" s="127">
        <v>0.46410000000000001</v>
      </c>
      <c r="I1261" s="109">
        <v>0.15640000000000001</v>
      </c>
      <c r="J1261" s="109"/>
      <c r="K1261" s="109"/>
      <c r="L1261" s="67">
        <v>5000</v>
      </c>
      <c r="M1261" s="67">
        <v>500000</v>
      </c>
      <c r="N1261" s="105">
        <v>44197</v>
      </c>
      <c r="O1261" s="105">
        <v>44377</v>
      </c>
      <c r="P1261" t="s">
        <v>718</v>
      </c>
    </row>
    <row r="1262" spans="1:16" ht="15" customHeight="1" x14ac:dyDescent="0.3">
      <c r="A1262" t="str">
        <f t="shared" si="20"/>
        <v>10-0-HH 1RATE (CT)-SmartFIX – 3 Year</v>
      </c>
      <c r="B1262" s="67" t="s">
        <v>13</v>
      </c>
      <c r="C1262" s="67">
        <v>10</v>
      </c>
      <c r="D1262" s="99" t="s">
        <v>14</v>
      </c>
      <c r="E1262" s="67" t="s">
        <v>731</v>
      </c>
      <c r="F1262" s="67" t="s">
        <v>88</v>
      </c>
      <c r="G1262" s="67" t="s">
        <v>691</v>
      </c>
      <c r="H1262" s="127">
        <v>0.5917</v>
      </c>
      <c r="I1262" s="109">
        <v>0.16120000000000001</v>
      </c>
      <c r="J1262" s="109"/>
      <c r="K1262" s="109"/>
      <c r="L1262" s="67">
        <v>5000</v>
      </c>
      <c r="M1262" s="67">
        <v>500000</v>
      </c>
      <c r="N1262" s="105">
        <v>44197</v>
      </c>
      <c r="O1262" s="105">
        <v>44377</v>
      </c>
      <c r="P1262" t="s">
        <v>718</v>
      </c>
    </row>
    <row r="1263" spans="1:16" ht="15" customHeight="1" x14ac:dyDescent="0.3">
      <c r="A1263" t="str">
        <f t="shared" si="20"/>
        <v>11-0-HH 1RATE (CT)-SmartFIX – 3 Year</v>
      </c>
      <c r="B1263" s="67" t="s">
        <v>13</v>
      </c>
      <c r="C1263" s="67">
        <v>11</v>
      </c>
      <c r="D1263" s="99" t="s">
        <v>20</v>
      </c>
      <c r="E1263" s="67" t="s">
        <v>731</v>
      </c>
      <c r="F1263" s="67" t="s">
        <v>88</v>
      </c>
      <c r="G1263" s="67" t="s">
        <v>691</v>
      </c>
      <c r="H1263" s="127">
        <v>0.52580000000000005</v>
      </c>
      <c r="I1263" s="109">
        <v>0.161</v>
      </c>
      <c r="J1263" s="109"/>
      <c r="K1263" s="109"/>
      <c r="L1263" s="67">
        <v>5000</v>
      </c>
      <c r="M1263" s="67">
        <v>500000</v>
      </c>
      <c r="N1263" s="105">
        <v>44197</v>
      </c>
      <c r="O1263" s="105">
        <v>44377</v>
      </c>
      <c r="P1263" t="s">
        <v>718</v>
      </c>
    </row>
    <row r="1264" spans="1:16" ht="15" customHeight="1" x14ac:dyDescent="0.3">
      <c r="A1264" t="str">
        <f t="shared" si="20"/>
        <v>12-0-HH 1RATE (CT)-SmartFIX – 3 Year</v>
      </c>
      <c r="B1264" s="67" t="s">
        <v>13</v>
      </c>
      <c r="C1264" s="67">
        <v>12</v>
      </c>
      <c r="D1264" s="99" t="s">
        <v>21</v>
      </c>
      <c r="E1264" s="67" t="s">
        <v>731</v>
      </c>
      <c r="F1264" s="67" t="s">
        <v>88</v>
      </c>
      <c r="G1264" s="67" t="s">
        <v>691</v>
      </c>
      <c r="H1264" s="127">
        <v>0.48549999999999999</v>
      </c>
      <c r="I1264" s="109">
        <v>0.159</v>
      </c>
      <c r="J1264" s="109"/>
      <c r="K1264" s="109"/>
      <c r="L1264" s="67">
        <v>5000</v>
      </c>
      <c r="M1264" s="67">
        <v>500000</v>
      </c>
      <c r="N1264" s="105">
        <v>44197</v>
      </c>
      <c r="O1264" s="105">
        <v>44377</v>
      </c>
      <c r="P1264" t="s">
        <v>718</v>
      </c>
    </row>
    <row r="1265" spans="1:16" ht="15" customHeight="1" x14ac:dyDescent="0.3">
      <c r="A1265" t="str">
        <f t="shared" si="20"/>
        <v>13-0-HH 1RATE (CT)-SmartFIX – 3 Year</v>
      </c>
      <c r="B1265" s="67" t="s">
        <v>13</v>
      </c>
      <c r="C1265" s="67">
        <v>13</v>
      </c>
      <c r="D1265" s="99" t="s">
        <v>22</v>
      </c>
      <c r="E1265" s="67" t="s">
        <v>731</v>
      </c>
      <c r="F1265" s="67" t="s">
        <v>88</v>
      </c>
      <c r="G1265" s="67" t="s">
        <v>691</v>
      </c>
      <c r="H1265" s="127">
        <v>0.68140000000000001</v>
      </c>
      <c r="I1265" s="109">
        <v>0.19919999999999999</v>
      </c>
      <c r="J1265" s="109"/>
      <c r="K1265" s="109"/>
      <c r="L1265" s="67">
        <v>5000</v>
      </c>
      <c r="M1265" s="67">
        <v>500000</v>
      </c>
      <c r="N1265" s="105">
        <v>44197</v>
      </c>
      <c r="O1265" s="105">
        <v>44377</v>
      </c>
      <c r="P1265" t="s">
        <v>718</v>
      </c>
    </row>
    <row r="1266" spans="1:16" ht="15" customHeight="1" x14ac:dyDescent="0.3">
      <c r="A1266" t="str">
        <f t="shared" si="20"/>
        <v>14-0-HH 1RATE (CT)-SmartFIX – 3 Year</v>
      </c>
      <c r="B1266" s="67" t="s">
        <v>13</v>
      </c>
      <c r="C1266" s="67">
        <v>14</v>
      </c>
      <c r="D1266" s="99" t="s">
        <v>23</v>
      </c>
      <c r="E1266" s="67" t="s">
        <v>731</v>
      </c>
      <c r="F1266" s="67" t="s">
        <v>88</v>
      </c>
      <c r="G1266" s="67" t="s">
        <v>691</v>
      </c>
      <c r="H1266" s="127">
        <v>0.54020000000000001</v>
      </c>
      <c r="I1266" s="109">
        <v>0.16539999999999999</v>
      </c>
      <c r="J1266" s="109"/>
      <c r="K1266" s="109"/>
      <c r="L1266" s="67">
        <v>5000</v>
      </c>
      <c r="M1266" s="67">
        <v>500000</v>
      </c>
      <c r="N1266" s="105">
        <v>44197</v>
      </c>
      <c r="O1266" s="105">
        <v>44377</v>
      </c>
      <c r="P1266" t="s">
        <v>718</v>
      </c>
    </row>
    <row r="1267" spans="1:16" ht="15" customHeight="1" x14ac:dyDescent="0.3">
      <c r="A1267" t="str">
        <f t="shared" si="20"/>
        <v>15-0-HH 1RATE (CT)-SmartFIX – 3 Year</v>
      </c>
      <c r="B1267" s="67" t="s">
        <v>13</v>
      </c>
      <c r="C1267" s="67">
        <v>15</v>
      </c>
      <c r="D1267" s="99" t="s">
        <v>24</v>
      </c>
      <c r="E1267" s="67" t="s">
        <v>731</v>
      </c>
      <c r="F1267" s="67" t="s">
        <v>88</v>
      </c>
      <c r="G1267" s="67" t="s">
        <v>691</v>
      </c>
      <c r="H1267" s="127">
        <v>0.65339999999999998</v>
      </c>
      <c r="I1267" s="109">
        <v>0.16350000000000001</v>
      </c>
      <c r="J1267" s="109"/>
      <c r="K1267" s="109"/>
      <c r="L1267" s="67">
        <v>5000</v>
      </c>
      <c r="M1267" s="67">
        <v>500000</v>
      </c>
      <c r="N1267" s="105">
        <v>44197</v>
      </c>
      <c r="O1267" s="105">
        <v>44377</v>
      </c>
      <c r="P1267" t="s">
        <v>718</v>
      </c>
    </row>
    <row r="1268" spans="1:16" ht="15" customHeight="1" x14ac:dyDescent="0.3">
      <c r="A1268" t="str">
        <f t="shared" si="20"/>
        <v>16-0-HH 1RATE (CT)-SmartFIX – 3 Year</v>
      </c>
      <c r="B1268" s="67" t="s">
        <v>13</v>
      </c>
      <c r="C1268" s="67">
        <v>16</v>
      </c>
      <c r="D1268" s="99" t="s">
        <v>25</v>
      </c>
      <c r="E1268" s="67" t="s">
        <v>731</v>
      </c>
      <c r="F1268" s="67" t="s">
        <v>88</v>
      </c>
      <c r="G1268" s="67" t="s">
        <v>691</v>
      </c>
      <c r="H1268" s="127">
        <v>0.60860000000000003</v>
      </c>
      <c r="I1268" s="109">
        <v>0.1668</v>
      </c>
      <c r="J1268" s="109"/>
      <c r="K1268" s="109"/>
      <c r="L1268" s="67">
        <v>5000</v>
      </c>
      <c r="M1268" s="67">
        <v>500000</v>
      </c>
      <c r="N1268" s="105">
        <v>44197</v>
      </c>
      <c r="O1268" s="105">
        <v>44377</v>
      </c>
      <c r="P1268" t="s">
        <v>718</v>
      </c>
    </row>
    <row r="1269" spans="1:16" ht="15" customHeight="1" x14ac:dyDescent="0.3">
      <c r="A1269" t="str">
        <f t="shared" si="20"/>
        <v>17-0-HH 1RATE (CT)-SmartFIX – 3 Year</v>
      </c>
      <c r="B1269" s="67" t="s">
        <v>13</v>
      </c>
      <c r="C1269" s="67">
        <v>17</v>
      </c>
      <c r="D1269" s="99" t="s">
        <v>26</v>
      </c>
      <c r="E1269" s="67" t="s">
        <v>731</v>
      </c>
      <c r="F1269" s="67" t="s">
        <v>88</v>
      </c>
      <c r="G1269" s="67" t="s">
        <v>691</v>
      </c>
      <c r="H1269" s="127">
        <v>0.82389999999999997</v>
      </c>
      <c r="I1269" s="109">
        <v>0.17749999999999999</v>
      </c>
      <c r="J1269" s="109"/>
      <c r="K1269" s="109"/>
      <c r="L1269" s="67">
        <v>5000</v>
      </c>
      <c r="M1269" s="67">
        <v>500000</v>
      </c>
      <c r="N1269" s="105">
        <v>44197</v>
      </c>
      <c r="O1269" s="105">
        <v>44377</v>
      </c>
      <c r="P1269" t="s">
        <v>718</v>
      </c>
    </row>
    <row r="1270" spans="1:16" ht="15" customHeight="1" x14ac:dyDescent="0.3">
      <c r="A1270" t="str">
        <f t="shared" si="20"/>
        <v>18-0-HH 1RATE (CT)-SmartFIX – 3 Year</v>
      </c>
      <c r="B1270" s="67" t="s">
        <v>13</v>
      </c>
      <c r="C1270" s="67">
        <v>18</v>
      </c>
      <c r="D1270" s="99" t="s">
        <v>27</v>
      </c>
      <c r="E1270" s="67" t="s">
        <v>731</v>
      </c>
      <c r="F1270" s="67" t="s">
        <v>88</v>
      </c>
      <c r="G1270" s="67" t="s">
        <v>691</v>
      </c>
      <c r="H1270" s="127">
        <v>0.75529999999999997</v>
      </c>
      <c r="I1270" s="109">
        <v>0.1643</v>
      </c>
      <c r="J1270" s="109"/>
      <c r="K1270" s="109"/>
      <c r="L1270" s="67">
        <v>5000</v>
      </c>
      <c r="M1270" s="67">
        <v>500000</v>
      </c>
      <c r="N1270" s="105">
        <v>44197</v>
      </c>
      <c r="O1270" s="105">
        <v>44377</v>
      </c>
      <c r="P1270" t="s">
        <v>718</v>
      </c>
    </row>
    <row r="1271" spans="1:16" ht="15" customHeight="1" x14ac:dyDescent="0.3">
      <c r="A1271" t="str">
        <f t="shared" si="20"/>
        <v>19-0-HH 1RATE (CT)-SmartFIX – 3 Year</v>
      </c>
      <c r="B1271" s="67" t="s">
        <v>13</v>
      </c>
      <c r="C1271" s="67">
        <v>19</v>
      </c>
      <c r="D1271" s="99" t="s">
        <v>28</v>
      </c>
      <c r="E1271" s="67" t="s">
        <v>731</v>
      </c>
      <c r="F1271" s="67" t="s">
        <v>88</v>
      </c>
      <c r="G1271" s="67" t="s">
        <v>691</v>
      </c>
      <c r="H1271" s="127">
        <v>0.59350000000000003</v>
      </c>
      <c r="I1271" s="109">
        <v>0.1638</v>
      </c>
      <c r="J1271" s="109"/>
      <c r="K1271" s="109"/>
      <c r="L1271" s="67">
        <v>5000</v>
      </c>
      <c r="M1271" s="67">
        <v>500000</v>
      </c>
      <c r="N1271" s="105">
        <v>44197</v>
      </c>
      <c r="O1271" s="105">
        <v>44377</v>
      </c>
      <c r="P1271" t="s">
        <v>718</v>
      </c>
    </row>
    <row r="1272" spans="1:16" ht="15" customHeight="1" x14ac:dyDescent="0.3">
      <c r="A1272" t="str">
        <f t="shared" si="20"/>
        <v>20-0-HH 1RATE (CT)-SmartFIX – 3 Year</v>
      </c>
      <c r="B1272" s="67" t="s">
        <v>13</v>
      </c>
      <c r="C1272" s="67">
        <v>20</v>
      </c>
      <c r="D1272" s="99" t="s">
        <v>29</v>
      </c>
      <c r="E1272" s="67" t="s">
        <v>731</v>
      </c>
      <c r="F1272" s="67" t="s">
        <v>88</v>
      </c>
      <c r="G1272" s="67" t="s">
        <v>691</v>
      </c>
      <c r="H1272" s="127">
        <v>0.627</v>
      </c>
      <c r="I1272" s="109">
        <v>0.16389999999999999</v>
      </c>
      <c r="J1272" s="109"/>
      <c r="K1272" s="109"/>
      <c r="L1272" s="67">
        <v>5000</v>
      </c>
      <c r="M1272" s="67">
        <v>500000</v>
      </c>
      <c r="N1272" s="105">
        <v>44197</v>
      </c>
      <c r="O1272" s="105">
        <v>44377</v>
      </c>
      <c r="P1272" t="s">
        <v>718</v>
      </c>
    </row>
    <row r="1273" spans="1:16" ht="15" customHeight="1" x14ac:dyDescent="0.3">
      <c r="A1273" t="str">
        <f t="shared" si="20"/>
        <v>21-0-HH 1RATE (CT)-SmartFIX – 3 Year</v>
      </c>
      <c r="B1273" s="67" t="s">
        <v>13</v>
      </c>
      <c r="C1273" s="67">
        <v>21</v>
      </c>
      <c r="D1273" s="99" t="s">
        <v>30</v>
      </c>
      <c r="E1273" s="67" t="s">
        <v>731</v>
      </c>
      <c r="F1273" s="67" t="s">
        <v>88</v>
      </c>
      <c r="G1273" s="67" t="s">
        <v>691</v>
      </c>
      <c r="H1273" s="127">
        <v>0.64390000000000003</v>
      </c>
      <c r="I1273" s="109">
        <v>0.1668</v>
      </c>
      <c r="J1273" s="109"/>
      <c r="K1273" s="109"/>
      <c r="L1273" s="67">
        <v>5000</v>
      </c>
      <c r="M1273" s="67">
        <v>500000</v>
      </c>
      <c r="N1273" s="105">
        <v>44197</v>
      </c>
      <c r="O1273" s="105">
        <v>44377</v>
      </c>
      <c r="P1273" t="s">
        <v>718</v>
      </c>
    </row>
    <row r="1274" spans="1:16" ht="15" customHeight="1" x14ac:dyDescent="0.3">
      <c r="A1274" t="str">
        <f t="shared" si="20"/>
        <v>22-0-HH 1RATE (CT)-SmartFIX – 3 Year</v>
      </c>
      <c r="B1274" s="67" t="s">
        <v>13</v>
      </c>
      <c r="C1274" s="67">
        <v>22</v>
      </c>
      <c r="D1274" s="99" t="s">
        <v>31</v>
      </c>
      <c r="E1274" s="67" t="s">
        <v>731</v>
      </c>
      <c r="F1274" s="67" t="s">
        <v>88</v>
      </c>
      <c r="G1274" s="67" t="s">
        <v>691</v>
      </c>
      <c r="H1274" s="127">
        <v>0.56479999999999997</v>
      </c>
      <c r="I1274" s="109">
        <v>0.16350000000000001</v>
      </c>
      <c r="J1274" s="109"/>
      <c r="K1274" s="109"/>
      <c r="L1274" s="67">
        <v>5000</v>
      </c>
      <c r="M1274" s="67">
        <v>500000</v>
      </c>
      <c r="N1274" s="105">
        <v>44197</v>
      </c>
      <c r="O1274" s="105">
        <v>44377</v>
      </c>
      <c r="P1274" t="s">
        <v>718</v>
      </c>
    </row>
    <row r="1275" spans="1:16" ht="15" customHeight="1" x14ac:dyDescent="0.3">
      <c r="A1275" t="str">
        <f t="shared" si="20"/>
        <v>23-0-HH 1RATE (CT)-SmartFIX – 3 Year</v>
      </c>
      <c r="B1275" s="67" t="s">
        <v>13</v>
      </c>
      <c r="C1275" s="67">
        <v>23</v>
      </c>
      <c r="D1275" s="99" t="s">
        <v>32</v>
      </c>
      <c r="E1275" s="67" t="s">
        <v>731</v>
      </c>
      <c r="F1275" s="67" t="s">
        <v>88</v>
      </c>
      <c r="G1275" s="67" t="s">
        <v>691</v>
      </c>
      <c r="H1275" s="127">
        <v>0.67410000000000003</v>
      </c>
      <c r="I1275" s="109">
        <v>0.16209999999999999</v>
      </c>
      <c r="J1275" s="109"/>
      <c r="K1275" s="109"/>
      <c r="L1275" s="67">
        <v>5000</v>
      </c>
      <c r="M1275" s="67">
        <v>500000</v>
      </c>
      <c r="N1275" s="105">
        <v>44197</v>
      </c>
      <c r="O1275" s="105">
        <v>44377</v>
      </c>
      <c r="P1275" t="s">
        <v>718</v>
      </c>
    </row>
    <row r="1276" spans="1:16" ht="15" customHeight="1" x14ac:dyDescent="0.3">
      <c r="A1276" t="str">
        <f t="shared" si="20"/>
        <v>10-0-HH 1RATE (CT)-SmartFIX – 3 Year Renewal</v>
      </c>
      <c r="B1276" s="67" t="s">
        <v>13</v>
      </c>
      <c r="C1276" s="67">
        <v>10</v>
      </c>
      <c r="D1276" s="99" t="s">
        <v>14</v>
      </c>
      <c r="E1276" s="67" t="s">
        <v>731</v>
      </c>
      <c r="F1276" s="67" t="s">
        <v>88</v>
      </c>
      <c r="G1276" s="67" t="s">
        <v>728</v>
      </c>
      <c r="H1276" s="127">
        <v>0.65090000000000003</v>
      </c>
      <c r="I1276" s="109">
        <v>0.16520000000000001</v>
      </c>
      <c r="J1276" s="109"/>
      <c r="K1276" s="109"/>
      <c r="L1276" s="67">
        <v>5000</v>
      </c>
      <c r="M1276" s="67">
        <v>500000</v>
      </c>
      <c r="N1276" s="105">
        <v>44197</v>
      </c>
      <c r="O1276" s="105">
        <v>44377</v>
      </c>
      <c r="P1276" t="s">
        <v>718</v>
      </c>
    </row>
    <row r="1277" spans="1:16" ht="15" customHeight="1" x14ac:dyDescent="0.3">
      <c r="A1277" t="str">
        <f t="shared" si="20"/>
        <v>11-0-HH 1RATE (CT)-SmartFIX – 3 Year Renewal</v>
      </c>
      <c r="B1277" s="67" t="s">
        <v>13</v>
      </c>
      <c r="C1277" s="67">
        <v>11</v>
      </c>
      <c r="D1277" s="99" t="s">
        <v>20</v>
      </c>
      <c r="E1277" s="67" t="s">
        <v>731</v>
      </c>
      <c r="F1277" s="67" t="s">
        <v>88</v>
      </c>
      <c r="G1277" s="67" t="s">
        <v>728</v>
      </c>
      <c r="H1277" s="127">
        <v>0.57840000000000003</v>
      </c>
      <c r="I1277" s="109">
        <v>0.16500000000000001</v>
      </c>
      <c r="J1277" s="109"/>
      <c r="K1277" s="109"/>
      <c r="L1277" s="67">
        <v>5000</v>
      </c>
      <c r="M1277" s="67">
        <v>500000</v>
      </c>
      <c r="N1277" s="105">
        <v>44197</v>
      </c>
      <c r="O1277" s="105">
        <v>44377</v>
      </c>
      <c r="P1277" t="s">
        <v>718</v>
      </c>
    </row>
    <row r="1278" spans="1:16" ht="15" customHeight="1" x14ac:dyDescent="0.3">
      <c r="A1278" t="str">
        <f t="shared" si="20"/>
        <v>12-0-HH 1RATE (CT)-SmartFIX – 3 Year Renewal</v>
      </c>
      <c r="B1278" s="67" t="s">
        <v>13</v>
      </c>
      <c r="C1278" s="67">
        <v>12</v>
      </c>
      <c r="D1278" s="99" t="s">
        <v>21</v>
      </c>
      <c r="E1278" s="67" t="s">
        <v>731</v>
      </c>
      <c r="F1278" s="67" t="s">
        <v>88</v>
      </c>
      <c r="G1278" s="67" t="s">
        <v>728</v>
      </c>
      <c r="H1278" s="127">
        <v>0.53400000000000003</v>
      </c>
      <c r="I1278" s="109">
        <v>0.16300000000000001</v>
      </c>
      <c r="J1278" s="109"/>
      <c r="K1278" s="109"/>
      <c r="L1278" s="67">
        <v>5000</v>
      </c>
      <c r="M1278" s="67">
        <v>500000</v>
      </c>
      <c r="N1278" s="105">
        <v>44197</v>
      </c>
      <c r="O1278" s="105">
        <v>44377</v>
      </c>
      <c r="P1278" t="s">
        <v>718</v>
      </c>
    </row>
    <row r="1279" spans="1:16" ht="15" customHeight="1" x14ac:dyDescent="0.3">
      <c r="A1279" t="str">
        <f t="shared" si="20"/>
        <v>13-0-HH 1RATE (CT)-SmartFIX – 3 Year Renewal</v>
      </c>
      <c r="B1279" s="67" t="s">
        <v>13</v>
      </c>
      <c r="C1279" s="67">
        <v>13</v>
      </c>
      <c r="D1279" s="99" t="s">
        <v>22</v>
      </c>
      <c r="E1279" s="67" t="s">
        <v>731</v>
      </c>
      <c r="F1279" s="67" t="s">
        <v>88</v>
      </c>
      <c r="G1279" s="67" t="s">
        <v>728</v>
      </c>
      <c r="H1279" s="127">
        <v>0.74950000000000006</v>
      </c>
      <c r="I1279" s="109">
        <v>0.20319999999999999</v>
      </c>
      <c r="J1279" s="109"/>
      <c r="K1279" s="109"/>
      <c r="L1279" s="67">
        <v>5000</v>
      </c>
      <c r="M1279" s="67">
        <v>500000</v>
      </c>
      <c r="N1279" s="105">
        <v>44197</v>
      </c>
      <c r="O1279" s="105">
        <v>44377</v>
      </c>
      <c r="P1279" t="s">
        <v>718</v>
      </c>
    </row>
    <row r="1280" spans="1:16" ht="15" customHeight="1" x14ac:dyDescent="0.3">
      <c r="A1280" t="str">
        <f t="shared" si="20"/>
        <v>14-0-HH 1RATE (CT)-SmartFIX – 3 Year Renewal</v>
      </c>
      <c r="B1280" s="67" t="s">
        <v>13</v>
      </c>
      <c r="C1280" s="67">
        <v>14</v>
      </c>
      <c r="D1280" s="99" t="s">
        <v>23</v>
      </c>
      <c r="E1280" s="67" t="s">
        <v>731</v>
      </c>
      <c r="F1280" s="67" t="s">
        <v>88</v>
      </c>
      <c r="G1280" s="67" t="s">
        <v>728</v>
      </c>
      <c r="H1280" s="127">
        <v>0.59430000000000005</v>
      </c>
      <c r="I1280" s="109">
        <v>0.1694</v>
      </c>
      <c r="J1280" s="109"/>
      <c r="K1280" s="109"/>
      <c r="L1280" s="67">
        <v>5000</v>
      </c>
      <c r="M1280" s="67">
        <v>500000</v>
      </c>
      <c r="N1280" s="105">
        <v>44197</v>
      </c>
      <c r="O1280" s="105">
        <v>44377</v>
      </c>
      <c r="P1280" t="s">
        <v>718</v>
      </c>
    </row>
    <row r="1281" spans="1:16" ht="15" customHeight="1" x14ac:dyDescent="0.3">
      <c r="A1281" t="str">
        <f t="shared" si="20"/>
        <v>15-0-HH 1RATE (CT)-SmartFIX – 3 Year Renewal</v>
      </c>
      <c r="B1281" s="67" t="s">
        <v>13</v>
      </c>
      <c r="C1281" s="67">
        <v>15</v>
      </c>
      <c r="D1281" s="99" t="s">
        <v>24</v>
      </c>
      <c r="E1281" s="67" t="s">
        <v>731</v>
      </c>
      <c r="F1281" s="67" t="s">
        <v>88</v>
      </c>
      <c r="G1281" s="67" t="s">
        <v>728</v>
      </c>
      <c r="H1281" s="127">
        <v>0.71879999999999999</v>
      </c>
      <c r="I1281" s="109">
        <v>0.16750000000000001</v>
      </c>
      <c r="J1281" s="109"/>
      <c r="K1281" s="109"/>
      <c r="L1281" s="67">
        <v>5000</v>
      </c>
      <c r="M1281" s="67">
        <v>500000</v>
      </c>
      <c r="N1281" s="105">
        <v>44197</v>
      </c>
      <c r="O1281" s="105">
        <v>44377</v>
      </c>
      <c r="P1281" t="s">
        <v>718</v>
      </c>
    </row>
    <row r="1282" spans="1:16" ht="15" customHeight="1" x14ac:dyDescent="0.3">
      <c r="A1282" t="str">
        <f t="shared" si="20"/>
        <v>16-0-HH 1RATE (CT)-SmartFIX – 3 Year Renewal</v>
      </c>
      <c r="B1282" s="67" t="s">
        <v>13</v>
      </c>
      <c r="C1282" s="67">
        <v>16</v>
      </c>
      <c r="D1282" s="99" t="s">
        <v>25</v>
      </c>
      <c r="E1282" s="67" t="s">
        <v>731</v>
      </c>
      <c r="F1282" s="67" t="s">
        <v>88</v>
      </c>
      <c r="G1282" s="67" t="s">
        <v>728</v>
      </c>
      <c r="H1282" s="127">
        <v>0.66949999999999998</v>
      </c>
      <c r="I1282" s="109">
        <v>0.17080000000000001</v>
      </c>
      <c r="J1282" s="109"/>
      <c r="K1282" s="109"/>
      <c r="L1282" s="67">
        <v>5000</v>
      </c>
      <c r="M1282" s="67">
        <v>500000</v>
      </c>
      <c r="N1282" s="105">
        <v>44197</v>
      </c>
      <c r="O1282" s="105">
        <v>44377</v>
      </c>
      <c r="P1282" t="s">
        <v>718</v>
      </c>
    </row>
    <row r="1283" spans="1:16" ht="15" customHeight="1" x14ac:dyDescent="0.3">
      <c r="A1283" t="str">
        <f t="shared" si="20"/>
        <v>17-0-HH 1RATE (CT)-SmartFIX – 3 Year Renewal</v>
      </c>
      <c r="B1283" s="67" t="s">
        <v>13</v>
      </c>
      <c r="C1283" s="67">
        <v>17</v>
      </c>
      <c r="D1283" s="99" t="s">
        <v>26</v>
      </c>
      <c r="E1283" s="67" t="s">
        <v>731</v>
      </c>
      <c r="F1283" s="67" t="s">
        <v>88</v>
      </c>
      <c r="G1283" s="67" t="s">
        <v>728</v>
      </c>
      <c r="H1283" s="127">
        <v>0.90629999999999999</v>
      </c>
      <c r="I1283" s="109">
        <v>0.18149999999999999</v>
      </c>
      <c r="J1283" s="109"/>
      <c r="K1283" s="109"/>
      <c r="L1283" s="67">
        <v>5000</v>
      </c>
      <c r="M1283" s="67">
        <v>500000</v>
      </c>
      <c r="N1283" s="105">
        <v>44197</v>
      </c>
      <c r="O1283" s="105">
        <v>44377</v>
      </c>
      <c r="P1283" t="s">
        <v>718</v>
      </c>
    </row>
    <row r="1284" spans="1:16" ht="15" customHeight="1" x14ac:dyDescent="0.3">
      <c r="A1284" t="str">
        <f t="shared" si="20"/>
        <v>18-0-HH 1RATE (CT)-SmartFIX – 3 Year Renewal</v>
      </c>
      <c r="B1284" s="67" t="s">
        <v>13</v>
      </c>
      <c r="C1284" s="67">
        <v>18</v>
      </c>
      <c r="D1284" s="99" t="s">
        <v>27</v>
      </c>
      <c r="E1284" s="67" t="s">
        <v>731</v>
      </c>
      <c r="F1284" s="67" t="s">
        <v>88</v>
      </c>
      <c r="G1284" s="67" t="s">
        <v>728</v>
      </c>
      <c r="H1284" s="127">
        <v>0.83079999999999998</v>
      </c>
      <c r="I1284" s="109">
        <v>0.16830000000000001</v>
      </c>
      <c r="J1284" s="109"/>
      <c r="K1284" s="109"/>
      <c r="L1284" s="67">
        <v>5000</v>
      </c>
      <c r="M1284" s="67">
        <v>500000</v>
      </c>
      <c r="N1284" s="105">
        <v>44197</v>
      </c>
      <c r="O1284" s="105">
        <v>44377</v>
      </c>
      <c r="P1284" t="s">
        <v>718</v>
      </c>
    </row>
    <row r="1285" spans="1:16" ht="15" customHeight="1" x14ac:dyDescent="0.3">
      <c r="A1285" t="str">
        <f t="shared" si="20"/>
        <v>19-0-HH 1RATE (CT)-SmartFIX – 3 Year Renewal</v>
      </c>
      <c r="B1285" s="67" t="s">
        <v>13</v>
      </c>
      <c r="C1285" s="67">
        <v>19</v>
      </c>
      <c r="D1285" s="99" t="s">
        <v>28</v>
      </c>
      <c r="E1285" s="67" t="s">
        <v>731</v>
      </c>
      <c r="F1285" s="67" t="s">
        <v>88</v>
      </c>
      <c r="G1285" s="67" t="s">
        <v>728</v>
      </c>
      <c r="H1285" s="127">
        <v>0.65290000000000004</v>
      </c>
      <c r="I1285" s="109">
        <v>0.1678</v>
      </c>
      <c r="J1285" s="109"/>
      <c r="K1285" s="109"/>
      <c r="L1285" s="67">
        <v>5000</v>
      </c>
      <c r="M1285" s="67">
        <v>500000</v>
      </c>
      <c r="N1285" s="105">
        <v>44197</v>
      </c>
      <c r="O1285" s="105">
        <v>44377</v>
      </c>
      <c r="P1285" t="s">
        <v>718</v>
      </c>
    </row>
    <row r="1286" spans="1:16" ht="15" customHeight="1" x14ac:dyDescent="0.3">
      <c r="A1286" t="str">
        <f t="shared" si="20"/>
        <v>20-0-HH 1RATE (CT)-SmartFIX – 3 Year Renewal</v>
      </c>
      <c r="B1286" s="67" t="s">
        <v>13</v>
      </c>
      <c r="C1286" s="67">
        <v>20</v>
      </c>
      <c r="D1286" s="99" t="s">
        <v>29</v>
      </c>
      <c r="E1286" s="67" t="s">
        <v>731</v>
      </c>
      <c r="F1286" s="67" t="s">
        <v>88</v>
      </c>
      <c r="G1286" s="67" t="s">
        <v>728</v>
      </c>
      <c r="H1286" s="127">
        <v>0.68969999999999998</v>
      </c>
      <c r="I1286" s="109">
        <v>0.16789999999999999</v>
      </c>
      <c r="J1286" s="109"/>
      <c r="K1286" s="109"/>
      <c r="L1286" s="67">
        <v>5000</v>
      </c>
      <c r="M1286" s="67">
        <v>500000</v>
      </c>
      <c r="N1286" s="105">
        <v>44197</v>
      </c>
      <c r="O1286" s="105">
        <v>44377</v>
      </c>
      <c r="P1286" t="s">
        <v>718</v>
      </c>
    </row>
    <row r="1287" spans="1:16" ht="15" customHeight="1" x14ac:dyDescent="0.3">
      <c r="A1287" t="str">
        <f t="shared" si="20"/>
        <v>21-0-HH 1RATE (CT)-SmartFIX – 3 Year Renewal</v>
      </c>
      <c r="B1287" s="67" t="s">
        <v>13</v>
      </c>
      <c r="C1287" s="67">
        <v>21</v>
      </c>
      <c r="D1287" s="99" t="s">
        <v>30</v>
      </c>
      <c r="E1287" s="67" t="s">
        <v>731</v>
      </c>
      <c r="F1287" s="67" t="s">
        <v>88</v>
      </c>
      <c r="G1287" s="67" t="s">
        <v>728</v>
      </c>
      <c r="H1287" s="127">
        <v>0.70830000000000004</v>
      </c>
      <c r="I1287" s="109">
        <v>0.17080000000000001</v>
      </c>
      <c r="J1287" s="109"/>
      <c r="K1287" s="109"/>
      <c r="L1287" s="67">
        <v>5000</v>
      </c>
      <c r="M1287" s="67">
        <v>500000</v>
      </c>
      <c r="N1287" s="105">
        <v>44197</v>
      </c>
      <c r="O1287" s="105">
        <v>44377</v>
      </c>
      <c r="P1287" t="s">
        <v>718</v>
      </c>
    </row>
    <row r="1288" spans="1:16" ht="15" customHeight="1" x14ac:dyDescent="0.3">
      <c r="A1288" t="str">
        <f t="shared" si="20"/>
        <v>22-0-HH 1RATE (CT)-SmartFIX – 3 Year Renewal</v>
      </c>
      <c r="B1288" s="67" t="s">
        <v>13</v>
      </c>
      <c r="C1288" s="67">
        <v>22</v>
      </c>
      <c r="D1288" s="99" t="s">
        <v>31</v>
      </c>
      <c r="E1288" s="67" t="s">
        <v>731</v>
      </c>
      <c r="F1288" s="67" t="s">
        <v>88</v>
      </c>
      <c r="G1288" s="67" t="s">
        <v>728</v>
      </c>
      <c r="H1288" s="127">
        <v>0.62129999999999996</v>
      </c>
      <c r="I1288" s="109">
        <v>0.16750000000000001</v>
      </c>
      <c r="J1288" s="109"/>
      <c r="K1288" s="109"/>
      <c r="L1288" s="67">
        <v>5000</v>
      </c>
      <c r="M1288" s="67">
        <v>500000</v>
      </c>
      <c r="N1288" s="105">
        <v>44197</v>
      </c>
      <c r="O1288" s="105">
        <v>44377</v>
      </c>
      <c r="P1288" t="s">
        <v>718</v>
      </c>
    </row>
    <row r="1289" spans="1:16" ht="15" customHeight="1" x14ac:dyDescent="0.3">
      <c r="A1289" t="str">
        <f t="shared" si="20"/>
        <v>23-0-HH 1RATE (CT)-SmartFIX – 3 Year Renewal</v>
      </c>
      <c r="B1289" s="67" t="s">
        <v>13</v>
      </c>
      <c r="C1289" s="67">
        <v>23</v>
      </c>
      <c r="D1289" s="99" t="s">
        <v>32</v>
      </c>
      <c r="E1289" s="67" t="s">
        <v>731</v>
      </c>
      <c r="F1289" s="67" t="s">
        <v>88</v>
      </c>
      <c r="G1289" s="67" t="s">
        <v>728</v>
      </c>
      <c r="H1289" s="127">
        <v>0.74150000000000005</v>
      </c>
      <c r="I1289" s="109">
        <v>0.1661</v>
      </c>
      <c r="J1289" s="109"/>
      <c r="K1289" s="109"/>
      <c r="L1289" s="67">
        <v>5000</v>
      </c>
      <c r="M1289" s="67">
        <v>500000</v>
      </c>
      <c r="N1289" s="105">
        <v>44197</v>
      </c>
      <c r="O1289" s="105">
        <v>44377</v>
      </c>
      <c r="P1289" t="s">
        <v>718</v>
      </c>
    </row>
    <row r="1290" spans="1:16" ht="15" customHeight="1" x14ac:dyDescent="0.3">
      <c r="A1290" t="str">
        <f t="shared" si="20"/>
        <v>10-0-HH 2RATE (CT)-SmartTRACKER (Level 2)</v>
      </c>
      <c r="B1290" s="67" t="s">
        <v>13</v>
      </c>
      <c r="C1290" s="67">
        <v>10</v>
      </c>
      <c r="D1290" s="99" t="s">
        <v>14</v>
      </c>
      <c r="E1290" s="67" t="s">
        <v>729</v>
      </c>
      <c r="F1290" s="67" t="s">
        <v>88</v>
      </c>
      <c r="G1290" s="67" t="s">
        <v>724</v>
      </c>
      <c r="H1290" s="127">
        <v>0.50439999999999996</v>
      </c>
      <c r="I1290" s="109">
        <v>0.16300000000000001</v>
      </c>
      <c r="J1290" s="109">
        <v>0.1129</v>
      </c>
      <c r="K1290" s="109" t="s">
        <v>717</v>
      </c>
      <c r="L1290" s="67">
        <v>5000</v>
      </c>
      <c r="M1290" s="67">
        <v>500000</v>
      </c>
      <c r="N1290" s="105">
        <v>44378</v>
      </c>
      <c r="O1290" s="105">
        <v>44561</v>
      </c>
      <c r="P1290" t="s">
        <v>718</v>
      </c>
    </row>
    <row r="1291" spans="1:16" ht="15" customHeight="1" x14ac:dyDescent="0.3">
      <c r="A1291" t="str">
        <f t="shared" si="20"/>
        <v>11-0-HH 2RATE (CT)-SmartTRACKER (Level 2)</v>
      </c>
      <c r="B1291" s="67" t="s">
        <v>13</v>
      </c>
      <c r="C1291" s="67">
        <v>11</v>
      </c>
      <c r="D1291" s="99" t="s">
        <v>20</v>
      </c>
      <c r="E1291" s="67" t="s">
        <v>729</v>
      </c>
      <c r="F1291" s="67" t="s">
        <v>88</v>
      </c>
      <c r="G1291" s="67" t="s">
        <v>724</v>
      </c>
      <c r="H1291" s="127">
        <v>0.44829999999999998</v>
      </c>
      <c r="I1291" s="109">
        <v>0.16189999999999999</v>
      </c>
      <c r="J1291" s="109">
        <v>0.1191</v>
      </c>
      <c r="K1291" s="109" t="s">
        <v>717</v>
      </c>
      <c r="L1291" s="67">
        <v>5000</v>
      </c>
      <c r="M1291" s="67">
        <v>500000</v>
      </c>
      <c r="N1291" s="105">
        <v>44378</v>
      </c>
      <c r="O1291" s="105">
        <v>44561</v>
      </c>
      <c r="P1291" t="s">
        <v>718</v>
      </c>
    </row>
    <row r="1292" spans="1:16" ht="15" customHeight="1" x14ac:dyDescent="0.3">
      <c r="A1292" t="str">
        <f t="shared" ref="A1292:A1355" si="21">IF(E1292="OP","",CONCATENATE(C1292,"-",RIGHT(F1292,1),"-",IF(OR(E1292="1 Rate MD",E1292="DAY"),"U",IF(OR(E1292="2 Rate MD",E1292="E7"),"E7",IF(OR(E1292="3 Rate MD (EW)",E1292="EW"),"EW",IF(OR(E1292="3 Rate MD",E1292="EWN"),"3RATE",IF(E1292="HH 2RATE (CT)","HH 2RATE (CT)",IF(E1292="HH 2RATE (WC)","HH 2RATE (WC)",IF(E1292="HH 1RATE (CT)","HH 1RATE (CT)",IF(E1292="HH 1RATE (WC)","HH 1RATE (WC)")))))))),"-",G1292))</f>
        <v>12-0-HH 2RATE (CT)-SmartTRACKER (Level 2)</v>
      </c>
      <c r="B1292" s="67" t="s">
        <v>13</v>
      </c>
      <c r="C1292" s="67">
        <v>12</v>
      </c>
      <c r="D1292" s="99" t="s">
        <v>21</v>
      </c>
      <c r="E1292" s="67" t="s">
        <v>729</v>
      </c>
      <c r="F1292" s="67" t="s">
        <v>88</v>
      </c>
      <c r="G1292" s="67" t="s">
        <v>724</v>
      </c>
      <c r="H1292" s="127">
        <v>0.41389999999999999</v>
      </c>
      <c r="I1292" s="109">
        <v>0.15920000000000001</v>
      </c>
      <c r="J1292" s="109">
        <v>0.1066</v>
      </c>
      <c r="K1292" s="109" t="s">
        <v>717</v>
      </c>
      <c r="L1292" s="67">
        <v>5000</v>
      </c>
      <c r="M1292" s="67">
        <v>500000</v>
      </c>
      <c r="N1292" s="105">
        <v>44378</v>
      </c>
      <c r="O1292" s="105">
        <v>44561</v>
      </c>
      <c r="P1292" t="s">
        <v>718</v>
      </c>
    </row>
    <row r="1293" spans="1:16" ht="15" customHeight="1" x14ac:dyDescent="0.3">
      <c r="A1293" t="str">
        <f t="shared" si="21"/>
        <v>13-0-HH 2RATE (CT)-SmartTRACKER (Level 2)</v>
      </c>
      <c r="B1293" s="67" t="s">
        <v>13</v>
      </c>
      <c r="C1293" s="67">
        <v>13</v>
      </c>
      <c r="D1293" s="99" t="s">
        <v>22</v>
      </c>
      <c r="E1293" s="67" t="s">
        <v>729</v>
      </c>
      <c r="F1293" s="67" t="s">
        <v>88</v>
      </c>
      <c r="G1293" s="67" t="s">
        <v>724</v>
      </c>
      <c r="H1293" s="127">
        <v>0.58089999999999997</v>
      </c>
      <c r="I1293" s="109">
        <v>0.18090000000000001</v>
      </c>
      <c r="J1293" s="109">
        <v>0.127</v>
      </c>
      <c r="K1293" s="109" t="s">
        <v>717</v>
      </c>
      <c r="L1293" s="67">
        <v>5000</v>
      </c>
      <c r="M1293" s="67">
        <v>500000</v>
      </c>
      <c r="N1293" s="105">
        <v>44378</v>
      </c>
      <c r="O1293" s="105">
        <v>44561</v>
      </c>
      <c r="P1293" t="s">
        <v>718</v>
      </c>
    </row>
    <row r="1294" spans="1:16" ht="15" customHeight="1" x14ac:dyDescent="0.3">
      <c r="A1294" t="str">
        <f t="shared" si="21"/>
        <v>14-0-HH 2RATE (CT)-SmartTRACKER (Level 2)</v>
      </c>
      <c r="B1294" s="67" t="s">
        <v>13</v>
      </c>
      <c r="C1294" s="67">
        <v>14</v>
      </c>
      <c r="D1294" s="99" t="s">
        <v>23</v>
      </c>
      <c r="E1294" s="67" t="s">
        <v>729</v>
      </c>
      <c r="F1294" s="67" t="s">
        <v>88</v>
      </c>
      <c r="G1294" s="67" t="s">
        <v>724</v>
      </c>
      <c r="H1294" s="127">
        <v>0.46060000000000001</v>
      </c>
      <c r="I1294" s="109">
        <v>0.16569999999999999</v>
      </c>
      <c r="J1294" s="109">
        <v>0.1239</v>
      </c>
      <c r="K1294" s="109" t="s">
        <v>717</v>
      </c>
      <c r="L1294" s="67">
        <v>5000</v>
      </c>
      <c r="M1294" s="67">
        <v>500000</v>
      </c>
      <c r="N1294" s="105">
        <v>44378</v>
      </c>
      <c r="O1294" s="105">
        <v>44561</v>
      </c>
      <c r="P1294" t="s">
        <v>718</v>
      </c>
    </row>
    <row r="1295" spans="1:16" ht="15" customHeight="1" x14ac:dyDescent="0.3">
      <c r="A1295" t="str">
        <f t="shared" si="21"/>
        <v>15-0-HH 2RATE (CT)-SmartTRACKER (Level 2)</v>
      </c>
      <c r="B1295" s="67" t="s">
        <v>13</v>
      </c>
      <c r="C1295" s="67">
        <v>15</v>
      </c>
      <c r="D1295" s="99" t="s">
        <v>24</v>
      </c>
      <c r="E1295" s="67" t="s">
        <v>729</v>
      </c>
      <c r="F1295" s="67" t="s">
        <v>88</v>
      </c>
      <c r="G1295" s="67" t="s">
        <v>724</v>
      </c>
      <c r="H1295" s="127">
        <v>0.55710000000000004</v>
      </c>
      <c r="I1295" s="109">
        <v>0.16350000000000001</v>
      </c>
      <c r="J1295" s="109">
        <v>0.1225</v>
      </c>
      <c r="K1295" s="109" t="s">
        <v>717</v>
      </c>
      <c r="L1295" s="67">
        <v>5000</v>
      </c>
      <c r="M1295" s="67">
        <v>500000</v>
      </c>
      <c r="N1295" s="105">
        <v>44378</v>
      </c>
      <c r="O1295" s="105">
        <v>44561</v>
      </c>
      <c r="P1295" t="s">
        <v>718</v>
      </c>
    </row>
    <row r="1296" spans="1:16" ht="15" customHeight="1" x14ac:dyDescent="0.3">
      <c r="A1296" t="str">
        <f t="shared" si="21"/>
        <v>16-0-HH 2RATE (CT)-SmartTRACKER (Level 2)</v>
      </c>
      <c r="B1296" s="67" t="s">
        <v>13</v>
      </c>
      <c r="C1296" s="67">
        <v>16</v>
      </c>
      <c r="D1296" s="99" t="s">
        <v>25</v>
      </c>
      <c r="E1296" s="67" t="s">
        <v>729</v>
      </c>
      <c r="F1296" s="67" t="s">
        <v>88</v>
      </c>
      <c r="G1296" s="67" t="s">
        <v>724</v>
      </c>
      <c r="H1296" s="127">
        <v>0.51890000000000003</v>
      </c>
      <c r="I1296" s="109">
        <v>0.16600000000000001</v>
      </c>
      <c r="J1296" s="109">
        <v>0.121</v>
      </c>
      <c r="K1296" s="109" t="s">
        <v>717</v>
      </c>
      <c r="L1296" s="67">
        <v>5000</v>
      </c>
      <c r="M1296" s="67">
        <v>500000</v>
      </c>
      <c r="N1296" s="105">
        <v>44378</v>
      </c>
      <c r="O1296" s="105">
        <v>44561</v>
      </c>
      <c r="P1296" t="s">
        <v>718</v>
      </c>
    </row>
    <row r="1297" spans="1:16" ht="15" customHeight="1" x14ac:dyDescent="0.3">
      <c r="A1297" t="str">
        <f t="shared" si="21"/>
        <v>17-0-HH 2RATE (CT)-SmartTRACKER (Level 2)</v>
      </c>
      <c r="B1297" s="67" t="s">
        <v>13</v>
      </c>
      <c r="C1297" s="67">
        <v>17</v>
      </c>
      <c r="D1297" s="99" t="s">
        <v>26</v>
      </c>
      <c r="E1297" s="67" t="s">
        <v>729</v>
      </c>
      <c r="F1297" s="67" t="s">
        <v>88</v>
      </c>
      <c r="G1297" s="67" t="s">
        <v>724</v>
      </c>
      <c r="H1297" s="127">
        <v>0.70240000000000002</v>
      </c>
      <c r="I1297" s="109">
        <v>0.17230000000000001</v>
      </c>
      <c r="J1297" s="109">
        <v>0.13120000000000001</v>
      </c>
      <c r="K1297" s="109" t="s">
        <v>717</v>
      </c>
      <c r="L1297" s="67">
        <v>5000</v>
      </c>
      <c r="M1297" s="67">
        <v>500000</v>
      </c>
      <c r="N1297" s="105">
        <v>44378</v>
      </c>
      <c r="O1297" s="105">
        <v>44561</v>
      </c>
      <c r="P1297" t="s">
        <v>718</v>
      </c>
    </row>
    <row r="1298" spans="1:16" ht="15" customHeight="1" x14ac:dyDescent="0.3">
      <c r="A1298" t="str">
        <f t="shared" si="21"/>
        <v>18-0-HH 2RATE (CT)-SmartTRACKER (Level 2)</v>
      </c>
      <c r="B1298" s="67" t="s">
        <v>13</v>
      </c>
      <c r="C1298" s="67">
        <v>18</v>
      </c>
      <c r="D1298" s="99" t="s">
        <v>27</v>
      </c>
      <c r="E1298" s="67" t="s">
        <v>729</v>
      </c>
      <c r="F1298" s="67" t="s">
        <v>88</v>
      </c>
      <c r="G1298" s="67" t="s">
        <v>724</v>
      </c>
      <c r="H1298" s="127">
        <v>0.64390000000000003</v>
      </c>
      <c r="I1298" s="109">
        <v>0.1615</v>
      </c>
      <c r="J1298" s="109">
        <v>0.11899999999999999</v>
      </c>
      <c r="K1298" s="109" t="s">
        <v>717</v>
      </c>
      <c r="L1298" s="67">
        <v>5000</v>
      </c>
      <c r="M1298" s="67">
        <v>500000</v>
      </c>
      <c r="N1298" s="105">
        <v>44378</v>
      </c>
      <c r="O1298" s="105">
        <v>44561</v>
      </c>
      <c r="P1298" t="s">
        <v>718</v>
      </c>
    </row>
    <row r="1299" spans="1:16" ht="15" customHeight="1" x14ac:dyDescent="0.3">
      <c r="A1299" t="str">
        <f t="shared" si="21"/>
        <v>19-0-HH 2RATE (CT)-SmartTRACKER (Level 2)</v>
      </c>
      <c r="B1299" s="67" t="s">
        <v>13</v>
      </c>
      <c r="C1299" s="67">
        <v>19</v>
      </c>
      <c r="D1299" s="99" t="s">
        <v>28</v>
      </c>
      <c r="E1299" s="67" t="s">
        <v>729</v>
      </c>
      <c r="F1299" s="67" t="s">
        <v>88</v>
      </c>
      <c r="G1299" s="67" t="s">
        <v>724</v>
      </c>
      <c r="H1299" s="127">
        <v>0.50600000000000001</v>
      </c>
      <c r="I1299" s="109">
        <v>0.16200000000000001</v>
      </c>
      <c r="J1299" s="109">
        <v>0.113</v>
      </c>
      <c r="K1299" s="109" t="s">
        <v>717</v>
      </c>
      <c r="L1299" s="67">
        <v>5000</v>
      </c>
      <c r="M1299" s="67">
        <v>500000</v>
      </c>
      <c r="N1299" s="105">
        <v>44378</v>
      </c>
      <c r="O1299" s="105">
        <v>44561</v>
      </c>
      <c r="P1299" t="s">
        <v>718</v>
      </c>
    </row>
    <row r="1300" spans="1:16" ht="15" customHeight="1" x14ac:dyDescent="0.3">
      <c r="A1300" t="str">
        <f t="shared" si="21"/>
        <v>20-0-HH 2RATE (CT)-SmartTRACKER (Level 2)</v>
      </c>
      <c r="B1300" s="67" t="s">
        <v>13</v>
      </c>
      <c r="C1300" s="67">
        <v>20</v>
      </c>
      <c r="D1300" s="99" t="s">
        <v>29</v>
      </c>
      <c r="E1300" s="67" t="s">
        <v>729</v>
      </c>
      <c r="F1300" s="67" t="s">
        <v>88</v>
      </c>
      <c r="G1300" s="67" t="s">
        <v>724</v>
      </c>
      <c r="H1300" s="127">
        <v>0.53449999999999998</v>
      </c>
      <c r="I1300" s="109">
        <v>0.1593</v>
      </c>
      <c r="J1300" s="109">
        <v>0.1139</v>
      </c>
      <c r="K1300" s="109" t="s">
        <v>717</v>
      </c>
      <c r="L1300" s="67">
        <v>5000</v>
      </c>
      <c r="M1300" s="67">
        <v>500000</v>
      </c>
      <c r="N1300" s="105">
        <v>44378</v>
      </c>
      <c r="O1300" s="105">
        <v>44561</v>
      </c>
      <c r="P1300" t="s">
        <v>718</v>
      </c>
    </row>
    <row r="1301" spans="1:16" ht="15" customHeight="1" x14ac:dyDescent="0.3">
      <c r="A1301" t="str">
        <f t="shared" si="21"/>
        <v>21-0-HH 2RATE (CT)-SmartTRACKER (Level 2)</v>
      </c>
      <c r="B1301" s="67" t="s">
        <v>13</v>
      </c>
      <c r="C1301" s="67">
        <v>21</v>
      </c>
      <c r="D1301" s="99" t="s">
        <v>30</v>
      </c>
      <c r="E1301" s="67" t="s">
        <v>729</v>
      </c>
      <c r="F1301" s="67" t="s">
        <v>88</v>
      </c>
      <c r="G1301" s="67" t="s">
        <v>724</v>
      </c>
      <c r="H1301" s="127">
        <v>0.54900000000000004</v>
      </c>
      <c r="I1301" s="109">
        <v>0.1686</v>
      </c>
      <c r="J1301" s="109">
        <v>0.128</v>
      </c>
      <c r="K1301" s="109" t="s">
        <v>717</v>
      </c>
      <c r="L1301" s="67">
        <v>5000</v>
      </c>
      <c r="M1301" s="67">
        <v>500000</v>
      </c>
      <c r="N1301" s="105">
        <v>44378</v>
      </c>
      <c r="O1301" s="105">
        <v>44561</v>
      </c>
      <c r="P1301" t="s">
        <v>718</v>
      </c>
    </row>
    <row r="1302" spans="1:16" ht="15" customHeight="1" x14ac:dyDescent="0.3">
      <c r="A1302" t="str">
        <f t="shared" si="21"/>
        <v>22-0-HH 2RATE (CT)-SmartTRACKER (Level 2)</v>
      </c>
      <c r="B1302" s="67" t="s">
        <v>13</v>
      </c>
      <c r="C1302" s="67">
        <v>22</v>
      </c>
      <c r="D1302" s="99" t="s">
        <v>31</v>
      </c>
      <c r="E1302" s="67" t="s">
        <v>729</v>
      </c>
      <c r="F1302" s="67" t="s">
        <v>88</v>
      </c>
      <c r="G1302" s="67" t="s">
        <v>724</v>
      </c>
      <c r="H1302" s="127">
        <v>0.48149999999999998</v>
      </c>
      <c r="I1302" s="109">
        <v>0.1719</v>
      </c>
      <c r="J1302" s="109">
        <v>0.14269999999999999</v>
      </c>
      <c r="K1302" s="109" t="s">
        <v>717</v>
      </c>
      <c r="L1302" s="67">
        <v>5000</v>
      </c>
      <c r="M1302" s="67">
        <v>500000</v>
      </c>
      <c r="N1302" s="105">
        <v>44378</v>
      </c>
      <c r="O1302" s="105">
        <v>44561</v>
      </c>
      <c r="P1302" t="s">
        <v>718</v>
      </c>
    </row>
    <row r="1303" spans="1:16" ht="15" customHeight="1" x14ac:dyDescent="0.3">
      <c r="A1303" t="str">
        <f t="shared" si="21"/>
        <v>23-0-HH 2RATE (CT)-SmartTRACKER (Level 2)</v>
      </c>
      <c r="B1303" s="67" t="s">
        <v>13</v>
      </c>
      <c r="C1303" s="67">
        <v>23</v>
      </c>
      <c r="D1303" s="99" t="s">
        <v>32</v>
      </c>
      <c r="E1303" s="67" t="s">
        <v>729</v>
      </c>
      <c r="F1303" s="67" t="s">
        <v>88</v>
      </c>
      <c r="G1303" s="67" t="s">
        <v>724</v>
      </c>
      <c r="H1303" s="127">
        <v>0.57469999999999999</v>
      </c>
      <c r="I1303" s="109">
        <v>0.15909999999999999</v>
      </c>
      <c r="J1303" s="109">
        <v>0.1168</v>
      </c>
      <c r="K1303" s="109" t="s">
        <v>717</v>
      </c>
      <c r="L1303" s="67">
        <v>5000</v>
      </c>
      <c r="M1303" s="67">
        <v>500000</v>
      </c>
      <c r="N1303" s="105">
        <v>44378</v>
      </c>
      <c r="O1303" s="105">
        <v>44561</v>
      </c>
      <c r="P1303" t="s">
        <v>718</v>
      </c>
    </row>
    <row r="1304" spans="1:16" ht="15" customHeight="1" x14ac:dyDescent="0.3">
      <c r="A1304" t="str">
        <f t="shared" si="21"/>
        <v>10-0-HH 2RATE (CT)-SmartTRACKER Renewal (Level 2)</v>
      </c>
      <c r="B1304" s="67" t="s">
        <v>13</v>
      </c>
      <c r="C1304" s="67">
        <v>10</v>
      </c>
      <c r="D1304" s="99" t="s">
        <v>14</v>
      </c>
      <c r="E1304" s="67" t="s">
        <v>729</v>
      </c>
      <c r="F1304" s="67" t="s">
        <v>88</v>
      </c>
      <c r="G1304" s="67" t="s">
        <v>733</v>
      </c>
      <c r="H1304" s="127">
        <v>0.55479999999999996</v>
      </c>
      <c r="I1304" s="109">
        <v>0.16700000000000001</v>
      </c>
      <c r="J1304" s="109">
        <v>0.1169</v>
      </c>
      <c r="K1304" s="109" t="s">
        <v>717</v>
      </c>
      <c r="L1304" s="67">
        <v>5000</v>
      </c>
      <c r="M1304" s="67">
        <v>500000</v>
      </c>
      <c r="N1304" s="105">
        <v>44378</v>
      </c>
      <c r="O1304" s="105">
        <v>44561</v>
      </c>
      <c r="P1304" t="s">
        <v>718</v>
      </c>
    </row>
    <row r="1305" spans="1:16" ht="15" customHeight="1" x14ac:dyDescent="0.3">
      <c r="A1305" t="str">
        <f t="shared" si="21"/>
        <v>11-0-HH 2RATE (CT)-SmartTRACKER Renewal (Level 2)</v>
      </c>
      <c r="B1305" s="67" t="s">
        <v>13</v>
      </c>
      <c r="C1305" s="67">
        <v>11</v>
      </c>
      <c r="D1305" s="99" t="s">
        <v>20</v>
      </c>
      <c r="E1305" s="67" t="s">
        <v>729</v>
      </c>
      <c r="F1305" s="67" t="s">
        <v>88</v>
      </c>
      <c r="G1305" s="67" t="s">
        <v>733</v>
      </c>
      <c r="H1305" s="127">
        <v>0.49309999999999998</v>
      </c>
      <c r="I1305" s="109">
        <v>0.16589999999999999</v>
      </c>
      <c r="J1305" s="109">
        <v>0.1231</v>
      </c>
      <c r="K1305" s="109" t="s">
        <v>717</v>
      </c>
      <c r="L1305" s="67">
        <v>5000</v>
      </c>
      <c r="M1305" s="67">
        <v>500000</v>
      </c>
      <c r="N1305" s="105">
        <v>44378</v>
      </c>
      <c r="O1305" s="105">
        <v>44561</v>
      </c>
      <c r="P1305" t="s">
        <v>718</v>
      </c>
    </row>
    <row r="1306" spans="1:16" ht="15" customHeight="1" x14ac:dyDescent="0.3">
      <c r="A1306" t="str">
        <f t="shared" si="21"/>
        <v>12-0-HH 2RATE (CT)-SmartTRACKER Renewal (Level 2)</v>
      </c>
      <c r="B1306" s="67" t="s">
        <v>13</v>
      </c>
      <c r="C1306" s="67">
        <v>12</v>
      </c>
      <c r="D1306" s="99" t="s">
        <v>21</v>
      </c>
      <c r="E1306" s="67" t="s">
        <v>729</v>
      </c>
      <c r="F1306" s="67" t="s">
        <v>88</v>
      </c>
      <c r="G1306" s="67" t="s">
        <v>733</v>
      </c>
      <c r="H1306" s="127">
        <v>0.45529999999999998</v>
      </c>
      <c r="I1306" s="109">
        <v>0.16320000000000001</v>
      </c>
      <c r="J1306" s="109">
        <v>0.1106</v>
      </c>
      <c r="K1306" s="109" t="s">
        <v>717</v>
      </c>
      <c r="L1306" s="67">
        <v>5000</v>
      </c>
      <c r="M1306" s="67">
        <v>500000</v>
      </c>
      <c r="N1306" s="105">
        <v>44378</v>
      </c>
      <c r="O1306" s="105">
        <v>44561</v>
      </c>
      <c r="P1306" t="s">
        <v>718</v>
      </c>
    </row>
    <row r="1307" spans="1:16" ht="15" customHeight="1" x14ac:dyDescent="0.3">
      <c r="A1307" t="str">
        <f t="shared" si="21"/>
        <v>13-0-HH 2RATE (CT)-SmartTRACKER Renewal (Level 2)</v>
      </c>
      <c r="B1307" s="67" t="s">
        <v>13</v>
      </c>
      <c r="C1307" s="67">
        <v>13</v>
      </c>
      <c r="D1307" s="99" t="s">
        <v>22</v>
      </c>
      <c r="E1307" s="67" t="s">
        <v>729</v>
      </c>
      <c r="F1307" s="67" t="s">
        <v>88</v>
      </c>
      <c r="G1307" s="67" t="s">
        <v>733</v>
      </c>
      <c r="H1307" s="127">
        <v>0.63900000000000001</v>
      </c>
      <c r="I1307" s="109">
        <v>0.18490000000000001</v>
      </c>
      <c r="J1307" s="109">
        <v>0.13100000000000001</v>
      </c>
      <c r="K1307" s="109" t="s">
        <v>717</v>
      </c>
      <c r="L1307" s="67">
        <v>5000</v>
      </c>
      <c r="M1307" s="67">
        <v>500000</v>
      </c>
      <c r="N1307" s="105">
        <v>44378</v>
      </c>
      <c r="O1307" s="105">
        <v>44561</v>
      </c>
      <c r="P1307" t="s">
        <v>718</v>
      </c>
    </row>
    <row r="1308" spans="1:16" ht="15" customHeight="1" x14ac:dyDescent="0.3">
      <c r="A1308" t="str">
        <f t="shared" si="21"/>
        <v>14-0-HH 2RATE (CT)-SmartTRACKER Renewal (Level 2)</v>
      </c>
      <c r="B1308" s="67" t="s">
        <v>13</v>
      </c>
      <c r="C1308" s="67">
        <v>14</v>
      </c>
      <c r="D1308" s="99" t="s">
        <v>23</v>
      </c>
      <c r="E1308" s="67" t="s">
        <v>729</v>
      </c>
      <c r="F1308" s="67" t="s">
        <v>88</v>
      </c>
      <c r="G1308" s="67" t="s">
        <v>733</v>
      </c>
      <c r="H1308" s="127">
        <v>0.50660000000000005</v>
      </c>
      <c r="I1308" s="109">
        <v>0.16969999999999999</v>
      </c>
      <c r="J1308" s="109">
        <v>0.12789999999999999</v>
      </c>
      <c r="K1308" s="109" t="s">
        <v>717</v>
      </c>
      <c r="L1308" s="67">
        <v>5000</v>
      </c>
      <c r="M1308" s="67">
        <v>500000</v>
      </c>
      <c r="N1308" s="105">
        <v>44378</v>
      </c>
      <c r="O1308" s="105">
        <v>44561</v>
      </c>
      <c r="P1308" t="s">
        <v>718</v>
      </c>
    </row>
    <row r="1309" spans="1:16" ht="15" customHeight="1" x14ac:dyDescent="0.3">
      <c r="A1309" t="str">
        <f t="shared" si="21"/>
        <v>15-0-HH 2RATE (CT)-SmartTRACKER Renewal (Level 2)</v>
      </c>
      <c r="B1309" s="67" t="s">
        <v>13</v>
      </c>
      <c r="C1309" s="67">
        <v>15</v>
      </c>
      <c r="D1309" s="99" t="s">
        <v>24</v>
      </c>
      <c r="E1309" s="67" t="s">
        <v>729</v>
      </c>
      <c r="F1309" s="67" t="s">
        <v>88</v>
      </c>
      <c r="G1309" s="67" t="s">
        <v>733</v>
      </c>
      <c r="H1309" s="127">
        <v>0.61280000000000001</v>
      </c>
      <c r="I1309" s="109">
        <v>0.16750000000000001</v>
      </c>
      <c r="J1309" s="109">
        <v>0.1265</v>
      </c>
      <c r="K1309" s="109" t="s">
        <v>717</v>
      </c>
      <c r="L1309" s="67">
        <v>5000</v>
      </c>
      <c r="M1309" s="67">
        <v>500000</v>
      </c>
      <c r="N1309" s="105">
        <v>44378</v>
      </c>
      <c r="O1309" s="105">
        <v>44561</v>
      </c>
      <c r="P1309" t="s">
        <v>718</v>
      </c>
    </row>
    <row r="1310" spans="1:16" ht="15" customHeight="1" x14ac:dyDescent="0.3">
      <c r="A1310" t="str">
        <f t="shared" si="21"/>
        <v>16-0-HH 2RATE (CT)-SmartTRACKER Renewal (Level 2)</v>
      </c>
      <c r="B1310" s="67" t="s">
        <v>13</v>
      </c>
      <c r="C1310" s="67">
        <v>16</v>
      </c>
      <c r="D1310" s="99" t="s">
        <v>25</v>
      </c>
      <c r="E1310" s="67" t="s">
        <v>729</v>
      </c>
      <c r="F1310" s="67" t="s">
        <v>88</v>
      </c>
      <c r="G1310" s="67" t="s">
        <v>733</v>
      </c>
      <c r="H1310" s="127">
        <v>0.57079999999999997</v>
      </c>
      <c r="I1310" s="109">
        <v>0.17</v>
      </c>
      <c r="J1310" s="109">
        <v>0.125</v>
      </c>
      <c r="K1310" s="109" t="s">
        <v>717</v>
      </c>
      <c r="L1310" s="67">
        <v>5000</v>
      </c>
      <c r="M1310" s="67">
        <v>500000</v>
      </c>
      <c r="N1310" s="105">
        <v>44378</v>
      </c>
      <c r="O1310" s="105">
        <v>44561</v>
      </c>
      <c r="P1310" t="s">
        <v>718</v>
      </c>
    </row>
    <row r="1311" spans="1:16" ht="15" customHeight="1" x14ac:dyDescent="0.3">
      <c r="A1311" t="str">
        <f t="shared" si="21"/>
        <v>17-0-HH 2RATE (CT)-SmartTRACKER Renewal (Level 2)</v>
      </c>
      <c r="B1311" s="67" t="s">
        <v>13</v>
      </c>
      <c r="C1311" s="67">
        <v>17</v>
      </c>
      <c r="D1311" s="99" t="s">
        <v>26</v>
      </c>
      <c r="E1311" s="67" t="s">
        <v>729</v>
      </c>
      <c r="F1311" s="67" t="s">
        <v>88</v>
      </c>
      <c r="G1311" s="67" t="s">
        <v>733</v>
      </c>
      <c r="H1311" s="127">
        <v>0.77270000000000005</v>
      </c>
      <c r="I1311" s="109">
        <v>0.17630000000000001</v>
      </c>
      <c r="J1311" s="109">
        <v>0.13520000000000001</v>
      </c>
      <c r="K1311" s="109" t="s">
        <v>717</v>
      </c>
      <c r="L1311" s="67">
        <v>5000</v>
      </c>
      <c r="M1311" s="67">
        <v>500000</v>
      </c>
      <c r="N1311" s="105">
        <v>44378</v>
      </c>
      <c r="O1311" s="105">
        <v>44561</v>
      </c>
      <c r="P1311" t="s">
        <v>718</v>
      </c>
    </row>
    <row r="1312" spans="1:16" ht="15" customHeight="1" x14ac:dyDescent="0.3">
      <c r="A1312" t="str">
        <f t="shared" si="21"/>
        <v>18-0-HH 2RATE (CT)-SmartTRACKER Renewal (Level 2)</v>
      </c>
      <c r="B1312" s="67" t="s">
        <v>13</v>
      </c>
      <c r="C1312" s="67">
        <v>18</v>
      </c>
      <c r="D1312" s="99" t="s">
        <v>27</v>
      </c>
      <c r="E1312" s="67" t="s">
        <v>729</v>
      </c>
      <c r="F1312" s="67" t="s">
        <v>88</v>
      </c>
      <c r="G1312" s="67" t="s">
        <v>733</v>
      </c>
      <c r="H1312" s="127">
        <v>0.70830000000000004</v>
      </c>
      <c r="I1312" s="109">
        <v>0.16550000000000001</v>
      </c>
      <c r="J1312" s="109">
        <v>0.123</v>
      </c>
      <c r="K1312" s="109" t="s">
        <v>717</v>
      </c>
      <c r="L1312" s="67">
        <v>5000</v>
      </c>
      <c r="M1312" s="67">
        <v>500000</v>
      </c>
      <c r="N1312" s="105">
        <v>44378</v>
      </c>
      <c r="O1312" s="105">
        <v>44561</v>
      </c>
      <c r="P1312" t="s">
        <v>718</v>
      </c>
    </row>
    <row r="1313" spans="1:16" ht="15" customHeight="1" x14ac:dyDescent="0.3">
      <c r="A1313" t="str">
        <f t="shared" si="21"/>
        <v>19-0-HH 2RATE (CT)-SmartTRACKER Renewal (Level 2)</v>
      </c>
      <c r="B1313" s="67" t="s">
        <v>13</v>
      </c>
      <c r="C1313" s="67">
        <v>19</v>
      </c>
      <c r="D1313" s="99" t="s">
        <v>28</v>
      </c>
      <c r="E1313" s="67" t="s">
        <v>729</v>
      </c>
      <c r="F1313" s="67" t="s">
        <v>88</v>
      </c>
      <c r="G1313" s="67" t="s">
        <v>733</v>
      </c>
      <c r="H1313" s="127">
        <v>0.55659999999999998</v>
      </c>
      <c r="I1313" s="109">
        <v>0.16600000000000001</v>
      </c>
      <c r="J1313" s="109">
        <v>0.11700000000000001</v>
      </c>
      <c r="K1313" s="109" t="s">
        <v>717</v>
      </c>
      <c r="L1313" s="67">
        <v>5000</v>
      </c>
      <c r="M1313" s="67">
        <v>500000</v>
      </c>
      <c r="N1313" s="105">
        <v>44378</v>
      </c>
      <c r="O1313" s="105">
        <v>44561</v>
      </c>
      <c r="P1313" t="s">
        <v>718</v>
      </c>
    </row>
    <row r="1314" spans="1:16" ht="15" customHeight="1" x14ac:dyDescent="0.3">
      <c r="A1314" t="str">
        <f t="shared" si="21"/>
        <v>20-0-HH 2RATE (CT)-SmartTRACKER Renewal (Level 2)</v>
      </c>
      <c r="B1314" s="67" t="s">
        <v>13</v>
      </c>
      <c r="C1314" s="67">
        <v>20</v>
      </c>
      <c r="D1314" s="99" t="s">
        <v>29</v>
      </c>
      <c r="E1314" s="67" t="s">
        <v>729</v>
      </c>
      <c r="F1314" s="67" t="s">
        <v>88</v>
      </c>
      <c r="G1314" s="67" t="s">
        <v>733</v>
      </c>
      <c r="H1314" s="127">
        <v>0.58799999999999997</v>
      </c>
      <c r="I1314" s="109">
        <v>0.1633</v>
      </c>
      <c r="J1314" s="109">
        <v>0.1179</v>
      </c>
      <c r="K1314" s="109" t="s">
        <v>717</v>
      </c>
      <c r="L1314" s="67">
        <v>5000</v>
      </c>
      <c r="M1314" s="67">
        <v>500000</v>
      </c>
      <c r="N1314" s="105">
        <v>44378</v>
      </c>
      <c r="O1314" s="105">
        <v>44561</v>
      </c>
      <c r="P1314" t="s">
        <v>718</v>
      </c>
    </row>
    <row r="1315" spans="1:16" ht="15" customHeight="1" x14ac:dyDescent="0.3">
      <c r="A1315" t="str">
        <f t="shared" si="21"/>
        <v>21-0-HH 2RATE (CT)-SmartTRACKER Renewal (Level 2)</v>
      </c>
      <c r="B1315" s="67" t="s">
        <v>13</v>
      </c>
      <c r="C1315" s="67">
        <v>21</v>
      </c>
      <c r="D1315" s="99" t="s">
        <v>30</v>
      </c>
      <c r="E1315" s="67" t="s">
        <v>729</v>
      </c>
      <c r="F1315" s="67" t="s">
        <v>88</v>
      </c>
      <c r="G1315" s="67" t="s">
        <v>733</v>
      </c>
      <c r="H1315" s="127">
        <v>0.60389999999999999</v>
      </c>
      <c r="I1315" s="109">
        <v>0.1726</v>
      </c>
      <c r="J1315" s="109">
        <v>0.13200000000000001</v>
      </c>
      <c r="K1315" s="109" t="s">
        <v>717</v>
      </c>
      <c r="L1315" s="67">
        <v>5000</v>
      </c>
      <c r="M1315" s="67">
        <v>500000</v>
      </c>
      <c r="N1315" s="105">
        <v>44378</v>
      </c>
      <c r="O1315" s="105">
        <v>44561</v>
      </c>
      <c r="P1315" t="s">
        <v>718</v>
      </c>
    </row>
    <row r="1316" spans="1:16" ht="15" customHeight="1" x14ac:dyDescent="0.3">
      <c r="A1316" t="str">
        <f t="shared" si="21"/>
        <v>22-0-HH 2RATE (CT)-SmartTRACKER Renewal (Level 2)</v>
      </c>
      <c r="B1316" s="67" t="s">
        <v>13</v>
      </c>
      <c r="C1316" s="67">
        <v>22</v>
      </c>
      <c r="D1316" s="99" t="s">
        <v>31</v>
      </c>
      <c r="E1316" s="67" t="s">
        <v>729</v>
      </c>
      <c r="F1316" s="67" t="s">
        <v>88</v>
      </c>
      <c r="G1316" s="67" t="s">
        <v>733</v>
      </c>
      <c r="H1316" s="127">
        <v>0.52969999999999995</v>
      </c>
      <c r="I1316" s="109">
        <v>0.1759</v>
      </c>
      <c r="J1316" s="109">
        <v>0.1467</v>
      </c>
      <c r="K1316" s="109" t="s">
        <v>717</v>
      </c>
      <c r="L1316" s="67">
        <v>5000</v>
      </c>
      <c r="M1316" s="67">
        <v>500000</v>
      </c>
      <c r="N1316" s="105">
        <v>44378</v>
      </c>
      <c r="O1316" s="105">
        <v>44561</v>
      </c>
      <c r="P1316" t="s">
        <v>718</v>
      </c>
    </row>
    <row r="1317" spans="1:16" ht="15" customHeight="1" x14ac:dyDescent="0.3">
      <c r="A1317" t="str">
        <f t="shared" si="21"/>
        <v>23-0-HH 2RATE (CT)-SmartTRACKER Renewal (Level 2)</v>
      </c>
      <c r="B1317" s="67" t="s">
        <v>13</v>
      </c>
      <c r="C1317" s="67">
        <v>23</v>
      </c>
      <c r="D1317" s="99" t="s">
        <v>32</v>
      </c>
      <c r="E1317" s="67" t="s">
        <v>729</v>
      </c>
      <c r="F1317" s="67" t="s">
        <v>88</v>
      </c>
      <c r="G1317" s="67" t="s">
        <v>733</v>
      </c>
      <c r="H1317" s="127">
        <v>0.6321</v>
      </c>
      <c r="I1317" s="109">
        <v>0.16309999999999999</v>
      </c>
      <c r="J1317" s="109">
        <v>0.1208</v>
      </c>
      <c r="K1317" s="109" t="s">
        <v>717</v>
      </c>
      <c r="L1317" s="67">
        <v>5000</v>
      </c>
      <c r="M1317" s="67">
        <v>500000</v>
      </c>
      <c r="N1317" s="105">
        <v>44378</v>
      </c>
      <c r="O1317" s="105">
        <v>44561</v>
      </c>
      <c r="P1317" t="s">
        <v>718</v>
      </c>
    </row>
    <row r="1318" spans="1:16" ht="15" customHeight="1" x14ac:dyDescent="0.3">
      <c r="A1318" t="str">
        <f t="shared" si="21"/>
        <v>10-0-HH 2RATE (CT)-SmartFIX – 1 Year (Level 2)</v>
      </c>
      <c r="B1318" s="67" t="s">
        <v>13</v>
      </c>
      <c r="C1318" s="67">
        <v>10</v>
      </c>
      <c r="D1318" s="99" t="s">
        <v>14</v>
      </c>
      <c r="E1318" s="67" t="s">
        <v>729</v>
      </c>
      <c r="F1318" s="67" t="s">
        <v>88</v>
      </c>
      <c r="G1318" s="67" t="s">
        <v>725</v>
      </c>
      <c r="H1318" s="127">
        <v>0.50439999999999996</v>
      </c>
      <c r="I1318" s="109">
        <v>0.16300000000000001</v>
      </c>
      <c r="J1318" s="109">
        <v>0.1129</v>
      </c>
      <c r="K1318" s="109" t="s">
        <v>717</v>
      </c>
      <c r="L1318" s="67">
        <v>5000</v>
      </c>
      <c r="M1318" s="67">
        <v>500000</v>
      </c>
      <c r="N1318" s="105">
        <v>44378</v>
      </c>
      <c r="O1318" s="105">
        <v>44561</v>
      </c>
      <c r="P1318" t="s">
        <v>718</v>
      </c>
    </row>
    <row r="1319" spans="1:16" ht="15" customHeight="1" x14ac:dyDescent="0.3">
      <c r="A1319" t="str">
        <f t="shared" si="21"/>
        <v>11-0-HH 2RATE (CT)-SmartFIX – 1 Year (Level 2)</v>
      </c>
      <c r="B1319" s="67" t="s">
        <v>13</v>
      </c>
      <c r="C1319" s="67">
        <v>11</v>
      </c>
      <c r="D1319" s="99" t="s">
        <v>20</v>
      </c>
      <c r="E1319" s="67" t="s">
        <v>729</v>
      </c>
      <c r="F1319" s="67" t="s">
        <v>88</v>
      </c>
      <c r="G1319" s="67" t="s">
        <v>725</v>
      </c>
      <c r="H1319" s="127">
        <v>0.44829999999999998</v>
      </c>
      <c r="I1319" s="109">
        <v>0.16189999999999999</v>
      </c>
      <c r="J1319" s="109">
        <v>0.1191</v>
      </c>
      <c r="K1319" s="109" t="s">
        <v>717</v>
      </c>
      <c r="L1319" s="67">
        <v>5000</v>
      </c>
      <c r="M1319" s="67">
        <v>500000</v>
      </c>
      <c r="N1319" s="105">
        <v>44378</v>
      </c>
      <c r="O1319" s="105">
        <v>44561</v>
      </c>
      <c r="P1319" t="s">
        <v>718</v>
      </c>
    </row>
    <row r="1320" spans="1:16" ht="15" customHeight="1" x14ac:dyDescent="0.3">
      <c r="A1320" t="str">
        <f t="shared" si="21"/>
        <v>12-0-HH 2RATE (CT)-SmartFIX – 1 Year (Level 2)</v>
      </c>
      <c r="B1320" s="67" t="s">
        <v>13</v>
      </c>
      <c r="C1320" s="67">
        <v>12</v>
      </c>
      <c r="D1320" s="99" t="s">
        <v>21</v>
      </c>
      <c r="E1320" s="67" t="s">
        <v>729</v>
      </c>
      <c r="F1320" s="67" t="s">
        <v>88</v>
      </c>
      <c r="G1320" s="67" t="s">
        <v>725</v>
      </c>
      <c r="H1320" s="127">
        <v>0.41389999999999999</v>
      </c>
      <c r="I1320" s="109">
        <v>0.15920000000000001</v>
      </c>
      <c r="J1320" s="109">
        <v>0.1066</v>
      </c>
      <c r="K1320" s="109" t="s">
        <v>717</v>
      </c>
      <c r="L1320" s="67">
        <v>5000</v>
      </c>
      <c r="M1320" s="67">
        <v>500000</v>
      </c>
      <c r="N1320" s="105">
        <v>44378</v>
      </c>
      <c r="O1320" s="105">
        <v>44561</v>
      </c>
      <c r="P1320" t="s">
        <v>718</v>
      </c>
    </row>
    <row r="1321" spans="1:16" ht="15" customHeight="1" x14ac:dyDescent="0.3">
      <c r="A1321" t="str">
        <f t="shared" si="21"/>
        <v>13-0-HH 2RATE (CT)-SmartFIX – 1 Year (Level 2)</v>
      </c>
      <c r="B1321" s="67" t="s">
        <v>13</v>
      </c>
      <c r="C1321" s="67">
        <v>13</v>
      </c>
      <c r="D1321" s="99" t="s">
        <v>22</v>
      </c>
      <c r="E1321" s="67" t="s">
        <v>729</v>
      </c>
      <c r="F1321" s="67" t="s">
        <v>88</v>
      </c>
      <c r="G1321" s="67" t="s">
        <v>725</v>
      </c>
      <c r="H1321" s="127">
        <v>0.58089999999999997</v>
      </c>
      <c r="I1321" s="109">
        <v>0.18090000000000001</v>
      </c>
      <c r="J1321" s="109">
        <v>0.127</v>
      </c>
      <c r="K1321" s="109" t="s">
        <v>717</v>
      </c>
      <c r="L1321" s="67">
        <v>5000</v>
      </c>
      <c r="M1321" s="67">
        <v>500000</v>
      </c>
      <c r="N1321" s="105">
        <v>44378</v>
      </c>
      <c r="O1321" s="105">
        <v>44561</v>
      </c>
      <c r="P1321" t="s">
        <v>718</v>
      </c>
    </row>
    <row r="1322" spans="1:16" ht="15" customHeight="1" x14ac:dyDescent="0.3">
      <c r="A1322" t="str">
        <f t="shared" si="21"/>
        <v>14-0-HH 2RATE (CT)-SmartFIX – 1 Year (Level 2)</v>
      </c>
      <c r="B1322" s="67" t="s">
        <v>13</v>
      </c>
      <c r="C1322" s="67">
        <v>14</v>
      </c>
      <c r="D1322" s="99" t="s">
        <v>23</v>
      </c>
      <c r="E1322" s="67" t="s">
        <v>729</v>
      </c>
      <c r="F1322" s="67" t="s">
        <v>88</v>
      </c>
      <c r="G1322" s="67" t="s">
        <v>725</v>
      </c>
      <c r="H1322" s="127">
        <v>0.46060000000000001</v>
      </c>
      <c r="I1322" s="109">
        <v>0.16569999999999999</v>
      </c>
      <c r="J1322" s="109">
        <v>0.1239</v>
      </c>
      <c r="K1322" s="109" t="s">
        <v>717</v>
      </c>
      <c r="L1322" s="67">
        <v>5000</v>
      </c>
      <c r="M1322" s="67">
        <v>500000</v>
      </c>
      <c r="N1322" s="105">
        <v>44378</v>
      </c>
      <c r="O1322" s="105">
        <v>44561</v>
      </c>
      <c r="P1322" t="s">
        <v>718</v>
      </c>
    </row>
    <row r="1323" spans="1:16" ht="15" customHeight="1" x14ac:dyDescent="0.3">
      <c r="A1323" t="str">
        <f t="shared" si="21"/>
        <v>15-0-HH 2RATE (CT)-SmartFIX – 1 Year (Level 2)</v>
      </c>
      <c r="B1323" s="67" t="s">
        <v>13</v>
      </c>
      <c r="C1323" s="67">
        <v>15</v>
      </c>
      <c r="D1323" s="99" t="s">
        <v>24</v>
      </c>
      <c r="E1323" s="67" t="s">
        <v>729</v>
      </c>
      <c r="F1323" s="67" t="s">
        <v>88</v>
      </c>
      <c r="G1323" s="67" t="s">
        <v>725</v>
      </c>
      <c r="H1323" s="127">
        <v>0.55710000000000004</v>
      </c>
      <c r="I1323" s="109">
        <v>0.16350000000000001</v>
      </c>
      <c r="J1323" s="109">
        <v>0.1225</v>
      </c>
      <c r="K1323" s="109" t="s">
        <v>717</v>
      </c>
      <c r="L1323" s="67">
        <v>5000</v>
      </c>
      <c r="M1323" s="67">
        <v>500000</v>
      </c>
      <c r="N1323" s="105">
        <v>44378</v>
      </c>
      <c r="O1323" s="105">
        <v>44561</v>
      </c>
      <c r="P1323" t="s">
        <v>718</v>
      </c>
    </row>
    <row r="1324" spans="1:16" ht="15" customHeight="1" x14ac:dyDescent="0.3">
      <c r="A1324" t="str">
        <f t="shared" si="21"/>
        <v>16-0-HH 2RATE (CT)-SmartFIX – 1 Year (Level 2)</v>
      </c>
      <c r="B1324" s="67" t="s">
        <v>13</v>
      </c>
      <c r="C1324" s="67">
        <v>16</v>
      </c>
      <c r="D1324" s="99" t="s">
        <v>25</v>
      </c>
      <c r="E1324" s="67" t="s">
        <v>729</v>
      </c>
      <c r="F1324" s="67" t="s">
        <v>88</v>
      </c>
      <c r="G1324" s="67" t="s">
        <v>725</v>
      </c>
      <c r="H1324" s="127">
        <v>0.51890000000000003</v>
      </c>
      <c r="I1324" s="109">
        <v>0.16600000000000001</v>
      </c>
      <c r="J1324" s="109">
        <v>0.121</v>
      </c>
      <c r="K1324" s="109" t="s">
        <v>717</v>
      </c>
      <c r="L1324" s="67">
        <v>5000</v>
      </c>
      <c r="M1324" s="67">
        <v>500000</v>
      </c>
      <c r="N1324" s="105">
        <v>44378</v>
      </c>
      <c r="O1324" s="105">
        <v>44561</v>
      </c>
      <c r="P1324" t="s">
        <v>718</v>
      </c>
    </row>
    <row r="1325" spans="1:16" ht="15" customHeight="1" x14ac:dyDescent="0.3">
      <c r="A1325" t="str">
        <f t="shared" si="21"/>
        <v>17-0-HH 2RATE (CT)-SmartFIX – 1 Year (Level 2)</v>
      </c>
      <c r="B1325" s="67" t="s">
        <v>13</v>
      </c>
      <c r="C1325" s="67">
        <v>17</v>
      </c>
      <c r="D1325" s="99" t="s">
        <v>26</v>
      </c>
      <c r="E1325" s="67" t="s">
        <v>729</v>
      </c>
      <c r="F1325" s="67" t="s">
        <v>88</v>
      </c>
      <c r="G1325" s="67" t="s">
        <v>725</v>
      </c>
      <c r="H1325" s="127">
        <v>0.70240000000000002</v>
      </c>
      <c r="I1325" s="109">
        <v>0.17230000000000001</v>
      </c>
      <c r="J1325" s="109">
        <v>0.13120000000000001</v>
      </c>
      <c r="K1325" s="109" t="s">
        <v>717</v>
      </c>
      <c r="L1325" s="67">
        <v>5000</v>
      </c>
      <c r="M1325" s="67">
        <v>500000</v>
      </c>
      <c r="N1325" s="105">
        <v>44378</v>
      </c>
      <c r="O1325" s="105">
        <v>44561</v>
      </c>
      <c r="P1325" t="s">
        <v>718</v>
      </c>
    </row>
    <row r="1326" spans="1:16" ht="15" customHeight="1" x14ac:dyDescent="0.3">
      <c r="A1326" t="str">
        <f t="shared" si="21"/>
        <v>18-0-HH 2RATE (CT)-SmartFIX – 1 Year (Level 2)</v>
      </c>
      <c r="B1326" s="67" t="s">
        <v>13</v>
      </c>
      <c r="C1326" s="67">
        <v>18</v>
      </c>
      <c r="D1326" s="99" t="s">
        <v>27</v>
      </c>
      <c r="E1326" s="67" t="s">
        <v>729</v>
      </c>
      <c r="F1326" s="67" t="s">
        <v>88</v>
      </c>
      <c r="G1326" s="67" t="s">
        <v>725</v>
      </c>
      <c r="H1326" s="127">
        <v>0.64390000000000003</v>
      </c>
      <c r="I1326" s="109">
        <v>0.1615</v>
      </c>
      <c r="J1326" s="109">
        <v>0.11899999999999999</v>
      </c>
      <c r="K1326" s="109" t="s">
        <v>717</v>
      </c>
      <c r="L1326" s="67">
        <v>5000</v>
      </c>
      <c r="M1326" s="67">
        <v>500000</v>
      </c>
      <c r="N1326" s="105">
        <v>44378</v>
      </c>
      <c r="O1326" s="105">
        <v>44561</v>
      </c>
      <c r="P1326" t="s">
        <v>718</v>
      </c>
    </row>
    <row r="1327" spans="1:16" ht="15" customHeight="1" x14ac:dyDescent="0.3">
      <c r="A1327" t="str">
        <f t="shared" si="21"/>
        <v>19-0-HH 2RATE (CT)-SmartFIX – 1 Year (Level 2)</v>
      </c>
      <c r="B1327" s="67" t="s">
        <v>13</v>
      </c>
      <c r="C1327" s="67">
        <v>19</v>
      </c>
      <c r="D1327" s="99" t="s">
        <v>28</v>
      </c>
      <c r="E1327" s="67" t="s">
        <v>729</v>
      </c>
      <c r="F1327" s="67" t="s">
        <v>88</v>
      </c>
      <c r="G1327" s="67" t="s">
        <v>725</v>
      </c>
      <c r="H1327" s="127">
        <v>0.50600000000000001</v>
      </c>
      <c r="I1327" s="109">
        <v>0.16200000000000001</v>
      </c>
      <c r="J1327" s="109">
        <v>0.113</v>
      </c>
      <c r="K1327" s="109" t="s">
        <v>717</v>
      </c>
      <c r="L1327" s="67">
        <v>5000</v>
      </c>
      <c r="M1327" s="67">
        <v>500000</v>
      </c>
      <c r="N1327" s="105">
        <v>44378</v>
      </c>
      <c r="O1327" s="105">
        <v>44561</v>
      </c>
      <c r="P1327" t="s">
        <v>718</v>
      </c>
    </row>
    <row r="1328" spans="1:16" ht="15" customHeight="1" x14ac:dyDescent="0.3">
      <c r="A1328" t="str">
        <f t="shared" si="21"/>
        <v>20-0-HH 2RATE (CT)-SmartFIX – 1 Year (Level 2)</v>
      </c>
      <c r="B1328" s="67" t="s">
        <v>13</v>
      </c>
      <c r="C1328" s="67">
        <v>20</v>
      </c>
      <c r="D1328" s="99" t="s">
        <v>29</v>
      </c>
      <c r="E1328" s="67" t="s">
        <v>729</v>
      </c>
      <c r="F1328" s="67" t="s">
        <v>88</v>
      </c>
      <c r="G1328" s="67" t="s">
        <v>725</v>
      </c>
      <c r="H1328" s="127">
        <v>0.53449999999999998</v>
      </c>
      <c r="I1328" s="109">
        <v>0.1593</v>
      </c>
      <c r="J1328" s="109">
        <v>0.1139</v>
      </c>
      <c r="K1328" s="109" t="s">
        <v>717</v>
      </c>
      <c r="L1328" s="67">
        <v>5000</v>
      </c>
      <c r="M1328" s="67">
        <v>500000</v>
      </c>
      <c r="N1328" s="105">
        <v>44378</v>
      </c>
      <c r="O1328" s="105">
        <v>44561</v>
      </c>
      <c r="P1328" t="s">
        <v>718</v>
      </c>
    </row>
    <row r="1329" spans="1:16" ht="15" customHeight="1" x14ac:dyDescent="0.3">
      <c r="A1329" t="str">
        <f t="shared" si="21"/>
        <v>21-0-HH 2RATE (CT)-SmartFIX – 1 Year (Level 2)</v>
      </c>
      <c r="B1329" s="67" t="s">
        <v>13</v>
      </c>
      <c r="C1329" s="67">
        <v>21</v>
      </c>
      <c r="D1329" s="99" t="s">
        <v>30</v>
      </c>
      <c r="E1329" s="67" t="s">
        <v>729</v>
      </c>
      <c r="F1329" s="67" t="s">
        <v>88</v>
      </c>
      <c r="G1329" s="67" t="s">
        <v>725</v>
      </c>
      <c r="H1329" s="127">
        <v>0.54900000000000004</v>
      </c>
      <c r="I1329" s="109">
        <v>0.1686</v>
      </c>
      <c r="J1329" s="109">
        <v>0.128</v>
      </c>
      <c r="K1329" s="109" t="s">
        <v>717</v>
      </c>
      <c r="L1329" s="67">
        <v>5000</v>
      </c>
      <c r="M1329" s="67">
        <v>500000</v>
      </c>
      <c r="N1329" s="105">
        <v>44378</v>
      </c>
      <c r="O1329" s="105">
        <v>44561</v>
      </c>
      <c r="P1329" t="s">
        <v>718</v>
      </c>
    </row>
    <row r="1330" spans="1:16" ht="15" customHeight="1" x14ac:dyDescent="0.3">
      <c r="A1330" t="str">
        <f t="shared" si="21"/>
        <v>22-0-HH 2RATE (CT)-SmartFIX – 1 Year (Level 2)</v>
      </c>
      <c r="B1330" s="67" t="s">
        <v>13</v>
      </c>
      <c r="C1330" s="67">
        <v>22</v>
      </c>
      <c r="D1330" s="99" t="s">
        <v>31</v>
      </c>
      <c r="E1330" s="67" t="s">
        <v>729</v>
      </c>
      <c r="F1330" s="67" t="s">
        <v>88</v>
      </c>
      <c r="G1330" s="67" t="s">
        <v>725</v>
      </c>
      <c r="H1330" s="127">
        <v>0.48149999999999998</v>
      </c>
      <c r="I1330" s="109">
        <v>0.1719</v>
      </c>
      <c r="J1330" s="109">
        <v>0.14269999999999999</v>
      </c>
      <c r="K1330" s="109" t="s">
        <v>717</v>
      </c>
      <c r="L1330" s="67">
        <v>5000</v>
      </c>
      <c r="M1330" s="67">
        <v>500000</v>
      </c>
      <c r="N1330" s="105">
        <v>44378</v>
      </c>
      <c r="O1330" s="105">
        <v>44561</v>
      </c>
      <c r="P1330" t="s">
        <v>718</v>
      </c>
    </row>
    <row r="1331" spans="1:16" ht="15" customHeight="1" x14ac:dyDescent="0.3">
      <c r="A1331" t="str">
        <f t="shared" si="21"/>
        <v>23-0-HH 2RATE (CT)-SmartFIX – 1 Year (Level 2)</v>
      </c>
      <c r="B1331" s="67" t="s">
        <v>13</v>
      </c>
      <c r="C1331" s="67">
        <v>23</v>
      </c>
      <c r="D1331" s="99" t="s">
        <v>32</v>
      </c>
      <c r="E1331" s="67" t="s">
        <v>729</v>
      </c>
      <c r="F1331" s="67" t="s">
        <v>88</v>
      </c>
      <c r="G1331" s="67" t="s">
        <v>725</v>
      </c>
      <c r="H1331" s="127">
        <v>0.57469999999999999</v>
      </c>
      <c r="I1331" s="109">
        <v>0.15909999999999999</v>
      </c>
      <c r="J1331" s="109">
        <v>0.1168</v>
      </c>
      <c r="K1331" s="109" t="s">
        <v>717</v>
      </c>
      <c r="L1331" s="67">
        <v>5000</v>
      </c>
      <c r="M1331" s="67">
        <v>500000</v>
      </c>
      <c r="N1331" s="105">
        <v>44378</v>
      </c>
      <c r="O1331" s="105">
        <v>44561</v>
      </c>
      <c r="P1331" t="s">
        <v>718</v>
      </c>
    </row>
    <row r="1332" spans="1:16" ht="15" customHeight="1" x14ac:dyDescent="0.3">
      <c r="A1332" t="str">
        <f t="shared" si="21"/>
        <v>10-0-HH 2RATE (CT)-SmartFIX – 1 Year Renewal (Level 2)</v>
      </c>
      <c r="B1332" s="67" t="s">
        <v>13</v>
      </c>
      <c r="C1332" s="67">
        <v>10</v>
      </c>
      <c r="D1332" s="99" t="s">
        <v>14</v>
      </c>
      <c r="E1332" s="67" t="s">
        <v>729</v>
      </c>
      <c r="F1332" s="67" t="s">
        <v>88</v>
      </c>
      <c r="G1332" s="67" t="s">
        <v>734</v>
      </c>
      <c r="H1332" s="127">
        <v>0.55479999999999996</v>
      </c>
      <c r="I1332" s="109">
        <v>0.16700000000000001</v>
      </c>
      <c r="J1332" s="109">
        <v>0.1169</v>
      </c>
      <c r="K1332" s="109" t="s">
        <v>717</v>
      </c>
      <c r="L1332" s="67">
        <v>5000</v>
      </c>
      <c r="M1332" s="67">
        <v>500000</v>
      </c>
      <c r="N1332" s="105">
        <v>44378</v>
      </c>
      <c r="O1332" s="105">
        <v>44561</v>
      </c>
      <c r="P1332" t="s">
        <v>718</v>
      </c>
    </row>
    <row r="1333" spans="1:16" ht="15" customHeight="1" x14ac:dyDescent="0.3">
      <c r="A1333" t="str">
        <f t="shared" si="21"/>
        <v>11-0-HH 2RATE (CT)-SmartFIX – 1 Year Renewal (Level 2)</v>
      </c>
      <c r="B1333" s="67" t="s">
        <v>13</v>
      </c>
      <c r="C1333" s="67">
        <v>11</v>
      </c>
      <c r="D1333" s="99" t="s">
        <v>20</v>
      </c>
      <c r="E1333" s="67" t="s">
        <v>729</v>
      </c>
      <c r="F1333" s="67" t="s">
        <v>88</v>
      </c>
      <c r="G1333" s="67" t="s">
        <v>734</v>
      </c>
      <c r="H1333" s="127">
        <v>0.49309999999999998</v>
      </c>
      <c r="I1333" s="109">
        <v>0.16589999999999999</v>
      </c>
      <c r="J1333" s="109">
        <v>0.1231</v>
      </c>
      <c r="K1333" s="109" t="s">
        <v>717</v>
      </c>
      <c r="L1333" s="67">
        <v>5000</v>
      </c>
      <c r="M1333" s="67">
        <v>500000</v>
      </c>
      <c r="N1333" s="105">
        <v>44378</v>
      </c>
      <c r="O1333" s="105">
        <v>44561</v>
      </c>
      <c r="P1333" t="s">
        <v>718</v>
      </c>
    </row>
    <row r="1334" spans="1:16" ht="15" customHeight="1" x14ac:dyDescent="0.3">
      <c r="A1334" t="str">
        <f t="shared" si="21"/>
        <v>12-0-HH 2RATE (CT)-SmartFIX – 1 Year Renewal (Level 2)</v>
      </c>
      <c r="B1334" s="67" t="s">
        <v>13</v>
      </c>
      <c r="C1334" s="67">
        <v>12</v>
      </c>
      <c r="D1334" s="99" t="s">
        <v>21</v>
      </c>
      <c r="E1334" s="67" t="s">
        <v>729</v>
      </c>
      <c r="F1334" s="67" t="s">
        <v>88</v>
      </c>
      <c r="G1334" s="67" t="s">
        <v>734</v>
      </c>
      <c r="H1334" s="127">
        <v>0.45529999999999998</v>
      </c>
      <c r="I1334" s="109">
        <v>0.16320000000000001</v>
      </c>
      <c r="J1334" s="109">
        <v>0.1106</v>
      </c>
      <c r="K1334" s="109" t="s">
        <v>717</v>
      </c>
      <c r="L1334" s="67">
        <v>5000</v>
      </c>
      <c r="M1334" s="67">
        <v>500000</v>
      </c>
      <c r="N1334" s="105">
        <v>44378</v>
      </c>
      <c r="O1334" s="105">
        <v>44561</v>
      </c>
      <c r="P1334" t="s">
        <v>718</v>
      </c>
    </row>
    <row r="1335" spans="1:16" ht="15" customHeight="1" x14ac:dyDescent="0.3">
      <c r="A1335" t="str">
        <f t="shared" si="21"/>
        <v>13-0-HH 2RATE (CT)-SmartFIX – 1 Year Renewal (Level 2)</v>
      </c>
      <c r="B1335" s="67" t="s">
        <v>13</v>
      </c>
      <c r="C1335" s="67">
        <v>13</v>
      </c>
      <c r="D1335" s="99" t="s">
        <v>22</v>
      </c>
      <c r="E1335" s="67" t="s">
        <v>729</v>
      </c>
      <c r="F1335" s="67" t="s">
        <v>88</v>
      </c>
      <c r="G1335" s="67" t="s">
        <v>734</v>
      </c>
      <c r="H1335" s="127">
        <v>0.63900000000000001</v>
      </c>
      <c r="I1335" s="109">
        <v>0.18490000000000001</v>
      </c>
      <c r="J1335" s="109">
        <v>0.13100000000000001</v>
      </c>
      <c r="K1335" s="109" t="s">
        <v>717</v>
      </c>
      <c r="L1335" s="67">
        <v>5000</v>
      </c>
      <c r="M1335" s="67">
        <v>500000</v>
      </c>
      <c r="N1335" s="105">
        <v>44378</v>
      </c>
      <c r="O1335" s="105">
        <v>44561</v>
      </c>
      <c r="P1335" t="s">
        <v>718</v>
      </c>
    </row>
    <row r="1336" spans="1:16" ht="15" customHeight="1" x14ac:dyDescent="0.3">
      <c r="A1336" t="str">
        <f t="shared" si="21"/>
        <v>14-0-HH 2RATE (CT)-SmartFIX – 1 Year Renewal (Level 2)</v>
      </c>
      <c r="B1336" s="67" t="s">
        <v>13</v>
      </c>
      <c r="C1336" s="67">
        <v>14</v>
      </c>
      <c r="D1336" s="99" t="s">
        <v>23</v>
      </c>
      <c r="E1336" s="67" t="s">
        <v>729</v>
      </c>
      <c r="F1336" s="67" t="s">
        <v>88</v>
      </c>
      <c r="G1336" s="67" t="s">
        <v>734</v>
      </c>
      <c r="H1336" s="127">
        <v>0.50660000000000005</v>
      </c>
      <c r="I1336" s="109">
        <v>0.16969999999999999</v>
      </c>
      <c r="J1336" s="109">
        <v>0.12789999999999999</v>
      </c>
      <c r="K1336" s="109" t="s">
        <v>717</v>
      </c>
      <c r="L1336" s="67">
        <v>5000</v>
      </c>
      <c r="M1336" s="67">
        <v>500000</v>
      </c>
      <c r="N1336" s="105">
        <v>44378</v>
      </c>
      <c r="O1336" s="105">
        <v>44561</v>
      </c>
      <c r="P1336" t="s">
        <v>718</v>
      </c>
    </row>
    <row r="1337" spans="1:16" ht="15" customHeight="1" x14ac:dyDescent="0.3">
      <c r="A1337" t="str">
        <f t="shared" si="21"/>
        <v>15-0-HH 2RATE (CT)-SmartFIX – 1 Year Renewal (Level 2)</v>
      </c>
      <c r="B1337" s="67" t="s">
        <v>13</v>
      </c>
      <c r="C1337" s="67">
        <v>15</v>
      </c>
      <c r="D1337" s="99" t="s">
        <v>24</v>
      </c>
      <c r="E1337" s="67" t="s">
        <v>729</v>
      </c>
      <c r="F1337" s="67" t="s">
        <v>88</v>
      </c>
      <c r="G1337" s="67" t="s">
        <v>734</v>
      </c>
      <c r="H1337" s="127">
        <v>0.61280000000000001</v>
      </c>
      <c r="I1337" s="109">
        <v>0.16750000000000001</v>
      </c>
      <c r="J1337" s="109">
        <v>0.1265</v>
      </c>
      <c r="K1337" s="109" t="s">
        <v>717</v>
      </c>
      <c r="L1337" s="67">
        <v>5000</v>
      </c>
      <c r="M1337" s="67">
        <v>500000</v>
      </c>
      <c r="N1337" s="105">
        <v>44378</v>
      </c>
      <c r="O1337" s="105">
        <v>44561</v>
      </c>
      <c r="P1337" t="s">
        <v>718</v>
      </c>
    </row>
    <row r="1338" spans="1:16" ht="15" customHeight="1" x14ac:dyDescent="0.3">
      <c r="A1338" t="str">
        <f t="shared" si="21"/>
        <v>16-0-HH 2RATE (CT)-SmartFIX – 1 Year Renewal (Level 2)</v>
      </c>
      <c r="B1338" s="67" t="s">
        <v>13</v>
      </c>
      <c r="C1338" s="67">
        <v>16</v>
      </c>
      <c r="D1338" s="99" t="s">
        <v>25</v>
      </c>
      <c r="E1338" s="67" t="s">
        <v>729</v>
      </c>
      <c r="F1338" s="67" t="s">
        <v>88</v>
      </c>
      <c r="G1338" s="67" t="s">
        <v>734</v>
      </c>
      <c r="H1338" s="127">
        <v>0.57079999999999997</v>
      </c>
      <c r="I1338" s="109">
        <v>0.17</v>
      </c>
      <c r="J1338" s="109">
        <v>0.125</v>
      </c>
      <c r="K1338" s="109" t="s">
        <v>717</v>
      </c>
      <c r="L1338" s="67">
        <v>5000</v>
      </c>
      <c r="M1338" s="67">
        <v>500000</v>
      </c>
      <c r="N1338" s="105">
        <v>44378</v>
      </c>
      <c r="O1338" s="105">
        <v>44561</v>
      </c>
      <c r="P1338" t="s">
        <v>718</v>
      </c>
    </row>
    <row r="1339" spans="1:16" ht="15" customHeight="1" x14ac:dyDescent="0.3">
      <c r="A1339" t="str">
        <f t="shared" si="21"/>
        <v>17-0-HH 2RATE (CT)-SmartFIX – 1 Year Renewal (Level 2)</v>
      </c>
      <c r="B1339" s="67" t="s">
        <v>13</v>
      </c>
      <c r="C1339" s="67">
        <v>17</v>
      </c>
      <c r="D1339" s="99" t="s">
        <v>26</v>
      </c>
      <c r="E1339" s="67" t="s">
        <v>729</v>
      </c>
      <c r="F1339" s="67" t="s">
        <v>88</v>
      </c>
      <c r="G1339" s="67" t="s">
        <v>734</v>
      </c>
      <c r="H1339" s="127">
        <v>0.77270000000000005</v>
      </c>
      <c r="I1339" s="109">
        <v>0.17630000000000001</v>
      </c>
      <c r="J1339" s="109">
        <v>0.13520000000000001</v>
      </c>
      <c r="K1339" s="109" t="s">
        <v>717</v>
      </c>
      <c r="L1339" s="67">
        <v>5000</v>
      </c>
      <c r="M1339" s="67">
        <v>500000</v>
      </c>
      <c r="N1339" s="105">
        <v>44378</v>
      </c>
      <c r="O1339" s="105">
        <v>44561</v>
      </c>
      <c r="P1339" t="s">
        <v>718</v>
      </c>
    </row>
    <row r="1340" spans="1:16" ht="15" customHeight="1" x14ac:dyDescent="0.3">
      <c r="A1340" t="str">
        <f t="shared" si="21"/>
        <v>18-0-HH 2RATE (CT)-SmartFIX – 1 Year Renewal (Level 2)</v>
      </c>
      <c r="B1340" s="67" t="s">
        <v>13</v>
      </c>
      <c r="C1340" s="67">
        <v>18</v>
      </c>
      <c r="D1340" s="99" t="s">
        <v>27</v>
      </c>
      <c r="E1340" s="67" t="s">
        <v>729</v>
      </c>
      <c r="F1340" s="67" t="s">
        <v>88</v>
      </c>
      <c r="G1340" s="67" t="s">
        <v>734</v>
      </c>
      <c r="H1340" s="127">
        <v>0.70830000000000004</v>
      </c>
      <c r="I1340" s="109">
        <v>0.16550000000000001</v>
      </c>
      <c r="J1340" s="109">
        <v>0.123</v>
      </c>
      <c r="K1340" s="109" t="s">
        <v>717</v>
      </c>
      <c r="L1340" s="67">
        <v>5000</v>
      </c>
      <c r="M1340" s="67">
        <v>500000</v>
      </c>
      <c r="N1340" s="105">
        <v>44378</v>
      </c>
      <c r="O1340" s="105">
        <v>44561</v>
      </c>
      <c r="P1340" t="s">
        <v>718</v>
      </c>
    </row>
    <row r="1341" spans="1:16" ht="15" customHeight="1" x14ac:dyDescent="0.3">
      <c r="A1341" t="str">
        <f t="shared" si="21"/>
        <v>19-0-HH 2RATE (CT)-SmartFIX – 1 Year Renewal (Level 2)</v>
      </c>
      <c r="B1341" s="67" t="s">
        <v>13</v>
      </c>
      <c r="C1341" s="67">
        <v>19</v>
      </c>
      <c r="D1341" s="99" t="s">
        <v>28</v>
      </c>
      <c r="E1341" s="67" t="s">
        <v>729</v>
      </c>
      <c r="F1341" s="67" t="s">
        <v>88</v>
      </c>
      <c r="G1341" s="67" t="s">
        <v>734</v>
      </c>
      <c r="H1341" s="127">
        <v>0.55659999999999998</v>
      </c>
      <c r="I1341" s="109">
        <v>0.16600000000000001</v>
      </c>
      <c r="J1341" s="109">
        <v>0.11700000000000001</v>
      </c>
      <c r="K1341" s="109" t="s">
        <v>717</v>
      </c>
      <c r="L1341" s="67">
        <v>5000</v>
      </c>
      <c r="M1341" s="67">
        <v>500000</v>
      </c>
      <c r="N1341" s="105">
        <v>44378</v>
      </c>
      <c r="O1341" s="105">
        <v>44561</v>
      </c>
      <c r="P1341" t="s">
        <v>718</v>
      </c>
    </row>
    <row r="1342" spans="1:16" ht="15" customHeight="1" x14ac:dyDescent="0.3">
      <c r="A1342" t="str">
        <f t="shared" si="21"/>
        <v>20-0-HH 2RATE (CT)-SmartFIX – 1 Year Renewal (Level 2)</v>
      </c>
      <c r="B1342" s="67" t="s">
        <v>13</v>
      </c>
      <c r="C1342" s="67">
        <v>20</v>
      </c>
      <c r="D1342" s="99" t="s">
        <v>29</v>
      </c>
      <c r="E1342" s="67" t="s">
        <v>729</v>
      </c>
      <c r="F1342" s="67" t="s">
        <v>88</v>
      </c>
      <c r="G1342" s="67" t="s">
        <v>734</v>
      </c>
      <c r="H1342" s="127">
        <v>0.58799999999999997</v>
      </c>
      <c r="I1342" s="109">
        <v>0.1633</v>
      </c>
      <c r="J1342" s="109">
        <v>0.1179</v>
      </c>
      <c r="K1342" s="109" t="s">
        <v>717</v>
      </c>
      <c r="L1342" s="67">
        <v>5000</v>
      </c>
      <c r="M1342" s="67">
        <v>500000</v>
      </c>
      <c r="N1342" s="105">
        <v>44378</v>
      </c>
      <c r="O1342" s="105">
        <v>44561</v>
      </c>
      <c r="P1342" t="s">
        <v>718</v>
      </c>
    </row>
    <row r="1343" spans="1:16" ht="15" customHeight="1" x14ac:dyDescent="0.3">
      <c r="A1343" t="str">
        <f t="shared" si="21"/>
        <v>21-0-HH 2RATE (CT)-SmartFIX – 1 Year Renewal (Level 2)</v>
      </c>
      <c r="B1343" s="67" t="s">
        <v>13</v>
      </c>
      <c r="C1343" s="67">
        <v>21</v>
      </c>
      <c r="D1343" s="99" t="s">
        <v>30</v>
      </c>
      <c r="E1343" s="67" t="s">
        <v>729</v>
      </c>
      <c r="F1343" s="67" t="s">
        <v>88</v>
      </c>
      <c r="G1343" s="67" t="s">
        <v>734</v>
      </c>
      <c r="H1343" s="127">
        <v>0.60389999999999999</v>
      </c>
      <c r="I1343" s="109">
        <v>0.1726</v>
      </c>
      <c r="J1343" s="109">
        <v>0.13200000000000001</v>
      </c>
      <c r="K1343" s="109" t="s">
        <v>717</v>
      </c>
      <c r="L1343" s="67">
        <v>5000</v>
      </c>
      <c r="M1343" s="67">
        <v>500000</v>
      </c>
      <c r="N1343" s="105">
        <v>44378</v>
      </c>
      <c r="O1343" s="105">
        <v>44561</v>
      </c>
      <c r="P1343" t="s">
        <v>718</v>
      </c>
    </row>
    <row r="1344" spans="1:16" ht="15" customHeight="1" x14ac:dyDescent="0.3">
      <c r="A1344" t="str">
        <f t="shared" si="21"/>
        <v>22-0-HH 2RATE (CT)-SmartFIX – 1 Year Renewal (Level 2)</v>
      </c>
      <c r="B1344" s="67" t="s">
        <v>13</v>
      </c>
      <c r="C1344" s="67">
        <v>22</v>
      </c>
      <c r="D1344" s="99" t="s">
        <v>31</v>
      </c>
      <c r="E1344" s="67" t="s">
        <v>729</v>
      </c>
      <c r="F1344" s="67" t="s">
        <v>88</v>
      </c>
      <c r="G1344" s="67" t="s">
        <v>734</v>
      </c>
      <c r="H1344" s="127">
        <v>0.52969999999999995</v>
      </c>
      <c r="I1344" s="109">
        <v>0.1759</v>
      </c>
      <c r="J1344" s="109">
        <v>0.1467</v>
      </c>
      <c r="K1344" s="109" t="s">
        <v>717</v>
      </c>
      <c r="L1344" s="67">
        <v>5000</v>
      </c>
      <c r="M1344" s="67">
        <v>500000</v>
      </c>
      <c r="N1344" s="105">
        <v>44378</v>
      </c>
      <c r="O1344" s="105">
        <v>44561</v>
      </c>
      <c r="P1344" t="s">
        <v>718</v>
      </c>
    </row>
    <row r="1345" spans="1:16" ht="15" customHeight="1" x14ac:dyDescent="0.3">
      <c r="A1345" t="str">
        <f t="shared" si="21"/>
        <v>23-0-HH 2RATE (CT)-SmartFIX – 1 Year Renewal (Level 2)</v>
      </c>
      <c r="B1345" s="67" t="s">
        <v>13</v>
      </c>
      <c r="C1345" s="67">
        <v>23</v>
      </c>
      <c r="D1345" s="99" t="s">
        <v>32</v>
      </c>
      <c r="E1345" s="67" t="s">
        <v>729</v>
      </c>
      <c r="F1345" s="67" t="s">
        <v>88</v>
      </c>
      <c r="G1345" s="67" t="s">
        <v>734</v>
      </c>
      <c r="H1345" s="127">
        <v>0.6321</v>
      </c>
      <c r="I1345" s="109">
        <v>0.16309999999999999</v>
      </c>
      <c r="J1345" s="109">
        <v>0.1208</v>
      </c>
      <c r="K1345" s="109" t="s">
        <v>717</v>
      </c>
      <c r="L1345" s="67">
        <v>5000</v>
      </c>
      <c r="M1345" s="67">
        <v>500000</v>
      </c>
      <c r="N1345" s="105">
        <v>44378</v>
      </c>
      <c r="O1345" s="105">
        <v>44561</v>
      </c>
      <c r="P1345" t="s">
        <v>718</v>
      </c>
    </row>
    <row r="1346" spans="1:16" ht="15" customHeight="1" x14ac:dyDescent="0.3">
      <c r="A1346" t="str">
        <f t="shared" si="21"/>
        <v>10-0-HH 2RATE (WC)-SmartTRACKER (Level 2)</v>
      </c>
      <c r="B1346" s="67" t="s">
        <v>13</v>
      </c>
      <c r="C1346" s="67">
        <v>10</v>
      </c>
      <c r="D1346" s="99" t="s">
        <v>14</v>
      </c>
      <c r="E1346" s="67" t="s">
        <v>730</v>
      </c>
      <c r="F1346" s="67" t="s">
        <v>88</v>
      </c>
      <c r="G1346" s="67" t="s">
        <v>724</v>
      </c>
      <c r="H1346" s="127">
        <v>0.40300000000000002</v>
      </c>
      <c r="I1346" s="109">
        <v>0.1641</v>
      </c>
      <c r="J1346" s="109">
        <v>0.11</v>
      </c>
      <c r="K1346" s="109" t="s">
        <v>717</v>
      </c>
      <c r="L1346" s="67">
        <v>5000</v>
      </c>
      <c r="M1346" s="67">
        <v>500000</v>
      </c>
      <c r="N1346" s="105">
        <v>44378</v>
      </c>
      <c r="O1346" s="105">
        <v>44561</v>
      </c>
      <c r="P1346" t="s">
        <v>718</v>
      </c>
    </row>
    <row r="1347" spans="1:16" ht="15" customHeight="1" x14ac:dyDescent="0.3">
      <c r="A1347" t="str">
        <f t="shared" si="21"/>
        <v>11-0-HH 2RATE (WC)-SmartTRACKER (Level 2)</v>
      </c>
      <c r="B1347" s="67" t="s">
        <v>13</v>
      </c>
      <c r="C1347" s="67">
        <v>11</v>
      </c>
      <c r="D1347" s="99" t="s">
        <v>20</v>
      </c>
      <c r="E1347" s="67" t="s">
        <v>730</v>
      </c>
      <c r="F1347" s="67" t="s">
        <v>88</v>
      </c>
      <c r="G1347" s="67" t="s">
        <v>724</v>
      </c>
      <c r="H1347" s="127">
        <v>0.41310000000000002</v>
      </c>
      <c r="I1347" s="109">
        <v>0.16189999999999999</v>
      </c>
      <c r="J1347" s="109">
        <v>0.1195</v>
      </c>
      <c r="K1347" s="109" t="s">
        <v>717</v>
      </c>
      <c r="L1347" s="67">
        <v>5000</v>
      </c>
      <c r="M1347" s="67">
        <v>500000</v>
      </c>
      <c r="N1347" s="105">
        <v>44378</v>
      </c>
      <c r="O1347" s="105">
        <v>44561</v>
      </c>
      <c r="P1347" t="s">
        <v>718</v>
      </c>
    </row>
    <row r="1348" spans="1:16" ht="15" customHeight="1" x14ac:dyDescent="0.3">
      <c r="A1348" t="str">
        <f t="shared" si="21"/>
        <v>12-0-HH 2RATE (WC)-SmartTRACKER (Level 2)</v>
      </c>
      <c r="B1348" s="67" t="s">
        <v>13</v>
      </c>
      <c r="C1348" s="67">
        <v>12</v>
      </c>
      <c r="D1348" s="99" t="s">
        <v>21</v>
      </c>
      <c r="E1348" s="67" t="s">
        <v>730</v>
      </c>
      <c r="F1348" s="67" t="s">
        <v>88</v>
      </c>
      <c r="G1348" s="67" t="s">
        <v>724</v>
      </c>
      <c r="H1348" s="127">
        <v>0.33729999999999999</v>
      </c>
      <c r="I1348" s="109">
        <v>0.15890000000000001</v>
      </c>
      <c r="J1348" s="109">
        <v>0.1094</v>
      </c>
      <c r="K1348" s="109" t="s">
        <v>717</v>
      </c>
      <c r="L1348" s="67">
        <v>5000</v>
      </c>
      <c r="M1348" s="67">
        <v>500000</v>
      </c>
      <c r="N1348" s="105">
        <v>44378</v>
      </c>
      <c r="O1348" s="105">
        <v>44561</v>
      </c>
      <c r="P1348" t="s">
        <v>718</v>
      </c>
    </row>
    <row r="1349" spans="1:16" ht="15" customHeight="1" x14ac:dyDescent="0.3">
      <c r="A1349" t="str">
        <f t="shared" si="21"/>
        <v>13-0-HH 2RATE (WC)-SmartTRACKER (Level 2)</v>
      </c>
      <c r="B1349" s="67" t="s">
        <v>13</v>
      </c>
      <c r="C1349" s="67">
        <v>13</v>
      </c>
      <c r="D1349" s="99" t="s">
        <v>22</v>
      </c>
      <c r="E1349" s="67" t="s">
        <v>730</v>
      </c>
      <c r="F1349" s="67" t="s">
        <v>88</v>
      </c>
      <c r="G1349" s="67" t="s">
        <v>724</v>
      </c>
      <c r="H1349" s="127">
        <v>0.3785</v>
      </c>
      <c r="I1349" s="109">
        <v>0.18179999999999999</v>
      </c>
      <c r="J1349" s="109">
        <v>0.1268</v>
      </c>
      <c r="K1349" s="109" t="s">
        <v>717</v>
      </c>
      <c r="L1349" s="67">
        <v>5000</v>
      </c>
      <c r="M1349" s="67">
        <v>500000</v>
      </c>
      <c r="N1349" s="105">
        <v>44378</v>
      </c>
      <c r="O1349" s="105">
        <v>44561</v>
      </c>
      <c r="P1349" t="s">
        <v>718</v>
      </c>
    </row>
    <row r="1350" spans="1:16" ht="15" customHeight="1" x14ac:dyDescent="0.3">
      <c r="A1350" t="str">
        <f t="shared" si="21"/>
        <v>14-0-HH 2RATE (WC)-SmartTRACKER (Level 2)</v>
      </c>
      <c r="B1350" s="67" t="s">
        <v>13</v>
      </c>
      <c r="C1350" s="67">
        <v>14</v>
      </c>
      <c r="D1350" s="99" t="s">
        <v>23</v>
      </c>
      <c r="E1350" s="67" t="s">
        <v>730</v>
      </c>
      <c r="F1350" s="67" t="s">
        <v>88</v>
      </c>
      <c r="G1350" s="67" t="s">
        <v>724</v>
      </c>
      <c r="H1350" s="127">
        <v>0.43530000000000002</v>
      </c>
      <c r="I1350" s="109">
        <v>0.16589999999999999</v>
      </c>
      <c r="J1350" s="109">
        <v>0.1234</v>
      </c>
      <c r="K1350" s="109" t="s">
        <v>717</v>
      </c>
      <c r="L1350" s="67">
        <v>5000</v>
      </c>
      <c r="M1350" s="67">
        <v>500000</v>
      </c>
      <c r="N1350" s="105">
        <v>44378</v>
      </c>
      <c r="O1350" s="105">
        <v>44561</v>
      </c>
      <c r="P1350" t="s">
        <v>718</v>
      </c>
    </row>
    <row r="1351" spans="1:16" ht="15" customHeight="1" x14ac:dyDescent="0.3">
      <c r="A1351" t="str">
        <f t="shared" si="21"/>
        <v>15-0-HH 2RATE (WC)-SmartTRACKER (Level 2)</v>
      </c>
      <c r="B1351" s="67" t="s">
        <v>13</v>
      </c>
      <c r="C1351" s="67">
        <v>15</v>
      </c>
      <c r="D1351" s="99" t="s">
        <v>24</v>
      </c>
      <c r="E1351" s="67" t="s">
        <v>730</v>
      </c>
      <c r="F1351" s="67" t="s">
        <v>88</v>
      </c>
      <c r="G1351" s="67" t="s">
        <v>724</v>
      </c>
      <c r="H1351" s="127">
        <v>0.41239999999999999</v>
      </c>
      <c r="I1351" s="109">
        <v>0.16489999999999999</v>
      </c>
      <c r="J1351" s="109">
        <v>0.11940000000000001</v>
      </c>
      <c r="K1351" s="109" t="s">
        <v>717</v>
      </c>
      <c r="L1351" s="67">
        <v>5000</v>
      </c>
      <c r="M1351" s="67">
        <v>500000</v>
      </c>
      <c r="N1351" s="105">
        <v>44378</v>
      </c>
      <c r="O1351" s="105">
        <v>44561</v>
      </c>
      <c r="P1351" t="s">
        <v>718</v>
      </c>
    </row>
    <row r="1352" spans="1:16" ht="15" customHeight="1" x14ac:dyDescent="0.3">
      <c r="A1352" t="str">
        <f t="shared" si="21"/>
        <v>16-0-HH 2RATE (WC)-SmartTRACKER (Level 2)</v>
      </c>
      <c r="B1352" s="67" t="s">
        <v>13</v>
      </c>
      <c r="C1352" s="67">
        <v>16</v>
      </c>
      <c r="D1352" s="99" t="s">
        <v>25</v>
      </c>
      <c r="E1352" s="67" t="s">
        <v>730</v>
      </c>
      <c r="F1352" s="67" t="s">
        <v>88</v>
      </c>
      <c r="G1352" s="67" t="s">
        <v>724</v>
      </c>
      <c r="H1352" s="127">
        <v>0.36770000000000003</v>
      </c>
      <c r="I1352" s="109">
        <v>0.1673</v>
      </c>
      <c r="J1352" s="109">
        <v>0.11890000000000001</v>
      </c>
      <c r="K1352" s="109" t="s">
        <v>717</v>
      </c>
      <c r="L1352" s="67">
        <v>5000</v>
      </c>
      <c r="M1352" s="67">
        <v>500000</v>
      </c>
      <c r="N1352" s="105">
        <v>44378</v>
      </c>
      <c r="O1352" s="105">
        <v>44561</v>
      </c>
      <c r="P1352" t="s">
        <v>718</v>
      </c>
    </row>
    <row r="1353" spans="1:16" ht="15" customHeight="1" x14ac:dyDescent="0.3">
      <c r="A1353" t="str">
        <f t="shared" si="21"/>
        <v>17-0-HH 2RATE (WC)-SmartTRACKER (Level 2)</v>
      </c>
      <c r="B1353" s="67" t="s">
        <v>13</v>
      </c>
      <c r="C1353" s="67">
        <v>17</v>
      </c>
      <c r="D1353" s="99" t="s">
        <v>26</v>
      </c>
      <c r="E1353" s="67" t="s">
        <v>730</v>
      </c>
      <c r="F1353" s="67" t="s">
        <v>88</v>
      </c>
      <c r="G1353" s="67" t="s">
        <v>724</v>
      </c>
      <c r="H1353" s="127">
        <v>0.45</v>
      </c>
      <c r="I1353" s="109">
        <v>0.17030000000000001</v>
      </c>
      <c r="J1353" s="109">
        <v>0.1255</v>
      </c>
      <c r="K1353" s="109" t="s">
        <v>717</v>
      </c>
      <c r="L1353" s="67">
        <v>5000</v>
      </c>
      <c r="M1353" s="67">
        <v>500000</v>
      </c>
      <c r="N1353" s="105">
        <v>44378</v>
      </c>
      <c r="O1353" s="105">
        <v>44561</v>
      </c>
      <c r="P1353" t="s">
        <v>718</v>
      </c>
    </row>
    <row r="1354" spans="1:16" ht="15" customHeight="1" x14ac:dyDescent="0.3">
      <c r="A1354" t="str">
        <f t="shared" si="21"/>
        <v>18-0-HH 2RATE (WC)-SmartTRACKER (Level 2)</v>
      </c>
      <c r="B1354" s="67" t="s">
        <v>13</v>
      </c>
      <c r="C1354" s="67">
        <v>18</v>
      </c>
      <c r="D1354" s="99" t="s">
        <v>27</v>
      </c>
      <c r="E1354" s="67" t="s">
        <v>730</v>
      </c>
      <c r="F1354" s="67" t="s">
        <v>88</v>
      </c>
      <c r="G1354" s="67" t="s">
        <v>724</v>
      </c>
      <c r="H1354" s="127">
        <v>0.39450000000000002</v>
      </c>
      <c r="I1354" s="109">
        <v>0.1628</v>
      </c>
      <c r="J1354" s="109">
        <v>0.1182</v>
      </c>
      <c r="K1354" s="109" t="s">
        <v>717</v>
      </c>
      <c r="L1354" s="67">
        <v>5000</v>
      </c>
      <c r="M1354" s="67">
        <v>500000</v>
      </c>
      <c r="N1354" s="105">
        <v>44378</v>
      </c>
      <c r="O1354" s="105">
        <v>44561</v>
      </c>
      <c r="P1354" t="s">
        <v>718</v>
      </c>
    </row>
    <row r="1355" spans="1:16" ht="15" customHeight="1" x14ac:dyDescent="0.3">
      <c r="A1355" t="str">
        <f t="shared" si="21"/>
        <v>19-0-HH 2RATE (WC)-SmartTRACKER (Level 2)</v>
      </c>
      <c r="B1355" s="67" t="s">
        <v>13</v>
      </c>
      <c r="C1355" s="67">
        <v>19</v>
      </c>
      <c r="D1355" s="99" t="s">
        <v>28</v>
      </c>
      <c r="E1355" s="67" t="s">
        <v>730</v>
      </c>
      <c r="F1355" s="67" t="s">
        <v>88</v>
      </c>
      <c r="G1355" s="67" t="s">
        <v>724</v>
      </c>
      <c r="H1355" s="127">
        <v>0.39610000000000001</v>
      </c>
      <c r="I1355" s="109">
        <v>0.16289999999999999</v>
      </c>
      <c r="J1355" s="109">
        <v>0.1114</v>
      </c>
      <c r="K1355" s="109" t="s">
        <v>717</v>
      </c>
      <c r="L1355" s="67">
        <v>5000</v>
      </c>
      <c r="M1355" s="67">
        <v>500000</v>
      </c>
      <c r="N1355" s="105">
        <v>44378</v>
      </c>
      <c r="O1355" s="105">
        <v>44561</v>
      </c>
      <c r="P1355" t="s">
        <v>718</v>
      </c>
    </row>
    <row r="1356" spans="1:16" ht="15" customHeight="1" x14ac:dyDescent="0.3">
      <c r="A1356" t="str">
        <f t="shared" ref="A1356:A1419" si="22">IF(E1356="OP","",CONCATENATE(C1356,"-",RIGHT(F1356,1),"-",IF(OR(E1356="1 Rate MD",E1356="DAY"),"U",IF(OR(E1356="2 Rate MD",E1356="E7"),"E7",IF(OR(E1356="3 Rate MD (EW)",E1356="EW"),"EW",IF(OR(E1356="3 Rate MD",E1356="EWN"),"3RATE",IF(E1356="HH 2RATE (CT)","HH 2RATE (CT)",IF(E1356="HH 2RATE (WC)","HH 2RATE (WC)",IF(E1356="HH 1RATE (CT)","HH 1RATE (CT)",IF(E1356="HH 1RATE (WC)","HH 1RATE (WC)")))))))),"-",G1356))</f>
        <v>20-0-HH 2RATE (WC)-SmartTRACKER (Level 2)</v>
      </c>
      <c r="B1356" s="67" t="s">
        <v>13</v>
      </c>
      <c r="C1356" s="67">
        <v>20</v>
      </c>
      <c r="D1356" s="99" t="s">
        <v>29</v>
      </c>
      <c r="E1356" s="67" t="s">
        <v>730</v>
      </c>
      <c r="F1356" s="67" t="s">
        <v>88</v>
      </c>
      <c r="G1356" s="67" t="s">
        <v>724</v>
      </c>
      <c r="H1356" s="127">
        <v>0.38940000000000002</v>
      </c>
      <c r="I1356" s="109">
        <v>0.15989999999999999</v>
      </c>
      <c r="J1356" s="109">
        <v>0.114</v>
      </c>
      <c r="K1356" s="109" t="s">
        <v>717</v>
      </c>
      <c r="L1356" s="67">
        <v>5000</v>
      </c>
      <c r="M1356" s="67">
        <v>500000</v>
      </c>
      <c r="N1356" s="105">
        <v>44378</v>
      </c>
      <c r="O1356" s="105">
        <v>44561</v>
      </c>
      <c r="P1356" t="s">
        <v>718</v>
      </c>
    </row>
    <row r="1357" spans="1:16" ht="15" customHeight="1" x14ac:dyDescent="0.3">
      <c r="A1357" t="str">
        <f t="shared" si="22"/>
        <v>21-0-HH 2RATE (WC)-SmartTRACKER (Level 2)</v>
      </c>
      <c r="B1357" s="67" t="s">
        <v>13</v>
      </c>
      <c r="C1357" s="67">
        <v>21</v>
      </c>
      <c r="D1357" s="99" t="s">
        <v>30</v>
      </c>
      <c r="E1357" s="67" t="s">
        <v>730</v>
      </c>
      <c r="F1357" s="67" t="s">
        <v>88</v>
      </c>
      <c r="G1357" s="67" t="s">
        <v>724</v>
      </c>
      <c r="H1357" s="127">
        <v>0.49430000000000002</v>
      </c>
      <c r="I1357" s="109">
        <v>0.16819999999999999</v>
      </c>
      <c r="J1357" s="109">
        <v>0.1305</v>
      </c>
      <c r="K1357" s="109" t="s">
        <v>717</v>
      </c>
      <c r="L1357" s="67">
        <v>5000</v>
      </c>
      <c r="M1357" s="67">
        <v>500000</v>
      </c>
      <c r="N1357" s="105">
        <v>44378</v>
      </c>
      <c r="O1357" s="105">
        <v>44561</v>
      </c>
      <c r="P1357" t="s">
        <v>718</v>
      </c>
    </row>
    <row r="1358" spans="1:16" ht="15" customHeight="1" x14ac:dyDescent="0.3">
      <c r="A1358" t="str">
        <f t="shared" si="22"/>
        <v>22-0-HH 2RATE (WC)-SmartTRACKER (Level 2)</v>
      </c>
      <c r="B1358" s="67" t="s">
        <v>13</v>
      </c>
      <c r="C1358" s="67">
        <v>22</v>
      </c>
      <c r="D1358" s="99" t="s">
        <v>31</v>
      </c>
      <c r="E1358" s="67" t="s">
        <v>730</v>
      </c>
      <c r="F1358" s="67" t="s">
        <v>88</v>
      </c>
      <c r="G1358" s="67" t="s">
        <v>724</v>
      </c>
      <c r="H1358" s="127">
        <v>0.44379999999999997</v>
      </c>
      <c r="I1358" s="109">
        <v>0.17449999999999999</v>
      </c>
      <c r="J1358" s="109">
        <v>0.1333</v>
      </c>
      <c r="K1358" s="109" t="s">
        <v>717</v>
      </c>
      <c r="L1358" s="67">
        <v>5000</v>
      </c>
      <c r="M1358" s="67">
        <v>500000</v>
      </c>
      <c r="N1358" s="105">
        <v>44378</v>
      </c>
      <c r="O1358" s="105">
        <v>44561</v>
      </c>
      <c r="P1358" t="s">
        <v>718</v>
      </c>
    </row>
    <row r="1359" spans="1:16" ht="15" customHeight="1" x14ac:dyDescent="0.3">
      <c r="A1359" t="str">
        <f t="shared" si="22"/>
        <v>23-0-HH 2RATE (WC)-SmartTRACKER (Level 2)</v>
      </c>
      <c r="B1359" s="67" t="s">
        <v>13</v>
      </c>
      <c r="C1359" s="67">
        <v>23</v>
      </c>
      <c r="D1359" s="99" t="s">
        <v>32</v>
      </c>
      <c r="E1359" s="67" t="s">
        <v>730</v>
      </c>
      <c r="F1359" s="67" t="s">
        <v>88</v>
      </c>
      <c r="G1359" s="67" t="s">
        <v>724</v>
      </c>
      <c r="H1359" s="127">
        <v>0.40550000000000003</v>
      </c>
      <c r="I1359" s="109">
        <v>0.16009999999999999</v>
      </c>
      <c r="J1359" s="109">
        <v>0.11600000000000001</v>
      </c>
      <c r="K1359" s="109" t="s">
        <v>717</v>
      </c>
      <c r="L1359" s="67">
        <v>5000</v>
      </c>
      <c r="M1359" s="67">
        <v>500000</v>
      </c>
      <c r="N1359" s="105">
        <v>44378</v>
      </c>
      <c r="O1359" s="105">
        <v>44561</v>
      </c>
      <c r="P1359" t="s">
        <v>718</v>
      </c>
    </row>
    <row r="1360" spans="1:16" ht="15" customHeight="1" x14ac:dyDescent="0.3">
      <c r="A1360" t="str">
        <f t="shared" si="22"/>
        <v>10-0-HH 2RATE (WC)-SmartTRACKER Renewal (Level 2)</v>
      </c>
      <c r="B1360" s="67" t="s">
        <v>13</v>
      </c>
      <c r="C1360" s="67">
        <v>10</v>
      </c>
      <c r="D1360" s="99" t="s">
        <v>14</v>
      </c>
      <c r="E1360" s="67" t="s">
        <v>730</v>
      </c>
      <c r="F1360" s="67" t="s">
        <v>88</v>
      </c>
      <c r="G1360" s="67" t="s">
        <v>733</v>
      </c>
      <c r="H1360" s="127">
        <v>0.44330000000000003</v>
      </c>
      <c r="I1360" s="109">
        <v>0.1701</v>
      </c>
      <c r="J1360" s="109">
        <v>0.11600000000000001</v>
      </c>
      <c r="K1360" s="109" t="s">
        <v>717</v>
      </c>
      <c r="L1360" s="67">
        <v>5000</v>
      </c>
      <c r="M1360" s="67">
        <v>500000</v>
      </c>
      <c r="N1360" s="105">
        <v>44378</v>
      </c>
      <c r="O1360" s="105">
        <v>44561</v>
      </c>
      <c r="P1360" t="s">
        <v>718</v>
      </c>
    </row>
    <row r="1361" spans="1:16" ht="15" customHeight="1" x14ac:dyDescent="0.3">
      <c r="A1361" t="str">
        <f t="shared" si="22"/>
        <v>11-0-HH 2RATE (WC)-SmartTRACKER Renewal (Level 2)</v>
      </c>
      <c r="B1361" s="67" t="s">
        <v>13</v>
      </c>
      <c r="C1361" s="67">
        <v>11</v>
      </c>
      <c r="D1361" s="99" t="s">
        <v>20</v>
      </c>
      <c r="E1361" s="67" t="s">
        <v>730</v>
      </c>
      <c r="F1361" s="67" t="s">
        <v>88</v>
      </c>
      <c r="G1361" s="67" t="s">
        <v>733</v>
      </c>
      <c r="H1361" s="127">
        <v>0.45440000000000003</v>
      </c>
      <c r="I1361" s="109">
        <v>0.16789999999999999</v>
      </c>
      <c r="J1361" s="109">
        <v>0.1255</v>
      </c>
      <c r="K1361" s="109" t="s">
        <v>717</v>
      </c>
      <c r="L1361" s="67">
        <v>5000</v>
      </c>
      <c r="M1361" s="67">
        <v>500000</v>
      </c>
      <c r="N1361" s="105">
        <v>44378</v>
      </c>
      <c r="O1361" s="105">
        <v>44561</v>
      </c>
      <c r="P1361" t="s">
        <v>718</v>
      </c>
    </row>
    <row r="1362" spans="1:16" ht="15" customHeight="1" x14ac:dyDescent="0.3">
      <c r="A1362" t="str">
        <f t="shared" si="22"/>
        <v>12-0-HH 2RATE (WC)-SmartTRACKER Renewal (Level 2)</v>
      </c>
      <c r="B1362" s="67" t="s">
        <v>13</v>
      </c>
      <c r="C1362" s="67">
        <v>12</v>
      </c>
      <c r="D1362" s="99" t="s">
        <v>21</v>
      </c>
      <c r="E1362" s="67" t="s">
        <v>730</v>
      </c>
      <c r="F1362" s="67" t="s">
        <v>88</v>
      </c>
      <c r="G1362" s="67" t="s">
        <v>733</v>
      </c>
      <c r="H1362" s="127">
        <v>0.371</v>
      </c>
      <c r="I1362" s="109">
        <v>0.16490000000000002</v>
      </c>
      <c r="J1362" s="109">
        <v>0.1154</v>
      </c>
      <c r="K1362" s="109" t="s">
        <v>717</v>
      </c>
      <c r="L1362" s="67">
        <v>5000</v>
      </c>
      <c r="M1362" s="67">
        <v>500000</v>
      </c>
      <c r="N1362" s="105">
        <v>44378</v>
      </c>
      <c r="O1362" s="105">
        <v>44561</v>
      </c>
      <c r="P1362" t="s">
        <v>718</v>
      </c>
    </row>
    <row r="1363" spans="1:16" ht="15" customHeight="1" x14ac:dyDescent="0.3">
      <c r="A1363" t="str">
        <f t="shared" si="22"/>
        <v>13-0-HH 2RATE (WC)-SmartTRACKER Renewal (Level 2)</v>
      </c>
      <c r="B1363" s="67" t="s">
        <v>13</v>
      </c>
      <c r="C1363" s="67">
        <v>13</v>
      </c>
      <c r="D1363" s="99" t="s">
        <v>22</v>
      </c>
      <c r="E1363" s="67" t="s">
        <v>730</v>
      </c>
      <c r="F1363" s="67" t="s">
        <v>88</v>
      </c>
      <c r="G1363" s="67" t="s">
        <v>733</v>
      </c>
      <c r="H1363" s="127">
        <v>0.4163</v>
      </c>
      <c r="I1363" s="109">
        <v>0.18779999999999999</v>
      </c>
      <c r="J1363" s="109">
        <v>0.1328</v>
      </c>
      <c r="K1363" s="109" t="s">
        <v>717</v>
      </c>
      <c r="L1363" s="67">
        <v>5000</v>
      </c>
      <c r="M1363" s="67">
        <v>500000</v>
      </c>
      <c r="N1363" s="105">
        <v>44378</v>
      </c>
      <c r="O1363" s="105">
        <v>44561</v>
      </c>
      <c r="P1363" t="s">
        <v>718</v>
      </c>
    </row>
    <row r="1364" spans="1:16" ht="15" customHeight="1" x14ac:dyDescent="0.3">
      <c r="A1364" t="str">
        <f t="shared" si="22"/>
        <v>14-0-HH 2RATE (WC)-SmartTRACKER Renewal (Level 2)</v>
      </c>
      <c r="B1364" s="67" t="s">
        <v>13</v>
      </c>
      <c r="C1364" s="67">
        <v>14</v>
      </c>
      <c r="D1364" s="99" t="s">
        <v>23</v>
      </c>
      <c r="E1364" s="67" t="s">
        <v>730</v>
      </c>
      <c r="F1364" s="67" t="s">
        <v>88</v>
      </c>
      <c r="G1364" s="67" t="s">
        <v>733</v>
      </c>
      <c r="H1364" s="127">
        <v>0.4788</v>
      </c>
      <c r="I1364" s="109">
        <v>0.1719</v>
      </c>
      <c r="J1364" s="109">
        <v>0.12939999999999999</v>
      </c>
      <c r="K1364" s="109" t="s">
        <v>717</v>
      </c>
      <c r="L1364" s="67">
        <v>5000</v>
      </c>
      <c r="M1364" s="67">
        <v>500000</v>
      </c>
      <c r="N1364" s="105">
        <v>44378</v>
      </c>
      <c r="O1364" s="105">
        <v>44561</v>
      </c>
      <c r="P1364" t="s">
        <v>718</v>
      </c>
    </row>
    <row r="1365" spans="1:16" ht="15" customHeight="1" x14ac:dyDescent="0.3">
      <c r="A1365" t="str">
        <f t="shared" si="22"/>
        <v>15-0-HH 2RATE (WC)-SmartTRACKER Renewal (Level 2)</v>
      </c>
      <c r="B1365" s="67" t="s">
        <v>13</v>
      </c>
      <c r="C1365" s="67">
        <v>15</v>
      </c>
      <c r="D1365" s="99" t="s">
        <v>24</v>
      </c>
      <c r="E1365" s="67" t="s">
        <v>730</v>
      </c>
      <c r="F1365" s="67" t="s">
        <v>88</v>
      </c>
      <c r="G1365" s="67" t="s">
        <v>733</v>
      </c>
      <c r="H1365" s="127">
        <v>0.4536</v>
      </c>
      <c r="I1365" s="109">
        <v>0.1709</v>
      </c>
      <c r="J1365" s="109">
        <v>0.12540000000000001</v>
      </c>
      <c r="K1365" s="109" t="s">
        <v>717</v>
      </c>
      <c r="L1365" s="67">
        <v>5000</v>
      </c>
      <c r="M1365" s="67">
        <v>500000</v>
      </c>
      <c r="N1365" s="105">
        <v>44378</v>
      </c>
      <c r="O1365" s="105">
        <v>44561</v>
      </c>
      <c r="P1365" t="s">
        <v>718</v>
      </c>
    </row>
    <row r="1366" spans="1:16" ht="15" customHeight="1" x14ac:dyDescent="0.3">
      <c r="A1366" t="str">
        <f t="shared" si="22"/>
        <v>16-0-HH 2RATE (WC)-SmartTRACKER Renewal (Level 2)</v>
      </c>
      <c r="B1366" s="67" t="s">
        <v>13</v>
      </c>
      <c r="C1366" s="67">
        <v>16</v>
      </c>
      <c r="D1366" s="99" t="s">
        <v>25</v>
      </c>
      <c r="E1366" s="67" t="s">
        <v>730</v>
      </c>
      <c r="F1366" s="67" t="s">
        <v>88</v>
      </c>
      <c r="G1366" s="67" t="s">
        <v>733</v>
      </c>
      <c r="H1366" s="127">
        <v>0.40439999999999998</v>
      </c>
      <c r="I1366" s="109">
        <v>0.17330000000000001</v>
      </c>
      <c r="J1366" s="109">
        <v>0.12490000000000001</v>
      </c>
      <c r="K1366" s="109" t="s">
        <v>717</v>
      </c>
      <c r="L1366" s="67">
        <v>5000</v>
      </c>
      <c r="M1366" s="67">
        <v>500000</v>
      </c>
      <c r="N1366" s="105">
        <v>44378</v>
      </c>
      <c r="O1366" s="105">
        <v>44561</v>
      </c>
      <c r="P1366" t="s">
        <v>718</v>
      </c>
    </row>
    <row r="1367" spans="1:16" ht="15" customHeight="1" x14ac:dyDescent="0.3">
      <c r="A1367" t="str">
        <f t="shared" si="22"/>
        <v>17-0-HH 2RATE (WC)-SmartTRACKER Renewal (Level 2)</v>
      </c>
      <c r="B1367" s="67" t="s">
        <v>13</v>
      </c>
      <c r="C1367" s="67">
        <v>17</v>
      </c>
      <c r="D1367" s="99" t="s">
        <v>26</v>
      </c>
      <c r="E1367" s="67" t="s">
        <v>730</v>
      </c>
      <c r="F1367" s="67" t="s">
        <v>88</v>
      </c>
      <c r="G1367" s="67" t="s">
        <v>733</v>
      </c>
      <c r="H1367" s="127">
        <v>0.495</v>
      </c>
      <c r="I1367" s="109">
        <v>0.17630000000000001</v>
      </c>
      <c r="J1367" s="109">
        <v>0.13150000000000001</v>
      </c>
      <c r="K1367" s="109" t="s">
        <v>717</v>
      </c>
      <c r="L1367" s="67">
        <v>5000</v>
      </c>
      <c r="M1367" s="67">
        <v>500000</v>
      </c>
      <c r="N1367" s="105">
        <v>44378</v>
      </c>
      <c r="O1367" s="105">
        <v>44561</v>
      </c>
      <c r="P1367" t="s">
        <v>718</v>
      </c>
    </row>
    <row r="1368" spans="1:16" ht="15" customHeight="1" x14ac:dyDescent="0.3">
      <c r="A1368" t="str">
        <f t="shared" si="22"/>
        <v>18-0-HH 2RATE (WC)-SmartTRACKER Renewal (Level 2)</v>
      </c>
      <c r="B1368" s="67" t="s">
        <v>13</v>
      </c>
      <c r="C1368" s="67">
        <v>18</v>
      </c>
      <c r="D1368" s="99" t="s">
        <v>27</v>
      </c>
      <c r="E1368" s="67" t="s">
        <v>730</v>
      </c>
      <c r="F1368" s="67" t="s">
        <v>88</v>
      </c>
      <c r="G1368" s="67" t="s">
        <v>733</v>
      </c>
      <c r="H1368" s="127">
        <v>0.43390000000000001</v>
      </c>
      <c r="I1368" s="109">
        <v>0.16880000000000001</v>
      </c>
      <c r="J1368" s="109">
        <v>0.1242</v>
      </c>
      <c r="K1368" s="109" t="s">
        <v>717</v>
      </c>
      <c r="L1368" s="67">
        <v>5000</v>
      </c>
      <c r="M1368" s="67">
        <v>500000</v>
      </c>
      <c r="N1368" s="105">
        <v>44378</v>
      </c>
      <c r="O1368" s="105">
        <v>44561</v>
      </c>
      <c r="P1368" t="s">
        <v>718</v>
      </c>
    </row>
    <row r="1369" spans="1:16" ht="15" customHeight="1" x14ac:dyDescent="0.3">
      <c r="A1369" t="str">
        <f t="shared" si="22"/>
        <v>19-0-HH 2RATE (WC)-SmartTRACKER Renewal (Level 2)</v>
      </c>
      <c r="B1369" s="67" t="s">
        <v>13</v>
      </c>
      <c r="C1369" s="67">
        <v>19</v>
      </c>
      <c r="D1369" s="99" t="s">
        <v>28</v>
      </c>
      <c r="E1369" s="67" t="s">
        <v>730</v>
      </c>
      <c r="F1369" s="67" t="s">
        <v>88</v>
      </c>
      <c r="G1369" s="67" t="s">
        <v>733</v>
      </c>
      <c r="H1369" s="127">
        <v>0.43569999999999998</v>
      </c>
      <c r="I1369" s="109">
        <v>0.16889999999999999</v>
      </c>
      <c r="J1369" s="109">
        <v>0.1174</v>
      </c>
      <c r="K1369" s="109" t="s">
        <v>717</v>
      </c>
      <c r="L1369" s="67">
        <v>5000</v>
      </c>
      <c r="M1369" s="67">
        <v>500000</v>
      </c>
      <c r="N1369" s="105">
        <v>44378</v>
      </c>
      <c r="O1369" s="105">
        <v>44561</v>
      </c>
      <c r="P1369" t="s">
        <v>718</v>
      </c>
    </row>
    <row r="1370" spans="1:16" ht="15" customHeight="1" x14ac:dyDescent="0.3">
      <c r="A1370" t="str">
        <f t="shared" si="22"/>
        <v>20-0-HH 2RATE (WC)-SmartTRACKER Renewal (Level 2)</v>
      </c>
      <c r="B1370" s="67" t="s">
        <v>13</v>
      </c>
      <c r="C1370" s="67">
        <v>20</v>
      </c>
      <c r="D1370" s="99" t="s">
        <v>29</v>
      </c>
      <c r="E1370" s="67" t="s">
        <v>730</v>
      </c>
      <c r="F1370" s="67" t="s">
        <v>88</v>
      </c>
      <c r="G1370" s="67" t="s">
        <v>733</v>
      </c>
      <c r="H1370" s="127">
        <v>0.42830000000000001</v>
      </c>
      <c r="I1370" s="109">
        <v>0.16589999999999999</v>
      </c>
      <c r="J1370" s="109">
        <v>0.12000000000000001</v>
      </c>
      <c r="K1370" s="109" t="s">
        <v>717</v>
      </c>
      <c r="L1370" s="67">
        <v>5000</v>
      </c>
      <c r="M1370" s="67">
        <v>500000</v>
      </c>
      <c r="N1370" s="105">
        <v>44378</v>
      </c>
      <c r="O1370" s="105">
        <v>44561</v>
      </c>
      <c r="P1370" t="s">
        <v>718</v>
      </c>
    </row>
    <row r="1371" spans="1:16" ht="15" customHeight="1" x14ac:dyDescent="0.3">
      <c r="A1371" t="str">
        <f t="shared" si="22"/>
        <v>21-0-HH 2RATE (WC)-SmartTRACKER Renewal (Level 2)</v>
      </c>
      <c r="B1371" s="67" t="s">
        <v>13</v>
      </c>
      <c r="C1371" s="67">
        <v>21</v>
      </c>
      <c r="D1371" s="99" t="s">
        <v>30</v>
      </c>
      <c r="E1371" s="67" t="s">
        <v>730</v>
      </c>
      <c r="F1371" s="67" t="s">
        <v>88</v>
      </c>
      <c r="G1371" s="67" t="s">
        <v>733</v>
      </c>
      <c r="H1371" s="127">
        <v>0.54369999999999996</v>
      </c>
      <c r="I1371" s="109">
        <v>0.17419999999999999</v>
      </c>
      <c r="J1371" s="109">
        <v>0.13650000000000001</v>
      </c>
      <c r="K1371" s="109" t="s">
        <v>717</v>
      </c>
      <c r="L1371" s="67">
        <v>5000</v>
      </c>
      <c r="M1371" s="67">
        <v>500000</v>
      </c>
      <c r="N1371" s="105">
        <v>44378</v>
      </c>
      <c r="O1371" s="105">
        <v>44561</v>
      </c>
      <c r="P1371" t="s">
        <v>718</v>
      </c>
    </row>
    <row r="1372" spans="1:16" ht="15" customHeight="1" x14ac:dyDescent="0.3">
      <c r="A1372" t="str">
        <f t="shared" si="22"/>
        <v>22-0-HH 2RATE (WC)-SmartTRACKER Renewal (Level 2)</v>
      </c>
      <c r="B1372" s="67" t="s">
        <v>13</v>
      </c>
      <c r="C1372" s="67">
        <v>22</v>
      </c>
      <c r="D1372" s="99" t="s">
        <v>31</v>
      </c>
      <c r="E1372" s="67" t="s">
        <v>730</v>
      </c>
      <c r="F1372" s="67" t="s">
        <v>88</v>
      </c>
      <c r="G1372" s="67" t="s">
        <v>733</v>
      </c>
      <c r="H1372" s="127">
        <v>0.48820000000000002</v>
      </c>
      <c r="I1372" s="109">
        <v>0.18049999999999999</v>
      </c>
      <c r="J1372" s="109">
        <v>0.13930000000000001</v>
      </c>
      <c r="K1372" s="109" t="s">
        <v>717</v>
      </c>
      <c r="L1372" s="67">
        <v>5000</v>
      </c>
      <c r="M1372" s="67">
        <v>500000</v>
      </c>
      <c r="N1372" s="105">
        <v>44378</v>
      </c>
      <c r="O1372" s="105">
        <v>44561</v>
      </c>
      <c r="P1372" t="s">
        <v>718</v>
      </c>
    </row>
    <row r="1373" spans="1:16" ht="15" customHeight="1" x14ac:dyDescent="0.3">
      <c r="A1373" t="str">
        <f t="shared" si="22"/>
        <v>23-0-HH 2RATE (WC)-SmartTRACKER Renewal (Level 2)</v>
      </c>
      <c r="B1373" s="67" t="s">
        <v>13</v>
      </c>
      <c r="C1373" s="67">
        <v>23</v>
      </c>
      <c r="D1373" s="99" t="s">
        <v>32</v>
      </c>
      <c r="E1373" s="67" t="s">
        <v>730</v>
      </c>
      <c r="F1373" s="67" t="s">
        <v>88</v>
      </c>
      <c r="G1373" s="67" t="s">
        <v>733</v>
      </c>
      <c r="H1373" s="127">
        <v>0.44600000000000001</v>
      </c>
      <c r="I1373" s="109">
        <v>0.1661</v>
      </c>
      <c r="J1373" s="109">
        <v>0.12200000000000001</v>
      </c>
      <c r="K1373" s="109" t="s">
        <v>717</v>
      </c>
      <c r="L1373" s="67">
        <v>5000</v>
      </c>
      <c r="M1373" s="67">
        <v>500000</v>
      </c>
      <c r="N1373" s="105">
        <v>44378</v>
      </c>
      <c r="O1373" s="105">
        <v>44561</v>
      </c>
      <c r="P1373" t="s">
        <v>718</v>
      </c>
    </row>
    <row r="1374" spans="1:16" ht="15" customHeight="1" x14ac:dyDescent="0.3">
      <c r="A1374" t="str">
        <f t="shared" si="22"/>
        <v>10-0-HH 2RATE (WC)-SmartFIX – 1 Year (Level 2)</v>
      </c>
      <c r="B1374" s="67" t="s">
        <v>13</v>
      </c>
      <c r="C1374" s="67">
        <v>10</v>
      </c>
      <c r="D1374" s="99" t="s">
        <v>14</v>
      </c>
      <c r="E1374" s="67" t="s">
        <v>730</v>
      </c>
      <c r="F1374" s="67" t="s">
        <v>88</v>
      </c>
      <c r="G1374" s="67" t="s">
        <v>725</v>
      </c>
      <c r="H1374" s="127">
        <v>0.40300000000000002</v>
      </c>
      <c r="I1374" s="109">
        <v>0.1641</v>
      </c>
      <c r="J1374" s="109">
        <v>0.11</v>
      </c>
      <c r="K1374" s="109" t="s">
        <v>717</v>
      </c>
      <c r="L1374" s="67">
        <v>5000</v>
      </c>
      <c r="M1374" s="67">
        <v>500000</v>
      </c>
      <c r="N1374" s="105">
        <v>44378</v>
      </c>
      <c r="O1374" s="105">
        <v>44561</v>
      </c>
      <c r="P1374" t="s">
        <v>718</v>
      </c>
    </row>
    <row r="1375" spans="1:16" ht="15" customHeight="1" x14ac:dyDescent="0.3">
      <c r="A1375" t="str">
        <f t="shared" si="22"/>
        <v>11-0-HH 2RATE (WC)-SmartFIX – 1 Year (Level 2)</v>
      </c>
      <c r="B1375" s="67" t="s">
        <v>13</v>
      </c>
      <c r="C1375" s="67">
        <v>11</v>
      </c>
      <c r="D1375" s="99" t="s">
        <v>20</v>
      </c>
      <c r="E1375" s="67" t="s">
        <v>730</v>
      </c>
      <c r="F1375" s="67" t="s">
        <v>88</v>
      </c>
      <c r="G1375" s="67" t="s">
        <v>725</v>
      </c>
      <c r="H1375" s="127">
        <v>0.41310000000000002</v>
      </c>
      <c r="I1375" s="109">
        <v>0.16189999999999999</v>
      </c>
      <c r="J1375" s="109">
        <v>0.1195</v>
      </c>
      <c r="K1375" s="109" t="s">
        <v>717</v>
      </c>
      <c r="L1375" s="67">
        <v>5000</v>
      </c>
      <c r="M1375" s="67">
        <v>500000</v>
      </c>
      <c r="N1375" s="105">
        <v>44378</v>
      </c>
      <c r="O1375" s="105">
        <v>44561</v>
      </c>
      <c r="P1375" t="s">
        <v>718</v>
      </c>
    </row>
    <row r="1376" spans="1:16" ht="15" customHeight="1" x14ac:dyDescent="0.3">
      <c r="A1376" t="str">
        <f t="shared" si="22"/>
        <v>12-0-HH 2RATE (WC)-SmartFIX – 1 Year (Level 2)</v>
      </c>
      <c r="B1376" s="67" t="s">
        <v>13</v>
      </c>
      <c r="C1376" s="67">
        <v>12</v>
      </c>
      <c r="D1376" s="99" t="s">
        <v>21</v>
      </c>
      <c r="E1376" s="67" t="s">
        <v>730</v>
      </c>
      <c r="F1376" s="67" t="s">
        <v>88</v>
      </c>
      <c r="G1376" s="67" t="s">
        <v>725</v>
      </c>
      <c r="H1376" s="127">
        <v>0.33729999999999999</v>
      </c>
      <c r="I1376" s="109">
        <v>0.15890000000000001</v>
      </c>
      <c r="J1376" s="109">
        <v>0.1094</v>
      </c>
      <c r="K1376" s="109" t="s">
        <v>717</v>
      </c>
      <c r="L1376" s="67">
        <v>5000</v>
      </c>
      <c r="M1376" s="67">
        <v>500000</v>
      </c>
      <c r="N1376" s="105">
        <v>44378</v>
      </c>
      <c r="O1376" s="105">
        <v>44561</v>
      </c>
      <c r="P1376" t="s">
        <v>718</v>
      </c>
    </row>
    <row r="1377" spans="1:16" ht="15" customHeight="1" x14ac:dyDescent="0.3">
      <c r="A1377" t="str">
        <f t="shared" si="22"/>
        <v>13-0-HH 2RATE (WC)-SmartFIX – 1 Year (Level 2)</v>
      </c>
      <c r="B1377" s="67" t="s">
        <v>13</v>
      </c>
      <c r="C1377" s="67">
        <v>13</v>
      </c>
      <c r="D1377" s="99" t="s">
        <v>22</v>
      </c>
      <c r="E1377" s="67" t="s">
        <v>730</v>
      </c>
      <c r="F1377" s="67" t="s">
        <v>88</v>
      </c>
      <c r="G1377" s="67" t="s">
        <v>725</v>
      </c>
      <c r="H1377" s="127">
        <v>0.3785</v>
      </c>
      <c r="I1377" s="109">
        <v>0.18179999999999999</v>
      </c>
      <c r="J1377" s="109">
        <v>0.1268</v>
      </c>
      <c r="K1377" s="109" t="s">
        <v>717</v>
      </c>
      <c r="L1377" s="67">
        <v>5000</v>
      </c>
      <c r="M1377" s="67">
        <v>500000</v>
      </c>
      <c r="N1377" s="105">
        <v>44378</v>
      </c>
      <c r="O1377" s="105">
        <v>44561</v>
      </c>
      <c r="P1377" t="s">
        <v>718</v>
      </c>
    </row>
    <row r="1378" spans="1:16" ht="15" customHeight="1" x14ac:dyDescent="0.3">
      <c r="A1378" t="str">
        <f t="shared" si="22"/>
        <v>14-0-HH 2RATE (WC)-SmartFIX – 1 Year (Level 2)</v>
      </c>
      <c r="B1378" s="67" t="s">
        <v>13</v>
      </c>
      <c r="C1378" s="67">
        <v>14</v>
      </c>
      <c r="D1378" s="99" t="s">
        <v>23</v>
      </c>
      <c r="E1378" s="67" t="s">
        <v>730</v>
      </c>
      <c r="F1378" s="67" t="s">
        <v>88</v>
      </c>
      <c r="G1378" s="67" t="s">
        <v>725</v>
      </c>
      <c r="H1378" s="127">
        <v>0.43530000000000002</v>
      </c>
      <c r="I1378" s="109">
        <v>0.16589999999999999</v>
      </c>
      <c r="J1378" s="109">
        <v>0.1234</v>
      </c>
      <c r="K1378" s="109" t="s">
        <v>717</v>
      </c>
      <c r="L1378" s="67">
        <v>5000</v>
      </c>
      <c r="M1378" s="67">
        <v>500000</v>
      </c>
      <c r="N1378" s="105">
        <v>44378</v>
      </c>
      <c r="O1378" s="105">
        <v>44561</v>
      </c>
      <c r="P1378" t="s">
        <v>718</v>
      </c>
    </row>
    <row r="1379" spans="1:16" ht="15" customHeight="1" x14ac:dyDescent="0.3">
      <c r="A1379" t="str">
        <f t="shared" si="22"/>
        <v>15-0-HH 2RATE (WC)-SmartFIX – 1 Year (Level 2)</v>
      </c>
      <c r="B1379" s="67" t="s">
        <v>13</v>
      </c>
      <c r="C1379" s="67">
        <v>15</v>
      </c>
      <c r="D1379" s="99" t="s">
        <v>24</v>
      </c>
      <c r="E1379" s="67" t="s">
        <v>730</v>
      </c>
      <c r="F1379" s="67" t="s">
        <v>88</v>
      </c>
      <c r="G1379" s="67" t="s">
        <v>725</v>
      </c>
      <c r="H1379" s="127">
        <v>0.41239999999999999</v>
      </c>
      <c r="I1379" s="109">
        <v>0.16489999999999999</v>
      </c>
      <c r="J1379" s="109">
        <v>0.11940000000000001</v>
      </c>
      <c r="K1379" s="109" t="s">
        <v>717</v>
      </c>
      <c r="L1379" s="67">
        <v>5000</v>
      </c>
      <c r="M1379" s="67">
        <v>500000</v>
      </c>
      <c r="N1379" s="105">
        <v>44378</v>
      </c>
      <c r="O1379" s="105">
        <v>44561</v>
      </c>
      <c r="P1379" t="s">
        <v>718</v>
      </c>
    </row>
    <row r="1380" spans="1:16" ht="15" customHeight="1" x14ac:dyDescent="0.3">
      <c r="A1380" t="str">
        <f t="shared" si="22"/>
        <v>16-0-HH 2RATE (WC)-SmartFIX – 1 Year (Level 2)</v>
      </c>
      <c r="B1380" s="67" t="s">
        <v>13</v>
      </c>
      <c r="C1380" s="67">
        <v>16</v>
      </c>
      <c r="D1380" s="99" t="s">
        <v>25</v>
      </c>
      <c r="E1380" s="67" t="s">
        <v>730</v>
      </c>
      <c r="F1380" s="67" t="s">
        <v>88</v>
      </c>
      <c r="G1380" s="67" t="s">
        <v>725</v>
      </c>
      <c r="H1380" s="127">
        <v>0.36770000000000003</v>
      </c>
      <c r="I1380" s="109">
        <v>0.1673</v>
      </c>
      <c r="J1380" s="109">
        <v>0.11890000000000001</v>
      </c>
      <c r="K1380" s="109" t="s">
        <v>717</v>
      </c>
      <c r="L1380" s="67">
        <v>5000</v>
      </c>
      <c r="M1380" s="67">
        <v>500000</v>
      </c>
      <c r="N1380" s="105">
        <v>44378</v>
      </c>
      <c r="O1380" s="105">
        <v>44561</v>
      </c>
      <c r="P1380" t="s">
        <v>718</v>
      </c>
    </row>
    <row r="1381" spans="1:16" ht="15" customHeight="1" x14ac:dyDescent="0.3">
      <c r="A1381" t="str">
        <f t="shared" si="22"/>
        <v>17-0-HH 2RATE (WC)-SmartFIX – 1 Year (Level 2)</v>
      </c>
      <c r="B1381" s="67" t="s">
        <v>13</v>
      </c>
      <c r="C1381" s="67">
        <v>17</v>
      </c>
      <c r="D1381" s="99" t="s">
        <v>26</v>
      </c>
      <c r="E1381" s="67" t="s">
        <v>730</v>
      </c>
      <c r="F1381" s="67" t="s">
        <v>88</v>
      </c>
      <c r="G1381" s="67" t="s">
        <v>725</v>
      </c>
      <c r="H1381" s="127">
        <v>0.45</v>
      </c>
      <c r="I1381" s="109">
        <v>0.17030000000000001</v>
      </c>
      <c r="J1381" s="109">
        <v>0.1255</v>
      </c>
      <c r="K1381" s="109" t="s">
        <v>717</v>
      </c>
      <c r="L1381" s="67">
        <v>5000</v>
      </c>
      <c r="M1381" s="67">
        <v>500000</v>
      </c>
      <c r="N1381" s="105">
        <v>44378</v>
      </c>
      <c r="O1381" s="105">
        <v>44561</v>
      </c>
      <c r="P1381" t="s">
        <v>718</v>
      </c>
    </row>
    <row r="1382" spans="1:16" ht="15" customHeight="1" x14ac:dyDescent="0.3">
      <c r="A1382" t="str">
        <f t="shared" si="22"/>
        <v>18-0-HH 2RATE (WC)-SmartFIX – 1 Year (Level 2)</v>
      </c>
      <c r="B1382" s="67" t="s">
        <v>13</v>
      </c>
      <c r="C1382" s="67">
        <v>18</v>
      </c>
      <c r="D1382" s="99" t="s">
        <v>27</v>
      </c>
      <c r="E1382" s="67" t="s">
        <v>730</v>
      </c>
      <c r="F1382" s="67" t="s">
        <v>88</v>
      </c>
      <c r="G1382" s="67" t="s">
        <v>725</v>
      </c>
      <c r="H1382" s="127">
        <v>0.39450000000000002</v>
      </c>
      <c r="I1382" s="109">
        <v>0.1628</v>
      </c>
      <c r="J1382" s="109">
        <v>0.1182</v>
      </c>
      <c r="K1382" s="109" t="s">
        <v>717</v>
      </c>
      <c r="L1382" s="67">
        <v>5000</v>
      </c>
      <c r="M1382" s="67">
        <v>500000</v>
      </c>
      <c r="N1382" s="105">
        <v>44378</v>
      </c>
      <c r="O1382" s="105">
        <v>44561</v>
      </c>
      <c r="P1382" t="s">
        <v>718</v>
      </c>
    </row>
    <row r="1383" spans="1:16" ht="15" customHeight="1" x14ac:dyDescent="0.3">
      <c r="A1383" t="str">
        <f t="shared" si="22"/>
        <v>19-0-HH 2RATE (WC)-SmartFIX – 1 Year (Level 2)</v>
      </c>
      <c r="B1383" s="67" t="s">
        <v>13</v>
      </c>
      <c r="C1383" s="67">
        <v>19</v>
      </c>
      <c r="D1383" s="99" t="s">
        <v>28</v>
      </c>
      <c r="E1383" s="67" t="s">
        <v>730</v>
      </c>
      <c r="F1383" s="67" t="s">
        <v>88</v>
      </c>
      <c r="G1383" s="67" t="s">
        <v>725</v>
      </c>
      <c r="H1383" s="127">
        <v>0.39610000000000001</v>
      </c>
      <c r="I1383" s="109">
        <v>0.16289999999999999</v>
      </c>
      <c r="J1383" s="109">
        <v>0.1114</v>
      </c>
      <c r="K1383" s="109" t="s">
        <v>717</v>
      </c>
      <c r="L1383" s="67">
        <v>5000</v>
      </c>
      <c r="M1383" s="67">
        <v>500000</v>
      </c>
      <c r="N1383" s="105">
        <v>44378</v>
      </c>
      <c r="O1383" s="105">
        <v>44561</v>
      </c>
      <c r="P1383" t="s">
        <v>718</v>
      </c>
    </row>
    <row r="1384" spans="1:16" ht="15" customHeight="1" x14ac:dyDescent="0.3">
      <c r="A1384" t="str">
        <f t="shared" si="22"/>
        <v>20-0-HH 2RATE (WC)-SmartFIX – 1 Year (Level 2)</v>
      </c>
      <c r="B1384" s="67" t="s">
        <v>13</v>
      </c>
      <c r="C1384" s="67">
        <v>20</v>
      </c>
      <c r="D1384" s="99" t="s">
        <v>29</v>
      </c>
      <c r="E1384" s="67" t="s">
        <v>730</v>
      </c>
      <c r="F1384" s="67" t="s">
        <v>88</v>
      </c>
      <c r="G1384" s="67" t="s">
        <v>725</v>
      </c>
      <c r="H1384" s="127">
        <v>0.38940000000000002</v>
      </c>
      <c r="I1384" s="109">
        <v>0.15989999999999999</v>
      </c>
      <c r="J1384" s="109">
        <v>0.114</v>
      </c>
      <c r="K1384" s="109" t="s">
        <v>717</v>
      </c>
      <c r="L1384" s="67">
        <v>5000</v>
      </c>
      <c r="M1384" s="67">
        <v>500000</v>
      </c>
      <c r="N1384" s="105">
        <v>44378</v>
      </c>
      <c r="O1384" s="105">
        <v>44561</v>
      </c>
      <c r="P1384" t="s">
        <v>718</v>
      </c>
    </row>
    <row r="1385" spans="1:16" ht="15" customHeight="1" x14ac:dyDescent="0.3">
      <c r="A1385" t="str">
        <f t="shared" si="22"/>
        <v>21-0-HH 2RATE (WC)-SmartFIX – 1 Year (Level 2)</v>
      </c>
      <c r="B1385" s="67" t="s">
        <v>13</v>
      </c>
      <c r="C1385" s="67">
        <v>21</v>
      </c>
      <c r="D1385" s="99" t="s">
        <v>30</v>
      </c>
      <c r="E1385" s="67" t="s">
        <v>730</v>
      </c>
      <c r="F1385" s="67" t="s">
        <v>88</v>
      </c>
      <c r="G1385" s="67" t="s">
        <v>725</v>
      </c>
      <c r="H1385" s="127">
        <v>0.49430000000000002</v>
      </c>
      <c r="I1385" s="109">
        <v>0.16819999999999999</v>
      </c>
      <c r="J1385" s="109">
        <v>0.1305</v>
      </c>
      <c r="K1385" s="109" t="s">
        <v>717</v>
      </c>
      <c r="L1385" s="67">
        <v>5000</v>
      </c>
      <c r="M1385" s="67">
        <v>500000</v>
      </c>
      <c r="N1385" s="105">
        <v>44378</v>
      </c>
      <c r="O1385" s="105">
        <v>44561</v>
      </c>
      <c r="P1385" t="s">
        <v>718</v>
      </c>
    </row>
    <row r="1386" spans="1:16" ht="15" customHeight="1" x14ac:dyDescent="0.3">
      <c r="A1386" t="str">
        <f t="shared" si="22"/>
        <v>22-0-HH 2RATE (WC)-SmartFIX – 1 Year (Level 2)</v>
      </c>
      <c r="B1386" s="67" t="s">
        <v>13</v>
      </c>
      <c r="C1386" s="67">
        <v>22</v>
      </c>
      <c r="D1386" s="99" t="s">
        <v>31</v>
      </c>
      <c r="E1386" s="67" t="s">
        <v>730</v>
      </c>
      <c r="F1386" s="67" t="s">
        <v>88</v>
      </c>
      <c r="G1386" s="67" t="s">
        <v>725</v>
      </c>
      <c r="H1386" s="127">
        <v>0.44379999999999997</v>
      </c>
      <c r="I1386" s="109">
        <v>0.17449999999999999</v>
      </c>
      <c r="J1386" s="109">
        <v>0.1333</v>
      </c>
      <c r="K1386" s="109" t="s">
        <v>717</v>
      </c>
      <c r="L1386" s="67">
        <v>5000</v>
      </c>
      <c r="M1386" s="67">
        <v>500000</v>
      </c>
      <c r="N1386" s="105">
        <v>44378</v>
      </c>
      <c r="O1386" s="105">
        <v>44561</v>
      </c>
      <c r="P1386" t="s">
        <v>718</v>
      </c>
    </row>
    <row r="1387" spans="1:16" ht="15" customHeight="1" x14ac:dyDescent="0.3">
      <c r="A1387" t="str">
        <f t="shared" si="22"/>
        <v>23-0-HH 2RATE (WC)-SmartFIX – 1 Year (Level 2)</v>
      </c>
      <c r="B1387" s="67" t="s">
        <v>13</v>
      </c>
      <c r="C1387" s="67">
        <v>23</v>
      </c>
      <c r="D1387" s="99" t="s">
        <v>32</v>
      </c>
      <c r="E1387" s="67" t="s">
        <v>730</v>
      </c>
      <c r="F1387" s="67" t="s">
        <v>88</v>
      </c>
      <c r="G1387" s="67" t="s">
        <v>725</v>
      </c>
      <c r="H1387" s="127">
        <v>0.40550000000000003</v>
      </c>
      <c r="I1387" s="109">
        <v>0.16009999999999999</v>
      </c>
      <c r="J1387" s="109">
        <v>0.11600000000000001</v>
      </c>
      <c r="K1387" s="109" t="s">
        <v>717</v>
      </c>
      <c r="L1387" s="67">
        <v>5000</v>
      </c>
      <c r="M1387" s="67">
        <v>500000</v>
      </c>
      <c r="N1387" s="105">
        <v>44378</v>
      </c>
      <c r="O1387" s="105">
        <v>44561</v>
      </c>
      <c r="P1387" t="s">
        <v>718</v>
      </c>
    </row>
    <row r="1388" spans="1:16" ht="15" customHeight="1" x14ac:dyDescent="0.3">
      <c r="A1388" t="str">
        <f t="shared" si="22"/>
        <v>10-0-HH 2RATE (WC)-SmartFIX – 1 Year Renewal (Level 2)</v>
      </c>
      <c r="B1388" s="67" t="s">
        <v>13</v>
      </c>
      <c r="C1388" s="67">
        <v>10</v>
      </c>
      <c r="D1388" s="99" t="s">
        <v>14</v>
      </c>
      <c r="E1388" s="67" t="s">
        <v>730</v>
      </c>
      <c r="F1388" s="67" t="s">
        <v>88</v>
      </c>
      <c r="G1388" s="67" t="s">
        <v>734</v>
      </c>
      <c r="H1388" s="127">
        <v>0.44330000000000003</v>
      </c>
      <c r="I1388" s="109">
        <v>0.1701</v>
      </c>
      <c r="J1388" s="109">
        <v>0.11600000000000001</v>
      </c>
      <c r="K1388" s="109" t="s">
        <v>717</v>
      </c>
      <c r="L1388" s="67">
        <v>5000</v>
      </c>
      <c r="M1388" s="67">
        <v>500000</v>
      </c>
      <c r="N1388" s="105">
        <v>44378</v>
      </c>
      <c r="O1388" s="105">
        <v>44561</v>
      </c>
      <c r="P1388" t="s">
        <v>718</v>
      </c>
    </row>
    <row r="1389" spans="1:16" ht="15" customHeight="1" x14ac:dyDescent="0.3">
      <c r="A1389" t="str">
        <f t="shared" si="22"/>
        <v>11-0-HH 2RATE (WC)-SmartFIX – 1 Year Renewal (Level 2)</v>
      </c>
      <c r="B1389" s="67" t="s">
        <v>13</v>
      </c>
      <c r="C1389" s="67">
        <v>11</v>
      </c>
      <c r="D1389" s="99" t="s">
        <v>20</v>
      </c>
      <c r="E1389" s="67" t="s">
        <v>730</v>
      </c>
      <c r="F1389" s="67" t="s">
        <v>88</v>
      </c>
      <c r="G1389" s="67" t="s">
        <v>734</v>
      </c>
      <c r="H1389" s="127">
        <v>0.45440000000000003</v>
      </c>
      <c r="I1389" s="109">
        <v>0.16789999999999999</v>
      </c>
      <c r="J1389" s="109">
        <v>0.1255</v>
      </c>
      <c r="K1389" s="109" t="s">
        <v>717</v>
      </c>
      <c r="L1389" s="67">
        <v>5000</v>
      </c>
      <c r="M1389" s="67">
        <v>500000</v>
      </c>
      <c r="N1389" s="105">
        <v>44378</v>
      </c>
      <c r="O1389" s="105">
        <v>44561</v>
      </c>
      <c r="P1389" t="s">
        <v>718</v>
      </c>
    </row>
    <row r="1390" spans="1:16" ht="15" customHeight="1" x14ac:dyDescent="0.3">
      <c r="A1390" t="str">
        <f t="shared" si="22"/>
        <v>12-0-HH 2RATE (WC)-SmartFIX – 1 Year Renewal (Level 2)</v>
      </c>
      <c r="B1390" s="67" t="s">
        <v>13</v>
      </c>
      <c r="C1390" s="67">
        <v>12</v>
      </c>
      <c r="D1390" s="99" t="s">
        <v>21</v>
      </c>
      <c r="E1390" s="67" t="s">
        <v>730</v>
      </c>
      <c r="F1390" s="67" t="s">
        <v>88</v>
      </c>
      <c r="G1390" s="67" t="s">
        <v>734</v>
      </c>
      <c r="H1390" s="127">
        <v>0.371</v>
      </c>
      <c r="I1390" s="109">
        <v>0.16490000000000002</v>
      </c>
      <c r="J1390" s="109">
        <v>0.1154</v>
      </c>
      <c r="K1390" s="109" t="s">
        <v>717</v>
      </c>
      <c r="L1390" s="67">
        <v>5000</v>
      </c>
      <c r="M1390" s="67">
        <v>500000</v>
      </c>
      <c r="N1390" s="105">
        <v>44378</v>
      </c>
      <c r="O1390" s="105">
        <v>44561</v>
      </c>
      <c r="P1390" t="s">
        <v>718</v>
      </c>
    </row>
    <row r="1391" spans="1:16" ht="15" customHeight="1" x14ac:dyDescent="0.3">
      <c r="A1391" t="str">
        <f t="shared" si="22"/>
        <v>13-0-HH 2RATE (WC)-SmartFIX – 1 Year Renewal (Level 2)</v>
      </c>
      <c r="B1391" s="67" t="s">
        <v>13</v>
      </c>
      <c r="C1391" s="67">
        <v>13</v>
      </c>
      <c r="D1391" s="99" t="s">
        <v>22</v>
      </c>
      <c r="E1391" s="67" t="s">
        <v>730</v>
      </c>
      <c r="F1391" s="67" t="s">
        <v>88</v>
      </c>
      <c r="G1391" s="67" t="s">
        <v>734</v>
      </c>
      <c r="H1391" s="127">
        <v>0.4163</v>
      </c>
      <c r="I1391" s="109">
        <v>0.18779999999999999</v>
      </c>
      <c r="J1391" s="109">
        <v>0.1328</v>
      </c>
      <c r="K1391" s="109" t="s">
        <v>717</v>
      </c>
      <c r="L1391" s="67">
        <v>5000</v>
      </c>
      <c r="M1391" s="67">
        <v>500000</v>
      </c>
      <c r="N1391" s="105">
        <v>44378</v>
      </c>
      <c r="O1391" s="105">
        <v>44561</v>
      </c>
      <c r="P1391" t="s">
        <v>718</v>
      </c>
    </row>
    <row r="1392" spans="1:16" ht="15" customHeight="1" x14ac:dyDescent="0.3">
      <c r="A1392" t="str">
        <f t="shared" si="22"/>
        <v>14-0-HH 2RATE (WC)-SmartFIX – 1 Year Renewal (Level 2)</v>
      </c>
      <c r="B1392" s="67" t="s">
        <v>13</v>
      </c>
      <c r="C1392" s="67">
        <v>14</v>
      </c>
      <c r="D1392" s="99" t="s">
        <v>23</v>
      </c>
      <c r="E1392" s="67" t="s">
        <v>730</v>
      </c>
      <c r="F1392" s="67" t="s">
        <v>88</v>
      </c>
      <c r="G1392" s="67" t="s">
        <v>734</v>
      </c>
      <c r="H1392" s="127">
        <v>0.4788</v>
      </c>
      <c r="I1392" s="109">
        <v>0.1719</v>
      </c>
      <c r="J1392" s="109">
        <v>0.12939999999999999</v>
      </c>
      <c r="K1392" s="109" t="s">
        <v>717</v>
      </c>
      <c r="L1392" s="67">
        <v>5000</v>
      </c>
      <c r="M1392" s="67">
        <v>500000</v>
      </c>
      <c r="N1392" s="105">
        <v>44378</v>
      </c>
      <c r="O1392" s="105">
        <v>44561</v>
      </c>
      <c r="P1392" t="s">
        <v>718</v>
      </c>
    </row>
    <row r="1393" spans="1:16" ht="15" customHeight="1" x14ac:dyDescent="0.3">
      <c r="A1393" t="str">
        <f t="shared" si="22"/>
        <v>15-0-HH 2RATE (WC)-SmartFIX – 1 Year Renewal (Level 2)</v>
      </c>
      <c r="B1393" s="67" t="s">
        <v>13</v>
      </c>
      <c r="C1393" s="67">
        <v>15</v>
      </c>
      <c r="D1393" s="99" t="s">
        <v>24</v>
      </c>
      <c r="E1393" s="67" t="s">
        <v>730</v>
      </c>
      <c r="F1393" s="67" t="s">
        <v>88</v>
      </c>
      <c r="G1393" s="67" t="s">
        <v>734</v>
      </c>
      <c r="H1393" s="127">
        <v>0.4536</v>
      </c>
      <c r="I1393" s="109">
        <v>0.1709</v>
      </c>
      <c r="J1393" s="109">
        <v>0.12540000000000001</v>
      </c>
      <c r="K1393" s="109" t="s">
        <v>717</v>
      </c>
      <c r="L1393" s="67">
        <v>5000</v>
      </c>
      <c r="M1393" s="67">
        <v>500000</v>
      </c>
      <c r="N1393" s="105">
        <v>44378</v>
      </c>
      <c r="O1393" s="105">
        <v>44561</v>
      </c>
      <c r="P1393" t="s">
        <v>718</v>
      </c>
    </row>
    <row r="1394" spans="1:16" ht="15" customHeight="1" x14ac:dyDescent="0.3">
      <c r="A1394" t="str">
        <f t="shared" si="22"/>
        <v>16-0-HH 2RATE (WC)-SmartFIX – 1 Year Renewal (Level 2)</v>
      </c>
      <c r="B1394" s="67" t="s">
        <v>13</v>
      </c>
      <c r="C1394" s="67">
        <v>16</v>
      </c>
      <c r="D1394" s="99" t="s">
        <v>25</v>
      </c>
      <c r="E1394" s="67" t="s">
        <v>730</v>
      </c>
      <c r="F1394" s="67" t="s">
        <v>88</v>
      </c>
      <c r="G1394" s="67" t="s">
        <v>734</v>
      </c>
      <c r="H1394" s="127">
        <v>0.40439999999999998</v>
      </c>
      <c r="I1394" s="109">
        <v>0.17330000000000001</v>
      </c>
      <c r="J1394" s="109">
        <v>0.12490000000000001</v>
      </c>
      <c r="K1394" s="109" t="s">
        <v>717</v>
      </c>
      <c r="L1394" s="67">
        <v>5000</v>
      </c>
      <c r="M1394" s="67">
        <v>500000</v>
      </c>
      <c r="N1394" s="105">
        <v>44378</v>
      </c>
      <c r="O1394" s="105">
        <v>44561</v>
      </c>
      <c r="P1394" t="s">
        <v>718</v>
      </c>
    </row>
    <row r="1395" spans="1:16" ht="15" customHeight="1" x14ac:dyDescent="0.3">
      <c r="A1395" t="str">
        <f t="shared" si="22"/>
        <v>17-0-HH 2RATE (WC)-SmartFIX – 1 Year Renewal (Level 2)</v>
      </c>
      <c r="B1395" s="67" t="s">
        <v>13</v>
      </c>
      <c r="C1395" s="67">
        <v>17</v>
      </c>
      <c r="D1395" s="99" t="s">
        <v>26</v>
      </c>
      <c r="E1395" s="67" t="s">
        <v>730</v>
      </c>
      <c r="F1395" s="67" t="s">
        <v>88</v>
      </c>
      <c r="G1395" s="67" t="s">
        <v>734</v>
      </c>
      <c r="H1395" s="127">
        <v>0.495</v>
      </c>
      <c r="I1395" s="109">
        <v>0.17630000000000001</v>
      </c>
      <c r="J1395" s="109">
        <v>0.13150000000000001</v>
      </c>
      <c r="K1395" s="109" t="s">
        <v>717</v>
      </c>
      <c r="L1395" s="67">
        <v>5000</v>
      </c>
      <c r="M1395" s="67">
        <v>500000</v>
      </c>
      <c r="N1395" s="105">
        <v>44378</v>
      </c>
      <c r="O1395" s="105">
        <v>44561</v>
      </c>
      <c r="P1395" t="s">
        <v>718</v>
      </c>
    </row>
    <row r="1396" spans="1:16" ht="15" customHeight="1" x14ac:dyDescent="0.3">
      <c r="A1396" t="str">
        <f t="shared" si="22"/>
        <v>18-0-HH 2RATE (WC)-SmartFIX – 1 Year Renewal (Level 2)</v>
      </c>
      <c r="B1396" s="67" t="s">
        <v>13</v>
      </c>
      <c r="C1396" s="67">
        <v>18</v>
      </c>
      <c r="D1396" s="99" t="s">
        <v>27</v>
      </c>
      <c r="E1396" s="67" t="s">
        <v>730</v>
      </c>
      <c r="F1396" s="67" t="s">
        <v>88</v>
      </c>
      <c r="G1396" s="67" t="s">
        <v>734</v>
      </c>
      <c r="H1396" s="127">
        <v>0.43390000000000001</v>
      </c>
      <c r="I1396" s="109">
        <v>0.16880000000000001</v>
      </c>
      <c r="J1396" s="109">
        <v>0.1242</v>
      </c>
      <c r="K1396" s="109" t="s">
        <v>717</v>
      </c>
      <c r="L1396" s="67">
        <v>5000</v>
      </c>
      <c r="M1396" s="67">
        <v>500000</v>
      </c>
      <c r="N1396" s="105">
        <v>44378</v>
      </c>
      <c r="O1396" s="105">
        <v>44561</v>
      </c>
      <c r="P1396" t="s">
        <v>718</v>
      </c>
    </row>
    <row r="1397" spans="1:16" ht="15" customHeight="1" x14ac:dyDescent="0.3">
      <c r="A1397" t="str">
        <f t="shared" si="22"/>
        <v>19-0-HH 2RATE (WC)-SmartFIX – 1 Year Renewal (Level 2)</v>
      </c>
      <c r="B1397" s="67" t="s">
        <v>13</v>
      </c>
      <c r="C1397" s="67">
        <v>19</v>
      </c>
      <c r="D1397" s="99" t="s">
        <v>28</v>
      </c>
      <c r="E1397" s="67" t="s">
        <v>730</v>
      </c>
      <c r="F1397" s="67" t="s">
        <v>88</v>
      </c>
      <c r="G1397" s="67" t="s">
        <v>734</v>
      </c>
      <c r="H1397" s="127">
        <v>0.43569999999999998</v>
      </c>
      <c r="I1397" s="109">
        <v>0.16889999999999999</v>
      </c>
      <c r="J1397" s="109">
        <v>0.1174</v>
      </c>
      <c r="K1397" s="109" t="s">
        <v>717</v>
      </c>
      <c r="L1397" s="67">
        <v>5000</v>
      </c>
      <c r="M1397" s="67">
        <v>500000</v>
      </c>
      <c r="N1397" s="105">
        <v>44378</v>
      </c>
      <c r="O1397" s="105">
        <v>44561</v>
      </c>
      <c r="P1397" t="s">
        <v>718</v>
      </c>
    </row>
    <row r="1398" spans="1:16" ht="15" customHeight="1" x14ac:dyDescent="0.3">
      <c r="A1398" t="str">
        <f t="shared" si="22"/>
        <v>20-0-HH 2RATE (WC)-SmartFIX – 1 Year Renewal (Level 2)</v>
      </c>
      <c r="B1398" s="67" t="s">
        <v>13</v>
      </c>
      <c r="C1398" s="67">
        <v>20</v>
      </c>
      <c r="D1398" s="99" t="s">
        <v>29</v>
      </c>
      <c r="E1398" s="67" t="s">
        <v>730</v>
      </c>
      <c r="F1398" s="67" t="s">
        <v>88</v>
      </c>
      <c r="G1398" s="67" t="s">
        <v>734</v>
      </c>
      <c r="H1398" s="127">
        <v>0.42830000000000001</v>
      </c>
      <c r="I1398" s="109">
        <v>0.16589999999999999</v>
      </c>
      <c r="J1398" s="109">
        <v>0.12000000000000001</v>
      </c>
      <c r="K1398" s="109" t="s">
        <v>717</v>
      </c>
      <c r="L1398" s="67">
        <v>5000</v>
      </c>
      <c r="M1398" s="67">
        <v>500000</v>
      </c>
      <c r="N1398" s="105">
        <v>44378</v>
      </c>
      <c r="O1398" s="105">
        <v>44561</v>
      </c>
      <c r="P1398" t="s">
        <v>718</v>
      </c>
    </row>
    <row r="1399" spans="1:16" ht="15" customHeight="1" x14ac:dyDescent="0.3">
      <c r="A1399" t="str">
        <f t="shared" si="22"/>
        <v>21-0-HH 2RATE (WC)-SmartFIX – 1 Year Renewal (Level 2)</v>
      </c>
      <c r="B1399" s="67" t="s">
        <v>13</v>
      </c>
      <c r="C1399" s="67">
        <v>21</v>
      </c>
      <c r="D1399" s="99" t="s">
        <v>30</v>
      </c>
      <c r="E1399" s="67" t="s">
        <v>730</v>
      </c>
      <c r="F1399" s="67" t="s">
        <v>88</v>
      </c>
      <c r="G1399" s="67" t="s">
        <v>734</v>
      </c>
      <c r="H1399" s="127">
        <v>0.54369999999999996</v>
      </c>
      <c r="I1399" s="109">
        <v>0.17419999999999999</v>
      </c>
      <c r="J1399" s="109">
        <v>0.13650000000000001</v>
      </c>
      <c r="K1399" s="109" t="s">
        <v>717</v>
      </c>
      <c r="L1399" s="67">
        <v>5000</v>
      </c>
      <c r="M1399" s="67">
        <v>500000</v>
      </c>
      <c r="N1399" s="105">
        <v>44378</v>
      </c>
      <c r="O1399" s="105">
        <v>44561</v>
      </c>
      <c r="P1399" t="s">
        <v>718</v>
      </c>
    </row>
    <row r="1400" spans="1:16" ht="15" customHeight="1" x14ac:dyDescent="0.3">
      <c r="A1400" t="str">
        <f t="shared" si="22"/>
        <v>22-0-HH 2RATE (WC)-SmartFIX – 1 Year Renewal (Level 2)</v>
      </c>
      <c r="B1400" s="67" t="s">
        <v>13</v>
      </c>
      <c r="C1400" s="67">
        <v>22</v>
      </c>
      <c r="D1400" s="99" t="s">
        <v>31</v>
      </c>
      <c r="E1400" s="67" t="s">
        <v>730</v>
      </c>
      <c r="F1400" s="67" t="s">
        <v>88</v>
      </c>
      <c r="G1400" s="67" t="s">
        <v>734</v>
      </c>
      <c r="H1400" s="127">
        <v>0.48820000000000002</v>
      </c>
      <c r="I1400" s="109">
        <v>0.18049999999999999</v>
      </c>
      <c r="J1400" s="109">
        <v>0.13930000000000001</v>
      </c>
      <c r="K1400" s="109" t="s">
        <v>717</v>
      </c>
      <c r="L1400" s="67">
        <v>5000</v>
      </c>
      <c r="M1400" s="67">
        <v>500000</v>
      </c>
      <c r="N1400" s="105">
        <v>44378</v>
      </c>
      <c r="O1400" s="105">
        <v>44561</v>
      </c>
      <c r="P1400" t="s">
        <v>718</v>
      </c>
    </row>
    <row r="1401" spans="1:16" ht="15" customHeight="1" x14ac:dyDescent="0.3">
      <c r="A1401" t="str">
        <f t="shared" si="22"/>
        <v>23-0-HH 2RATE (WC)-SmartFIX – 1 Year Renewal (Level 2)</v>
      </c>
      <c r="B1401" s="67" t="s">
        <v>13</v>
      </c>
      <c r="C1401" s="67">
        <v>23</v>
      </c>
      <c r="D1401" s="99" t="s">
        <v>32</v>
      </c>
      <c r="E1401" s="67" t="s">
        <v>730</v>
      </c>
      <c r="F1401" s="67" t="s">
        <v>88</v>
      </c>
      <c r="G1401" s="67" t="s">
        <v>734</v>
      </c>
      <c r="H1401" s="127">
        <v>0.44600000000000001</v>
      </c>
      <c r="I1401" s="109">
        <v>0.1661</v>
      </c>
      <c r="J1401" s="109">
        <v>0.12200000000000001</v>
      </c>
      <c r="K1401" s="109" t="s">
        <v>717</v>
      </c>
      <c r="L1401" s="67">
        <v>5000</v>
      </c>
      <c r="M1401" s="67">
        <v>500000</v>
      </c>
      <c r="N1401" s="105">
        <v>44378</v>
      </c>
      <c r="O1401" s="105">
        <v>44561</v>
      </c>
      <c r="P1401" t="s">
        <v>718</v>
      </c>
    </row>
    <row r="1402" spans="1:16" ht="15" customHeight="1" x14ac:dyDescent="0.3">
      <c r="A1402" t="str">
        <f t="shared" si="22"/>
        <v>10-0-HH 2RATE (WC)-SmartFIX – 2 Year (Level 2)</v>
      </c>
      <c r="B1402" s="67" t="s">
        <v>13</v>
      </c>
      <c r="C1402" s="67">
        <v>10</v>
      </c>
      <c r="D1402" s="99" t="s">
        <v>14</v>
      </c>
      <c r="E1402" s="67" t="s">
        <v>730</v>
      </c>
      <c r="F1402" s="67" t="s">
        <v>88</v>
      </c>
      <c r="G1402" s="67" t="s">
        <v>726</v>
      </c>
      <c r="H1402" s="127">
        <v>0.41099999999999998</v>
      </c>
      <c r="I1402" s="109">
        <v>0.16639999999999999</v>
      </c>
      <c r="J1402" s="109">
        <v>0.1132</v>
      </c>
      <c r="K1402" s="109" t="s">
        <v>717</v>
      </c>
      <c r="L1402" s="67">
        <v>5000</v>
      </c>
      <c r="M1402" s="67">
        <v>500000</v>
      </c>
      <c r="N1402" s="105">
        <v>44378</v>
      </c>
      <c r="O1402" s="105">
        <v>44561</v>
      </c>
      <c r="P1402" t="s">
        <v>718</v>
      </c>
    </row>
    <row r="1403" spans="1:16" ht="15" customHeight="1" x14ac:dyDescent="0.3">
      <c r="A1403" t="str">
        <f t="shared" si="22"/>
        <v>11-0-HH 2RATE (WC)-SmartFIX – 2 Year (Level 2)</v>
      </c>
      <c r="B1403" s="67" t="s">
        <v>13</v>
      </c>
      <c r="C1403" s="67">
        <v>11</v>
      </c>
      <c r="D1403" s="99" t="s">
        <v>20</v>
      </c>
      <c r="E1403" s="67" t="s">
        <v>730</v>
      </c>
      <c r="F1403" s="67" t="s">
        <v>88</v>
      </c>
      <c r="G1403" s="67" t="s">
        <v>726</v>
      </c>
      <c r="H1403" s="127">
        <v>0.4214</v>
      </c>
      <c r="I1403" s="109">
        <v>0.16389999999999999</v>
      </c>
      <c r="J1403" s="109">
        <v>0.123</v>
      </c>
      <c r="K1403" s="109" t="s">
        <v>717</v>
      </c>
      <c r="L1403" s="67">
        <v>5000</v>
      </c>
      <c r="M1403" s="67">
        <v>500000</v>
      </c>
      <c r="N1403" s="105">
        <v>44378</v>
      </c>
      <c r="O1403" s="105">
        <v>44561</v>
      </c>
      <c r="P1403" t="s">
        <v>718</v>
      </c>
    </row>
    <row r="1404" spans="1:16" ht="15" customHeight="1" x14ac:dyDescent="0.3">
      <c r="A1404" t="str">
        <f t="shared" si="22"/>
        <v>12-0-HH 2RATE (WC)-SmartFIX – 2 Year (Level 2)</v>
      </c>
      <c r="B1404" s="67" t="s">
        <v>13</v>
      </c>
      <c r="C1404" s="67">
        <v>12</v>
      </c>
      <c r="D1404" s="99" t="s">
        <v>21</v>
      </c>
      <c r="E1404" s="67" t="s">
        <v>730</v>
      </c>
      <c r="F1404" s="67" t="s">
        <v>88</v>
      </c>
      <c r="G1404" s="67" t="s">
        <v>726</v>
      </c>
      <c r="H1404" s="127">
        <v>0.34410000000000002</v>
      </c>
      <c r="I1404" s="109">
        <v>0.1608</v>
      </c>
      <c r="J1404" s="109">
        <v>0.11070000000000001</v>
      </c>
      <c r="K1404" s="109" t="s">
        <v>717</v>
      </c>
      <c r="L1404" s="67">
        <v>5000</v>
      </c>
      <c r="M1404" s="67">
        <v>500000</v>
      </c>
      <c r="N1404" s="105">
        <v>44378</v>
      </c>
      <c r="O1404" s="105">
        <v>44561</v>
      </c>
      <c r="P1404" t="s">
        <v>718</v>
      </c>
    </row>
    <row r="1405" spans="1:16" ht="15" customHeight="1" x14ac:dyDescent="0.3">
      <c r="A1405" t="str">
        <f t="shared" si="22"/>
        <v>13-0-HH 2RATE (WC)-SmartFIX – 2 Year (Level 2)</v>
      </c>
      <c r="B1405" s="67" t="s">
        <v>13</v>
      </c>
      <c r="C1405" s="67">
        <v>13</v>
      </c>
      <c r="D1405" s="99" t="s">
        <v>22</v>
      </c>
      <c r="E1405" s="67" t="s">
        <v>730</v>
      </c>
      <c r="F1405" s="67" t="s">
        <v>88</v>
      </c>
      <c r="G1405" s="67" t="s">
        <v>726</v>
      </c>
      <c r="H1405" s="127">
        <v>0.3861</v>
      </c>
      <c r="I1405" s="109">
        <v>0.18559999999999999</v>
      </c>
      <c r="J1405" s="109">
        <v>0.1321</v>
      </c>
      <c r="K1405" s="109" t="s">
        <v>717</v>
      </c>
      <c r="L1405" s="67">
        <v>5000</v>
      </c>
      <c r="M1405" s="67">
        <v>500000</v>
      </c>
      <c r="N1405" s="105">
        <v>44378</v>
      </c>
      <c r="O1405" s="105">
        <v>44561</v>
      </c>
      <c r="P1405" t="s">
        <v>718</v>
      </c>
    </row>
    <row r="1406" spans="1:16" ht="15" customHeight="1" x14ac:dyDescent="0.3">
      <c r="A1406" t="str">
        <f t="shared" si="22"/>
        <v>14-0-HH 2RATE (WC)-SmartFIX – 2 Year (Level 2)</v>
      </c>
      <c r="B1406" s="67" t="s">
        <v>13</v>
      </c>
      <c r="C1406" s="67">
        <v>14</v>
      </c>
      <c r="D1406" s="99" t="s">
        <v>23</v>
      </c>
      <c r="E1406" s="67" t="s">
        <v>730</v>
      </c>
      <c r="F1406" s="67" t="s">
        <v>88</v>
      </c>
      <c r="G1406" s="67" t="s">
        <v>726</v>
      </c>
      <c r="H1406" s="127">
        <v>0.44400000000000001</v>
      </c>
      <c r="I1406" s="109">
        <v>0.16789999999999999</v>
      </c>
      <c r="J1406" s="109">
        <v>0.1268</v>
      </c>
      <c r="K1406" s="109" t="s">
        <v>717</v>
      </c>
      <c r="L1406" s="67">
        <v>5000</v>
      </c>
      <c r="M1406" s="67">
        <v>500000</v>
      </c>
      <c r="N1406" s="105">
        <v>44378</v>
      </c>
      <c r="O1406" s="105">
        <v>44561</v>
      </c>
      <c r="P1406" t="s">
        <v>718</v>
      </c>
    </row>
    <row r="1407" spans="1:16" ht="15" customHeight="1" x14ac:dyDescent="0.3">
      <c r="A1407" t="str">
        <f t="shared" si="22"/>
        <v>15-0-HH 2RATE (WC)-SmartFIX – 2 Year (Level 2)</v>
      </c>
      <c r="B1407" s="67" t="s">
        <v>13</v>
      </c>
      <c r="C1407" s="67">
        <v>15</v>
      </c>
      <c r="D1407" s="99" t="s">
        <v>24</v>
      </c>
      <c r="E1407" s="67" t="s">
        <v>730</v>
      </c>
      <c r="F1407" s="67" t="s">
        <v>88</v>
      </c>
      <c r="G1407" s="67" t="s">
        <v>726</v>
      </c>
      <c r="H1407" s="127">
        <v>0.42070000000000002</v>
      </c>
      <c r="I1407" s="109">
        <v>0.16880000000000001</v>
      </c>
      <c r="J1407" s="109">
        <v>0.1244</v>
      </c>
      <c r="K1407" s="109" t="s">
        <v>717</v>
      </c>
      <c r="L1407" s="67">
        <v>5000</v>
      </c>
      <c r="M1407" s="67">
        <v>500000</v>
      </c>
      <c r="N1407" s="105">
        <v>44378</v>
      </c>
      <c r="O1407" s="105">
        <v>44561</v>
      </c>
      <c r="P1407" t="s">
        <v>718</v>
      </c>
    </row>
    <row r="1408" spans="1:16" ht="15" customHeight="1" x14ac:dyDescent="0.3">
      <c r="A1408" t="str">
        <f t="shared" si="22"/>
        <v>16-0-HH 2RATE (WC)-SmartFIX – 2 Year (Level 2)</v>
      </c>
      <c r="B1408" s="67" t="s">
        <v>13</v>
      </c>
      <c r="C1408" s="67">
        <v>16</v>
      </c>
      <c r="D1408" s="99" t="s">
        <v>25</v>
      </c>
      <c r="E1408" s="67" t="s">
        <v>730</v>
      </c>
      <c r="F1408" s="67" t="s">
        <v>88</v>
      </c>
      <c r="G1408" s="67" t="s">
        <v>726</v>
      </c>
      <c r="H1408" s="127">
        <v>0.375</v>
      </c>
      <c r="I1408" s="109">
        <v>0.1706</v>
      </c>
      <c r="J1408" s="109">
        <v>0.1235</v>
      </c>
      <c r="K1408" s="109" t="s">
        <v>717</v>
      </c>
      <c r="L1408" s="67">
        <v>5000</v>
      </c>
      <c r="M1408" s="67">
        <v>500000</v>
      </c>
      <c r="N1408" s="105">
        <v>44378</v>
      </c>
      <c r="O1408" s="105">
        <v>44561</v>
      </c>
      <c r="P1408" t="s">
        <v>718</v>
      </c>
    </row>
    <row r="1409" spans="1:16" ht="15" customHeight="1" x14ac:dyDescent="0.3">
      <c r="A1409" t="str">
        <f t="shared" si="22"/>
        <v>17-0-HH 2RATE (WC)-SmartFIX – 2 Year (Level 2)</v>
      </c>
      <c r="B1409" s="67" t="s">
        <v>13</v>
      </c>
      <c r="C1409" s="67">
        <v>17</v>
      </c>
      <c r="D1409" s="99" t="s">
        <v>26</v>
      </c>
      <c r="E1409" s="67" t="s">
        <v>730</v>
      </c>
      <c r="F1409" s="67" t="s">
        <v>88</v>
      </c>
      <c r="G1409" s="67" t="s">
        <v>726</v>
      </c>
      <c r="H1409" s="127">
        <v>0.45900000000000002</v>
      </c>
      <c r="I1409" s="109">
        <v>0.1711</v>
      </c>
      <c r="J1409" s="109">
        <v>0.1268</v>
      </c>
      <c r="K1409" s="109" t="s">
        <v>717</v>
      </c>
      <c r="L1409" s="67">
        <v>5000</v>
      </c>
      <c r="M1409" s="67">
        <v>500000</v>
      </c>
      <c r="N1409" s="105">
        <v>44378</v>
      </c>
      <c r="O1409" s="105">
        <v>44561</v>
      </c>
      <c r="P1409" t="s">
        <v>718</v>
      </c>
    </row>
    <row r="1410" spans="1:16" ht="15" customHeight="1" x14ac:dyDescent="0.3">
      <c r="A1410" t="str">
        <f t="shared" si="22"/>
        <v>18-0-HH 2RATE (WC)-SmartFIX – 2 Year (Level 2)</v>
      </c>
      <c r="B1410" s="67" t="s">
        <v>13</v>
      </c>
      <c r="C1410" s="67">
        <v>18</v>
      </c>
      <c r="D1410" s="99" t="s">
        <v>27</v>
      </c>
      <c r="E1410" s="67" t="s">
        <v>730</v>
      </c>
      <c r="F1410" s="67" t="s">
        <v>88</v>
      </c>
      <c r="G1410" s="67" t="s">
        <v>726</v>
      </c>
      <c r="H1410" s="127">
        <v>0.40239999999999998</v>
      </c>
      <c r="I1410" s="109">
        <v>0.16719999999999999</v>
      </c>
      <c r="J1410" s="109">
        <v>0.12239999999999999</v>
      </c>
      <c r="K1410" s="109" t="s">
        <v>717</v>
      </c>
      <c r="L1410" s="67">
        <v>5000</v>
      </c>
      <c r="M1410" s="67">
        <v>500000</v>
      </c>
      <c r="N1410" s="105">
        <v>44378</v>
      </c>
      <c r="O1410" s="105">
        <v>44561</v>
      </c>
      <c r="P1410" t="s">
        <v>718</v>
      </c>
    </row>
    <row r="1411" spans="1:16" ht="15" customHeight="1" x14ac:dyDescent="0.3">
      <c r="A1411" t="str">
        <f t="shared" si="22"/>
        <v>19-0-HH 2RATE (WC)-SmartFIX – 2 Year (Level 2)</v>
      </c>
      <c r="B1411" s="67" t="s">
        <v>13</v>
      </c>
      <c r="C1411" s="67">
        <v>19</v>
      </c>
      <c r="D1411" s="99" t="s">
        <v>28</v>
      </c>
      <c r="E1411" s="67" t="s">
        <v>730</v>
      </c>
      <c r="F1411" s="67" t="s">
        <v>88</v>
      </c>
      <c r="G1411" s="67" t="s">
        <v>726</v>
      </c>
      <c r="H1411" s="127">
        <v>0.40400000000000003</v>
      </c>
      <c r="I1411" s="109">
        <v>0.16420000000000001</v>
      </c>
      <c r="J1411" s="109">
        <v>0.1125</v>
      </c>
      <c r="K1411" s="109" t="s">
        <v>717</v>
      </c>
      <c r="L1411" s="67">
        <v>5000</v>
      </c>
      <c r="M1411" s="67">
        <v>500000</v>
      </c>
      <c r="N1411" s="105">
        <v>44378</v>
      </c>
      <c r="O1411" s="105">
        <v>44561</v>
      </c>
      <c r="P1411" t="s">
        <v>718</v>
      </c>
    </row>
    <row r="1412" spans="1:16" ht="15" customHeight="1" x14ac:dyDescent="0.3">
      <c r="A1412" t="str">
        <f t="shared" si="22"/>
        <v>20-0-HH 2RATE (WC)-SmartFIX – 2 Year (Level 2)</v>
      </c>
      <c r="B1412" s="67" t="s">
        <v>13</v>
      </c>
      <c r="C1412" s="67">
        <v>20</v>
      </c>
      <c r="D1412" s="99" t="s">
        <v>29</v>
      </c>
      <c r="E1412" s="67" t="s">
        <v>730</v>
      </c>
      <c r="F1412" s="67" t="s">
        <v>88</v>
      </c>
      <c r="G1412" s="67" t="s">
        <v>726</v>
      </c>
      <c r="H1412" s="127">
        <v>0.3972</v>
      </c>
      <c r="I1412" s="109">
        <v>0.1623</v>
      </c>
      <c r="J1412" s="109">
        <v>0.11700000000000001</v>
      </c>
      <c r="K1412" s="109" t="s">
        <v>717</v>
      </c>
      <c r="L1412" s="67">
        <v>5000</v>
      </c>
      <c r="M1412" s="67">
        <v>500000</v>
      </c>
      <c r="N1412" s="105">
        <v>44378</v>
      </c>
      <c r="O1412" s="105">
        <v>44561</v>
      </c>
      <c r="P1412" t="s">
        <v>718</v>
      </c>
    </row>
    <row r="1413" spans="1:16" ht="15" customHeight="1" x14ac:dyDescent="0.3">
      <c r="A1413" t="str">
        <f t="shared" si="22"/>
        <v>21-0-HH 2RATE (WC)-SmartFIX – 2 Year (Level 2)</v>
      </c>
      <c r="B1413" s="67" t="s">
        <v>13</v>
      </c>
      <c r="C1413" s="67">
        <v>21</v>
      </c>
      <c r="D1413" s="99" t="s">
        <v>30</v>
      </c>
      <c r="E1413" s="67" t="s">
        <v>730</v>
      </c>
      <c r="F1413" s="67" t="s">
        <v>88</v>
      </c>
      <c r="G1413" s="67" t="s">
        <v>726</v>
      </c>
      <c r="H1413" s="127">
        <v>0.50419999999999998</v>
      </c>
      <c r="I1413" s="109">
        <v>0.16930000000000001</v>
      </c>
      <c r="J1413" s="109">
        <v>0.13339999999999999</v>
      </c>
      <c r="K1413" s="109" t="s">
        <v>717</v>
      </c>
      <c r="L1413" s="67">
        <v>5000</v>
      </c>
      <c r="M1413" s="67">
        <v>500000</v>
      </c>
      <c r="N1413" s="105">
        <v>44378</v>
      </c>
      <c r="O1413" s="105">
        <v>44561</v>
      </c>
      <c r="P1413" t="s">
        <v>718</v>
      </c>
    </row>
    <row r="1414" spans="1:16" ht="15" customHeight="1" x14ac:dyDescent="0.3">
      <c r="A1414" t="str">
        <f t="shared" si="22"/>
        <v>22-0-HH 2RATE (WC)-SmartFIX – 2 Year (Level 2)</v>
      </c>
      <c r="B1414" s="67" t="s">
        <v>13</v>
      </c>
      <c r="C1414" s="67">
        <v>22</v>
      </c>
      <c r="D1414" s="99" t="s">
        <v>31</v>
      </c>
      <c r="E1414" s="67" t="s">
        <v>730</v>
      </c>
      <c r="F1414" s="67" t="s">
        <v>88</v>
      </c>
      <c r="G1414" s="67" t="s">
        <v>726</v>
      </c>
      <c r="H1414" s="127">
        <v>0.4526</v>
      </c>
      <c r="I1414" s="109">
        <v>0.17519999999999999</v>
      </c>
      <c r="J1414" s="109">
        <v>0.13669999999999999</v>
      </c>
      <c r="K1414" s="109" t="s">
        <v>717</v>
      </c>
      <c r="L1414" s="67">
        <v>5000</v>
      </c>
      <c r="M1414" s="67">
        <v>500000</v>
      </c>
      <c r="N1414" s="105">
        <v>44378</v>
      </c>
      <c r="O1414" s="105">
        <v>44561</v>
      </c>
      <c r="P1414" t="s">
        <v>718</v>
      </c>
    </row>
    <row r="1415" spans="1:16" ht="15" customHeight="1" x14ac:dyDescent="0.3">
      <c r="A1415" t="str">
        <f t="shared" si="22"/>
        <v>23-0-HH 2RATE (WC)-SmartFIX – 2 Year (Level 2)</v>
      </c>
      <c r="B1415" s="67" t="s">
        <v>13</v>
      </c>
      <c r="C1415" s="67">
        <v>23</v>
      </c>
      <c r="D1415" s="99" t="s">
        <v>32</v>
      </c>
      <c r="E1415" s="67" t="s">
        <v>730</v>
      </c>
      <c r="F1415" s="67" t="s">
        <v>88</v>
      </c>
      <c r="G1415" s="67" t="s">
        <v>726</v>
      </c>
      <c r="H1415" s="127">
        <v>0.41370000000000001</v>
      </c>
      <c r="I1415" s="109">
        <v>0.16170000000000001</v>
      </c>
      <c r="J1415" s="109">
        <v>0.1183</v>
      </c>
      <c r="K1415" s="109" t="s">
        <v>717</v>
      </c>
      <c r="L1415" s="67">
        <v>5000</v>
      </c>
      <c r="M1415" s="67">
        <v>500000</v>
      </c>
      <c r="N1415" s="105">
        <v>44378</v>
      </c>
      <c r="O1415" s="105">
        <v>44561</v>
      </c>
      <c r="P1415" t="s">
        <v>718</v>
      </c>
    </row>
    <row r="1416" spans="1:16" ht="15" customHeight="1" x14ac:dyDescent="0.3">
      <c r="A1416" t="str">
        <f t="shared" si="22"/>
        <v>10-0-HH 2RATE (WC)-SmartFIX – 2 Year Renewal (Level 2)</v>
      </c>
      <c r="B1416" s="67" t="s">
        <v>13</v>
      </c>
      <c r="C1416" s="67">
        <v>10</v>
      </c>
      <c r="D1416" s="99" t="s">
        <v>14</v>
      </c>
      <c r="E1416" s="67" t="s">
        <v>730</v>
      </c>
      <c r="F1416" s="67" t="s">
        <v>88</v>
      </c>
      <c r="G1416" s="67" t="s">
        <v>735</v>
      </c>
      <c r="H1416" s="127">
        <v>0.4521</v>
      </c>
      <c r="I1416" s="109">
        <v>0.1724</v>
      </c>
      <c r="J1416" s="109">
        <v>0.1192</v>
      </c>
      <c r="K1416" s="109" t="s">
        <v>717</v>
      </c>
      <c r="L1416" s="67">
        <v>5000</v>
      </c>
      <c r="M1416" s="67">
        <v>500000</v>
      </c>
      <c r="N1416" s="105">
        <v>44378</v>
      </c>
      <c r="O1416" s="105">
        <v>44561</v>
      </c>
      <c r="P1416" t="s">
        <v>718</v>
      </c>
    </row>
    <row r="1417" spans="1:16" ht="15" customHeight="1" x14ac:dyDescent="0.3">
      <c r="A1417" t="str">
        <f t="shared" si="22"/>
        <v>11-0-HH 2RATE (WC)-SmartFIX – 2 Year Renewal (Level 2)</v>
      </c>
      <c r="B1417" s="67" t="s">
        <v>13</v>
      </c>
      <c r="C1417" s="67">
        <v>11</v>
      </c>
      <c r="D1417" s="99" t="s">
        <v>20</v>
      </c>
      <c r="E1417" s="67" t="s">
        <v>730</v>
      </c>
      <c r="F1417" s="67" t="s">
        <v>88</v>
      </c>
      <c r="G1417" s="67" t="s">
        <v>735</v>
      </c>
      <c r="H1417" s="127">
        <v>0.46350000000000002</v>
      </c>
      <c r="I1417" s="109">
        <v>0.1699</v>
      </c>
      <c r="J1417" s="109">
        <v>0.129</v>
      </c>
      <c r="K1417" s="109" t="s">
        <v>717</v>
      </c>
      <c r="L1417" s="67">
        <v>5000</v>
      </c>
      <c r="M1417" s="67">
        <v>500000</v>
      </c>
      <c r="N1417" s="105">
        <v>44378</v>
      </c>
      <c r="O1417" s="105">
        <v>44561</v>
      </c>
      <c r="P1417" t="s">
        <v>718</v>
      </c>
    </row>
    <row r="1418" spans="1:16" ht="15" customHeight="1" x14ac:dyDescent="0.3">
      <c r="A1418" t="str">
        <f t="shared" si="22"/>
        <v>12-0-HH 2RATE (WC)-SmartFIX – 2 Year Renewal (Level 2)</v>
      </c>
      <c r="B1418" s="67" t="s">
        <v>13</v>
      </c>
      <c r="C1418" s="67">
        <v>12</v>
      </c>
      <c r="D1418" s="99" t="s">
        <v>21</v>
      </c>
      <c r="E1418" s="67" t="s">
        <v>730</v>
      </c>
      <c r="F1418" s="67" t="s">
        <v>88</v>
      </c>
      <c r="G1418" s="67" t="s">
        <v>735</v>
      </c>
      <c r="H1418" s="127">
        <v>0.3785</v>
      </c>
      <c r="I1418" s="109">
        <v>0.1668</v>
      </c>
      <c r="J1418" s="109">
        <v>0.11670000000000001</v>
      </c>
      <c r="K1418" s="109" t="s">
        <v>717</v>
      </c>
      <c r="L1418" s="67">
        <v>5000</v>
      </c>
      <c r="M1418" s="67">
        <v>500000</v>
      </c>
      <c r="N1418" s="105">
        <v>44378</v>
      </c>
      <c r="O1418" s="105">
        <v>44561</v>
      </c>
      <c r="P1418" t="s">
        <v>718</v>
      </c>
    </row>
    <row r="1419" spans="1:16" ht="15" customHeight="1" x14ac:dyDescent="0.3">
      <c r="A1419" t="str">
        <f t="shared" si="22"/>
        <v>13-0-HH 2RATE (WC)-SmartFIX – 2 Year Renewal (Level 2)</v>
      </c>
      <c r="B1419" s="67" t="s">
        <v>13</v>
      </c>
      <c r="C1419" s="67">
        <v>13</v>
      </c>
      <c r="D1419" s="99" t="s">
        <v>22</v>
      </c>
      <c r="E1419" s="67" t="s">
        <v>730</v>
      </c>
      <c r="F1419" s="67" t="s">
        <v>88</v>
      </c>
      <c r="G1419" s="67" t="s">
        <v>735</v>
      </c>
      <c r="H1419" s="127">
        <v>0.42470000000000002</v>
      </c>
      <c r="I1419" s="109">
        <v>0.19159999999999999</v>
      </c>
      <c r="J1419" s="109">
        <v>0.1381</v>
      </c>
      <c r="K1419" s="109" t="s">
        <v>717</v>
      </c>
      <c r="L1419" s="67">
        <v>5000</v>
      </c>
      <c r="M1419" s="67">
        <v>500000</v>
      </c>
      <c r="N1419" s="105">
        <v>44378</v>
      </c>
      <c r="O1419" s="105">
        <v>44561</v>
      </c>
      <c r="P1419" t="s">
        <v>718</v>
      </c>
    </row>
    <row r="1420" spans="1:16" ht="15" customHeight="1" x14ac:dyDescent="0.3">
      <c r="A1420" t="str">
        <f t="shared" ref="A1420:A1483" si="23">IF(E1420="OP","",CONCATENATE(C1420,"-",RIGHT(F1420,1),"-",IF(OR(E1420="1 Rate MD",E1420="DAY"),"U",IF(OR(E1420="2 Rate MD",E1420="E7"),"E7",IF(OR(E1420="3 Rate MD (EW)",E1420="EW"),"EW",IF(OR(E1420="3 Rate MD",E1420="EWN"),"3RATE",IF(E1420="HH 2RATE (CT)","HH 2RATE (CT)",IF(E1420="HH 2RATE (WC)","HH 2RATE (WC)",IF(E1420="HH 1RATE (CT)","HH 1RATE (CT)",IF(E1420="HH 1RATE (WC)","HH 1RATE (WC)")))))))),"-",G1420))</f>
        <v>14-0-HH 2RATE (WC)-SmartFIX – 2 Year Renewal (Level 2)</v>
      </c>
      <c r="B1420" s="67" t="s">
        <v>13</v>
      </c>
      <c r="C1420" s="67">
        <v>14</v>
      </c>
      <c r="D1420" s="99" t="s">
        <v>23</v>
      </c>
      <c r="E1420" s="67" t="s">
        <v>730</v>
      </c>
      <c r="F1420" s="67" t="s">
        <v>88</v>
      </c>
      <c r="G1420" s="67" t="s">
        <v>735</v>
      </c>
      <c r="H1420" s="127">
        <v>0.4884</v>
      </c>
      <c r="I1420" s="109">
        <v>0.1739</v>
      </c>
      <c r="J1420" s="109">
        <v>0.1328</v>
      </c>
      <c r="K1420" s="109" t="s">
        <v>717</v>
      </c>
      <c r="L1420" s="67">
        <v>5000</v>
      </c>
      <c r="M1420" s="67">
        <v>500000</v>
      </c>
      <c r="N1420" s="105">
        <v>44378</v>
      </c>
      <c r="O1420" s="105">
        <v>44561</v>
      </c>
      <c r="P1420" t="s">
        <v>718</v>
      </c>
    </row>
    <row r="1421" spans="1:16" ht="15" customHeight="1" x14ac:dyDescent="0.3">
      <c r="A1421" t="str">
        <f t="shared" si="23"/>
        <v>15-0-HH 2RATE (WC)-SmartFIX – 2 Year Renewal (Level 2)</v>
      </c>
      <c r="B1421" s="67" t="s">
        <v>13</v>
      </c>
      <c r="C1421" s="67">
        <v>15</v>
      </c>
      <c r="D1421" s="99" t="s">
        <v>24</v>
      </c>
      <c r="E1421" s="67" t="s">
        <v>730</v>
      </c>
      <c r="F1421" s="67" t="s">
        <v>88</v>
      </c>
      <c r="G1421" s="67" t="s">
        <v>735</v>
      </c>
      <c r="H1421" s="127">
        <v>0.4627</v>
      </c>
      <c r="I1421" s="109">
        <v>0.17480000000000001</v>
      </c>
      <c r="J1421" s="109">
        <v>0.13039999999999999</v>
      </c>
      <c r="K1421" s="109" t="s">
        <v>717</v>
      </c>
      <c r="L1421" s="67">
        <v>5000</v>
      </c>
      <c r="M1421" s="67">
        <v>500000</v>
      </c>
      <c r="N1421" s="105">
        <v>44378</v>
      </c>
      <c r="O1421" s="105">
        <v>44561</v>
      </c>
      <c r="P1421" t="s">
        <v>718</v>
      </c>
    </row>
    <row r="1422" spans="1:16" ht="15" customHeight="1" x14ac:dyDescent="0.3">
      <c r="A1422" t="str">
        <f t="shared" si="23"/>
        <v>16-0-HH 2RATE (WC)-SmartFIX – 2 Year Renewal (Level 2)</v>
      </c>
      <c r="B1422" s="67" t="s">
        <v>13</v>
      </c>
      <c r="C1422" s="67">
        <v>16</v>
      </c>
      <c r="D1422" s="99" t="s">
        <v>25</v>
      </c>
      <c r="E1422" s="67" t="s">
        <v>730</v>
      </c>
      <c r="F1422" s="67" t="s">
        <v>88</v>
      </c>
      <c r="G1422" s="67" t="s">
        <v>735</v>
      </c>
      <c r="H1422" s="127">
        <v>0.41249999999999998</v>
      </c>
      <c r="I1422" s="109">
        <v>0.17660000000000001</v>
      </c>
      <c r="J1422" s="109">
        <v>0.1295</v>
      </c>
      <c r="K1422" s="109" t="s">
        <v>717</v>
      </c>
      <c r="L1422" s="67">
        <v>5000</v>
      </c>
      <c r="M1422" s="67">
        <v>500000</v>
      </c>
      <c r="N1422" s="105">
        <v>44378</v>
      </c>
      <c r="O1422" s="105">
        <v>44561</v>
      </c>
      <c r="P1422" t="s">
        <v>718</v>
      </c>
    </row>
    <row r="1423" spans="1:16" ht="15" customHeight="1" x14ac:dyDescent="0.3">
      <c r="A1423" t="str">
        <f t="shared" si="23"/>
        <v>17-0-HH 2RATE (WC)-SmartFIX – 2 Year Renewal (Level 2)</v>
      </c>
      <c r="B1423" s="67" t="s">
        <v>13</v>
      </c>
      <c r="C1423" s="67">
        <v>17</v>
      </c>
      <c r="D1423" s="99" t="s">
        <v>26</v>
      </c>
      <c r="E1423" s="67" t="s">
        <v>730</v>
      </c>
      <c r="F1423" s="67" t="s">
        <v>88</v>
      </c>
      <c r="G1423" s="67" t="s">
        <v>735</v>
      </c>
      <c r="H1423" s="127">
        <v>0.50490000000000002</v>
      </c>
      <c r="I1423" s="109">
        <v>0.17710000000000001</v>
      </c>
      <c r="J1423" s="109">
        <v>0.1328</v>
      </c>
      <c r="K1423" s="109" t="s">
        <v>717</v>
      </c>
      <c r="L1423" s="67">
        <v>5000</v>
      </c>
      <c r="M1423" s="67">
        <v>500000</v>
      </c>
      <c r="N1423" s="105">
        <v>44378</v>
      </c>
      <c r="O1423" s="105">
        <v>44561</v>
      </c>
      <c r="P1423" t="s">
        <v>718</v>
      </c>
    </row>
    <row r="1424" spans="1:16" ht="15" customHeight="1" x14ac:dyDescent="0.3">
      <c r="A1424" t="str">
        <f t="shared" si="23"/>
        <v>18-0-HH 2RATE (WC)-SmartFIX – 2 Year Renewal (Level 2)</v>
      </c>
      <c r="B1424" s="67" t="s">
        <v>13</v>
      </c>
      <c r="C1424" s="67">
        <v>18</v>
      </c>
      <c r="D1424" s="99" t="s">
        <v>27</v>
      </c>
      <c r="E1424" s="67" t="s">
        <v>730</v>
      </c>
      <c r="F1424" s="67" t="s">
        <v>88</v>
      </c>
      <c r="G1424" s="67" t="s">
        <v>735</v>
      </c>
      <c r="H1424" s="127">
        <v>0.44259999999999999</v>
      </c>
      <c r="I1424" s="109">
        <v>0.17319999999999999</v>
      </c>
      <c r="J1424" s="109">
        <v>0.12839999999999999</v>
      </c>
      <c r="K1424" s="109" t="s">
        <v>717</v>
      </c>
      <c r="L1424" s="67">
        <v>5000</v>
      </c>
      <c r="M1424" s="67">
        <v>500000</v>
      </c>
      <c r="N1424" s="105">
        <v>44378</v>
      </c>
      <c r="O1424" s="105">
        <v>44561</v>
      </c>
      <c r="P1424" t="s">
        <v>718</v>
      </c>
    </row>
    <row r="1425" spans="1:16" ht="15" customHeight="1" x14ac:dyDescent="0.3">
      <c r="A1425" t="str">
        <f t="shared" si="23"/>
        <v>19-0-HH 2RATE (WC)-SmartFIX – 2 Year Renewal (Level 2)</v>
      </c>
      <c r="B1425" s="67" t="s">
        <v>13</v>
      </c>
      <c r="C1425" s="67">
        <v>19</v>
      </c>
      <c r="D1425" s="99" t="s">
        <v>28</v>
      </c>
      <c r="E1425" s="67" t="s">
        <v>730</v>
      </c>
      <c r="F1425" s="67" t="s">
        <v>88</v>
      </c>
      <c r="G1425" s="67" t="s">
        <v>735</v>
      </c>
      <c r="H1425" s="127">
        <v>0.44440000000000002</v>
      </c>
      <c r="I1425" s="109">
        <v>0.17020000000000002</v>
      </c>
      <c r="J1425" s="109">
        <v>0.11850000000000001</v>
      </c>
      <c r="K1425" s="109" t="s">
        <v>717</v>
      </c>
      <c r="L1425" s="67">
        <v>5000</v>
      </c>
      <c r="M1425" s="67">
        <v>500000</v>
      </c>
      <c r="N1425" s="105">
        <v>44378</v>
      </c>
      <c r="O1425" s="105">
        <v>44561</v>
      </c>
      <c r="P1425" t="s">
        <v>718</v>
      </c>
    </row>
    <row r="1426" spans="1:16" ht="15" customHeight="1" x14ac:dyDescent="0.3">
      <c r="A1426" t="str">
        <f t="shared" si="23"/>
        <v>20-0-HH 2RATE (WC)-SmartFIX – 2 Year Renewal (Level 2)</v>
      </c>
      <c r="B1426" s="67" t="s">
        <v>13</v>
      </c>
      <c r="C1426" s="67">
        <v>20</v>
      </c>
      <c r="D1426" s="99" t="s">
        <v>29</v>
      </c>
      <c r="E1426" s="67" t="s">
        <v>730</v>
      </c>
      <c r="F1426" s="67" t="s">
        <v>88</v>
      </c>
      <c r="G1426" s="67" t="s">
        <v>735</v>
      </c>
      <c r="H1426" s="127">
        <v>0.43690000000000001</v>
      </c>
      <c r="I1426" s="109">
        <v>0.16830000000000001</v>
      </c>
      <c r="J1426" s="109">
        <v>0.12300000000000001</v>
      </c>
      <c r="K1426" s="109" t="s">
        <v>717</v>
      </c>
      <c r="L1426" s="67">
        <v>5000</v>
      </c>
      <c r="M1426" s="67">
        <v>500000</v>
      </c>
      <c r="N1426" s="105">
        <v>44378</v>
      </c>
      <c r="O1426" s="105">
        <v>44561</v>
      </c>
      <c r="P1426" t="s">
        <v>718</v>
      </c>
    </row>
    <row r="1427" spans="1:16" ht="15" customHeight="1" x14ac:dyDescent="0.3">
      <c r="A1427" t="str">
        <f t="shared" si="23"/>
        <v>21-0-HH 2RATE (WC)-SmartFIX – 2 Year Renewal (Level 2)</v>
      </c>
      <c r="B1427" s="67" t="s">
        <v>13</v>
      </c>
      <c r="C1427" s="67">
        <v>21</v>
      </c>
      <c r="D1427" s="99" t="s">
        <v>30</v>
      </c>
      <c r="E1427" s="67" t="s">
        <v>730</v>
      </c>
      <c r="F1427" s="67" t="s">
        <v>88</v>
      </c>
      <c r="G1427" s="67" t="s">
        <v>735</v>
      </c>
      <c r="H1427" s="127">
        <v>0.55459999999999998</v>
      </c>
      <c r="I1427" s="109">
        <v>0.17530000000000001</v>
      </c>
      <c r="J1427" s="109">
        <v>0.1394</v>
      </c>
      <c r="K1427" s="109" t="s">
        <v>717</v>
      </c>
      <c r="L1427" s="67">
        <v>5000</v>
      </c>
      <c r="M1427" s="67">
        <v>500000</v>
      </c>
      <c r="N1427" s="105">
        <v>44378</v>
      </c>
      <c r="O1427" s="105">
        <v>44561</v>
      </c>
      <c r="P1427" t="s">
        <v>718</v>
      </c>
    </row>
    <row r="1428" spans="1:16" ht="15" customHeight="1" x14ac:dyDescent="0.3">
      <c r="A1428" t="str">
        <f t="shared" si="23"/>
        <v>22-0-HH 2RATE (WC)-SmartFIX – 2 Year Renewal (Level 2)</v>
      </c>
      <c r="B1428" s="67" t="s">
        <v>13</v>
      </c>
      <c r="C1428" s="67">
        <v>22</v>
      </c>
      <c r="D1428" s="99" t="s">
        <v>31</v>
      </c>
      <c r="E1428" s="67" t="s">
        <v>730</v>
      </c>
      <c r="F1428" s="67" t="s">
        <v>88</v>
      </c>
      <c r="G1428" s="67" t="s">
        <v>735</v>
      </c>
      <c r="H1428" s="127">
        <v>0.49790000000000001</v>
      </c>
      <c r="I1428" s="109">
        <v>0.1812</v>
      </c>
      <c r="J1428" s="109">
        <v>0.14269999999999999</v>
      </c>
      <c r="K1428" s="109" t="s">
        <v>717</v>
      </c>
      <c r="L1428" s="67">
        <v>5000</v>
      </c>
      <c r="M1428" s="67">
        <v>500000</v>
      </c>
      <c r="N1428" s="105">
        <v>44378</v>
      </c>
      <c r="O1428" s="105">
        <v>44561</v>
      </c>
      <c r="P1428" t="s">
        <v>718</v>
      </c>
    </row>
    <row r="1429" spans="1:16" ht="15" customHeight="1" x14ac:dyDescent="0.3">
      <c r="A1429" t="str">
        <f t="shared" si="23"/>
        <v>23-0-HH 2RATE (WC)-SmartFIX – 2 Year Renewal (Level 2)</v>
      </c>
      <c r="B1429" s="67" t="s">
        <v>13</v>
      </c>
      <c r="C1429" s="67">
        <v>23</v>
      </c>
      <c r="D1429" s="99" t="s">
        <v>32</v>
      </c>
      <c r="E1429" s="67" t="s">
        <v>730</v>
      </c>
      <c r="F1429" s="67" t="s">
        <v>88</v>
      </c>
      <c r="G1429" s="67" t="s">
        <v>735</v>
      </c>
      <c r="H1429" s="127">
        <v>0.45500000000000002</v>
      </c>
      <c r="I1429" s="109">
        <v>0.16770000000000002</v>
      </c>
      <c r="J1429" s="109">
        <v>0.12430000000000001</v>
      </c>
      <c r="K1429" s="109" t="s">
        <v>717</v>
      </c>
      <c r="L1429" s="67">
        <v>5000</v>
      </c>
      <c r="M1429" s="67">
        <v>500000</v>
      </c>
      <c r="N1429" s="105">
        <v>44378</v>
      </c>
      <c r="O1429" s="105">
        <v>44561</v>
      </c>
      <c r="P1429" t="s">
        <v>718</v>
      </c>
    </row>
    <row r="1430" spans="1:16" ht="15" customHeight="1" x14ac:dyDescent="0.3">
      <c r="A1430" t="str">
        <f t="shared" si="23"/>
        <v>10-0-HH 2RATE (CT)-SmartFIX – 2 Year (Level 2)</v>
      </c>
      <c r="B1430" s="67" t="s">
        <v>13</v>
      </c>
      <c r="C1430" s="67">
        <v>10</v>
      </c>
      <c r="D1430" s="99" t="s">
        <v>14</v>
      </c>
      <c r="E1430" s="67" t="s">
        <v>729</v>
      </c>
      <c r="F1430" s="67" t="s">
        <v>88</v>
      </c>
      <c r="G1430" s="67" t="s">
        <v>726</v>
      </c>
      <c r="H1430" s="127">
        <v>0.51449999999999996</v>
      </c>
      <c r="I1430" s="109">
        <v>0.16550000000000001</v>
      </c>
      <c r="J1430" s="109">
        <v>0.115</v>
      </c>
      <c r="K1430" s="109" t="s">
        <v>717</v>
      </c>
      <c r="L1430" s="67">
        <v>5000</v>
      </c>
      <c r="M1430" s="67">
        <v>500000</v>
      </c>
      <c r="N1430" s="105">
        <v>44378</v>
      </c>
      <c r="O1430" s="105">
        <v>44561</v>
      </c>
      <c r="P1430" t="s">
        <v>718</v>
      </c>
    </row>
    <row r="1431" spans="1:16" ht="15" customHeight="1" x14ac:dyDescent="0.3">
      <c r="A1431" t="str">
        <f t="shared" si="23"/>
        <v>11-0-HH 2RATE (CT)-SmartFIX – 2 Year (Level 2)</v>
      </c>
      <c r="B1431" s="67" t="s">
        <v>13</v>
      </c>
      <c r="C1431" s="67">
        <v>11</v>
      </c>
      <c r="D1431" s="99" t="s">
        <v>20</v>
      </c>
      <c r="E1431" s="67" t="s">
        <v>729</v>
      </c>
      <c r="F1431" s="67" t="s">
        <v>88</v>
      </c>
      <c r="G1431" s="67" t="s">
        <v>726</v>
      </c>
      <c r="H1431" s="127">
        <v>0.4572</v>
      </c>
      <c r="I1431" s="109">
        <v>0.1641</v>
      </c>
      <c r="J1431" s="109">
        <v>0.12180000000000001</v>
      </c>
      <c r="K1431" s="109" t="s">
        <v>717</v>
      </c>
      <c r="L1431" s="67">
        <v>5000</v>
      </c>
      <c r="M1431" s="67">
        <v>500000</v>
      </c>
      <c r="N1431" s="105">
        <v>44378</v>
      </c>
      <c r="O1431" s="105">
        <v>44561</v>
      </c>
      <c r="P1431" t="s">
        <v>718</v>
      </c>
    </row>
    <row r="1432" spans="1:16" ht="15" customHeight="1" x14ac:dyDescent="0.3">
      <c r="A1432" t="str">
        <f t="shared" si="23"/>
        <v>12-0-HH 2RATE (CT)-SmartFIX – 2 Year (Level 2)</v>
      </c>
      <c r="B1432" s="67" t="s">
        <v>13</v>
      </c>
      <c r="C1432" s="67">
        <v>12</v>
      </c>
      <c r="D1432" s="99" t="s">
        <v>21</v>
      </c>
      <c r="E1432" s="67" t="s">
        <v>729</v>
      </c>
      <c r="F1432" s="67" t="s">
        <v>88</v>
      </c>
      <c r="G1432" s="67" t="s">
        <v>726</v>
      </c>
      <c r="H1432" s="127">
        <v>0.42220000000000002</v>
      </c>
      <c r="I1432" s="109">
        <v>0.161</v>
      </c>
      <c r="J1432" s="109">
        <v>0.1085</v>
      </c>
      <c r="K1432" s="109" t="s">
        <v>717</v>
      </c>
      <c r="L1432" s="67">
        <v>5000</v>
      </c>
      <c r="M1432" s="67">
        <v>500000</v>
      </c>
      <c r="N1432" s="105">
        <v>44378</v>
      </c>
      <c r="O1432" s="105">
        <v>44561</v>
      </c>
      <c r="P1432" t="s">
        <v>718</v>
      </c>
    </row>
    <row r="1433" spans="1:16" ht="15" customHeight="1" x14ac:dyDescent="0.3">
      <c r="A1433" t="str">
        <f t="shared" si="23"/>
        <v>13-0-HH 2RATE (CT)-SmartFIX – 2 Year (Level 2)</v>
      </c>
      <c r="B1433" s="67" t="s">
        <v>13</v>
      </c>
      <c r="C1433" s="67">
        <v>13</v>
      </c>
      <c r="D1433" s="99" t="s">
        <v>22</v>
      </c>
      <c r="E1433" s="67" t="s">
        <v>729</v>
      </c>
      <c r="F1433" s="67" t="s">
        <v>88</v>
      </c>
      <c r="G1433" s="67" t="s">
        <v>726</v>
      </c>
      <c r="H1433" s="127">
        <v>0.59250000000000003</v>
      </c>
      <c r="I1433" s="109">
        <v>0.18490000000000001</v>
      </c>
      <c r="J1433" s="109">
        <v>0.13120000000000001</v>
      </c>
      <c r="K1433" s="109" t="s">
        <v>717</v>
      </c>
      <c r="L1433" s="67">
        <v>5000</v>
      </c>
      <c r="M1433" s="67">
        <v>500000</v>
      </c>
      <c r="N1433" s="105">
        <v>44378</v>
      </c>
      <c r="O1433" s="105">
        <v>44561</v>
      </c>
      <c r="P1433" t="s">
        <v>718</v>
      </c>
    </row>
    <row r="1434" spans="1:16" ht="15" customHeight="1" x14ac:dyDescent="0.3">
      <c r="A1434" t="str">
        <f t="shared" si="23"/>
        <v>14-0-HH 2RATE (CT)-SmartFIX – 2 Year (Level 2)</v>
      </c>
      <c r="B1434" s="67" t="s">
        <v>13</v>
      </c>
      <c r="C1434" s="67">
        <v>14</v>
      </c>
      <c r="D1434" s="99" t="s">
        <v>23</v>
      </c>
      <c r="E1434" s="67" t="s">
        <v>729</v>
      </c>
      <c r="F1434" s="67" t="s">
        <v>88</v>
      </c>
      <c r="G1434" s="67" t="s">
        <v>726</v>
      </c>
      <c r="H1434" s="127">
        <v>0.4698</v>
      </c>
      <c r="I1434" s="109">
        <v>0.1678</v>
      </c>
      <c r="J1434" s="109">
        <v>0.1268</v>
      </c>
      <c r="K1434" s="109" t="s">
        <v>717</v>
      </c>
      <c r="L1434" s="67">
        <v>5000</v>
      </c>
      <c r="M1434" s="67">
        <v>500000</v>
      </c>
      <c r="N1434" s="105">
        <v>44378</v>
      </c>
      <c r="O1434" s="105">
        <v>44561</v>
      </c>
      <c r="P1434" t="s">
        <v>718</v>
      </c>
    </row>
    <row r="1435" spans="1:16" ht="15" customHeight="1" x14ac:dyDescent="0.3">
      <c r="A1435" t="str">
        <f t="shared" si="23"/>
        <v>15-0-HH 2RATE (CT)-SmartFIX – 2 Year (Level 2)</v>
      </c>
      <c r="B1435" s="67" t="s">
        <v>13</v>
      </c>
      <c r="C1435" s="67">
        <v>15</v>
      </c>
      <c r="D1435" s="99" t="s">
        <v>24</v>
      </c>
      <c r="E1435" s="67" t="s">
        <v>729</v>
      </c>
      <c r="F1435" s="67" t="s">
        <v>88</v>
      </c>
      <c r="G1435" s="67" t="s">
        <v>726</v>
      </c>
      <c r="H1435" s="127">
        <v>0.56820000000000004</v>
      </c>
      <c r="I1435" s="109">
        <v>0.16750000000000001</v>
      </c>
      <c r="J1435" s="109">
        <v>0.1268</v>
      </c>
      <c r="K1435" s="109" t="s">
        <v>717</v>
      </c>
      <c r="L1435" s="67">
        <v>5000</v>
      </c>
      <c r="M1435" s="67">
        <v>500000</v>
      </c>
      <c r="N1435" s="105">
        <v>44378</v>
      </c>
      <c r="O1435" s="105">
        <v>44561</v>
      </c>
      <c r="P1435" t="s">
        <v>718</v>
      </c>
    </row>
    <row r="1436" spans="1:16" ht="15" customHeight="1" x14ac:dyDescent="0.3">
      <c r="A1436" t="str">
        <f t="shared" si="23"/>
        <v>16-0-HH 2RATE (CT)-SmartFIX – 2 Year (Level 2)</v>
      </c>
      <c r="B1436" s="67" t="s">
        <v>13</v>
      </c>
      <c r="C1436" s="67">
        <v>16</v>
      </c>
      <c r="D1436" s="99" t="s">
        <v>25</v>
      </c>
      <c r="E1436" s="67" t="s">
        <v>729</v>
      </c>
      <c r="F1436" s="67" t="s">
        <v>88</v>
      </c>
      <c r="G1436" s="67" t="s">
        <v>726</v>
      </c>
      <c r="H1436" s="127">
        <v>0.5292</v>
      </c>
      <c r="I1436" s="109">
        <v>0.16980000000000001</v>
      </c>
      <c r="J1436" s="109">
        <v>0.124</v>
      </c>
      <c r="K1436" s="109" t="s">
        <v>717</v>
      </c>
      <c r="L1436" s="67">
        <v>5000</v>
      </c>
      <c r="M1436" s="67">
        <v>500000</v>
      </c>
      <c r="N1436" s="105">
        <v>44378</v>
      </c>
      <c r="O1436" s="105">
        <v>44561</v>
      </c>
      <c r="P1436" t="s">
        <v>718</v>
      </c>
    </row>
    <row r="1437" spans="1:16" ht="15" customHeight="1" x14ac:dyDescent="0.3">
      <c r="A1437" t="str">
        <f t="shared" si="23"/>
        <v>17-0-HH 2RATE (CT)-SmartFIX – 2 Year (Level 2)</v>
      </c>
      <c r="B1437" s="67" t="s">
        <v>13</v>
      </c>
      <c r="C1437" s="67">
        <v>17</v>
      </c>
      <c r="D1437" s="99" t="s">
        <v>26</v>
      </c>
      <c r="E1437" s="67" t="s">
        <v>729</v>
      </c>
      <c r="F1437" s="67" t="s">
        <v>88</v>
      </c>
      <c r="G1437" s="67" t="s">
        <v>726</v>
      </c>
      <c r="H1437" s="127">
        <v>0.71650000000000003</v>
      </c>
      <c r="I1437" s="109">
        <v>0.17680000000000001</v>
      </c>
      <c r="J1437" s="109">
        <v>0.13489999999999999</v>
      </c>
      <c r="K1437" s="109" t="s">
        <v>717</v>
      </c>
      <c r="L1437" s="67">
        <v>5000</v>
      </c>
      <c r="M1437" s="67">
        <v>500000</v>
      </c>
      <c r="N1437" s="105">
        <v>44378</v>
      </c>
      <c r="O1437" s="105">
        <v>44561</v>
      </c>
      <c r="P1437" t="s">
        <v>718</v>
      </c>
    </row>
    <row r="1438" spans="1:16" ht="15" customHeight="1" x14ac:dyDescent="0.3">
      <c r="A1438" t="str">
        <f t="shared" si="23"/>
        <v>18-0-HH 2RATE (CT)-SmartFIX – 2 Year (Level 2)</v>
      </c>
      <c r="B1438" s="67" t="s">
        <v>13</v>
      </c>
      <c r="C1438" s="67">
        <v>18</v>
      </c>
      <c r="D1438" s="99" t="s">
        <v>27</v>
      </c>
      <c r="E1438" s="67" t="s">
        <v>729</v>
      </c>
      <c r="F1438" s="67" t="s">
        <v>88</v>
      </c>
      <c r="G1438" s="67" t="s">
        <v>726</v>
      </c>
      <c r="H1438" s="127">
        <v>0.65680000000000005</v>
      </c>
      <c r="I1438" s="109">
        <v>0.16669999999999999</v>
      </c>
      <c r="J1438" s="109">
        <v>0.1236</v>
      </c>
      <c r="K1438" s="109" t="s">
        <v>717</v>
      </c>
      <c r="L1438" s="67">
        <v>5000</v>
      </c>
      <c r="M1438" s="67">
        <v>500000</v>
      </c>
      <c r="N1438" s="105">
        <v>44378</v>
      </c>
      <c r="O1438" s="105">
        <v>44561</v>
      </c>
      <c r="P1438" t="s">
        <v>718</v>
      </c>
    </row>
    <row r="1439" spans="1:16" ht="15" customHeight="1" x14ac:dyDescent="0.3">
      <c r="A1439" t="str">
        <f t="shared" si="23"/>
        <v>19-0-HH 2RATE (CT)-SmartFIX – 2 Year (Level 2)</v>
      </c>
      <c r="B1439" s="67" t="s">
        <v>13</v>
      </c>
      <c r="C1439" s="67">
        <v>19</v>
      </c>
      <c r="D1439" s="99" t="s">
        <v>28</v>
      </c>
      <c r="E1439" s="67" t="s">
        <v>729</v>
      </c>
      <c r="F1439" s="67" t="s">
        <v>88</v>
      </c>
      <c r="G1439" s="67" t="s">
        <v>726</v>
      </c>
      <c r="H1439" s="127">
        <v>0.5161</v>
      </c>
      <c r="I1439" s="109">
        <v>0.1636</v>
      </c>
      <c r="J1439" s="109">
        <v>0.1147</v>
      </c>
      <c r="K1439" s="109" t="s">
        <v>717</v>
      </c>
      <c r="L1439" s="67">
        <v>5000</v>
      </c>
      <c r="M1439" s="67">
        <v>500000</v>
      </c>
      <c r="N1439" s="105">
        <v>44378</v>
      </c>
      <c r="O1439" s="105">
        <v>44561</v>
      </c>
      <c r="P1439" t="s">
        <v>718</v>
      </c>
    </row>
    <row r="1440" spans="1:16" ht="15" customHeight="1" x14ac:dyDescent="0.3">
      <c r="A1440" t="str">
        <f t="shared" si="23"/>
        <v>20-0-HH 2RATE (CT)-SmartFIX – 2 Year (Level 2)</v>
      </c>
      <c r="B1440" s="67" t="s">
        <v>13</v>
      </c>
      <c r="C1440" s="67">
        <v>20</v>
      </c>
      <c r="D1440" s="99" t="s">
        <v>29</v>
      </c>
      <c r="E1440" s="67" t="s">
        <v>729</v>
      </c>
      <c r="F1440" s="67" t="s">
        <v>88</v>
      </c>
      <c r="G1440" s="67" t="s">
        <v>726</v>
      </c>
      <c r="H1440" s="127">
        <v>0.54520000000000002</v>
      </c>
      <c r="I1440" s="109">
        <v>0.16220000000000001</v>
      </c>
      <c r="J1440" s="109">
        <v>0.1168</v>
      </c>
      <c r="K1440" s="109" t="s">
        <v>717</v>
      </c>
      <c r="L1440" s="67">
        <v>5000</v>
      </c>
      <c r="M1440" s="67">
        <v>500000</v>
      </c>
      <c r="N1440" s="105">
        <v>44378</v>
      </c>
      <c r="O1440" s="105">
        <v>44561</v>
      </c>
      <c r="P1440" t="s">
        <v>718</v>
      </c>
    </row>
    <row r="1441" spans="1:16" ht="15" customHeight="1" x14ac:dyDescent="0.3">
      <c r="A1441" t="str">
        <f t="shared" si="23"/>
        <v>21-0-HH 2RATE (CT)-SmartFIX – 2 Year (Level 2)</v>
      </c>
      <c r="B1441" s="67" t="s">
        <v>13</v>
      </c>
      <c r="C1441" s="67">
        <v>21</v>
      </c>
      <c r="D1441" s="99" t="s">
        <v>30</v>
      </c>
      <c r="E1441" s="67" t="s">
        <v>729</v>
      </c>
      <c r="F1441" s="67" t="s">
        <v>88</v>
      </c>
      <c r="G1441" s="67" t="s">
        <v>726</v>
      </c>
      <c r="H1441" s="127">
        <v>0.55989999999999995</v>
      </c>
      <c r="I1441" s="109">
        <v>0.17019999999999999</v>
      </c>
      <c r="J1441" s="109">
        <v>0.12889999999999999</v>
      </c>
      <c r="K1441" s="109" t="s">
        <v>717</v>
      </c>
      <c r="L1441" s="67">
        <v>5000</v>
      </c>
      <c r="M1441" s="67">
        <v>500000</v>
      </c>
      <c r="N1441" s="105">
        <v>44378</v>
      </c>
      <c r="O1441" s="105">
        <v>44561</v>
      </c>
      <c r="P1441" t="s">
        <v>718</v>
      </c>
    </row>
    <row r="1442" spans="1:16" ht="15" customHeight="1" x14ac:dyDescent="0.3">
      <c r="A1442" t="str">
        <f t="shared" si="23"/>
        <v>22-0-HH 2RATE (CT)-SmartFIX – 2 Year (Level 2)</v>
      </c>
      <c r="B1442" s="67" t="s">
        <v>13</v>
      </c>
      <c r="C1442" s="67">
        <v>22</v>
      </c>
      <c r="D1442" s="99" t="s">
        <v>31</v>
      </c>
      <c r="E1442" s="67" t="s">
        <v>729</v>
      </c>
      <c r="F1442" s="67" t="s">
        <v>88</v>
      </c>
      <c r="G1442" s="67" t="s">
        <v>726</v>
      </c>
      <c r="H1442" s="127">
        <v>0.49120000000000003</v>
      </c>
      <c r="I1442" s="109">
        <v>0.17369999999999999</v>
      </c>
      <c r="J1442" s="109">
        <v>0.14199999999999999</v>
      </c>
      <c r="K1442" s="109" t="s">
        <v>717</v>
      </c>
      <c r="L1442" s="67">
        <v>5000</v>
      </c>
      <c r="M1442" s="67">
        <v>500000</v>
      </c>
      <c r="N1442" s="105">
        <v>44378</v>
      </c>
      <c r="O1442" s="105">
        <v>44561</v>
      </c>
      <c r="P1442" t="s">
        <v>718</v>
      </c>
    </row>
    <row r="1443" spans="1:16" ht="15" customHeight="1" x14ac:dyDescent="0.3">
      <c r="A1443" t="str">
        <f t="shared" si="23"/>
        <v>23-0-HH 2RATE (CT)-SmartFIX – 2 Year (Level 2)</v>
      </c>
      <c r="B1443" s="67" t="s">
        <v>13</v>
      </c>
      <c r="C1443" s="67">
        <v>23</v>
      </c>
      <c r="D1443" s="99" t="s">
        <v>32</v>
      </c>
      <c r="E1443" s="67" t="s">
        <v>729</v>
      </c>
      <c r="F1443" s="67" t="s">
        <v>88</v>
      </c>
      <c r="G1443" s="67" t="s">
        <v>726</v>
      </c>
      <c r="H1443" s="127">
        <v>0.58620000000000005</v>
      </c>
      <c r="I1443" s="109">
        <v>0.16220000000000001</v>
      </c>
      <c r="J1443" s="109">
        <v>0.1192</v>
      </c>
      <c r="K1443" s="109" t="s">
        <v>717</v>
      </c>
      <c r="L1443" s="67">
        <v>5000</v>
      </c>
      <c r="M1443" s="67">
        <v>500000</v>
      </c>
      <c r="N1443" s="105">
        <v>44378</v>
      </c>
      <c r="O1443" s="105">
        <v>44561</v>
      </c>
      <c r="P1443" t="s">
        <v>718</v>
      </c>
    </row>
    <row r="1444" spans="1:16" ht="15" customHeight="1" x14ac:dyDescent="0.3">
      <c r="A1444" t="str">
        <f t="shared" si="23"/>
        <v>10-0-HH 2RATE (CT)-SmartFIX – 2 Year Renewal (Level 2)</v>
      </c>
      <c r="B1444" s="67" t="s">
        <v>13</v>
      </c>
      <c r="C1444" s="67">
        <v>10</v>
      </c>
      <c r="D1444" s="99" t="s">
        <v>14</v>
      </c>
      <c r="E1444" s="67" t="s">
        <v>729</v>
      </c>
      <c r="F1444" s="67" t="s">
        <v>88</v>
      </c>
      <c r="G1444" s="67" t="s">
        <v>735</v>
      </c>
      <c r="H1444" s="127">
        <v>0.56599999999999995</v>
      </c>
      <c r="I1444" s="109">
        <v>0.16950000000000001</v>
      </c>
      <c r="J1444" s="109">
        <v>0.11900000000000001</v>
      </c>
      <c r="K1444" s="109" t="s">
        <v>717</v>
      </c>
      <c r="L1444" s="67">
        <v>5000</v>
      </c>
      <c r="M1444" s="67">
        <v>500000</v>
      </c>
      <c r="N1444" s="105">
        <v>44378</v>
      </c>
      <c r="O1444" s="105">
        <v>44561</v>
      </c>
      <c r="P1444" t="s">
        <v>718</v>
      </c>
    </row>
    <row r="1445" spans="1:16" ht="15" customHeight="1" x14ac:dyDescent="0.3">
      <c r="A1445" t="str">
        <f t="shared" si="23"/>
        <v>11-0-HH 2RATE (CT)-SmartFIX – 2 Year Renewal (Level 2)</v>
      </c>
      <c r="B1445" s="67" t="s">
        <v>13</v>
      </c>
      <c r="C1445" s="67">
        <v>11</v>
      </c>
      <c r="D1445" s="99" t="s">
        <v>20</v>
      </c>
      <c r="E1445" s="67" t="s">
        <v>729</v>
      </c>
      <c r="F1445" s="67" t="s">
        <v>88</v>
      </c>
      <c r="G1445" s="67" t="s">
        <v>735</v>
      </c>
      <c r="H1445" s="127">
        <v>0.503</v>
      </c>
      <c r="I1445" s="109">
        <v>0.1681</v>
      </c>
      <c r="J1445" s="109">
        <v>0.1258</v>
      </c>
      <c r="K1445" s="109" t="s">
        <v>717</v>
      </c>
      <c r="L1445" s="67">
        <v>5000</v>
      </c>
      <c r="M1445" s="67">
        <v>500000</v>
      </c>
      <c r="N1445" s="105">
        <v>44378</v>
      </c>
      <c r="O1445" s="105">
        <v>44561</v>
      </c>
      <c r="P1445" t="s">
        <v>718</v>
      </c>
    </row>
    <row r="1446" spans="1:16" ht="15" customHeight="1" x14ac:dyDescent="0.3">
      <c r="A1446" t="str">
        <f t="shared" si="23"/>
        <v>12-0-HH 2RATE (CT)-SmartFIX – 2 Year Renewal (Level 2)</v>
      </c>
      <c r="B1446" s="67" t="s">
        <v>13</v>
      </c>
      <c r="C1446" s="67">
        <v>12</v>
      </c>
      <c r="D1446" s="99" t="s">
        <v>21</v>
      </c>
      <c r="E1446" s="67" t="s">
        <v>729</v>
      </c>
      <c r="F1446" s="67" t="s">
        <v>88</v>
      </c>
      <c r="G1446" s="67" t="s">
        <v>735</v>
      </c>
      <c r="H1446" s="127">
        <v>0.46439999999999998</v>
      </c>
      <c r="I1446" s="109">
        <v>0.16500000000000001</v>
      </c>
      <c r="J1446" s="109">
        <v>0.1125</v>
      </c>
      <c r="K1446" s="109" t="s">
        <v>717</v>
      </c>
      <c r="L1446" s="67">
        <v>5000</v>
      </c>
      <c r="M1446" s="67">
        <v>500000</v>
      </c>
      <c r="N1446" s="105">
        <v>44378</v>
      </c>
      <c r="O1446" s="105">
        <v>44561</v>
      </c>
      <c r="P1446" t="s">
        <v>718</v>
      </c>
    </row>
    <row r="1447" spans="1:16" ht="15" customHeight="1" x14ac:dyDescent="0.3">
      <c r="A1447" t="str">
        <f t="shared" si="23"/>
        <v>13-0-HH 2RATE (CT)-SmartFIX – 2 Year Renewal (Level 2)</v>
      </c>
      <c r="B1447" s="67" t="s">
        <v>13</v>
      </c>
      <c r="C1447" s="67">
        <v>13</v>
      </c>
      <c r="D1447" s="99" t="s">
        <v>22</v>
      </c>
      <c r="E1447" s="67" t="s">
        <v>729</v>
      </c>
      <c r="F1447" s="67" t="s">
        <v>88</v>
      </c>
      <c r="G1447" s="67" t="s">
        <v>735</v>
      </c>
      <c r="H1447" s="127">
        <v>0.65169999999999995</v>
      </c>
      <c r="I1447" s="109">
        <v>0.18890000000000001</v>
      </c>
      <c r="J1447" s="109">
        <v>0.13520000000000001</v>
      </c>
      <c r="K1447" s="109" t="s">
        <v>717</v>
      </c>
      <c r="L1447" s="67">
        <v>5000</v>
      </c>
      <c r="M1447" s="67">
        <v>500000</v>
      </c>
      <c r="N1447" s="105">
        <v>44378</v>
      </c>
      <c r="O1447" s="105">
        <v>44561</v>
      </c>
      <c r="P1447" t="s">
        <v>718</v>
      </c>
    </row>
    <row r="1448" spans="1:16" ht="15" customHeight="1" x14ac:dyDescent="0.3">
      <c r="A1448" t="str">
        <f t="shared" si="23"/>
        <v>14-0-HH 2RATE (CT)-SmartFIX – 2 Year Renewal (Level 2)</v>
      </c>
      <c r="B1448" s="67" t="s">
        <v>13</v>
      </c>
      <c r="C1448" s="67">
        <v>14</v>
      </c>
      <c r="D1448" s="99" t="s">
        <v>23</v>
      </c>
      <c r="E1448" s="67" t="s">
        <v>729</v>
      </c>
      <c r="F1448" s="67" t="s">
        <v>88</v>
      </c>
      <c r="G1448" s="67" t="s">
        <v>735</v>
      </c>
      <c r="H1448" s="127">
        <v>0.51680000000000004</v>
      </c>
      <c r="I1448" s="109">
        <v>0.17180000000000001</v>
      </c>
      <c r="J1448" s="109">
        <v>0.1308</v>
      </c>
      <c r="K1448" s="109" t="s">
        <v>717</v>
      </c>
      <c r="L1448" s="67">
        <v>5000</v>
      </c>
      <c r="M1448" s="67">
        <v>500000</v>
      </c>
      <c r="N1448" s="105">
        <v>44378</v>
      </c>
      <c r="O1448" s="105">
        <v>44561</v>
      </c>
      <c r="P1448" t="s">
        <v>718</v>
      </c>
    </row>
    <row r="1449" spans="1:16" ht="15" customHeight="1" x14ac:dyDescent="0.3">
      <c r="A1449" t="str">
        <f t="shared" si="23"/>
        <v>15-0-HH 2RATE (CT)-SmartFIX – 2 Year Renewal (Level 2)</v>
      </c>
      <c r="B1449" s="67" t="s">
        <v>13</v>
      </c>
      <c r="C1449" s="67">
        <v>15</v>
      </c>
      <c r="D1449" s="99" t="s">
        <v>24</v>
      </c>
      <c r="E1449" s="67" t="s">
        <v>729</v>
      </c>
      <c r="F1449" s="67" t="s">
        <v>88</v>
      </c>
      <c r="G1449" s="67" t="s">
        <v>735</v>
      </c>
      <c r="H1449" s="127">
        <v>0.625</v>
      </c>
      <c r="I1449" s="109">
        <v>0.17150000000000001</v>
      </c>
      <c r="J1449" s="109">
        <v>0.1308</v>
      </c>
      <c r="K1449" s="109" t="s">
        <v>717</v>
      </c>
      <c r="L1449" s="67">
        <v>5000</v>
      </c>
      <c r="M1449" s="67">
        <v>500000</v>
      </c>
      <c r="N1449" s="105">
        <v>44378</v>
      </c>
      <c r="O1449" s="105">
        <v>44561</v>
      </c>
      <c r="P1449" t="s">
        <v>718</v>
      </c>
    </row>
    <row r="1450" spans="1:16" ht="15" customHeight="1" x14ac:dyDescent="0.3">
      <c r="A1450" t="str">
        <f t="shared" si="23"/>
        <v>16-0-HH 2RATE (CT)-SmartFIX – 2 Year Renewal (Level 2)</v>
      </c>
      <c r="B1450" s="67" t="s">
        <v>13</v>
      </c>
      <c r="C1450" s="67">
        <v>16</v>
      </c>
      <c r="D1450" s="99" t="s">
        <v>25</v>
      </c>
      <c r="E1450" s="67" t="s">
        <v>729</v>
      </c>
      <c r="F1450" s="67" t="s">
        <v>88</v>
      </c>
      <c r="G1450" s="67" t="s">
        <v>735</v>
      </c>
      <c r="H1450" s="127">
        <v>0.58220000000000005</v>
      </c>
      <c r="I1450" s="109">
        <v>0.17380000000000001</v>
      </c>
      <c r="J1450" s="109">
        <v>0.128</v>
      </c>
      <c r="K1450" s="109" t="s">
        <v>717</v>
      </c>
      <c r="L1450" s="67">
        <v>5000</v>
      </c>
      <c r="M1450" s="67">
        <v>500000</v>
      </c>
      <c r="N1450" s="105">
        <v>44378</v>
      </c>
      <c r="O1450" s="105">
        <v>44561</v>
      </c>
      <c r="P1450" t="s">
        <v>718</v>
      </c>
    </row>
    <row r="1451" spans="1:16" ht="15" customHeight="1" x14ac:dyDescent="0.3">
      <c r="A1451" t="str">
        <f t="shared" si="23"/>
        <v>17-0-HH 2RATE (CT)-SmartFIX – 2 Year Renewal (Level 2)</v>
      </c>
      <c r="B1451" s="67" t="s">
        <v>13</v>
      </c>
      <c r="C1451" s="67">
        <v>17</v>
      </c>
      <c r="D1451" s="99" t="s">
        <v>26</v>
      </c>
      <c r="E1451" s="67" t="s">
        <v>729</v>
      </c>
      <c r="F1451" s="67" t="s">
        <v>88</v>
      </c>
      <c r="G1451" s="67" t="s">
        <v>735</v>
      </c>
      <c r="H1451" s="127">
        <v>0.78810000000000002</v>
      </c>
      <c r="I1451" s="109">
        <v>0.18080000000000002</v>
      </c>
      <c r="J1451" s="109">
        <v>0.1389</v>
      </c>
      <c r="K1451" s="109" t="s">
        <v>717</v>
      </c>
      <c r="L1451" s="67">
        <v>5000</v>
      </c>
      <c r="M1451" s="67">
        <v>500000</v>
      </c>
      <c r="N1451" s="105">
        <v>44378</v>
      </c>
      <c r="O1451" s="105">
        <v>44561</v>
      </c>
      <c r="P1451" t="s">
        <v>718</v>
      </c>
    </row>
    <row r="1452" spans="1:16" ht="15" customHeight="1" x14ac:dyDescent="0.3">
      <c r="A1452" t="str">
        <f t="shared" si="23"/>
        <v>18-0-HH 2RATE (CT)-SmartFIX – 2 Year Renewal (Level 2)</v>
      </c>
      <c r="B1452" s="67" t="s">
        <v>13</v>
      </c>
      <c r="C1452" s="67">
        <v>18</v>
      </c>
      <c r="D1452" s="99" t="s">
        <v>27</v>
      </c>
      <c r="E1452" s="67" t="s">
        <v>729</v>
      </c>
      <c r="F1452" s="67" t="s">
        <v>88</v>
      </c>
      <c r="G1452" s="67" t="s">
        <v>735</v>
      </c>
      <c r="H1452" s="127">
        <v>0.72240000000000004</v>
      </c>
      <c r="I1452" s="109">
        <v>0.17069999999999999</v>
      </c>
      <c r="J1452" s="109">
        <v>0.12759999999999999</v>
      </c>
      <c r="K1452" s="109" t="s">
        <v>717</v>
      </c>
      <c r="L1452" s="67">
        <v>5000</v>
      </c>
      <c r="M1452" s="67">
        <v>500000</v>
      </c>
      <c r="N1452" s="105">
        <v>44378</v>
      </c>
      <c r="O1452" s="105">
        <v>44561</v>
      </c>
      <c r="P1452" t="s">
        <v>718</v>
      </c>
    </row>
    <row r="1453" spans="1:16" ht="15" customHeight="1" x14ac:dyDescent="0.3">
      <c r="A1453" t="str">
        <f t="shared" si="23"/>
        <v>19-0-HH 2RATE (CT)-SmartFIX – 2 Year Renewal (Level 2)</v>
      </c>
      <c r="B1453" s="67" t="s">
        <v>13</v>
      </c>
      <c r="C1453" s="67">
        <v>19</v>
      </c>
      <c r="D1453" s="99" t="s">
        <v>28</v>
      </c>
      <c r="E1453" s="67" t="s">
        <v>729</v>
      </c>
      <c r="F1453" s="67" t="s">
        <v>88</v>
      </c>
      <c r="G1453" s="67" t="s">
        <v>735</v>
      </c>
      <c r="H1453" s="127">
        <v>0.56769999999999998</v>
      </c>
      <c r="I1453" s="109">
        <v>0.1676</v>
      </c>
      <c r="J1453" s="109">
        <v>0.1187</v>
      </c>
      <c r="K1453" s="109" t="s">
        <v>717</v>
      </c>
      <c r="L1453" s="67">
        <v>5000</v>
      </c>
      <c r="M1453" s="67">
        <v>500000</v>
      </c>
      <c r="N1453" s="105">
        <v>44378</v>
      </c>
      <c r="O1453" s="105">
        <v>44561</v>
      </c>
      <c r="P1453" t="s">
        <v>718</v>
      </c>
    </row>
    <row r="1454" spans="1:16" ht="15" customHeight="1" x14ac:dyDescent="0.3">
      <c r="A1454" t="str">
        <f t="shared" si="23"/>
        <v>20-0-HH 2RATE (CT)-SmartFIX – 2 Year Renewal (Level 2)</v>
      </c>
      <c r="B1454" s="67" t="s">
        <v>13</v>
      </c>
      <c r="C1454" s="67">
        <v>20</v>
      </c>
      <c r="D1454" s="99" t="s">
        <v>29</v>
      </c>
      <c r="E1454" s="67" t="s">
        <v>729</v>
      </c>
      <c r="F1454" s="67" t="s">
        <v>88</v>
      </c>
      <c r="G1454" s="67" t="s">
        <v>735</v>
      </c>
      <c r="H1454" s="127">
        <v>0.59970000000000001</v>
      </c>
      <c r="I1454" s="109">
        <v>0.16620000000000001</v>
      </c>
      <c r="J1454" s="109">
        <v>0.1208</v>
      </c>
      <c r="K1454" s="109" t="s">
        <v>717</v>
      </c>
      <c r="L1454" s="67">
        <v>5000</v>
      </c>
      <c r="M1454" s="67">
        <v>500000</v>
      </c>
      <c r="N1454" s="105">
        <v>44378</v>
      </c>
      <c r="O1454" s="105">
        <v>44561</v>
      </c>
      <c r="P1454" t="s">
        <v>718</v>
      </c>
    </row>
    <row r="1455" spans="1:16" ht="15" customHeight="1" x14ac:dyDescent="0.3">
      <c r="A1455" t="str">
        <f t="shared" si="23"/>
        <v>21-0-HH 2RATE (CT)-SmartFIX – 2 Year Renewal (Level 2)</v>
      </c>
      <c r="B1455" s="67" t="s">
        <v>13</v>
      </c>
      <c r="C1455" s="67">
        <v>21</v>
      </c>
      <c r="D1455" s="99" t="s">
        <v>30</v>
      </c>
      <c r="E1455" s="67" t="s">
        <v>729</v>
      </c>
      <c r="F1455" s="67" t="s">
        <v>88</v>
      </c>
      <c r="G1455" s="67" t="s">
        <v>735</v>
      </c>
      <c r="H1455" s="127">
        <v>0.6159</v>
      </c>
      <c r="I1455" s="109">
        <v>0.17419999999999999</v>
      </c>
      <c r="J1455" s="109">
        <v>0.13289999999999999</v>
      </c>
      <c r="K1455" s="109" t="s">
        <v>717</v>
      </c>
      <c r="L1455" s="67">
        <v>5000</v>
      </c>
      <c r="M1455" s="67">
        <v>500000</v>
      </c>
      <c r="N1455" s="105">
        <v>44378</v>
      </c>
      <c r="O1455" s="105">
        <v>44561</v>
      </c>
      <c r="P1455" t="s">
        <v>718</v>
      </c>
    </row>
    <row r="1456" spans="1:16" ht="15" customHeight="1" x14ac:dyDescent="0.3">
      <c r="A1456" t="str">
        <f t="shared" si="23"/>
        <v>22-0-HH 2RATE (CT)-SmartFIX – 2 Year Renewal (Level 2)</v>
      </c>
      <c r="B1456" s="67" t="s">
        <v>13</v>
      </c>
      <c r="C1456" s="67">
        <v>22</v>
      </c>
      <c r="D1456" s="99" t="s">
        <v>31</v>
      </c>
      <c r="E1456" s="67" t="s">
        <v>729</v>
      </c>
      <c r="F1456" s="67" t="s">
        <v>88</v>
      </c>
      <c r="G1456" s="67" t="s">
        <v>735</v>
      </c>
      <c r="H1456" s="127">
        <v>0.5403</v>
      </c>
      <c r="I1456" s="109">
        <v>0.1777</v>
      </c>
      <c r="J1456" s="109">
        <v>0.14599999999999999</v>
      </c>
      <c r="K1456" s="109" t="s">
        <v>717</v>
      </c>
      <c r="L1456" s="67">
        <v>5000</v>
      </c>
      <c r="M1456" s="67">
        <v>500000</v>
      </c>
      <c r="N1456" s="105">
        <v>44378</v>
      </c>
      <c r="O1456" s="105">
        <v>44561</v>
      </c>
      <c r="P1456" t="s">
        <v>718</v>
      </c>
    </row>
    <row r="1457" spans="1:16" ht="15" customHeight="1" x14ac:dyDescent="0.3">
      <c r="A1457" t="str">
        <f t="shared" si="23"/>
        <v>23-0-HH 2RATE (CT)-SmartFIX – 2 Year Renewal (Level 2)</v>
      </c>
      <c r="B1457" s="67" t="s">
        <v>13</v>
      </c>
      <c r="C1457" s="67">
        <v>23</v>
      </c>
      <c r="D1457" s="99" t="s">
        <v>32</v>
      </c>
      <c r="E1457" s="67" t="s">
        <v>729</v>
      </c>
      <c r="F1457" s="67" t="s">
        <v>88</v>
      </c>
      <c r="G1457" s="67" t="s">
        <v>735</v>
      </c>
      <c r="H1457" s="127">
        <v>0.64480000000000004</v>
      </c>
      <c r="I1457" s="109">
        <v>0.16620000000000001</v>
      </c>
      <c r="J1457" s="109">
        <v>0.1232</v>
      </c>
      <c r="K1457" s="109" t="s">
        <v>717</v>
      </c>
      <c r="L1457" s="67">
        <v>5000</v>
      </c>
      <c r="M1457" s="67">
        <v>500000</v>
      </c>
      <c r="N1457" s="105">
        <v>44378</v>
      </c>
      <c r="O1457" s="105">
        <v>44561</v>
      </c>
      <c r="P1457" t="s">
        <v>718</v>
      </c>
    </row>
    <row r="1458" spans="1:16" ht="15" customHeight="1" x14ac:dyDescent="0.3">
      <c r="A1458" t="str">
        <f t="shared" si="23"/>
        <v>10-0-HH 2RATE (WC)-SmartFIX – 3 Year (Level 2)</v>
      </c>
      <c r="B1458" s="67" t="s">
        <v>13</v>
      </c>
      <c r="C1458" s="67">
        <v>10</v>
      </c>
      <c r="D1458" s="99" t="s">
        <v>14</v>
      </c>
      <c r="E1458" s="67" t="s">
        <v>730</v>
      </c>
      <c r="F1458" s="67" t="s">
        <v>88</v>
      </c>
      <c r="G1458" s="67" t="s">
        <v>727</v>
      </c>
      <c r="H1458" s="127">
        <v>0.41920000000000002</v>
      </c>
      <c r="I1458" s="109">
        <v>0.16800000000000001</v>
      </c>
      <c r="J1458" s="109">
        <v>0.1135</v>
      </c>
      <c r="K1458" s="109" t="s">
        <v>717</v>
      </c>
      <c r="L1458" s="67">
        <v>5000</v>
      </c>
      <c r="M1458" s="67">
        <v>500000</v>
      </c>
      <c r="N1458" s="105">
        <v>44378</v>
      </c>
      <c r="O1458" s="105">
        <v>44561</v>
      </c>
      <c r="P1458" t="s">
        <v>718</v>
      </c>
    </row>
    <row r="1459" spans="1:16" ht="15" customHeight="1" x14ac:dyDescent="0.3">
      <c r="A1459" t="str">
        <f t="shared" si="23"/>
        <v>11-0-HH 2RATE (WC)-SmartFIX – 3 Year (Level 2)</v>
      </c>
      <c r="B1459" s="67" t="s">
        <v>13</v>
      </c>
      <c r="C1459" s="67">
        <v>11</v>
      </c>
      <c r="D1459" s="99" t="s">
        <v>20</v>
      </c>
      <c r="E1459" s="67" t="s">
        <v>730</v>
      </c>
      <c r="F1459" s="67" t="s">
        <v>88</v>
      </c>
      <c r="G1459" s="67" t="s">
        <v>727</v>
      </c>
      <c r="H1459" s="127">
        <v>0.42980000000000002</v>
      </c>
      <c r="I1459" s="109">
        <v>0.16639999999999999</v>
      </c>
      <c r="J1459" s="109">
        <v>0.122</v>
      </c>
      <c r="K1459" s="109" t="s">
        <v>717</v>
      </c>
      <c r="L1459" s="67">
        <v>5000</v>
      </c>
      <c r="M1459" s="67">
        <v>500000</v>
      </c>
      <c r="N1459" s="105">
        <v>44378</v>
      </c>
      <c r="O1459" s="105">
        <v>44561</v>
      </c>
      <c r="P1459" t="s">
        <v>718</v>
      </c>
    </row>
    <row r="1460" spans="1:16" ht="15" customHeight="1" x14ac:dyDescent="0.3">
      <c r="A1460" t="str">
        <f t="shared" si="23"/>
        <v>12-0-HH 2RATE (WC)-SmartFIX – 3 Year (Level 2)</v>
      </c>
      <c r="B1460" s="67" t="s">
        <v>13</v>
      </c>
      <c r="C1460" s="67">
        <v>12</v>
      </c>
      <c r="D1460" s="99" t="s">
        <v>21</v>
      </c>
      <c r="E1460" s="67" t="s">
        <v>730</v>
      </c>
      <c r="F1460" s="67" t="s">
        <v>88</v>
      </c>
      <c r="G1460" s="67" t="s">
        <v>727</v>
      </c>
      <c r="H1460" s="127">
        <v>0.35099999999999998</v>
      </c>
      <c r="I1460" s="109">
        <v>0.1623</v>
      </c>
      <c r="J1460" s="109">
        <v>0.111</v>
      </c>
      <c r="K1460" s="109" t="s">
        <v>717</v>
      </c>
      <c r="L1460" s="67">
        <v>5000</v>
      </c>
      <c r="M1460" s="67">
        <v>500000</v>
      </c>
      <c r="N1460" s="105">
        <v>44378</v>
      </c>
      <c r="O1460" s="105">
        <v>44561</v>
      </c>
      <c r="P1460" t="s">
        <v>718</v>
      </c>
    </row>
    <row r="1461" spans="1:16" ht="15" customHeight="1" x14ac:dyDescent="0.3">
      <c r="A1461" t="str">
        <f t="shared" si="23"/>
        <v>13-0-HH 2RATE (WC)-SmartFIX – 3 Year (Level 2)</v>
      </c>
      <c r="B1461" s="67" t="s">
        <v>13</v>
      </c>
      <c r="C1461" s="67">
        <v>13</v>
      </c>
      <c r="D1461" s="99" t="s">
        <v>22</v>
      </c>
      <c r="E1461" s="67" t="s">
        <v>730</v>
      </c>
      <c r="F1461" s="67" t="s">
        <v>88</v>
      </c>
      <c r="G1461" s="67" t="s">
        <v>727</v>
      </c>
      <c r="H1461" s="127">
        <v>0.39379999999999998</v>
      </c>
      <c r="I1461" s="109">
        <v>0.18859999999999999</v>
      </c>
      <c r="J1461" s="109">
        <v>0.13189999999999999</v>
      </c>
      <c r="K1461" s="109" t="s">
        <v>717</v>
      </c>
      <c r="L1461" s="67">
        <v>5000</v>
      </c>
      <c r="M1461" s="67">
        <v>500000</v>
      </c>
      <c r="N1461" s="105">
        <v>44378</v>
      </c>
      <c r="O1461" s="105">
        <v>44561</v>
      </c>
      <c r="P1461" t="s">
        <v>718</v>
      </c>
    </row>
    <row r="1462" spans="1:16" ht="15" customHeight="1" x14ac:dyDescent="0.3">
      <c r="A1462" t="str">
        <f t="shared" si="23"/>
        <v>14-0-HH 2RATE (WC)-SmartFIX – 3 Year (Level 2)</v>
      </c>
      <c r="B1462" s="67" t="s">
        <v>13</v>
      </c>
      <c r="C1462" s="67">
        <v>14</v>
      </c>
      <c r="D1462" s="99" t="s">
        <v>23</v>
      </c>
      <c r="E1462" s="67" t="s">
        <v>730</v>
      </c>
      <c r="F1462" s="67" t="s">
        <v>88</v>
      </c>
      <c r="G1462" s="67" t="s">
        <v>727</v>
      </c>
      <c r="H1462" s="127">
        <v>0.45290000000000002</v>
      </c>
      <c r="I1462" s="109">
        <v>0.17030000000000001</v>
      </c>
      <c r="J1462" s="109">
        <v>0.127</v>
      </c>
      <c r="K1462" s="109" t="s">
        <v>717</v>
      </c>
      <c r="L1462" s="67">
        <v>5000</v>
      </c>
      <c r="M1462" s="67">
        <v>500000</v>
      </c>
      <c r="N1462" s="105">
        <v>44378</v>
      </c>
      <c r="O1462" s="105">
        <v>44561</v>
      </c>
      <c r="P1462" t="s">
        <v>718</v>
      </c>
    </row>
    <row r="1463" spans="1:16" ht="15" customHeight="1" x14ac:dyDescent="0.3">
      <c r="A1463" t="str">
        <f t="shared" si="23"/>
        <v>15-0-HH 2RATE (WC)-SmartFIX – 3 Year (Level 2)</v>
      </c>
      <c r="B1463" s="67" t="s">
        <v>13</v>
      </c>
      <c r="C1463" s="67">
        <v>15</v>
      </c>
      <c r="D1463" s="99" t="s">
        <v>24</v>
      </c>
      <c r="E1463" s="67" t="s">
        <v>730</v>
      </c>
      <c r="F1463" s="67" t="s">
        <v>88</v>
      </c>
      <c r="G1463" s="67" t="s">
        <v>727</v>
      </c>
      <c r="H1463" s="127">
        <v>0.42909999999999998</v>
      </c>
      <c r="I1463" s="109">
        <v>0.17100000000000001</v>
      </c>
      <c r="J1463" s="109">
        <v>0.12540000000000001</v>
      </c>
      <c r="K1463" s="109" t="s">
        <v>717</v>
      </c>
      <c r="L1463" s="67">
        <v>5000</v>
      </c>
      <c r="M1463" s="67">
        <v>500000</v>
      </c>
      <c r="N1463" s="105">
        <v>44378</v>
      </c>
      <c r="O1463" s="105">
        <v>44561</v>
      </c>
      <c r="P1463" t="s">
        <v>718</v>
      </c>
    </row>
    <row r="1464" spans="1:16" ht="15" customHeight="1" x14ac:dyDescent="0.3">
      <c r="A1464" t="str">
        <f t="shared" si="23"/>
        <v>16-0-HH 2RATE (WC)-SmartFIX – 3 Year (Level 2)</v>
      </c>
      <c r="B1464" s="67" t="s">
        <v>13</v>
      </c>
      <c r="C1464" s="67">
        <v>16</v>
      </c>
      <c r="D1464" s="99" t="s">
        <v>25</v>
      </c>
      <c r="E1464" s="67" t="s">
        <v>730</v>
      </c>
      <c r="F1464" s="67" t="s">
        <v>88</v>
      </c>
      <c r="G1464" s="67" t="s">
        <v>727</v>
      </c>
      <c r="H1464" s="127">
        <v>0.38250000000000001</v>
      </c>
      <c r="I1464" s="109">
        <v>0.1734</v>
      </c>
      <c r="J1464" s="109">
        <v>0.1234</v>
      </c>
      <c r="K1464" s="109" t="s">
        <v>717</v>
      </c>
      <c r="L1464" s="67">
        <v>5000</v>
      </c>
      <c r="M1464" s="67">
        <v>500000</v>
      </c>
      <c r="N1464" s="105">
        <v>44378</v>
      </c>
      <c r="O1464" s="105">
        <v>44561</v>
      </c>
      <c r="P1464" t="s">
        <v>718</v>
      </c>
    </row>
    <row r="1465" spans="1:16" ht="15" customHeight="1" x14ac:dyDescent="0.3">
      <c r="A1465" t="str">
        <f t="shared" si="23"/>
        <v>17-0-HH 2RATE (WC)-SmartFIX – 3 Year (Level 2)</v>
      </c>
      <c r="B1465" s="67" t="s">
        <v>13</v>
      </c>
      <c r="C1465" s="67">
        <v>17</v>
      </c>
      <c r="D1465" s="99" t="s">
        <v>26</v>
      </c>
      <c r="E1465" s="67" t="s">
        <v>730</v>
      </c>
      <c r="F1465" s="67" t="s">
        <v>88</v>
      </c>
      <c r="G1465" s="67" t="s">
        <v>727</v>
      </c>
      <c r="H1465" s="127">
        <v>0.46820000000000001</v>
      </c>
      <c r="I1465" s="109">
        <v>0.17829999999999999</v>
      </c>
      <c r="J1465" s="109">
        <v>0.13300000000000001</v>
      </c>
      <c r="K1465" s="109" t="s">
        <v>717</v>
      </c>
      <c r="L1465" s="67">
        <v>5000</v>
      </c>
      <c r="M1465" s="67">
        <v>500000</v>
      </c>
      <c r="N1465" s="105">
        <v>44378</v>
      </c>
      <c r="O1465" s="105">
        <v>44561</v>
      </c>
      <c r="P1465" t="s">
        <v>718</v>
      </c>
    </row>
    <row r="1466" spans="1:16" ht="15" customHeight="1" x14ac:dyDescent="0.3">
      <c r="A1466" t="str">
        <f t="shared" si="23"/>
        <v>18-0-HH 2RATE (WC)-SmartFIX – 3 Year (Level 2)</v>
      </c>
      <c r="B1466" s="67" t="s">
        <v>13</v>
      </c>
      <c r="C1466" s="67">
        <v>18</v>
      </c>
      <c r="D1466" s="99" t="s">
        <v>27</v>
      </c>
      <c r="E1466" s="67" t="s">
        <v>730</v>
      </c>
      <c r="F1466" s="67" t="s">
        <v>88</v>
      </c>
      <c r="G1466" s="67" t="s">
        <v>727</v>
      </c>
      <c r="H1466" s="127">
        <v>0.41039999999999999</v>
      </c>
      <c r="I1466" s="109">
        <v>0.1736</v>
      </c>
      <c r="J1466" s="109">
        <v>0.12609999999999999</v>
      </c>
      <c r="K1466" s="109" t="s">
        <v>717</v>
      </c>
      <c r="L1466" s="67">
        <v>5000</v>
      </c>
      <c r="M1466" s="67">
        <v>500000</v>
      </c>
      <c r="N1466" s="105">
        <v>44378</v>
      </c>
      <c r="O1466" s="105">
        <v>44561</v>
      </c>
      <c r="P1466" t="s">
        <v>718</v>
      </c>
    </row>
    <row r="1467" spans="1:16" ht="15" customHeight="1" x14ac:dyDescent="0.3">
      <c r="A1467" t="str">
        <f t="shared" si="23"/>
        <v>19-0-HH 2RATE (WC)-SmartFIX – 3 Year (Level 2)</v>
      </c>
      <c r="B1467" s="67" t="s">
        <v>13</v>
      </c>
      <c r="C1467" s="67">
        <v>19</v>
      </c>
      <c r="D1467" s="99" t="s">
        <v>28</v>
      </c>
      <c r="E1467" s="67" t="s">
        <v>730</v>
      </c>
      <c r="F1467" s="67" t="s">
        <v>88</v>
      </c>
      <c r="G1467" s="67" t="s">
        <v>727</v>
      </c>
      <c r="H1467" s="127">
        <v>0.41199999999999998</v>
      </c>
      <c r="I1467" s="109">
        <v>0.16500000000000001</v>
      </c>
      <c r="J1467" s="109">
        <v>0.11310000000000001</v>
      </c>
      <c r="K1467" s="109" t="s">
        <v>717</v>
      </c>
      <c r="L1467" s="67">
        <v>5000</v>
      </c>
      <c r="M1467" s="67">
        <v>500000</v>
      </c>
      <c r="N1467" s="105">
        <v>44378</v>
      </c>
      <c r="O1467" s="105">
        <v>44561</v>
      </c>
      <c r="P1467" t="s">
        <v>718</v>
      </c>
    </row>
    <row r="1468" spans="1:16" ht="15" customHeight="1" x14ac:dyDescent="0.3">
      <c r="A1468" t="str">
        <f t="shared" si="23"/>
        <v>20-0-HH 2RATE (WC)-SmartFIX – 3 Year (Level 2)</v>
      </c>
      <c r="B1468" s="67" t="s">
        <v>13</v>
      </c>
      <c r="C1468" s="67">
        <v>20</v>
      </c>
      <c r="D1468" s="99" t="s">
        <v>29</v>
      </c>
      <c r="E1468" s="67" t="s">
        <v>730</v>
      </c>
      <c r="F1468" s="67" t="s">
        <v>88</v>
      </c>
      <c r="G1468" s="67" t="s">
        <v>727</v>
      </c>
      <c r="H1468" s="127">
        <v>0.40510000000000002</v>
      </c>
      <c r="I1468" s="109">
        <v>0.1656</v>
      </c>
      <c r="J1468" s="109">
        <v>0.11559999999999999</v>
      </c>
      <c r="K1468" s="109" t="s">
        <v>717</v>
      </c>
      <c r="L1468" s="67">
        <v>5000</v>
      </c>
      <c r="M1468" s="67">
        <v>500000</v>
      </c>
      <c r="N1468" s="105">
        <v>44378</v>
      </c>
      <c r="O1468" s="105">
        <v>44561</v>
      </c>
      <c r="P1468" t="s">
        <v>718</v>
      </c>
    </row>
    <row r="1469" spans="1:16" ht="15" customHeight="1" x14ac:dyDescent="0.3">
      <c r="A1469" t="str">
        <f t="shared" si="23"/>
        <v>21-0-HH 2RATE (WC)-SmartFIX – 3 Year (Level 2)</v>
      </c>
      <c r="B1469" s="67" t="s">
        <v>13</v>
      </c>
      <c r="C1469" s="67">
        <v>21</v>
      </c>
      <c r="D1469" s="99" t="s">
        <v>30</v>
      </c>
      <c r="E1469" s="67" t="s">
        <v>730</v>
      </c>
      <c r="F1469" s="67" t="s">
        <v>88</v>
      </c>
      <c r="G1469" s="67" t="s">
        <v>727</v>
      </c>
      <c r="H1469" s="127">
        <v>0.51429999999999998</v>
      </c>
      <c r="I1469" s="109">
        <v>0.1711</v>
      </c>
      <c r="J1469" s="109">
        <v>0.13009999999999999</v>
      </c>
      <c r="K1469" s="109" t="s">
        <v>717</v>
      </c>
      <c r="L1469" s="67">
        <v>5000</v>
      </c>
      <c r="M1469" s="67">
        <v>500000</v>
      </c>
      <c r="N1469" s="105">
        <v>44378</v>
      </c>
      <c r="O1469" s="105">
        <v>44561</v>
      </c>
      <c r="P1469" t="s">
        <v>718</v>
      </c>
    </row>
    <row r="1470" spans="1:16" ht="15" customHeight="1" x14ac:dyDescent="0.3">
      <c r="A1470" t="str">
        <f t="shared" si="23"/>
        <v>22-0-HH 2RATE (WC)-SmartFIX – 3 Year (Level 2)</v>
      </c>
      <c r="B1470" s="67" t="s">
        <v>13</v>
      </c>
      <c r="C1470" s="67">
        <v>22</v>
      </c>
      <c r="D1470" s="99" t="s">
        <v>31</v>
      </c>
      <c r="E1470" s="67" t="s">
        <v>730</v>
      </c>
      <c r="F1470" s="67" t="s">
        <v>88</v>
      </c>
      <c r="G1470" s="67" t="s">
        <v>727</v>
      </c>
      <c r="H1470" s="127">
        <v>0.4617</v>
      </c>
      <c r="I1470" s="109">
        <v>0.17660000000000001</v>
      </c>
      <c r="J1470" s="109">
        <v>0.13500000000000001</v>
      </c>
      <c r="K1470" s="109" t="s">
        <v>717</v>
      </c>
      <c r="L1470" s="67">
        <v>5000</v>
      </c>
      <c r="M1470" s="67">
        <v>500000</v>
      </c>
      <c r="N1470" s="105">
        <v>44378</v>
      </c>
      <c r="O1470" s="105">
        <v>44561</v>
      </c>
      <c r="P1470" t="s">
        <v>718</v>
      </c>
    </row>
    <row r="1471" spans="1:16" ht="15" customHeight="1" x14ac:dyDescent="0.3">
      <c r="A1471" t="str">
        <f t="shared" si="23"/>
        <v>23-0-HH 2RATE (WC)-SmartFIX – 3 Year (Level 2)</v>
      </c>
      <c r="B1471" s="67" t="s">
        <v>13</v>
      </c>
      <c r="C1471" s="67">
        <v>23</v>
      </c>
      <c r="D1471" s="99" t="s">
        <v>32</v>
      </c>
      <c r="E1471" s="67" t="s">
        <v>730</v>
      </c>
      <c r="F1471" s="67" t="s">
        <v>88</v>
      </c>
      <c r="G1471" s="67" t="s">
        <v>727</v>
      </c>
      <c r="H1471" s="127">
        <v>0.4219</v>
      </c>
      <c r="I1471" s="109">
        <v>0.1628</v>
      </c>
      <c r="J1471" s="109">
        <v>0.11840000000000001</v>
      </c>
      <c r="K1471" s="109" t="s">
        <v>717</v>
      </c>
      <c r="L1471" s="67">
        <v>5000</v>
      </c>
      <c r="M1471" s="67">
        <v>500000</v>
      </c>
      <c r="N1471" s="105">
        <v>44378</v>
      </c>
      <c r="O1471" s="105">
        <v>44561</v>
      </c>
      <c r="P1471" t="s">
        <v>718</v>
      </c>
    </row>
    <row r="1472" spans="1:16" ht="15" customHeight="1" x14ac:dyDescent="0.3">
      <c r="A1472" t="str">
        <f t="shared" si="23"/>
        <v>10-0-HH 2RATE (WC)-SmartFIX – 3 Year Renewal (Level 2)</v>
      </c>
      <c r="B1472" s="67" t="s">
        <v>13</v>
      </c>
      <c r="C1472" s="67">
        <v>10</v>
      </c>
      <c r="D1472" s="99" t="s">
        <v>14</v>
      </c>
      <c r="E1472" s="67" t="s">
        <v>730</v>
      </c>
      <c r="F1472" s="67" t="s">
        <v>88</v>
      </c>
      <c r="G1472" s="67" t="s">
        <v>736</v>
      </c>
      <c r="H1472" s="127">
        <v>0.46110000000000001</v>
      </c>
      <c r="I1472" s="109">
        <v>0.17400000000000002</v>
      </c>
      <c r="J1472" s="109">
        <v>0.11950000000000001</v>
      </c>
      <c r="K1472" s="109" t="s">
        <v>717</v>
      </c>
      <c r="L1472" s="67">
        <v>5000</v>
      </c>
      <c r="M1472" s="67">
        <v>500000</v>
      </c>
      <c r="N1472" s="105">
        <v>44378</v>
      </c>
      <c r="O1472" s="105">
        <v>44561</v>
      </c>
      <c r="P1472" t="s">
        <v>718</v>
      </c>
    </row>
    <row r="1473" spans="1:16" ht="15" customHeight="1" x14ac:dyDescent="0.3">
      <c r="A1473" t="str">
        <f t="shared" si="23"/>
        <v>11-0-HH 2RATE (WC)-SmartFIX – 3 Year Renewal (Level 2)</v>
      </c>
      <c r="B1473" s="67" t="s">
        <v>13</v>
      </c>
      <c r="C1473" s="67">
        <v>11</v>
      </c>
      <c r="D1473" s="99" t="s">
        <v>20</v>
      </c>
      <c r="E1473" s="67" t="s">
        <v>730</v>
      </c>
      <c r="F1473" s="67" t="s">
        <v>88</v>
      </c>
      <c r="G1473" s="67" t="s">
        <v>736</v>
      </c>
      <c r="H1473" s="127">
        <v>0.47270000000000001</v>
      </c>
      <c r="I1473" s="109">
        <v>0.1724</v>
      </c>
      <c r="J1473" s="109">
        <v>0.128</v>
      </c>
      <c r="K1473" s="109" t="s">
        <v>717</v>
      </c>
      <c r="L1473" s="67">
        <v>5000</v>
      </c>
      <c r="M1473" s="67">
        <v>500000</v>
      </c>
      <c r="N1473" s="105">
        <v>44378</v>
      </c>
      <c r="O1473" s="105">
        <v>44561</v>
      </c>
      <c r="P1473" t="s">
        <v>718</v>
      </c>
    </row>
    <row r="1474" spans="1:16" ht="15" customHeight="1" x14ac:dyDescent="0.3">
      <c r="A1474" t="str">
        <f t="shared" si="23"/>
        <v>12-0-HH 2RATE (WC)-SmartFIX – 3 Year Renewal (Level 2)</v>
      </c>
      <c r="B1474" s="67" t="s">
        <v>13</v>
      </c>
      <c r="C1474" s="67">
        <v>12</v>
      </c>
      <c r="D1474" s="99" t="s">
        <v>21</v>
      </c>
      <c r="E1474" s="67" t="s">
        <v>730</v>
      </c>
      <c r="F1474" s="67" t="s">
        <v>88</v>
      </c>
      <c r="G1474" s="67" t="s">
        <v>736</v>
      </c>
      <c r="H1474" s="127">
        <v>0.3861</v>
      </c>
      <c r="I1474" s="109">
        <v>0.16830000000000001</v>
      </c>
      <c r="J1474" s="109">
        <v>0.11700000000000001</v>
      </c>
      <c r="K1474" s="109" t="s">
        <v>717</v>
      </c>
      <c r="L1474" s="67">
        <v>5000</v>
      </c>
      <c r="M1474" s="67">
        <v>500000</v>
      </c>
      <c r="N1474" s="105">
        <v>44378</v>
      </c>
      <c r="O1474" s="105">
        <v>44561</v>
      </c>
      <c r="P1474" t="s">
        <v>718</v>
      </c>
    </row>
    <row r="1475" spans="1:16" ht="15" customHeight="1" x14ac:dyDescent="0.3">
      <c r="A1475" t="str">
        <f t="shared" si="23"/>
        <v>13-0-HH 2RATE (WC)-SmartFIX – 3 Year Renewal (Level 2)</v>
      </c>
      <c r="B1475" s="67" t="s">
        <v>13</v>
      </c>
      <c r="C1475" s="67">
        <v>13</v>
      </c>
      <c r="D1475" s="99" t="s">
        <v>22</v>
      </c>
      <c r="E1475" s="67" t="s">
        <v>730</v>
      </c>
      <c r="F1475" s="67" t="s">
        <v>88</v>
      </c>
      <c r="G1475" s="67" t="s">
        <v>736</v>
      </c>
      <c r="H1475" s="127">
        <v>0.43309999999999998</v>
      </c>
      <c r="I1475" s="109">
        <v>0.1946</v>
      </c>
      <c r="J1475" s="109">
        <v>0.13789999999999999</v>
      </c>
      <c r="K1475" s="109" t="s">
        <v>717</v>
      </c>
      <c r="L1475" s="67">
        <v>5000</v>
      </c>
      <c r="M1475" s="67">
        <v>500000</v>
      </c>
      <c r="N1475" s="105">
        <v>44378</v>
      </c>
      <c r="O1475" s="105">
        <v>44561</v>
      </c>
      <c r="P1475" t="s">
        <v>718</v>
      </c>
    </row>
    <row r="1476" spans="1:16" ht="15" customHeight="1" x14ac:dyDescent="0.3">
      <c r="A1476" t="str">
        <f t="shared" si="23"/>
        <v>14-0-HH 2RATE (WC)-SmartFIX – 3 Year Renewal (Level 2)</v>
      </c>
      <c r="B1476" s="67" t="s">
        <v>13</v>
      </c>
      <c r="C1476" s="67">
        <v>14</v>
      </c>
      <c r="D1476" s="99" t="s">
        <v>23</v>
      </c>
      <c r="E1476" s="67" t="s">
        <v>730</v>
      </c>
      <c r="F1476" s="67" t="s">
        <v>88</v>
      </c>
      <c r="G1476" s="67" t="s">
        <v>736</v>
      </c>
      <c r="H1476" s="127">
        <v>0.49819999999999998</v>
      </c>
      <c r="I1476" s="109">
        <v>0.17630000000000001</v>
      </c>
      <c r="J1476" s="109">
        <v>0.13300000000000001</v>
      </c>
      <c r="K1476" s="109" t="s">
        <v>717</v>
      </c>
      <c r="L1476" s="67">
        <v>5000</v>
      </c>
      <c r="M1476" s="67">
        <v>500000</v>
      </c>
      <c r="N1476" s="105">
        <v>44378</v>
      </c>
      <c r="O1476" s="105">
        <v>44561</v>
      </c>
      <c r="P1476" t="s">
        <v>718</v>
      </c>
    </row>
    <row r="1477" spans="1:16" ht="15" customHeight="1" x14ac:dyDescent="0.3">
      <c r="A1477" t="str">
        <f t="shared" si="23"/>
        <v>15-0-HH 2RATE (WC)-SmartFIX – 3 Year Renewal (Level 2)</v>
      </c>
      <c r="B1477" s="67" t="s">
        <v>13</v>
      </c>
      <c r="C1477" s="67">
        <v>15</v>
      </c>
      <c r="D1477" s="99" t="s">
        <v>24</v>
      </c>
      <c r="E1477" s="67" t="s">
        <v>730</v>
      </c>
      <c r="F1477" s="67" t="s">
        <v>88</v>
      </c>
      <c r="G1477" s="67" t="s">
        <v>736</v>
      </c>
      <c r="H1477" s="127">
        <v>0.47199999999999998</v>
      </c>
      <c r="I1477" s="109">
        <v>0.17700000000000002</v>
      </c>
      <c r="J1477" s="109">
        <v>0.13140000000000002</v>
      </c>
      <c r="K1477" s="109" t="s">
        <v>717</v>
      </c>
      <c r="L1477" s="67">
        <v>5000</v>
      </c>
      <c r="M1477" s="67">
        <v>500000</v>
      </c>
      <c r="N1477" s="105">
        <v>44378</v>
      </c>
      <c r="O1477" s="105">
        <v>44561</v>
      </c>
      <c r="P1477" t="s">
        <v>718</v>
      </c>
    </row>
    <row r="1478" spans="1:16" ht="15" customHeight="1" x14ac:dyDescent="0.3">
      <c r="A1478" t="str">
        <f t="shared" si="23"/>
        <v>16-0-HH 2RATE (WC)-SmartFIX – 3 Year Renewal (Level 2)</v>
      </c>
      <c r="B1478" s="67" t="s">
        <v>13</v>
      </c>
      <c r="C1478" s="67">
        <v>16</v>
      </c>
      <c r="D1478" s="99" t="s">
        <v>25</v>
      </c>
      <c r="E1478" s="67" t="s">
        <v>730</v>
      </c>
      <c r="F1478" s="67" t="s">
        <v>88</v>
      </c>
      <c r="G1478" s="67" t="s">
        <v>736</v>
      </c>
      <c r="H1478" s="127">
        <v>0.42070000000000002</v>
      </c>
      <c r="I1478" s="109">
        <v>0.1794</v>
      </c>
      <c r="J1478" s="109">
        <v>0.12939999999999999</v>
      </c>
      <c r="K1478" s="109" t="s">
        <v>717</v>
      </c>
      <c r="L1478" s="67">
        <v>5000</v>
      </c>
      <c r="M1478" s="67">
        <v>500000</v>
      </c>
      <c r="N1478" s="105">
        <v>44378</v>
      </c>
      <c r="O1478" s="105">
        <v>44561</v>
      </c>
      <c r="P1478" t="s">
        <v>718</v>
      </c>
    </row>
    <row r="1479" spans="1:16" ht="15" customHeight="1" x14ac:dyDescent="0.3">
      <c r="A1479" t="str">
        <f t="shared" si="23"/>
        <v>17-0-HH 2RATE (WC)-SmartFIX – 3 Year Renewal (Level 2)</v>
      </c>
      <c r="B1479" s="67" t="s">
        <v>13</v>
      </c>
      <c r="C1479" s="67">
        <v>17</v>
      </c>
      <c r="D1479" s="99" t="s">
        <v>26</v>
      </c>
      <c r="E1479" s="67" t="s">
        <v>730</v>
      </c>
      <c r="F1479" s="67" t="s">
        <v>88</v>
      </c>
      <c r="G1479" s="67" t="s">
        <v>736</v>
      </c>
      <c r="H1479" s="127">
        <v>0.51500000000000001</v>
      </c>
      <c r="I1479" s="109">
        <v>0.18429999999999999</v>
      </c>
      <c r="J1479" s="109">
        <v>0.13900000000000001</v>
      </c>
      <c r="K1479" s="109" t="s">
        <v>717</v>
      </c>
      <c r="L1479" s="67">
        <v>5000</v>
      </c>
      <c r="M1479" s="67">
        <v>500000</v>
      </c>
      <c r="N1479" s="105">
        <v>44378</v>
      </c>
      <c r="O1479" s="105">
        <v>44561</v>
      </c>
      <c r="P1479" t="s">
        <v>718</v>
      </c>
    </row>
    <row r="1480" spans="1:16" ht="15" customHeight="1" x14ac:dyDescent="0.3">
      <c r="A1480" t="str">
        <f t="shared" si="23"/>
        <v>18-0-HH 2RATE (WC)-SmartFIX – 3 Year Renewal (Level 2)</v>
      </c>
      <c r="B1480" s="67" t="s">
        <v>13</v>
      </c>
      <c r="C1480" s="67">
        <v>18</v>
      </c>
      <c r="D1480" s="99" t="s">
        <v>27</v>
      </c>
      <c r="E1480" s="67" t="s">
        <v>730</v>
      </c>
      <c r="F1480" s="67" t="s">
        <v>88</v>
      </c>
      <c r="G1480" s="67" t="s">
        <v>736</v>
      </c>
      <c r="H1480" s="127">
        <v>0.45150000000000001</v>
      </c>
      <c r="I1480" s="109">
        <v>0.17960000000000001</v>
      </c>
      <c r="J1480" s="109">
        <v>0.1321</v>
      </c>
      <c r="K1480" s="109" t="s">
        <v>717</v>
      </c>
      <c r="L1480" s="67">
        <v>5000</v>
      </c>
      <c r="M1480" s="67">
        <v>500000</v>
      </c>
      <c r="N1480" s="105">
        <v>44378</v>
      </c>
      <c r="O1480" s="105">
        <v>44561</v>
      </c>
      <c r="P1480" t="s">
        <v>718</v>
      </c>
    </row>
    <row r="1481" spans="1:16" ht="15" customHeight="1" x14ac:dyDescent="0.3">
      <c r="A1481" t="str">
        <f t="shared" si="23"/>
        <v>19-0-HH 2RATE (WC)-SmartFIX – 3 Year Renewal (Level 2)</v>
      </c>
      <c r="B1481" s="67" t="s">
        <v>13</v>
      </c>
      <c r="C1481" s="67">
        <v>19</v>
      </c>
      <c r="D1481" s="99" t="s">
        <v>28</v>
      </c>
      <c r="E1481" s="67" t="s">
        <v>730</v>
      </c>
      <c r="F1481" s="67" t="s">
        <v>88</v>
      </c>
      <c r="G1481" s="67" t="s">
        <v>736</v>
      </c>
      <c r="H1481" s="127">
        <v>0.45319999999999999</v>
      </c>
      <c r="I1481" s="109">
        <v>0.17100000000000001</v>
      </c>
      <c r="J1481" s="109">
        <v>0.11910000000000001</v>
      </c>
      <c r="K1481" s="109" t="s">
        <v>717</v>
      </c>
      <c r="L1481" s="67">
        <v>5000</v>
      </c>
      <c r="M1481" s="67">
        <v>500000</v>
      </c>
      <c r="N1481" s="105">
        <v>44378</v>
      </c>
      <c r="O1481" s="105">
        <v>44561</v>
      </c>
      <c r="P1481" t="s">
        <v>718</v>
      </c>
    </row>
    <row r="1482" spans="1:16" ht="15" customHeight="1" x14ac:dyDescent="0.3">
      <c r="A1482" t="str">
        <f t="shared" si="23"/>
        <v>20-0-HH 2RATE (WC)-SmartFIX – 3 Year Renewal (Level 2)</v>
      </c>
      <c r="B1482" s="67" t="s">
        <v>13</v>
      </c>
      <c r="C1482" s="67">
        <v>20</v>
      </c>
      <c r="D1482" s="99" t="s">
        <v>29</v>
      </c>
      <c r="E1482" s="67" t="s">
        <v>730</v>
      </c>
      <c r="F1482" s="67" t="s">
        <v>88</v>
      </c>
      <c r="G1482" s="67" t="s">
        <v>736</v>
      </c>
      <c r="H1482" s="127">
        <v>0.44569999999999999</v>
      </c>
      <c r="I1482" s="109">
        <v>0.1716</v>
      </c>
      <c r="J1482" s="109">
        <v>0.1216</v>
      </c>
      <c r="K1482" s="109" t="s">
        <v>717</v>
      </c>
      <c r="L1482" s="67">
        <v>5000</v>
      </c>
      <c r="M1482" s="67">
        <v>500000</v>
      </c>
      <c r="N1482" s="105">
        <v>44378</v>
      </c>
      <c r="O1482" s="105">
        <v>44561</v>
      </c>
      <c r="P1482" t="s">
        <v>718</v>
      </c>
    </row>
    <row r="1483" spans="1:16" ht="15" customHeight="1" x14ac:dyDescent="0.3">
      <c r="A1483" t="str">
        <f t="shared" si="23"/>
        <v>21-0-HH 2RATE (WC)-SmartFIX – 3 Year Renewal (Level 2)</v>
      </c>
      <c r="B1483" s="67" t="s">
        <v>13</v>
      </c>
      <c r="C1483" s="67">
        <v>21</v>
      </c>
      <c r="D1483" s="99" t="s">
        <v>30</v>
      </c>
      <c r="E1483" s="67" t="s">
        <v>730</v>
      </c>
      <c r="F1483" s="67" t="s">
        <v>88</v>
      </c>
      <c r="G1483" s="67" t="s">
        <v>736</v>
      </c>
      <c r="H1483" s="127">
        <v>0.56569999999999998</v>
      </c>
      <c r="I1483" s="109">
        <v>0.17710000000000001</v>
      </c>
      <c r="J1483" s="109">
        <v>0.1361</v>
      </c>
      <c r="K1483" s="109" t="s">
        <v>717</v>
      </c>
      <c r="L1483" s="67">
        <v>5000</v>
      </c>
      <c r="M1483" s="67">
        <v>500000</v>
      </c>
      <c r="N1483" s="105">
        <v>44378</v>
      </c>
      <c r="O1483" s="105">
        <v>44561</v>
      </c>
      <c r="P1483" t="s">
        <v>718</v>
      </c>
    </row>
    <row r="1484" spans="1:16" ht="15" customHeight="1" x14ac:dyDescent="0.3">
      <c r="A1484" t="str">
        <f t="shared" ref="A1484:A1547" si="24">IF(E1484="OP","",CONCATENATE(C1484,"-",RIGHT(F1484,1),"-",IF(OR(E1484="1 Rate MD",E1484="DAY"),"U",IF(OR(E1484="2 Rate MD",E1484="E7"),"E7",IF(OR(E1484="3 Rate MD (EW)",E1484="EW"),"EW",IF(OR(E1484="3 Rate MD",E1484="EWN"),"3RATE",IF(E1484="HH 2RATE (CT)","HH 2RATE (CT)",IF(E1484="HH 2RATE (WC)","HH 2RATE (WC)",IF(E1484="HH 1RATE (CT)","HH 1RATE (CT)",IF(E1484="HH 1RATE (WC)","HH 1RATE (WC)")))))))),"-",G1484))</f>
        <v>22-0-HH 2RATE (WC)-SmartFIX – 3 Year Renewal (Level 2)</v>
      </c>
      <c r="B1484" s="67" t="s">
        <v>13</v>
      </c>
      <c r="C1484" s="67">
        <v>22</v>
      </c>
      <c r="D1484" s="99" t="s">
        <v>31</v>
      </c>
      <c r="E1484" s="67" t="s">
        <v>730</v>
      </c>
      <c r="F1484" s="67" t="s">
        <v>88</v>
      </c>
      <c r="G1484" s="67" t="s">
        <v>736</v>
      </c>
      <c r="H1484" s="127">
        <v>0.50790000000000002</v>
      </c>
      <c r="I1484" s="109">
        <v>0.18260000000000001</v>
      </c>
      <c r="J1484" s="109">
        <v>0.14100000000000001</v>
      </c>
      <c r="K1484" s="109" t="s">
        <v>717</v>
      </c>
      <c r="L1484" s="67">
        <v>5000</v>
      </c>
      <c r="M1484" s="67">
        <v>500000</v>
      </c>
      <c r="N1484" s="105">
        <v>44378</v>
      </c>
      <c r="O1484" s="105">
        <v>44561</v>
      </c>
      <c r="P1484" t="s">
        <v>718</v>
      </c>
    </row>
    <row r="1485" spans="1:16" ht="15" customHeight="1" x14ac:dyDescent="0.3">
      <c r="A1485" t="str">
        <f t="shared" si="24"/>
        <v>23-0-HH 2RATE (WC)-SmartFIX – 3 Year Renewal (Level 2)</v>
      </c>
      <c r="B1485" s="67" t="s">
        <v>13</v>
      </c>
      <c r="C1485" s="67">
        <v>23</v>
      </c>
      <c r="D1485" s="99" t="s">
        <v>32</v>
      </c>
      <c r="E1485" s="67" t="s">
        <v>730</v>
      </c>
      <c r="F1485" s="67" t="s">
        <v>88</v>
      </c>
      <c r="G1485" s="67" t="s">
        <v>736</v>
      </c>
      <c r="H1485" s="127">
        <v>0.46410000000000001</v>
      </c>
      <c r="I1485" s="109">
        <v>0.16880000000000001</v>
      </c>
      <c r="J1485" s="109">
        <v>0.12440000000000001</v>
      </c>
      <c r="K1485" s="109" t="s">
        <v>717</v>
      </c>
      <c r="L1485" s="67">
        <v>5000</v>
      </c>
      <c r="M1485" s="67">
        <v>500000</v>
      </c>
      <c r="N1485" s="105">
        <v>44378</v>
      </c>
      <c r="O1485" s="105">
        <v>44561</v>
      </c>
      <c r="P1485" t="s">
        <v>718</v>
      </c>
    </row>
    <row r="1486" spans="1:16" ht="15" customHeight="1" x14ac:dyDescent="0.3">
      <c r="A1486" t="str">
        <f t="shared" si="24"/>
        <v>10-0-HH 2RATE (CT)-SmartFIX – 3 Year (Level 2)</v>
      </c>
      <c r="B1486" s="67" t="s">
        <v>13</v>
      </c>
      <c r="C1486" s="67">
        <v>10</v>
      </c>
      <c r="D1486" s="99" t="s">
        <v>14</v>
      </c>
      <c r="E1486" s="67" t="s">
        <v>729</v>
      </c>
      <c r="F1486" s="67" t="s">
        <v>88</v>
      </c>
      <c r="G1486" s="67" t="s">
        <v>727</v>
      </c>
      <c r="H1486" s="127">
        <v>0.5917</v>
      </c>
      <c r="I1486" s="109">
        <v>0.1668</v>
      </c>
      <c r="J1486" s="109">
        <v>0.11550000000000001</v>
      </c>
      <c r="K1486" s="109" t="s">
        <v>717</v>
      </c>
      <c r="L1486" s="67">
        <v>5000</v>
      </c>
      <c r="M1486" s="67">
        <v>500000</v>
      </c>
      <c r="N1486" s="105">
        <v>44378</v>
      </c>
      <c r="O1486" s="105">
        <v>44561</v>
      </c>
      <c r="P1486" t="s">
        <v>718</v>
      </c>
    </row>
    <row r="1487" spans="1:16" ht="15" customHeight="1" x14ac:dyDescent="0.3">
      <c r="A1487" t="str">
        <f t="shared" si="24"/>
        <v>11-0-HH 2RATE (CT)-SmartFIX – 3 Year (Level 2)</v>
      </c>
      <c r="B1487" s="67" t="s">
        <v>13</v>
      </c>
      <c r="C1487" s="67">
        <v>11</v>
      </c>
      <c r="D1487" s="99" t="s">
        <v>20</v>
      </c>
      <c r="E1487" s="67" t="s">
        <v>729</v>
      </c>
      <c r="F1487" s="67" t="s">
        <v>88</v>
      </c>
      <c r="G1487" s="67" t="s">
        <v>727</v>
      </c>
      <c r="H1487" s="127">
        <v>0.52580000000000005</v>
      </c>
      <c r="I1487" s="109">
        <v>0.16639999999999999</v>
      </c>
      <c r="J1487" s="109">
        <v>0.1232</v>
      </c>
      <c r="K1487" s="109" t="s">
        <v>717</v>
      </c>
      <c r="L1487" s="67">
        <v>5000</v>
      </c>
      <c r="M1487" s="67">
        <v>500000</v>
      </c>
      <c r="N1487" s="105">
        <v>44378</v>
      </c>
      <c r="O1487" s="105">
        <v>44561</v>
      </c>
      <c r="P1487" t="s">
        <v>718</v>
      </c>
    </row>
    <row r="1488" spans="1:16" ht="15" customHeight="1" x14ac:dyDescent="0.3">
      <c r="A1488" t="str">
        <f t="shared" si="24"/>
        <v>12-0-HH 2RATE (CT)-SmartFIX – 3 Year (Level 2)</v>
      </c>
      <c r="B1488" s="67" t="s">
        <v>13</v>
      </c>
      <c r="C1488" s="67">
        <v>12</v>
      </c>
      <c r="D1488" s="99" t="s">
        <v>21</v>
      </c>
      <c r="E1488" s="67" t="s">
        <v>729</v>
      </c>
      <c r="F1488" s="67" t="s">
        <v>88</v>
      </c>
      <c r="G1488" s="67" t="s">
        <v>727</v>
      </c>
      <c r="H1488" s="127">
        <v>0.48549999999999999</v>
      </c>
      <c r="I1488" s="109">
        <v>0.16500000000000001</v>
      </c>
      <c r="J1488" s="109">
        <v>0.111</v>
      </c>
      <c r="K1488" s="109" t="s">
        <v>717</v>
      </c>
      <c r="L1488" s="67">
        <v>5000</v>
      </c>
      <c r="M1488" s="67">
        <v>500000</v>
      </c>
      <c r="N1488" s="105">
        <v>44378</v>
      </c>
      <c r="O1488" s="105">
        <v>44561</v>
      </c>
      <c r="P1488" t="s">
        <v>718</v>
      </c>
    </row>
    <row r="1489" spans="1:16" ht="15" customHeight="1" x14ac:dyDescent="0.3">
      <c r="A1489" t="str">
        <f t="shared" si="24"/>
        <v>13-0-HH 2RATE (CT)-SmartFIX – 3 Year (Level 2)</v>
      </c>
      <c r="B1489" s="67" t="s">
        <v>13</v>
      </c>
      <c r="C1489" s="67">
        <v>13</v>
      </c>
      <c r="D1489" s="99" t="s">
        <v>22</v>
      </c>
      <c r="E1489" s="67" t="s">
        <v>729</v>
      </c>
      <c r="F1489" s="67" t="s">
        <v>88</v>
      </c>
      <c r="G1489" s="67" t="s">
        <v>727</v>
      </c>
      <c r="H1489" s="127">
        <v>0.68140000000000001</v>
      </c>
      <c r="I1489" s="109">
        <v>0.1867</v>
      </c>
      <c r="J1489" s="109">
        <v>0.13450000000000001</v>
      </c>
      <c r="K1489" s="109" t="s">
        <v>717</v>
      </c>
      <c r="L1489" s="67">
        <v>5000</v>
      </c>
      <c r="M1489" s="67">
        <v>500000</v>
      </c>
      <c r="N1489" s="105">
        <v>44378</v>
      </c>
      <c r="O1489" s="105">
        <v>44561</v>
      </c>
      <c r="P1489" t="s">
        <v>718</v>
      </c>
    </row>
    <row r="1490" spans="1:16" ht="15" customHeight="1" x14ac:dyDescent="0.3">
      <c r="A1490" t="str">
        <f t="shared" si="24"/>
        <v>14-0-HH 2RATE (CT)-SmartFIX – 3 Year (Level 2)</v>
      </c>
      <c r="B1490" s="67" t="s">
        <v>13</v>
      </c>
      <c r="C1490" s="67">
        <v>14</v>
      </c>
      <c r="D1490" s="99" t="s">
        <v>23</v>
      </c>
      <c r="E1490" s="67" t="s">
        <v>729</v>
      </c>
      <c r="F1490" s="67" t="s">
        <v>88</v>
      </c>
      <c r="G1490" s="67" t="s">
        <v>727</v>
      </c>
      <c r="H1490" s="127">
        <v>0.54020000000000001</v>
      </c>
      <c r="I1490" s="109">
        <v>0.17030000000000001</v>
      </c>
      <c r="J1490" s="109">
        <v>0.12820000000000001</v>
      </c>
      <c r="K1490" s="109" t="s">
        <v>717</v>
      </c>
      <c r="L1490" s="67">
        <v>5000</v>
      </c>
      <c r="M1490" s="67">
        <v>500000</v>
      </c>
      <c r="N1490" s="105">
        <v>44378</v>
      </c>
      <c r="O1490" s="105">
        <v>44561</v>
      </c>
      <c r="P1490" t="s">
        <v>718</v>
      </c>
    </row>
    <row r="1491" spans="1:16" ht="15" customHeight="1" x14ac:dyDescent="0.3">
      <c r="A1491" t="str">
        <f t="shared" si="24"/>
        <v>15-0-HH 2RATE (CT)-SmartFIX – 3 Year (Level 2)</v>
      </c>
      <c r="B1491" s="67" t="s">
        <v>13</v>
      </c>
      <c r="C1491" s="67">
        <v>15</v>
      </c>
      <c r="D1491" s="99" t="s">
        <v>24</v>
      </c>
      <c r="E1491" s="67" t="s">
        <v>729</v>
      </c>
      <c r="F1491" s="67" t="s">
        <v>88</v>
      </c>
      <c r="G1491" s="67" t="s">
        <v>727</v>
      </c>
      <c r="H1491" s="127">
        <v>0.65339999999999998</v>
      </c>
      <c r="I1491" s="109">
        <v>0.16950000000000001</v>
      </c>
      <c r="J1491" s="109">
        <v>0.1278</v>
      </c>
      <c r="K1491" s="109" t="s">
        <v>717</v>
      </c>
      <c r="L1491" s="67">
        <v>5000</v>
      </c>
      <c r="M1491" s="67">
        <v>500000</v>
      </c>
      <c r="N1491" s="105">
        <v>44378</v>
      </c>
      <c r="O1491" s="105">
        <v>44561</v>
      </c>
      <c r="P1491" t="s">
        <v>718</v>
      </c>
    </row>
    <row r="1492" spans="1:16" ht="15" customHeight="1" x14ac:dyDescent="0.3">
      <c r="A1492" t="str">
        <f t="shared" si="24"/>
        <v>16-0-HH 2RATE (CT)-SmartFIX – 3 Year (Level 2)</v>
      </c>
      <c r="B1492" s="67" t="s">
        <v>13</v>
      </c>
      <c r="C1492" s="67">
        <v>16</v>
      </c>
      <c r="D1492" s="99" t="s">
        <v>25</v>
      </c>
      <c r="E1492" s="67" t="s">
        <v>729</v>
      </c>
      <c r="F1492" s="67" t="s">
        <v>88</v>
      </c>
      <c r="G1492" s="67" t="s">
        <v>727</v>
      </c>
      <c r="H1492" s="127">
        <v>0.60860000000000003</v>
      </c>
      <c r="I1492" s="109">
        <v>0.1719</v>
      </c>
      <c r="J1492" s="109">
        <v>0.12540000000000001</v>
      </c>
      <c r="K1492" s="109" t="s">
        <v>717</v>
      </c>
      <c r="L1492" s="67">
        <v>5000</v>
      </c>
      <c r="M1492" s="67">
        <v>500000</v>
      </c>
      <c r="N1492" s="105">
        <v>44378</v>
      </c>
      <c r="O1492" s="105">
        <v>44561</v>
      </c>
      <c r="P1492" t="s">
        <v>718</v>
      </c>
    </row>
    <row r="1493" spans="1:16" ht="15" customHeight="1" x14ac:dyDescent="0.3">
      <c r="A1493" t="str">
        <f t="shared" si="24"/>
        <v>17-0-HH 2RATE (CT)-SmartFIX – 3 Year (Level 2)</v>
      </c>
      <c r="B1493" s="67" t="s">
        <v>13</v>
      </c>
      <c r="C1493" s="67">
        <v>17</v>
      </c>
      <c r="D1493" s="99" t="s">
        <v>26</v>
      </c>
      <c r="E1493" s="67" t="s">
        <v>729</v>
      </c>
      <c r="F1493" s="67" t="s">
        <v>88</v>
      </c>
      <c r="G1493" s="67" t="s">
        <v>727</v>
      </c>
      <c r="H1493" s="127">
        <v>0.82389999999999997</v>
      </c>
      <c r="I1493" s="109">
        <v>0.1895</v>
      </c>
      <c r="J1493" s="109">
        <v>0.14610000000000001</v>
      </c>
      <c r="K1493" s="109" t="s">
        <v>717</v>
      </c>
      <c r="L1493" s="67">
        <v>5000</v>
      </c>
      <c r="M1493" s="67">
        <v>500000</v>
      </c>
      <c r="N1493" s="105">
        <v>44378</v>
      </c>
      <c r="O1493" s="105">
        <v>44561</v>
      </c>
      <c r="P1493" t="s">
        <v>718</v>
      </c>
    </row>
    <row r="1494" spans="1:16" ht="15" customHeight="1" x14ac:dyDescent="0.3">
      <c r="A1494" t="str">
        <f t="shared" si="24"/>
        <v>18-0-HH 2RATE (CT)-SmartFIX – 3 Year (Level 2)</v>
      </c>
      <c r="B1494" s="67" t="s">
        <v>13</v>
      </c>
      <c r="C1494" s="67">
        <v>18</v>
      </c>
      <c r="D1494" s="99" t="s">
        <v>27</v>
      </c>
      <c r="E1494" s="67" t="s">
        <v>729</v>
      </c>
      <c r="F1494" s="67" t="s">
        <v>88</v>
      </c>
      <c r="G1494" s="67" t="s">
        <v>727</v>
      </c>
      <c r="H1494" s="127">
        <v>0.75529999999999997</v>
      </c>
      <c r="I1494" s="109">
        <v>0.17319999999999999</v>
      </c>
      <c r="J1494" s="109">
        <v>0.12939999999999999</v>
      </c>
      <c r="K1494" s="109" t="s">
        <v>717</v>
      </c>
      <c r="L1494" s="67">
        <v>5000</v>
      </c>
      <c r="M1494" s="67">
        <v>500000</v>
      </c>
      <c r="N1494" s="105">
        <v>44378</v>
      </c>
      <c r="O1494" s="105">
        <v>44561</v>
      </c>
      <c r="P1494" t="s">
        <v>718</v>
      </c>
    </row>
    <row r="1495" spans="1:16" ht="15" customHeight="1" x14ac:dyDescent="0.3">
      <c r="A1495" t="str">
        <f t="shared" si="24"/>
        <v>19-0-HH 2RATE (CT)-SmartFIX – 3 Year (Level 2)</v>
      </c>
      <c r="B1495" s="67" t="s">
        <v>13</v>
      </c>
      <c r="C1495" s="67">
        <v>19</v>
      </c>
      <c r="D1495" s="99" t="s">
        <v>28</v>
      </c>
      <c r="E1495" s="67" t="s">
        <v>729</v>
      </c>
      <c r="F1495" s="67" t="s">
        <v>88</v>
      </c>
      <c r="G1495" s="67" t="s">
        <v>727</v>
      </c>
      <c r="H1495" s="127">
        <v>0.59350000000000003</v>
      </c>
      <c r="I1495" s="109">
        <v>0.16889999999999999</v>
      </c>
      <c r="J1495" s="109">
        <v>0.1207</v>
      </c>
      <c r="K1495" s="109" t="s">
        <v>717</v>
      </c>
      <c r="L1495" s="67">
        <v>5000</v>
      </c>
      <c r="M1495" s="67">
        <v>500000</v>
      </c>
      <c r="N1495" s="105">
        <v>44378</v>
      </c>
      <c r="O1495" s="105">
        <v>44561</v>
      </c>
      <c r="P1495" t="s">
        <v>718</v>
      </c>
    </row>
    <row r="1496" spans="1:16" ht="15" customHeight="1" x14ac:dyDescent="0.3">
      <c r="A1496" t="str">
        <f t="shared" si="24"/>
        <v>20-0-HH 2RATE (CT)-SmartFIX – 3 Year (Level 2)</v>
      </c>
      <c r="B1496" s="67" t="s">
        <v>13</v>
      </c>
      <c r="C1496" s="67">
        <v>20</v>
      </c>
      <c r="D1496" s="99" t="s">
        <v>29</v>
      </c>
      <c r="E1496" s="67" t="s">
        <v>729</v>
      </c>
      <c r="F1496" s="67" t="s">
        <v>88</v>
      </c>
      <c r="G1496" s="67" t="s">
        <v>727</v>
      </c>
      <c r="H1496" s="127">
        <v>0.627</v>
      </c>
      <c r="I1496" s="109">
        <v>0.16839999999999999</v>
      </c>
      <c r="J1496" s="109">
        <v>0.12379999999999999</v>
      </c>
      <c r="K1496" s="109" t="s">
        <v>717</v>
      </c>
      <c r="L1496" s="67">
        <v>5000</v>
      </c>
      <c r="M1496" s="67">
        <v>500000</v>
      </c>
      <c r="N1496" s="105">
        <v>44378</v>
      </c>
      <c r="O1496" s="105">
        <v>44561</v>
      </c>
      <c r="P1496" t="s">
        <v>718</v>
      </c>
    </row>
    <row r="1497" spans="1:16" ht="15" customHeight="1" x14ac:dyDescent="0.3">
      <c r="A1497" t="str">
        <f t="shared" si="24"/>
        <v>21-0-HH 2RATE (CT)-SmartFIX – 3 Year (Level 2)</v>
      </c>
      <c r="B1497" s="67" t="s">
        <v>13</v>
      </c>
      <c r="C1497" s="67">
        <v>21</v>
      </c>
      <c r="D1497" s="99" t="s">
        <v>30</v>
      </c>
      <c r="E1497" s="67" t="s">
        <v>729</v>
      </c>
      <c r="F1497" s="67" t="s">
        <v>88</v>
      </c>
      <c r="G1497" s="67" t="s">
        <v>727</v>
      </c>
      <c r="H1497" s="127">
        <v>0.64390000000000003</v>
      </c>
      <c r="I1497" s="109">
        <v>0.17180000000000001</v>
      </c>
      <c r="J1497" s="109">
        <v>0.13100000000000001</v>
      </c>
      <c r="K1497" s="109" t="s">
        <v>717</v>
      </c>
      <c r="L1497" s="67">
        <v>5000</v>
      </c>
      <c r="M1497" s="67">
        <v>500000</v>
      </c>
      <c r="N1497" s="105">
        <v>44378</v>
      </c>
      <c r="O1497" s="105">
        <v>44561</v>
      </c>
      <c r="P1497" t="s">
        <v>718</v>
      </c>
    </row>
    <row r="1498" spans="1:16" ht="15" customHeight="1" x14ac:dyDescent="0.3">
      <c r="A1498" t="str">
        <f t="shared" si="24"/>
        <v>22-0-HH 2RATE (CT)-SmartFIX – 3 Year (Level 2)</v>
      </c>
      <c r="B1498" s="67" t="s">
        <v>13</v>
      </c>
      <c r="C1498" s="67">
        <v>22</v>
      </c>
      <c r="D1498" s="99" t="s">
        <v>31</v>
      </c>
      <c r="E1498" s="67" t="s">
        <v>729</v>
      </c>
      <c r="F1498" s="67" t="s">
        <v>88</v>
      </c>
      <c r="G1498" s="67" t="s">
        <v>727</v>
      </c>
      <c r="H1498" s="127">
        <v>0.56479999999999997</v>
      </c>
      <c r="I1498" s="109">
        <v>0.17460000000000001</v>
      </c>
      <c r="J1498" s="109">
        <v>0.14099999999999999</v>
      </c>
      <c r="K1498" s="109" t="s">
        <v>717</v>
      </c>
      <c r="L1498" s="67">
        <v>5000</v>
      </c>
      <c r="M1498" s="67">
        <v>500000</v>
      </c>
      <c r="N1498" s="105">
        <v>44378</v>
      </c>
      <c r="O1498" s="105">
        <v>44561</v>
      </c>
      <c r="P1498" t="s">
        <v>718</v>
      </c>
    </row>
    <row r="1499" spans="1:16" ht="15" customHeight="1" x14ac:dyDescent="0.3">
      <c r="A1499" t="str">
        <f t="shared" si="24"/>
        <v>23-0-HH 2RATE (CT)-SmartFIX – 3 Year (Level 2)</v>
      </c>
      <c r="B1499" s="67" t="s">
        <v>13</v>
      </c>
      <c r="C1499" s="67">
        <v>23</v>
      </c>
      <c r="D1499" s="99" t="s">
        <v>32</v>
      </c>
      <c r="E1499" s="67" t="s">
        <v>729</v>
      </c>
      <c r="F1499" s="67" t="s">
        <v>88</v>
      </c>
      <c r="G1499" s="67" t="s">
        <v>727</v>
      </c>
      <c r="H1499" s="127">
        <v>0.67410000000000003</v>
      </c>
      <c r="I1499" s="109">
        <v>0.16739999999999999</v>
      </c>
      <c r="J1499" s="109">
        <v>0.12470000000000001</v>
      </c>
      <c r="K1499" s="109" t="s">
        <v>717</v>
      </c>
      <c r="L1499" s="67">
        <v>5000</v>
      </c>
      <c r="M1499" s="67">
        <v>500000</v>
      </c>
      <c r="N1499" s="105">
        <v>44378</v>
      </c>
      <c r="O1499" s="105">
        <v>44561</v>
      </c>
      <c r="P1499" t="s">
        <v>718</v>
      </c>
    </row>
    <row r="1500" spans="1:16" ht="15" customHeight="1" x14ac:dyDescent="0.3">
      <c r="A1500" t="str">
        <f t="shared" si="24"/>
        <v>10-0-HH 2RATE (CT)-SmartFIX – 3 Year Renewal (Level 2)</v>
      </c>
      <c r="B1500" s="67" t="s">
        <v>13</v>
      </c>
      <c r="C1500" s="67">
        <v>10</v>
      </c>
      <c r="D1500" s="99" t="s">
        <v>14</v>
      </c>
      <c r="E1500" s="67" t="s">
        <v>729</v>
      </c>
      <c r="F1500" s="67" t="s">
        <v>88</v>
      </c>
      <c r="G1500" s="67" t="s">
        <v>736</v>
      </c>
      <c r="H1500" s="127">
        <v>0.65090000000000003</v>
      </c>
      <c r="I1500" s="109">
        <v>0.17080000000000001</v>
      </c>
      <c r="J1500" s="109">
        <v>0.11950000000000001</v>
      </c>
      <c r="K1500" s="109" t="s">
        <v>717</v>
      </c>
      <c r="L1500" s="67">
        <v>5000</v>
      </c>
      <c r="M1500" s="67">
        <v>500000</v>
      </c>
      <c r="N1500" s="105">
        <v>44378</v>
      </c>
      <c r="O1500" s="105">
        <v>44561</v>
      </c>
      <c r="P1500" t="s">
        <v>718</v>
      </c>
    </row>
    <row r="1501" spans="1:16" ht="15" customHeight="1" x14ac:dyDescent="0.3">
      <c r="A1501" t="str">
        <f t="shared" si="24"/>
        <v>11-0-HH 2RATE (CT)-SmartFIX – 3 Year Renewal (Level 2)</v>
      </c>
      <c r="B1501" s="67" t="s">
        <v>13</v>
      </c>
      <c r="C1501" s="67">
        <v>11</v>
      </c>
      <c r="D1501" s="99" t="s">
        <v>20</v>
      </c>
      <c r="E1501" s="67" t="s">
        <v>729</v>
      </c>
      <c r="F1501" s="67" t="s">
        <v>88</v>
      </c>
      <c r="G1501" s="67" t="s">
        <v>736</v>
      </c>
      <c r="H1501" s="127">
        <v>0.57840000000000003</v>
      </c>
      <c r="I1501" s="109">
        <v>0.1704</v>
      </c>
      <c r="J1501" s="109">
        <v>0.12720000000000001</v>
      </c>
      <c r="K1501" s="109" t="s">
        <v>717</v>
      </c>
      <c r="L1501" s="67">
        <v>5000</v>
      </c>
      <c r="M1501" s="67">
        <v>500000</v>
      </c>
      <c r="N1501" s="105">
        <v>44378</v>
      </c>
      <c r="O1501" s="105">
        <v>44561</v>
      </c>
      <c r="P1501" t="s">
        <v>718</v>
      </c>
    </row>
    <row r="1502" spans="1:16" ht="15" customHeight="1" x14ac:dyDescent="0.3">
      <c r="A1502" t="str">
        <f t="shared" si="24"/>
        <v>12-0-HH 2RATE (CT)-SmartFIX – 3 Year Renewal (Level 2)</v>
      </c>
      <c r="B1502" s="67" t="s">
        <v>13</v>
      </c>
      <c r="C1502" s="67">
        <v>12</v>
      </c>
      <c r="D1502" s="99" t="s">
        <v>21</v>
      </c>
      <c r="E1502" s="67" t="s">
        <v>729</v>
      </c>
      <c r="F1502" s="67" t="s">
        <v>88</v>
      </c>
      <c r="G1502" s="67" t="s">
        <v>736</v>
      </c>
      <c r="H1502" s="127">
        <v>0.53400000000000003</v>
      </c>
      <c r="I1502" s="109">
        <v>0.16900000000000001</v>
      </c>
      <c r="J1502" s="109">
        <v>0.115</v>
      </c>
      <c r="K1502" s="109" t="s">
        <v>717</v>
      </c>
      <c r="L1502" s="67">
        <v>5000</v>
      </c>
      <c r="M1502" s="67">
        <v>500000</v>
      </c>
      <c r="N1502" s="105">
        <v>44378</v>
      </c>
      <c r="O1502" s="105">
        <v>44561</v>
      </c>
      <c r="P1502" t="s">
        <v>718</v>
      </c>
    </row>
    <row r="1503" spans="1:16" ht="15" customHeight="1" x14ac:dyDescent="0.3">
      <c r="A1503" t="str">
        <f t="shared" si="24"/>
        <v>13-0-HH 2RATE (CT)-SmartFIX – 3 Year Renewal (Level 2)</v>
      </c>
      <c r="B1503" s="67" t="s">
        <v>13</v>
      </c>
      <c r="C1503" s="67">
        <v>13</v>
      </c>
      <c r="D1503" s="99" t="s">
        <v>22</v>
      </c>
      <c r="E1503" s="67" t="s">
        <v>729</v>
      </c>
      <c r="F1503" s="67" t="s">
        <v>88</v>
      </c>
      <c r="G1503" s="67" t="s">
        <v>736</v>
      </c>
      <c r="H1503" s="127">
        <v>0.74950000000000006</v>
      </c>
      <c r="I1503" s="109">
        <v>0.19070000000000001</v>
      </c>
      <c r="J1503" s="109">
        <v>0.13850000000000001</v>
      </c>
      <c r="K1503" s="109" t="s">
        <v>717</v>
      </c>
      <c r="L1503" s="67">
        <v>5000</v>
      </c>
      <c r="M1503" s="67">
        <v>500000</v>
      </c>
      <c r="N1503" s="105">
        <v>44378</v>
      </c>
      <c r="O1503" s="105">
        <v>44561</v>
      </c>
      <c r="P1503" t="s">
        <v>718</v>
      </c>
    </row>
    <row r="1504" spans="1:16" ht="15" customHeight="1" x14ac:dyDescent="0.3">
      <c r="A1504" t="str">
        <f t="shared" si="24"/>
        <v>14-0-HH 2RATE (CT)-SmartFIX – 3 Year Renewal (Level 2)</v>
      </c>
      <c r="B1504" s="67" t="s">
        <v>13</v>
      </c>
      <c r="C1504" s="67">
        <v>14</v>
      </c>
      <c r="D1504" s="99" t="s">
        <v>23</v>
      </c>
      <c r="E1504" s="67" t="s">
        <v>729</v>
      </c>
      <c r="F1504" s="67" t="s">
        <v>88</v>
      </c>
      <c r="G1504" s="67" t="s">
        <v>736</v>
      </c>
      <c r="H1504" s="127">
        <v>0.59430000000000005</v>
      </c>
      <c r="I1504" s="109">
        <v>0.17430000000000001</v>
      </c>
      <c r="J1504" s="109">
        <v>0.13220000000000001</v>
      </c>
      <c r="K1504" s="109" t="s">
        <v>717</v>
      </c>
      <c r="L1504" s="67">
        <v>5000</v>
      </c>
      <c r="M1504" s="67">
        <v>500000</v>
      </c>
      <c r="N1504" s="105">
        <v>44378</v>
      </c>
      <c r="O1504" s="105">
        <v>44561</v>
      </c>
      <c r="P1504" t="s">
        <v>718</v>
      </c>
    </row>
    <row r="1505" spans="1:16" ht="15" customHeight="1" x14ac:dyDescent="0.3">
      <c r="A1505" t="str">
        <f t="shared" si="24"/>
        <v>15-0-HH 2RATE (CT)-SmartFIX – 3 Year Renewal (Level 2)</v>
      </c>
      <c r="B1505" s="67" t="s">
        <v>13</v>
      </c>
      <c r="C1505" s="67">
        <v>15</v>
      </c>
      <c r="D1505" s="99" t="s">
        <v>24</v>
      </c>
      <c r="E1505" s="67" t="s">
        <v>729</v>
      </c>
      <c r="F1505" s="67" t="s">
        <v>88</v>
      </c>
      <c r="G1505" s="67" t="s">
        <v>736</v>
      </c>
      <c r="H1505" s="127">
        <v>0.71879999999999999</v>
      </c>
      <c r="I1505" s="109">
        <v>0.17350000000000002</v>
      </c>
      <c r="J1505" s="109">
        <v>0.1318</v>
      </c>
      <c r="K1505" s="109" t="s">
        <v>717</v>
      </c>
      <c r="L1505" s="67">
        <v>5000</v>
      </c>
      <c r="M1505" s="67">
        <v>500000</v>
      </c>
      <c r="N1505" s="105">
        <v>44378</v>
      </c>
      <c r="O1505" s="105">
        <v>44561</v>
      </c>
      <c r="P1505" t="s">
        <v>718</v>
      </c>
    </row>
    <row r="1506" spans="1:16" ht="15" customHeight="1" x14ac:dyDescent="0.3">
      <c r="A1506" t="str">
        <f t="shared" si="24"/>
        <v>16-0-HH 2RATE (CT)-SmartFIX – 3 Year Renewal (Level 2)</v>
      </c>
      <c r="B1506" s="67" t="s">
        <v>13</v>
      </c>
      <c r="C1506" s="67">
        <v>16</v>
      </c>
      <c r="D1506" s="99" t="s">
        <v>25</v>
      </c>
      <c r="E1506" s="67" t="s">
        <v>729</v>
      </c>
      <c r="F1506" s="67" t="s">
        <v>88</v>
      </c>
      <c r="G1506" s="67" t="s">
        <v>736</v>
      </c>
      <c r="H1506" s="127">
        <v>0.66949999999999998</v>
      </c>
      <c r="I1506" s="109">
        <v>0.1759</v>
      </c>
      <c r="J1506" s="109">
        <v>0.12940000000000002</v>
      </c>
      <c r="K1506" s="109" t="s">
        <v>717</v>
      </c>
      <c r="L1506" s="67">
        <v>5000</v>
      </c>
      <c r="M1506" s="67">
        <v>500000</v>
      </c>
      <c r="N1506" s="105">
        <v>44378</v>
      </c>
      <c r="O1506" s="105">
        <v>44561</v>
      </c>
      <c r="P1506" t="s">
        <v>718</v>
      </c>
    </row>
    <row r="1507" spans="1:16" ht="15" customHeight="1" x14ac:dyDescent="0.3">
      <c r="A1507" t="str">
        <f t="shared" si="24"/>
        <v>17-0-HH 2RATE (CT)-SmartFIX – 3 Year Renewal (Level 2)</v>
      </c>
      <c r="B1507" s="67" t="s">
        <v>13</v>
      </c>
      <c r="C1507" s="67">
        <v>17</v>
      </c>
      <c r="D1507" s="99" t="s">
        <v>26</v>
      </c>
      <c r="E1507" s="67" t="s">
        <v>729</v>
      </c>
      <c r="F1507" s="67" t="s">
        <v>88</v>
      </c>
      <c r="G1507" s="67" t="s">
        <v>736</v>
      </c>
      <c r="H1507" s="127">
        <v>0.90629999999999999</v>
      </c>
      <c r="I1507" s="109">
        <v>0.19350000000000001</v>
      </c>
      <c r="J1507" s="109">
        <v>0.15010000000000001</v>
      </c>
      <c r="K1507" s="109" t="s">
        <v>717</v>
      </c>
      <c r="L1507" s="67">
        <v>5000</v>
      </c>
      <c r="M1507" s="67">
        <v>500000</v>
      </c>
      <c r="N1507" s="105">
        <v>44378</v>
      </c>
      <c r="O1507" s="105">
        <v>44561</v>
      </c>
      <c r="P1507" t="s">
        <v>718</v>
      </c>
    </row>
    <row r="1508" spans="1:16" ht="15" customHeight="1" x14ac:dyDescent="0.3">
      <c r="A1508" t="str">
        <f t="shared" si="24"/>
        <v>18-0-HH 2RATE (CT)-SmartFIX – 3 Year Renewal (Level 2)</v>
      </c>
      <c r="B1508" s="67" t="s">
        <v>13</v>
      </c>
      <c r="C1508" s="67">
        <v>18</v>
      </c>
      <c r="D1508" s="99" t="s">
        <v>27</v>
      </c>
      <c r="E1508" s="67" t="s">
        <v>729</v>
      </c>
      <c r="F1508" s="67" t="s">
        <v>88</v>
      </c>
      <c r="G1508" s="67" t="s">
        <v>736</v>
      </c>
      <c r="H1508" s="127">
        <v>0.83079999999999998</v>
      </c>
      <c r="I1508" s="109">
        <v>0.1772</v>
      </c>
      <c r="J1508" s="109">
        <v>0.13339999999999999</v>
      </c>
      <c r="K1508" s="109" t="s">
        <v>717</v>
      </c>
      <c r="L1508" s="67">
        <v>5000</v>
      </c>
      <c r="M1508" s="67">
        <v>500000</v>
      </c>
      <c r="N1508" s="105">
        <v>44378</v>
      </c>
      <c r="O1508" s="105">
        <v>44561</v>
      </c>
      <c r="P1508" t="s">
        <v>718</v>
      </c>
    </row>
    <row r="1509" spans="1:16" ht="15" customHeight="1" x14ac:dyDescent="0.3">
      <c r="A1509" t="str">
        <f t="shared" si="24"/>
        <v>19-0-HH 2RATE (CT)-SmartFIX – 3 Year Renewal (Level 2)</v>
      </c>
      <c r="B1509" s="67" t="s">
        <v>13</v>
      </c>
      <c r="C1509" s="67">
        <v>19</v>
      </c>
      <c r="D1509" s="99" t="s">
        <v>28</v>
      </c>
      <c r="E1509" s="67" t="s">
        <v>729</v>
      </c>
      <c r="F1509" s="67" t="s">
        <v>88</v>
      </c>
      <c r="G1509" s="67" t="s">
        <v>736</v>
      </c>
      <c r="H1509" s="127">
        <v>0.65290000000000004</v>
      </c>
      <c r="I1509" s="109">
        <v>0.1729</v>
      </c>
      <c r="J1509" s="109">
        <v>0.12470000000000001</v>
      </c>
      <c r="K1509" s="109" t="s">
        <v>717</v>
      </c>
      <c r="L1509" s="67">
        <v>5000</v>
      </c>
      <c r="M1509" s="67">
        <v>500000</v>
      </c>
      <c r="N1509" s="105">
        <v>44378</v>
      </c>
      <c r="O1509" s="105">
        <v>44561</v>
      </c>
      <c r="P1509" t="s">
        <v>718</v>
      </c>
    </row>
    <row r="1510" spans="1:16" ht="15" customHeight="1" x14ac:dyDescent="0.3">
      <c r="A1510" t="str">
        <f t="shared" si="24"/>
        <v>20-0-HH 2RATE (CT)-SmartFIX – 3 Year Renewal (Level 2)</v>
      </c>
      <c r="B1510" s="67" t="s">
        <v>13</v>
      </c>
      <c r="C1510" s="67">
        <v>20</v>
      </c>
      <c r="D1510" s="99" t="s">
        <v>29</v>
      </c>
      <c r="E1510" s="67" t="s">
        <v>729</v>
      </c>
      <c r="F1510" s="67" t="s">
        <v>88</v>
      </c>
      <c r="G1510" s="67" t="s">
        <v>736</v>
      </c>
      <c r="H1510" s="127">
        <v>0.68969999999999998</v>
      </c>
      <c r="I1510" s="109">
        <v>0.1724</v>
      </c>
      <c r="J1510" s="109">
        <v>0.1278</v>
      </c>
      <c r="K1510" s="109" t="s">
        <v>717</v>
      </c>
      <c r="L1510" s="67">
        <v>5000</v>
      </c>
      <c r="M1510" s="67">
        <v>500000</v>
      </c>
      <c r="N1510" s="105">
        <v>44378</v>
      </c>
      <c r="O1510" s="105">
        <v>44561</v>
      </c>
      <c r="P1510" t="s">
        <v>718</v>
      </c>
    </row>
    <row r="1511" spans="1:16" ht="15" customHeight="1" x14ac:dyDescent="0.3">
      <c r="A1511" t="str">
        <f t="shared" si="24"/>
        <v>21-0-HH 2RATE (CT)-SmartFIX – 3 Year Renewal (Level 2)</v>
      </c>
      <c r="B1511" s="67" t="s">
        <v>13</v>
      </c>
      <c r="C1511" s="67">
        <v>21</v>
      </c>
      <c r="D1511" s="99" t="s">
        <v>30</v>
      </c>
      <c r="E1511" s="67" t="s">
        <v>729</v>
      </c>
      <c r="F1511" s="67" t="s">
        <v>88</v>
      </c>
      <c r="G1511" s="67" t="s">
        <v>736</v>
      </c>
      <c r="H1511" s="127">
        <v>0.70830000000000004</v>
      </c>
      <c r="I1511" s="109">
        <v>0.17580000000000001</v>
      </c>
      <c r="J1511" s="109">
        <v>0.13500000000000001</v>
      </c>
      <c r="K1511" s="109" t="s">
        <v>717</v>
      </c>
      <c r="L1511" s="67">
        <v>5000</v>
      </c>
      <c r="M1511" s="67">
        <v>500000</v>
      </c>
      <c r="N1511" s="105">
        <v>44378</v>
      </c>
      <c r="O1511" s="105">
        <v>44561</v>
      </c>
      <c r="P1511" t="s">
        <v>718</v>
      </c>
    </row>
    <row r="1512" spans="1:16" ht="15" customHeight="1" x14ac:dyDescent="0.3">
      <c r="A1512" t="str">
        <f t="shared" si="24"/>
        <v>22-0-HH 2RATE (CT)-SmartFIX – 3 Year Renewal (Level 2)</v>
      </c>
      <c r="B1512" s="67" t="s">
        <v>13</v>
      </c>
      <c r="C1512" s="67">
        <v>22</v>
      </c>
      <c r="D1512" s="99" t="s">
        <v>31</v>
      </c>
      <c r="E1512" s="67" t="s">
        <v>729</v>
      </c>
      <c r="F1512" s="67" t="s">
        <v>88</v>
      </c>
      <c r="G1512" s="67" t="s">
        <v>736</v>
      </c>
      <c r="H1512" s="127">
        <v>0.62129999999999996</v>
      </c>
      <c r="I1512" s="109">
        <v>0.17860000000000001</v>
      </c>
      <c r="J1512" s="109">
        <v>0.14499999999999999</v>
      </c>
      <c r="K1512" s="109" t="s">
        <v>717</v>
      </c>
      <c r="L1512" s="67">
        <v>5000</v>
      </c>
      <c r="M1512" s="67">
        <v>500000</v>
      </c>
      <c r="N1512" s="105">
        <v>44378</v>
      </c>
      <c r="O1512" s="105">
        <v>44561</v>
      </c>
      <c r="P1512" t="s">
        <v>718</v>
      </c>
    </row>
    <row r="1513" spans="1:16" ht="15" customHeight="1" x14ac:dyDescent="0.3">
      <c r="A1513" t="str">
        <f t="shared" si="24"/>
        <v>23-0-HH 2RATE (CT)-SmartFIX – 3 Year Renewal (Level 2)</v>
      </c>
      <c r="B1513" s="67" t="s">
        <v>13</v>
      </c>
      <c r="C1513" s="67">
        <v>23</v>
      </c>
      <c r="D1513" s="99" t="s">
        <v>32</v>
      </c>
      <c r="E1513" s="67" t="s">
        <v>729</v>
      </c>
      <c r="F1513" s="67" t="s">
        <v>88</v>
      </c>
      <c r="G1513" s="67" t="s">
        <v>736</v>
      </c>
      <c r="H1513" s="127">
        <v>0.74150000000000005</v>
      </c>
      <c r="I1513" s="109">
        <v>0.1714</v>
      </c>
      <c r="J1513" s="109">
        <v>0.12870000000000001</v>
      </c>
      <c r="K1513" s="109" t="s">
        <v>717</v>
      </c>
      <c r="L1513" s="67">
        <v>5000</v>
      </c>
      <c r="M1513" s="67">
        <v>500000</v>
      </c>
      <c r="N1513" s="105">
        <v>44378</v>
      </c>
      <c r="O1513" s="105">
        <v>44561</v>
      </c>
      <c r="P1513" t="s">
        <v>718</v>
      </c>
    </row>
    <row r="1514" spans="1:16" ht="15" customHeight="1" x14ac:dyDescent="0.3">
      <c r="A1514" t="str">
        <f t="shared" si="24"/>
        <v>10-0-HH 1RATE (CT)-SmartTRACKER (Level 2)</v>
      </c>
      <c r="B1514" s="67" t="s">
        <v>13</v>
      </c>
      <c r="C1514" s="67">
        <v>10</v>
      </c>
      <c r="D1514" s="99" t="s">
        <v>14</v>
      </c>
      <c r="E1514" s="67" t="s">
        <v>731</v>
      </c>
      <c r="F1514" s="67" t="s">
        <v>88</v>
      </c>
      <c r="G1514" s="67" t="s">
        <v>724</v>
      </c>
      <c r="H1514" s="127">
        <v>0.50439999999999996</v>
      </c>
      <c r="I1514" s="109">
        <v>0.16189999999999999</v>
      </c>
      <c r="J1514" s="109"/>
      <c r="K1514" s="109"/>
      <c r="L1514" s="67">
        <v>5000</v>
      </c>
      <c r="M1514" s="67">
        <v>500000</v>
      </c>
      <c r="N1514" s="105">
        <v>44378</v>
      </c>
      <c r="O1514" s="105">
        <v>44561</v>
      </c>
      <c r="P1514" t="s">
        <v>718</v>
      </c>
    </row>
    <row r="1515" spans="1:16" ht="15" customHeight="1" x14ac:dyDescent="0.3">
      <c r="A1515" t="str">
        <f t="shared" si="24"/>
        <v>11-0-HH 1RATE (CT)-SmartTRACKER (Level 2)</v>
      </c>
      <c r="B1515" s="67" t="s">
        <v>13</v>
      </c>
      <c r="C1515" s="67">
        <v>11</v>
      </c>
      <c r="D1515" s="99" t="s">
        <v>20</v>
      </c>
      <c r="E1515" s="67" t="s">
        <v>731</v>
      </c>
      <c r="F1515" s="67" t="s">
        <v>88</v>
      </c>
      <c r="G1515" s="67" t="s">
        <v>724</v>
      </c>
      <c r="H1515" s="127">
        <v>0.44829999999999998</v>
      </c>
      <c r="I1515" s="109">
        <v>0.16089999999999999</v>
      </c>
      <c r="J1515" s="109"/>
      <c r="K1515" s="109"/>
      <c r="L1515" s="67">
        <v>5000</v>
      </c>
      <c r="M1515" s="67">
        <v>500000</v>
      </c>
      <c r="N1515" s="105">
        <v>44378</v>
      </c>
      <c r="O1515" s="105">
        <v>44561</v>
      </c>
      <c r="P1515" t="s">
        <v>718</v>
      </c>
    </row>
    <row r="1516" spans="1:16" ht="15" customHeight="1" x14ac:dyDescent="0.3">
      <c r="A1516" t="str">
        <f t="shared" si="24"/>
        <v>12-0-HH 1RATE (CT)-SmartTRACKER (Level 2)</v>
      </c>
      <c r="B1516" s="67" t="s">
        <v>13</v>
      </c>
      <c r="C1516" s="67">
        <v>12</v>
      </c>
      <c r="D1516" s="99" t="s">
        <v>21</v>
      </c>
      <c r="E1516" s="67" t="s">
        <v>731</v>
      </c>
      <c r="F1516" s="67" t="s">
        <v>88</v>
      </c>
      <c r="G1516" s="67" t="s">
        <v>724</v>
      </c>
      <c r="H1516" s="127">
        <v>0.41389999999999999</v>
      </c>
      <c r="I1516" s="109">
        <v>0.15770000000000001</v>
      </c>
      <c r="J1516" s="109"/>
      <c r="K1516" s="109"/>
      <c r="L1516" s="67">
        <v>5000</v>
      </c>
      <c r="M1516" s="67">
        <v>500000</v>
      </c>
      <c r="N1516" s="105">
        <v>44378</v>
      </c>
      <c r="O1516" s="105">
        <v>44561</v>
      </c>
      <c r="P1516" t="s">
        <v>718</v>
      </c>
    </row>
    <row r="1517" spans="1:16" ht="15" customHeight="1" x14ac:dyDescent="0.3">
      <c r="A1517" t="str">
        <f t="shared" si="24"/>
        <v>13-0-HH 1RATE (CT)-SmartTRACKER (Level 2)</v>
      </c>
      <c r="B1517" s="67" t="s">
        <v>13</v>
      </c>
      <c r="C1517" s="67">
        <v>13</v>
      </c>
      <c r="D1517" s="99" t="s">
        <v>22</v>
      </c>
      <c r="E1517" s="67" t="s">
        <v>731</v>
      </c>
      <c r="F1517" s="67" t="s">
        <v>88</v>
      </c>
      <c r="G1517" s="67" t="s">
        <v>724</v>
      </c>
      <c r="H1517" s="127">
        <v>0.58089999999999997</v>
      </c>
      <c r="I1517" s="109">
        <v>0.18959999999999999</v>
      </c>
      <c r="J1517" s="109"/>
      <c r="K1517" s="109"/>
      <c r="L1517" s="67">
        <v>5000</v>
      </c>
      <c r="M1517" s="67">
        <v>500000</v>
      </c>
      <c r="N1517" s="105">
        <v>44378</v>
      </c>
      <c r="O1517" s="105">
        <v>44561</v>
      </c>
      <c r="P1517" t="s">
        <v>718</v>
      </c>
    </row>
    <row r="1518" spans="1:16" ht="15" customHeight="1" x14ac:dyDescent="0.3">
      <c r="A1518" t="str">
        <f t="shared" si="24"/>
        <v>14-0-HH 1RATE (CT)-SmartTRACKER (Level 2)</v>
      </c>
      <c r="B1518" s="67" t="s">
        <v>13</v>
      </c>
      <c r="C1518" s="67">
        <v>14</v>
      </c>
      <c r="D1518" s="99" t="s">
        <v>23</v>
      </c>
      <c r="E1518" s="67" t="s">
        <v>731</v>
      </c>
      <c r="F1518" s="67" t="s">
        <v>88</v>
      </c>
      <c r="G1518" s="67" t="s">
        <v>724</v>
      </c>
      <c r="H1518" s="127">
        <v>0.46060000000000001</v>
      </c>
      <c r="I1518" s="109">
        <v>0.1651</v>
      </c>
      <c r="J1518" s="109"/>
      <c r="K1518" s="109"/>
      <c r="L1518" s="67">
        <v>5000</v>
      </c>
      <c r="M1518" s="67">
        <v>500000</v>
      </c>
      <c r="N1518" s="105">
        <v>44378</v>
      </c>
      <c r="O1518" s="105">
        <v>44561</v>
      </c>
      <c r="P1518" t="s">
        <v>718</v>
      </c>
    </row>
    <row r="1519" spans="1:16" ht="15" customHeight="1" x14ac:dyDescent="0.3">
      <c r="A1519" t="str">
        <f t="shared" si="24"/>
        <v>15-0-HH 1RATE (CT)-SmartTRACKER (Level 2)</v>
      </c>
      <c r="B1519" s="67" t="s">
        <v>13</v>
      </c>
      <c r="C1519" s="67">
        <v>15</v>
      </c>
      <c r="D1519" s="99" t="s">
        <v>24</v>
      </c>
      <c r="E1519" s="67" t="s">
        <v>731</v>
      </c>
      <c r="F1519" s="67" t="s">
        <v>88</v>
      </c>
      <c r="G1519" s="67" t="s">
        <v>724</v>
      </c>
      <c r="H1519" s="127">
        <v>0.55710000000000004</v>
      </c>
      <c r="I1519" s="109">
        <v>0.16270000000000001</v>
      </c>
      <c r="J1519" s="109"/>
      <c r="K1519" s="109"/>
      <c r="L1519" s="67">
        <v>5000</v>
      </c>
      <c r="M1519" s="67">
        <v>500000</v>
      </c>
      <c r="N1519" s="105">
        <v>44378</v>
      </c>
      <c r="O1519" s="105">
        <v>44561</v>
      </c>
      <c r="P1519" t="s">
        <v>718</v>
      </c>
    </row>
    <row r="1520" spans="1:16" ht="15" customHeight="1" x14ac:dyDescent="0.3">
      <c r="A1520" t="str">
        <f t="shared" si="24"/>
        <v>16-0-HH 1RATE (CT)-SmartTRACKER (Level 2)</v>
      </c>
      <c r="B1520" s="67" t="s">
        <v>13</v>
      </c>
      <c r="C1520" s="67">
        <v>16</v>
      </c>
      <c r="D1520" s="99" t="s">
        <v>25</v>
      </c>
      <c r="E1520" s="67" t="s">
        <v>731</v>
      </c>
      <c r="F1520" s="67" t="s">
        <v>88</v>
      </c>
      <c r="G1520" s="67" t="s">
        <v>724</v>
      </c>
      <c r="H1520" s="127">
        <v>0.51890000000000003</v>
      </c>
      <c r="I1520" s="109">
        <v>0.1656</v>
      </c>
      <c r="J1520" s="109"/>
      <c r="K1520" s="109"/>
      <c r="L1520" s="67">
        <v>5000</v>
      </c>
      <c r="M1520" s="67">
        <v>500000</v>
      </c>
      <c r="N1520" s="105">
        <v>44378</v>
      </c>
      <c r="O1520" s="105">
        <v>44561</v>
      </c>
      <c r="P1520" t="s">
        <v>718</v>
      </c>
    </row>
    <row r="1521" spans="1:16" ht="15" customHeight="1" x14ac:dyDescent="0.3">
      <c r="A1521" t="str">
        <f t="shared" si="24"/>
        <v>17-0-HH 1RATE (CT)-SmartTRACKER (Level 2)</v>
      </c>
      <c r="B1521" s="67" t="s">
        <v>13</v>
      </c>
      <c r="C1521" s="67">
        <v>17</v>
      </c>
      <c r="D1521" s="99" t="s">
        <v>26</v>
      </c>
      <c r="E1521" s="67" t="s">
        <v>731</v>
      </c>
      <c r="F1521" s="67" t="s">
        <v>88</v>
      </c>
      <c r="G1521" s="67" t="s">
        <v>724</v>
      </c>
      <c r="H1521" s="127">
        <v>0.70240000000000002</v>
      </c>
      <c r="I1521" s="109">
        <v>0.16389999999999999</v>
      </c>
      <c r="J1521" s="109"/>
      <c r="K1521" s="109"/>
      <c r="L1521" s="67">
        <v>5000</v>
      </c>
      <c r="M1521" s="67">
        <v>500000</v>
      </c>
      <c r="N1521" s="105">
        <v>44378</v>
      </c>
      <c r="O1521" s="105">
        <v>44561</v>
      </c>
      <c r="P1521" t="s">
        <v>718</v>
      </c>
    </row>
    <row r="1522" spans="1:16" ht="15" customHeight="1" x14ac:dyDescent="0.3">
      <c r="A1522" t="str">
        <f t="shared" si="24"/>
        <v>18-0-HH 1RATE (CT)-SmartTRACKER (Level 2)</v>
      </c>
      <c r="B1522" s="67" t="s">
        <v>13</v>
      </c>
      <c r="C1522" s="67">
        <v>18</v>
      </c>
      <c r="D1522" s="99" t="s">
        <v>27</v>
      </c>
      <c r="E1522" s="67" t="s">
        <v>731</v>
      </c>
      <c r="F1522" s="67" t="s">
        <v>88</v>
      </c>
      <c r="G1522" s="67" t="s">
        <v>724</v>
      </c>
      <c r="H1522" s="127">
        <v>0.64390000000000003</v>
      </c>
      <c r="I1522" s="109">
        <v>0.15959999999999999</v>
      </c>
      <c r="J1522" s="109"/>
      <c r="K1522" s="109"/>
      <c r="L1522" s="67">
        <v>5000</v>
      </c>
      <c r="M1522" s="67">
        <v>500000</v>
      </c>
      <c r="N1522" s="105">
        <v>44378</v>
      </c>
      <c r="O1522" s="105">
        <v>44561</v>
      </c>
      <c r="P1522" t="s">
        <v>718</v>
      </c>
    </row>
    <row r="1523" spans="1:16" ht="15" customHeight="1" x14ac:dyDescent="0.3">
      <c r="A1523" t="str">
        <f t="shared" si="24"/>
        <v>19-0-HH 1RATE (CT)-SmartTRACKER (Level 2)</v>
      </c>
      <c r="B1523" s="67" t="s">
        <v>13</v>
      </c>
      <c r="C1523" s="67">
        <v>19</v>
      </c>
      <c r="D1523" s="99" t="s">
        <v>28</v>
      </c>
      <c r="E1523" s="67" t="s">
        <v>731</v>
      </c>
      <c r="F1523" s="67" t="s">
        <v>88</v>
      </c>
      <c r="G1523" s="67" t="s">
        <v>724</v>
      </c>
      <c r="H1523" s="127">
        <v>0.50600000000000001</v>
      </c>
      <c r="I1523" s="109">
        <v>0.16089999999999999</v>
      </c>
      <c r="J1523" s="109"/>
      <c r="K1523" s="109"/>
      <c r="L1523" s="67">
        <v>5000</v>
      </c>
      <c r="M1523" s="67">
        <v>500000</v>
      </c>
      <c r="N1523" s="105">
        <v>44378</v>
      </c>
      <c r="O1523" s="105">
        <v>44561</v>
      </c>
      <c r="P1523" t="s">
        <v>718</v>
      </c>
    </row>
    <row r="1524" spans="1:16" ht="15" customHeight="1" x14ac:dyDescent="0.3">
      <c r="A1524" t="str">
        <f t="shared" si="24"/>
        <v>20-0-HH 1RATE (CT)-SmartTRACKER (Level 2)</v>
      </c>
      <c r="B1524" s="67" t="s">
        <v>13</v>
      </c>
      <c r="C1524" s="67">
        <v>20</v>
      </c>
      <c r="D1524" s="99" t="s">
        <v>29</v>
      </c>
      <c r="E1524" s="67" t="s">
        <v>731</v>
      </c>
      <c r="F1524" s="67" t="s">
        <v>88</v>
      </c>
      <c r="G1524" s="67" t="s">
        <v>724</v>
      </c>
      <c r="H1524" s="127">
        <v>0.53449999999999998</v>
      </c>
      <c r="I1524" s="109">
        <v>0.15890000000000001</v>
      </c>
      <c r="J1524" s="109"/>
      <c r="K1524" s="109"/>
      <c r="L1524" s="67">
        <v>5000</v>
      </c>
      <c r="M1524" s="67">
        <v>500000</v>
      </c>
      <c r="N1524" s="105">
        <v>44378</v>
      </c>
      <c r="O1524" s="105">
        <v>44561</v>
      </c>
      <c r="P1524" t="s">
        <v>718</v>
      </c>
    </row>
    <row r="1525" spans="1:16" ht="15" customHeight="1" x14ac:dyDescent="0.3">
      <c r="A1525" t="str">
        <f t="shared" si="24"/>
        <v>21-0-HH 1RATE (CT)-SmartTRACKER (Level 2)</v>
      </c>
      <c r="B1525" s="67" t="s">
        <v>13</v>
      </c>
      <c r="C1525" s="67">
        <v>21</v>
      </c>
      <c r="D1525" s="99" t="s">
        <v>30</v>
      </c>
      <c r="E1525" s="67" t="s">
        <v>731</v>
      </c>
      <c r="F1525" s="67" t="s">
        <v>88</v>
      </c>
      <c r="G1525" s="67" t="s">
        <v>724</v>
      </c>
      <c r="H1525" s="127">
        <v>0.54900000000000004</v>
      </c>
      <c r="I1525" s="109">
        <v>0.16789999999999999</v>
      </c>
      <c r="J1525" s="109"/>
      <c r="K1525" s="109"/>
      <c r="L1525" s="67">
        <v>5000</v>
      </c>
      <c r="M1525" s="67">
        <v>500000</v>
      </c>
      <c r="N1525" s="105">
        <v>44378</v>
      </c>
      <c r="O1525" s="105">
        <v>44561</v>
      </c>
      <c r="P1525" t="s">
        <v>718</v>
      </c>
    </row>
    <row r="1526" spans="1:16" ht="15" customHeight="1" x14ac:dyDescent="0.3">
      <c r="A1526" t="str">
        <f t="shared" si="24"/>
        <v>22-0-HH 1RATE (CT)-SmartTRACKER (Level 2)</v>
      </c>
      <c r="B1526" s="67" t="s">
        <v>13</v>
      </c>
      <c r="C1526" s="67">
        <v>22</v>
      </c>
      <c r="D1526" s="99" t="s">
        <v>31</v>
      </c>
      <c r="E1526" s="67" t="s">
        <v>731</v>
      </c>
      <c r="F1526" s="67" t="s">
        <v>88</v>
      </c>
      <c r="G1526" s="67" t="s">
        <v>724</v>
      </c>
      <c r="H1526" s="127">
        <v>0.48149999999999998</v>
      </c>
      <c r="I1526" s="109">
        <v>0.15909999999999999</v>
      </c>
      <c r="J1526" s="109"/>
      <c r="K1526" s="109"/>
      <c r="L1526" s="67">
        <v>5000</v>
      </c>
      <c r="M1526" s="67">
        <v>500000</v>
      </c>
      <c r="N1526" s="105">
        <v>44378</v>
      </c>
      <c r="O1526" s="105">
        <v>44561</v>
      </c>
      <c r="P1526" t="s">
        <v>718</v>
      </c>
    </row>
    <row r="1527" spans="1:16" ht="15" customHeight="1" x14ac:dyDescent="0.3">
      <c r="A1527" t="str">
        <f t="shared" si="24"/>
        <v>23-0-HH 1RATE (CT)-SmartTRACKER (Level 2)</v>
      </c>
      <c r="B1527" s="67" t="s">
        <v>13</v>
      </c>
      <c r="C1527" s="67">
        <v>23</v>
      </c>
      <c r="D1527" s="99" t="s">
        <v>32</v>
      </c>
      <c r="E1527" s="67" t="s">
        <v>731</v>
      </c>
      <c r="F1527" s="67" t="s">
        <v>88</v>
      </c>
      <c r="G1527" s="67" t="s">
        <v>724</v>
      </c>
      <c r="H1527" s="127">
        <v>0.57469999999999999</v>
      </c>
      <c r="I1527" s="109">
        <v>0.1583</v>
      </c>
      <c r="J1527" s="109"/>
      <c r="K1527" s="109"/>
      <c r="L1527" s="67">
        <v>5000</v>
      </c>
      <c r="M1527" s="67">
        <v>500000</v>
      </c>
      <c r="N1527" s="105">
        <v>44378</v>
      </c>
      <c r="O1527" s="105">
        <v>44561</v>
      </c>
      <c r="P1527" t="s">
        <v>718</v>
      </c>
    </row>
    <row r="1528" spans="1:16" ht="15" customHeight="1" x14ac:dyDescent="0.3">
      <c r="A1528" t="str">
        <f t="shared" si="24"/>
        <v>10-0-HH 1RATE (CT)-SmartTRACKER Renewal (Level 2)</v>
      </c>
      <c r="B1528" s="67" t="s">
        <v>13</v>
      </c>
      <c r="C1528" s="67">
        <v>10</v>
      </c>
      <c r="D1528" s="99" t="s">
        <v>14</v>
      </c>
      <c r="E1528" s="67" t="s">
        <v>731</v>
      </c>
      <c r="F1528" s="67" t="s">
        <v>88</v>
      </c>
      <c r="G1528" s="67" t="s">
        <v>733</v>
      </c>
      <c r="H1528" s="127">
        <v>0.55479999999999996</v>
      </c>
      <c r="I1528" s="109">
        <v>0.16589999999999999</v>
      </c>
      <c r="J1528" s="109"/>
      <c r="K1528" s="109"/>
      <c r="L1528" s="67">
        <v>5000</v>
      </c>
      <c r="M1528" s="67">
        <v>500000</v>
      </c>
      <c r="N1528" s="105">
        <v>44378</v>
      </c>
      <c r="O1528" s="105">
        <v>44561</v>
      </c>
      <c r="P1528" t="s">
        <v>718</v>
      </c>
    </row>
    <row r="1529" spans="1:16" ht="15" customHeight="1" x14ac:dyDescent="0.3">
      <c r="A1529" t="str">
        <f t="shared" si="24"/>
        <v>11-0-HH 1RATE (CT)-SmartTRACKER Renewal (Level 2)</v>
      </c>
      <c r="B1529" s="67" t="s">
        <v>13</v>
      </c>
      <c r="C1529" s="67">
        <v>11</v>
      </c>
      <c r="D1529" s="99" t="s">
        <v>20</v>
      </c>
      <c r="E1529" s="67" t="s">
        <v>731</v>
      </c>
      <c r="F1529" s="67" t="s">
        <v>88</v>
      </c>
      <c r="G1529" s="67" t="s">
        <v>733</v>
      </c>
      <c r="H1529" s="127">
        <v>0.49309999999999998</v>
      </c>
      <c r="I1529" s="109">
        <v>0.16489999999999999</v>
      </c>
      <c r="J1529" s="109"/>
      <c r="K1529" s="109"/>
      <c r="L1529" s="67">
        <v>5000</v>
      </c>
      <c r="M1529" s="67">
        <v>500000</v>
      </c>
      <c r="N1529" s="105">
        <v>44378</v>
      </c>
      <c r="O1529" s="105">
        <v>44561</v>
      </c>
      <c r="P1529" t="s">
        <v>718</v>
      </c>
    </row>
    <row r="1530" spans="1:16" ht="15" customHeight="1" x14ac:dyDescent="0.3">
      <c r="A1530" t="str">
        <f t="shared" si="24"/>
        <v>12-0-HH 1RATE (CT)-SmartTRACKER Renewal (Level 2)</v>
      </c>
      <c r="B1530" s="67" t="s">
        <v>13</v>
      </c>
      <c r="C1530" s="67">
        <v>12</v>
      </c>
      <c r="D1530" s="99" t="s">
        <v>21</v>
      </c>
      <c r="E1530" s="67" t="s">
        <v>731</v>
      </c>
      <c r="F1530" s="67" t="s">
        <v>88</v>
      </c>
      <c r="G1530" s="67" t="s">
        <v>733</v>
      </c>
      <c r="H1530" s="127">
        <v>0.45529999999999998</v>
      </c>
      <c r="I1530" s="109">
        <v>0.16170000000000001</v>
      </c>
      <c r="J1530" s="109"/>
      <c r="K1530" s="109"/>
      <c r="L1530" s="67">
        <v>5000</v>
      </c>
      <c r="M1530" s="67">
        <v>500000</v>
      </c>
      <c r="N1530" s="105">
        <v>44378</v>
      </c>
      <c r="O1530" s="105">
        <v>44561</v>
      </c>
      <c r="P1530" t="s">
        <v>718</v>
      </c>
    </row>
    <row r="1531" spans="1:16" ht="15" customHeight="1" x14ac:dyDescent="0.3">
      <c r="A1531" t="str">
        <f t="shared" si="24"/>
        <v>13-0-HH 1RATE (CT)-SmartTRACKER Renewal (Level 2)</v>
      </c>
      <c r="B1531" s="67" t="s">
        <v>13</v>
      </c>
      <c r="C1531" s="67">
        <v>13</v>
      </c>
      <c r="D1531" s="99" t="s">
        <v>22</v>
      </c>
      <c r="E1531" s="67" t="s">
        <v>731</v>
      </c>
      <c r="F1531" s="67" t="s">
        <v>88</v>
      </c>
      <c r="G1531" s="67" t="s">
        <v>733</v>
      </c>
      <c r="H1531" s="127">
        <v>0.63900000000000001</v>
      </c>
      <c r="I1531" s="109">
        <v>0.19359999999999999</v>
      </c>
      <c r="J1531" s="109"/>
      <c r="K1531" s="109"/>
      <c r="L1531" s="67">
        <v>5000</v>
      </c>
      <c r="M1531" s="67">
        <v>500000</v>
      </c>
      <c r="N1531" s="105">
        <v>44378</v>
      </c>
      <c r="O1531" s="105">
        <v>44561</v>
      </c>
      <c r="P1531" t="s">
        <v>718</v>
      </c>
    </row>
    <row r="1532" spans="1:16" ht="15" customHeight="1" x14ac:dyDescent="0.3">
      <c r="A1532" t="str">
        <f t="shared" si="24"/>
        <v>14-0-HH 1RATE (CT)-SmartTRACKER Renewal (Level 2)</v>
      </c>
      <c r="B1532" s="67" t="s">
        <v>13</v>
      </c>
      <c r="C1532" s="67">
        <v>14</v>
      </c>
      <c r="D1532" s="99" t="s">
        <v>23</v>
      </c>
      <c r="E1532" s="67" t="s">
        <v>731</v>
      </c>
      <c r="F1532" s="67" t="s">
        <v>88</v>
      </c>
      <c r="G1532" s="67" t="s">
        <v>733</v>
      </c>
      <c r="H1532" s="127">
        <v>0.50660000000000005</v>
      </c>
      <c r="I1532" s="109">
        <v>0.1691</v>
      </c>
      <c r="J1532" s="109"/>
      <c r="K1532" s="109"/>
      <c r="L1532" s="67">
        <v>5000</v>
      </c>
      <c r="M1532" s="67">
        <v>500000</v>
      </c>
      <c r="N1532" s="105">
        <v>44378</v>
      </c>
      <c r="O1532" s="105">
        <v>44561</v>
      </c>
      <c r="P1532" t="s">
        <v>718</v>
      </c>
    </row>
    <row r="1533" spans="1:16" ht="15" customHeight="1" x14ac:dyDescent="0.3">
      <c r="A1533" t="str">
        <f t="shared" si="24"/>
        <v>15-0-HH 1RATE (CT)-SmartTRACKER Renewal (Level 2)</v>
      </c>
      <c r="B1533" s="67" t="s">
        <v>13</v>
      </c>
      <c r="C1533" s="67">
        <v>15</v>
      </c>
      <c r="D1533" s="99" t="s">
        <v>24</v>
      </c>
      <c r="E1533" s="67" t="s">
        <v>731</v>
      </c>
      <c r="F1533" s="67" t="s">
        <v>88</v>
      </c>
      <c r="G1533" s="67" t="s">
        <v>733</v>
      </c>
      <c r="H1533" s="127">
        <v>0.61280000000000001</v>
      </c>
      <c r="I1533" s="109">
        <v>0.16670000000000001</v>
      </c>
      <c r="J1533" s="109"/>
      <c r="K1533" s="109"/>
      <c r="L1533" s="67">
        <v>5000</v>
      </c>
      <c r="M1533" s="67">
        <v>500000</v>
      </c>
      <c r="N1533" s="105">
        <v>44378</v>
      </c>
      <c r="O1533" s="105">
        <v>44561</v>
      </c>
      <c r="P1533" t="s">
        <v>718</v>
      </c>
    </row>
    <row r="1534" spans="1:16" ht="15" customHeight="1" x14ac:dyDescent="0.3">
      <c r="A1534" t="str">
        <f t="shared" si="24"/>
        <v>16-0-HH 1RATE (CT)-SmartTRACKER Renewal (Level 2)</v>
      </c>
      <c r="B1534" s="67" t="s">
        <v>13</v>
      </c>
      <c r="C1534" s="67">
        <v>16</v>
      </c>
      <c r="D1534" s="99" t="s">
        <v>25</v>
      </c>
      <c r="E1534" s="67" t="s">
        <v>731</v>
      </c>
      <c r="F1534" s="67" t="s">
        <v>88</v>
      </c>
      <c r="G1534" s="67" t="s">
        <v>733</v>
      </c>
      <c r="H1534" s="127">
        <v>0.57079999999999997</v>
      </c>
      <c r="I1534" s="109">
        <v>0.1696</v>
      </c>
      <c r="J1534" s="109"/>
      <c r="K1534" s="109"/>
      <c r="L1534" s="67">
        <v>5000</v>
      </c>
      <c r="M1534" s="67">
        <v>500000</v>
      </c>
      <c r="N1534" s="105">
        <v>44378</v>
      </c>
      <c r="O1534" s="105">
        <v>44561</v>
      </c>
      <c r="P1534" t="s">
        <v>718</v>
      </c>
    </row>
    <row r="1535" spans="1:16" ht="15" customHeight="1" x14ac:dyDescent="0.3">
      <c r="A1535" t="str">
        <f t="shared" si="24"/>
        <v>17-0-HH 1RATE (CT)-SmartTRACKER Renewal (Level 2)</v>
      </c>
      <c r="B1535" s="67" t="s">
        <v>13</v>
      </c>
      <c r="C1535" s="67">
        <v>17</v>
      </c>
      <c r="D1535" s="99" t="s">
        <v>26</v>
      </c>
      <c r="E1535" s="67" t="s">
        <v>731</v>
      </c>
      <c r="F1535" s="67" t="s">
        <v>88</v>
      </c>
      <c r="G1535" s="67" t="s">
        <v>733</v>
      </c>
      <c r="H1535" s="127">
        <v>0.77270000000000005</v>
      </c>
      <c r="I1535" s="109">
        <v>0.16789999999999999</v>
      </c>
      <c r="J1535" s="109"/>
      <c r="K1535" s="109"/>
      <c r="L1535" s="67">
        <v>5000</v>
      </c>
      <c r="M1535" s="67">
        <v>500000</v>
      </c>
      <c r="N1535" s="105">
        <v>44378</v>
      </c>
      <c r="O1535" s="105">
        <v>44561</v>
      </c>
      <c r="P1535" t="s">
        <v>718</v>
      </c>
    </row>
    <row r="1536" spans="1:16" ht="15" customHeight="1" x14ac:dyDescent="0.3">
      <c r="A1536" t="str">
        <f t="shared" si="24"/>
        <v>18-0-HH 1RATE (CT)-SmartTRACKER Renewal (Level 2)</v>
      </c>
      <c r="B1536" s="67" t="s">
        <v>13</v>
      </c>
      <c r="C1536" s="67">
        <v>18</v>
      </c>
      <c r="D1536" s="99" t="s">
        <v>27</v>
      </c>
      <c r="E1536" s="67" t="s">
        <v>731</v>
      </c>
      <c r="F1536" s="67" t="s">
        <v>88</v>
      </c>
      <c r="G1536" s="67" t="s">
        <v>733</v>
      </c>
      <c r="H1536" s="127">
        <v>0.70830000000000004</v>
      </c>
      <c r="I1536" s="109">
        <v>0.1636</v>
      </c>
      <c r="J1536" s="109"/>
      <c r="K1536" s="109"/>
      <c r="L1536" s="67">
        <v>5000</v>
      </c>
      <c r="M1536" s="67">
        <v>500000</v>
      </c>
      <c r="N1536" s="105">
        <v>44378</v>
      </c>
      <c r="O1536" s="105">
        <v>44561</v>
      </c>
      <c r="P1536" t="s">
        <v>718</v>
      </c>
    </row>
    <row r="1537" spans="1:16" ht="15" customHeight="1" x14ac:dyDescent="0.3">
      <c r="A1537" t="str">
        <f t="shared" si="24"/>
        <v>19-0-HH 1RATE (CT)-SmartTRACKER Renewal (Level 2)</v>
      </c>
      <c r="B1537" s="67" t="s">
        <v>13</v>
      </c>
      <c r="C1537" s="67">
        <v>19</v>
      </c>
      <c r="D1537" s="99" t="s">
        <v>28</v>
      </c>
      <c r="E1537" s="67" t="s">
        <v>731</v>
      </c>
      <c r="F1537" s="67" t="s">
        <v>88</v>
      </c>
      <c r="G1537" s="67" t="s">
        <v>733</v>
      </c>
      <c r="H1537" s="127">
        <v>0.55659999999999998</v>
      </c>
      <c r="I1537" s="109">
        <v>0.16489999999999999</v>
      </c>
      <c r="J1537" s="109"/>
      <c r="K1537" s="109"/>
      <c r="L1537" s="67">
        <v>5000</v>
      </c>
      <c r="M1537" s="67">
        <v>500000</v>
      </c>
      <c r="N1537" s="105">
        <v>44378</v>
      </c>
      <c r="O1537" s="105">
        <v>44561</v>
      </c>
      <c r="P1537" t="s">
        <v>718</v>
      </c>
    </row>
    <row r="1538" spans="1:16" ht="15" customHeight="1" x14ac:dyDescent="0.3">
      <c r="A1538" t="str">
        <f t="shared" si="24"/>
        <v>20-0-HH 1RATE (CT)-SmartTRACKER Renewal (Level 2)</v>
      </c>
      <c r="B1538" s="67" t="s">
        <v>13</v>
      </c>
      <c r="C1538" s="67">
        <v>20</v>
      </c>
      <c r="D1538" s="99" t="s">
        <v>29</v>
      </c>
      <c r="E1538" s="67" t="s">
        <v>731</v>
      </c>
      <c r="F1538" s="67" t="s">
        <v>88</v>
      </c>
      <c r="G1538" s="67" t="s">
        <v>733</v>
      </c>
      <c r="H1538" s="127">
        <v>0.58799999999999997</v>
      </c>
      <c r="I1538" s="109">
        <v>0.16290000000000002</v>
      </c>
      <c r="J1538" s="109"/>
      <c r="K1538" s="109"/>
      <c r="L1538" s="67">
        <v>5000</v>
      </c>
      <c r="M1538" s="67">
        <v>500000</v>
      </c>
      <c r="N1538" s="105">
        <v>44378</v>
      </c>
      <c r="O1538" s="105">
        <v>44561</v>
      </c>
      <c r="P1538" t="s">
        <v>718</v>
      </c>
    </row>
    <row r="1539" spans="1:16" ht="15" customHeight="1" x14ac:dyDescent="0.3">
      <c r="A1539" t="str">
        <f t="shared" si="24"/>
        <v>21-0-HH 1RATE (CT)-SmartTRACKER Renewal (Level 2)</v>
      </c>
      <c r="B1539" s="67" t="s">
        <v>13</v>
      </c>
      <c r="C1539" s="67">
        <v>21</v>
      </c>
      <c r="D1539" s="99" t="s">
        <v>30</v>
      </c>
      <c r="E1539" s="67" t="s">
        <v>731</v>
      </c>
      <c r="F1539" s="67" t="s">
        <v>88</v>
      </c>
      <c r="G1539" s="67" t="s">
        <v>733</v>
      </c>
      <c r="H1539" s="127">
        <v>0.60389999999999999</v>
      </c>
      <c r="I1539" s="109">
        <v>0.1719</v>
      </c>
      <c r="J1539" s="109"/>
      <c r="K1539" s="109"/>
      <c r="L1539" s="67">
        <v>5000</v>
      </c>
      <c r="M1539" s="67">
        <v>500000</v>
      </c>
      <c r="N1539" s="105">
        <v>44378</v>
      </c>
      <c r="O1539" s="105">
        <v>44561</v>
      </c>
      <c r="P1539" t="s">
        <v>718</v>
      </c>
    </row>
    <row r="1540" spans="1:16" ht="15" customHeight="1" x14ac:dyDescent="0.3">
      <c r="A1540" t="str">
        <f t="shared" si="24"/>
        <v>22-0-HH 1RATE (CT)-SmartTRACKER Renewal (Level 2)</v>
      </c>
      <c r="B1540" s="67" t="s">
        <v>13</v>
      </c>
      <c r="C1540" s="67">
        <v>22</v>
      </c>
      <c r="D1540" s="99" t="s">
        <v>31</v>
      </c>
      <c r="E1540" s="67" t="s">
        <v>731</v>
      </c>
      <c r="F1540" s="67" t="s">
        <v>88</v>
      </c>
      <c r="G1540" s="67" t="s">
        <v>733</v>
      </c>
      <c r="H1540" s="127">
        <v>0.52969999999999995</v>
      </c>
      <c r="I1540" s="109">
        <v>0.16309999999999999</v>
      </c>
      <c r="J1540" s="109"/>
      <c r="K1540" s="109"/>
      <c r="L1540" s="67">
        <v>5000</v>
      </c>
      <c r="M1540" s="67">
        <v>500000</v>
      </c>
      <c r="N1540" s="105">
        <v>44378</v>
      </c>
      <c r="O1540" s="105">
        <v>44561</v>
      </c>
      <c r="P1540" t="s">
        <v>718</v>
      </c>
    </row>
    <row r="1541" spans="1:16" ht="15" customHeight="1" x14ac:dyDescent="0.3">
      <c r="A1541" t="str">
        <f t="shared" si="24"/>
        <v>23-0-HH 1RATE (CT)-SmartTRACKER Renewal (Level 2)</v>
      </c>
      <c r="B1541" s="67" t="s">
        <v>13</v>
      </c>
      <c r="C1541" s="67">
        <v>23</v>
      </c>
      <c r="D1541" s="99" t="s">
        <v>32</v>
      </c>
      <c r="E1541" s="67" t="s">
        <v>731</v>
      </c>
      <c r="F1541" s="67" t="s">
        <v>88</v>
      </c>
      <c r="G1541" s="67" t="s">
        <v>733</v>
      </c>
      <c r="H1541" s="127">
        <v>0.6321</v>
      </c>
      <c r="I1541" s="109">
        <v>0.1623</v>
      </c>
      <c r="J1541" s="109"/>
      <c r="K1541" s="109"/>
      <c r="L1541" s="67">
        <v>5000</v>
      </c>
      <c r="M1541" s="67">
        <v>500000</v>
      </c>
      <c r="N1541" s="105">
        <v>44378</v>
      </c>
      <c r="O1541" s="105">
        <v>44561</v>
      </c>
      <c r="P1541" t="s">
        <v>718</v>
      </c>
    </row>
    <row r="1542" spans="1:16" ht="15" customHeight="1" x14ac:dyDescent="0.3">
      <c r="A1542" t="str">
        <f t="shared" si="24"/>
        <v>10-0-HH 1RATE (CT)-SmartFIX – 1 Year (Level 2)</v>
      </c>
      <c r="B1542" s="67" t="s">
        <v>13</v>
      </c>
      <c r="C1542" s="67">
        <v>10</v>
      </c>
      <c r="D1542" s="99" t="s">
        <v>14</v>
      </c>
      <c r="E1542" s="67" t="s">
        <v>731</v>
      </c>
      <c r="F1542" s="67" t="s">
        <v>88</v>
      </c>
      <c r="G1542" s="67" t="s">
        <v>725</v>
      </c>
      <c r="H1542" s="127">
        <v>0.50439999999999996</v>
      </c>
      <c r="I1542" s="109">
        <v>0.16189999999999999</v>
      </c>
      <c r="J1542" s="109"/>
      <c r="K1542" s="109"/>
      <c r="L1542" s="67">
        <v>5000</v>
      </c>
      <c r="M1542" s="67">
        <v>500000</v>
      </c>
      <c r="N1542" s="105">
        <v>44378</v>
      </c>
      <c r="O1542" s="105">
        <v>44561</v>
      </c>
      <c r="P1542" t="s">
        <v>718</v>
      </c>
    </row>
    <row r="1543" spans="1:16" ht="15" customHeight="1" x14ac:dyDescent="0.3">
      <c r="A1543" t="str">
        <f t="shared" si="24"/>
        <v>11-0-HH 1RATE (CT)-SmartFIX – 1 Year (Level 2)</v>
      </c>
      <c r="B1543" s="67" t="s">
        <v>13</v>
      </c>
      <c r="C1543" s="67">
        <v>11</v>
      </c>
      <c r="D1543" s="99" t="s">
        <v>20</v>
      </c>
      <c r="E1543" s="67" t="s">
        <v>731</v>
      </c>
      <c r="F1543" s="67" t="s">
        <v>88</v>
      </c>
      <c r="G1543" s="67" t="s">
        <v>725</v>
      </c>
      <c r="H1543" s="127">
        <v>0.44829999999999998</v>
      </c>
      <c r="I1543" s="109">
        <v>0.16089999999999999</v>
      </c>
      <c r="J1543" s="109"/>
      <c r="K1543" s="109"/>
      <c r="L1543" s="67">
        <v>5000</v>
      </c>
      <c r="M1543" s="67">
        <v>500000</v>
      </c>
      <c r="N1543" s="105">
        <v>44378</v>
      </c>
      <c r="O1543" s="105">
        <v>44561</v>
      </c>
      <c r="P1543" t="s">
        <v>718</v>
      </c>
    </row>
    <row r="1544" spans="1:16" ht="15" customHeight="1" x14ac:dyDescent="0.3">
      <c r="A1544" t="str">
        <f t="shared" si="24"/>
        <v>12-0-HH 1RATE (CT)-SmartFIX – 1 Year (Level 2)</v>
      </c>
      <c r="B1544" s="67" t="s">
        <v>13</v>
      </c>
      <c r="C1544" s="67">
        <v>12</v>
      </c>
      <c r="D1544" s="99" t="s">
        <v>21</v>
      </c>
      <c r="E1544" s="67" t="s">
        <v>731</v>
      </c>
      <c r="F1544" s="67" t="s">
        <v>88</v>
      </c>
      <c r="G1544" s="67" t="s">
        <v>725</v>
      </c>
      <c r="H1544" s="127">
        <v>0.41389999999999999</v>
      </c>
      <c r="I1544" s="109">
        <v>0.15770000000000001</v>
      </c>
      <c r="J1544" s="109"/>
      <c r="K1544" s="109"/>
      <c r="L1544" s="67">
        <v>5000</v>
      </c>
      <c r="M1544" s="67">
        <v>500000</v>
      </c>
      <c r="N1544" s="105">
        <v>44378</v>
      </c>
      <c r="O1544" s="105">
        <v>44561</v>
      </c>
      <c r="P1544" t="s">
        <v>718</v>
      </c>
    </row>
    <row r="1545" spans="1:16" ht="15" customHeight="1" x14ac:dyDescent="0.3">
      <c r="A1545" t="str">
        <f t="shared" si="24"/>
        <v>13-0-HH 1RATE (CT)-SmartFIX – 1 Year (Level 2)</v>
      </c>
      <c r="B1545" s="67" t="s">
        <v>13</v>
      </c>
      <c r="C1545" s="67">
        <v>13</v>
      </c>
      <c r="D1545" s="99" t="s">
        <v>22</v>
      </c>
      <c r="E1545" s="67" t="s">
        <v>731</v>
      </c>
      <c r="F1545" s="67" t="s">
        <v>88</v>
      </c>
      <c r="G1545" s="67" t="s">
        <v>725</v>
      </c>
      <c r="H1545" s="127">
        <v>0.58089999999999997</v>
      </c>
      <c r="I1545" s="109">
        <v>0.18959999999999999</v>
      </c>
      <c r="J1545" s="109"/>
      <c r="K1545" s="109"/>
      <c r="L1545" s="67">
        <v>5000</v>
      </c>
      <c r="M1545" s="67">
        <v>500000</v>
      </c>
      <c r="N1545" s="105">
        <v>44378</v>
      </c>
      <c r="O1545" s="105">
        <v>44561</v>
      </c>
      <c r="P1545" t="s">
        <v>718</v>
      </c>
    </row>
    <row r="1546" spans="1:16" ht="15" customHeight="1" x14ac:dyDescent="0.3">
      <c r="A1546" t="str">
        <f t="shared" si="24"/>
        <v>14-0-HH 1RATE (CT)-SmartFIX – 1 Year (Level 2)</v>
      </c>
      <c r="B1546" s="67" t="s">
        <v>13</v>
      </c>
      <c r="C1546" s="67">
        <v>14</v>
      </c>
      <c r="D1546" s="99" t="s">
        <v>23</v>
      </c>
      <c r="E1546" s="67" t="s">
        <v>731</v>
      </c>
      <c r="F1546" s="67" t="s">
        <v>88</v>
      </c>
      <c r="G1546" s="67" t="s">
        <v>725</v>
      </c>
      <c r="H1546" s="127">
        <v>0.46060000000000001</v>
      </c>
      <c r="I1546" s="109">
        <v>0.1651</v>
      </c>
      <c r="J1546" s="109"/>
      <c r="K1546" s="109"/>
      <c r="L1546" s="67">
        <v>5000</v>
      </c>
      <c r="M1546" s="67">
        <v>500000</v>
      </c>
      <c r="N1546" s="105">
        <v>44378</v>
      </c>
      <c r="O1546" s="105">
        <v>44561</v>
      </c>
      <c r="P1546" t="s">
        <v>718</v>
      </c>
    </row>
    <row r="1547" spans="1:16" ht="15" customHeight="1" x14ac:dyDescent="0.3">
      <c r="A1547" t="str">
        <f t="shared" si="24"/>
        <v>15-0-HH 1RATE (CT)-SmartFIX – 1 Year (Level 2)</v>
      </c>
      <c r="B1547" s="67" t="s">
        <v>13</v>
      </c>
      <c r="C1547" s="67">
        <v>15</v>
      </c>
      <c r="D1547" s="99" t="s">
        <v>24</v>
      </c>
      <c r="E1547" s="67" t="s">
        <v>731</v>
      </c>
      <c r="F1547" s="67" t="s">
        <v>88</v>
      </c>
      <c r="G1547" s="67" t="s">
        <v>725</v>
      </c>
      <c r="H1547" s="127">
        <v>0.55710000000000004</v>
      </c>
      <c r="I1547" s="109">
        <v>0.16270000000000001</v>
      </c>
      <c r="J1547" s="109"/>
      <c r="K1547" s="109"/>
      <c r="L1547" s="67">
        <v>5000</v>
      </c>
      <c r="M1547" s="67">
        <v>500000</v>
      </c>
      <c r="N1547" s="105">
        <v>44378</v>
      </c>
      <c r="O1547" s="105">
        <v>44561</v>
      </c>
      <c r="P1547" t="s">
        <v>718</v>
      </c>
    </row>
    <row r="1548" spans="1:16" ht="15" customHeight="1" x14ac:dyDescent="0.3">
      <c r="A1548" t="str">
        <f t="shared" ref="A1548:A1611" si="25">IF(E1548="OP","",CONCATENATE(C1548,"-",RIGHT(F1548,1),"-",IF(OR(E1548="1 Rate MD",E1548="DAY"),"U",IF(OR(E1548="2 Rate MD",E1548="E7"),"E7",IF(OR(E1548="3 Rate MD (EW)",E1548="EW"),"EW",IF(OR(E1548="3 Rate MD",E1548="EWN"),"3RATE",IF(E1548="HH 2RATE (CT)","HH 2RATE (CT)",IF(E1548="HH 2RATE (WC)","HH 2RATE (WC)",IF(E1548="HH 1RATE (CT)","HH 1RATE (CT)",IF(E1548="HH 1RATE (WC)","HH 1RATE (WC)")))))))),"-",G1548))</f>
        <v>16-0-HH 1RATE (CT)-SmartFIX – 1 Year (Level 2)</v>
      </c>
      <c r="B1548" s="67" t="s">
        <v>13</v>
      </c>
      <c r="C1548" s="67">
        <v>16</v>
      </c>
      <c r="D1548" s="99" t="s">
        <v>25</v>
      </c>
      <c r="E1548" s="67" t="s">
        <v>731</v>
      </c>
      <c r="F1548" s="67" t="s">
        <v>88</v>
      </c>
      <c r="G1548" s="67" t="s">
        <v>725</v>
      </c>
      <c r="H1548" s="127">
        <v>0.51890000000000003</v>
      </c>
      <c r="I1548" s="109">
        <v>0.1656</v>
      </c>
      <c r="J1548" s="109"/>
      <c r="K1548" s="109"/>
      <c r="L1548" s="67">
        <v>5000</v>
      </c>
      <c r="M1548" s="67">
        <v>500000</v>
      </c>
      <c r="N1548" s="105">
        <v>44378</v>
      </c>
      <c r="O1548" s="105">
        <v>44561</v>
      </c>
      <c r="P1548" t="s">
        <v>718</v>
      </c>
    </row>
    <row r="1549" spans="1:16" ht="15" customHeight="1" x14ac:dyDescent="0.3">
      <c r="A1549" t="str">
        <f t="shared" si="25"/>
        <v>17-0-HH 1RATE (CT)-SmartFIX – 1 Year (Level 2)</v>
      </c>
      <c r="B1549" s="67" t="s">
        <v>13</v>
      </c>
      <c r="C1549" s="67">
        <v>17</v>
      </c>
      <c r="D1549" s="99" t="s">
        <v>26</v>
      </c>
      <c r="E1549" s="67" t="s">
        <v>731</v>
      </c>
      <c r="F1549" s="67" t="s">
        <v>88</v>
      </c>
      <c r="G1549" s="67" t="s">
        <v>725</v>
      </c>
      <c r="H1549" s="127">
        <v>0.70240000000000002</v>
      </c>
      <c r="I1549" s="109">
        <v>0.16389999999999999</v>
      </c>
      <c r="J1549" s="109"/>
      <c r="K1549" s="109"/>
      <c r="L1549" s="67">
        <v>5000</v>
      </c>
      <c r="M1549" s="67">
        <v>500000</v>
      </c>
      <c r="N1549" s="105">
        <v>44378</v>
      </c>
      <c r="O1549" s="105">
        <v>44561</v>
      </c>
      <c r="P1549" t="s">
        <v>718</v>
      </c>
    </row>
    <row r="1550" spans="1:16" ht="15" customHeight="1" x14ac:dyDescent="0.3">
      <c r="A1550" t="str">
        <f t="shared" si="25"/>
        <v>18-0-HH 1RATE (CT)-SmartFIX – 1 Year (Level 2)</v>
      </c>
      <c r="B1550" s="67" t="s">
        <v>13</v>
      </c>
      <c r="C1550" s="67">
        <v>18</v>
      </c>
      <c r="D1550" s="99" t="s">
        <v>27</v>
      </c>
      <c r="E1550" s="67" t="s">
        <v>731</v>
      </c>
      <c r="F1550" s="67" t="s">
        <v>88</v>
      </c>
      <c r="G1550" s="67" t="s">
        <v>725</v>
      </c>
      <c r="H1550" s="127">
        <v>0.64390000000000003</v>
      </c>
      <c r="I1550" s="109">
        <v>0.15959999999999999</v>
      </c>
      <c r="J1550" s="109"/>
      <c r="K1550" s="109"/>
      <c r="L1550" s="67">
        <v>5000</v>
      </c>
      <c r="M1550" s="67">
        <v>500000</v>
      </c>
      <c r="N1550" s="105">
        <v>44378</v>
      </c>
      <c r="O1550" s="105">
        <v>44561</v>
      </c>
      <c r="P1550" t="s">
        <v>718</v>
      </c>
    </row>
    <row r="1551" spans="1:16" ht="15" customHeight="1" x14ac:dyDescent="0.3">
      <c r="A1551" t="str">
        <f t="shared" si="25"/>
        <v>19-0-HH 1RATE (CT)-SmartFIX – 1 Year (Level 2)</v>
      </c>
      <c r="B1551" s="67" t="s">
        <v>13</v>
      </c>
      <c r="C1551" s="67">
        <v>19</v>
      </c>
      <c r="D1551" s="99" t="s">
        <v>28</v>
      </c>
      <c r="E1551" s="67" t="s">
        <v>731</v>
      </c>
      <c r="F1551" s="67" t="s">
        <v>88</v>
      </c>
      <c r="G1551" s="67" t="s">
        <v>725</v>
      </c>
      <c r="H1551" s="127">
        <v>0.50600000000000001</v>
      </c>
      <c r="I1551" s="109">
        <v>0.16089999999999999</v>
      </c>
      <c r="J1551" s="109"/>
      <c r="K1551" s="109"/>
      <c r="L1551" s="67">
        <v>5000</v>
      </c>
      <c r="M1551" s="67">
        <v>500000</v>
      </c>
      <c r="N1551" s="105">
        <v>44378</v>
      </c>
      <c r="O1551" s="105">
        <v>44561</v>
      </c>
      <c r="P1551" t="s">
        <v>718</v>
      </c>
    </row>
    <row r="1552" spans="1:16" ht="15" customHeight="1" x14ac:dyDescent="0.3">
      <c r="A1552" t="str">
        <f t="shared" si="25"/>
        <v>20-0-HH 1RATE (CT)-SmartFIX – 1 Year (Level 2)</v>
      </c>
      <c r="B1552" s="67" t="s">
        <v>13</v>
      </c>
      <c r="C1552" s="67">
        <v>20</v>
      </c>
      <c r="D1552" s="99" t="s">
        <v>29</v>
      </c>
      <c r="E1552" s="67" t="s">
        <v>731</v>
      </c>
      <c r="F1552" s="67" t="s">
        <v>88</v>
      </c>
      <c r="G1552" s="67" t="s">
        <v>725</v>
      </c>
      <c r="H1552" s="127">
        <v>0.53449999999999998</v>
      </c>
      <c r="I1552" s="109">
        <v>0.15890000000000001</v>
      </c>
      <c r="J1552" s="109"/>
      <c r="K1552" s="109"/>
      <c r="L1552" s="67">
        <v>5000</v>
      </c>
      <c r="M1552" s="67">
        <v>500000</v>
      </c>
      <c r="N1552" s="105">
        <v>44378</v>
      </c>
      <c r="O1552" s="105">
        <v>44561</v>
      </c>
      <c r="P1552" t="s">
        <v>718</v>
      </c>
    </row>
    <row r="1553" spans="1:16" ht="15" customHeight="1" x14ac:dyDescent="0.3">
      <c r="A1553" t="str">
        <f t="shared" si="25"/>
        <v>21-0-HH 1RATE (CT)-SmartFIX – 1 Year (Level 2)</v>
      </c>
      <c r="B1553" s="67" t="s">
        <v>13</v>
      </c>
      <c r="C1553" s="67">
        <v>21</v>
      </c>
      <c r="D1553" s="99" t="s">
        <v>30</v>
      </c>
      <c r="E1553" s="67" t="s">
        <v>731</v>
      </c>
      <c r="F1553" s="67" t="s">
        <v>88</v>
      </c>
      <c r="G1553" s="67" t="s">
        <v>725</v>
      </c>
      <c r="H1553" s="127">
        <v>0.54900000000000004</v>
      </c>
      <c r="I1553" s="109">
        <v>0.16789999999999999</v>
      </c>
      <c r="J1553" s="109"/>
      <c r="K1553" s="109"/>
      <c r="L1553" s="67">
        <v>5000</v>
      </c>
      <c r="M1553" s="67">
        <v>500000</v>
      </c>
      <c r="N1553" s="105">
        <v>44378</v>
      </c>
      <c r="O1553" s="105">
        <v>44561</v>
      </c>
      <c r="P1553" t="s">
        <v>718</v>
      </c>
    </row>
    <row r="1554" spans="1:16" ht="15" customHeight="1" x14ac:dyDescent="0.3">
      <c r="A1554" t="str">
        <f t="shared" si="25"/>
        <v>22-0-HH 1RATE (CT)-SmartFIX – 1 Year (Level 2)</v>
      </c>
      <c r="B1554" t="s">
        <v>13</v>
      </c>
      <c r="C1554">
        <v>22</v>
      </c>
      <c r="D1554" s="100" t="s">
        <v>31</v>
      </c>
      <c r="E1554" t="s">
        <v>731</v>
      </c>
      <c r="F1554" t="s">
        <v>88</v>
      </c>
      <c r="G1554" t="s">
        <v>725</v>
      </c>
      <c r="H1554" s="128">
        <v>0.48149999999999998</v>
      </c>
      <c r="I1554" s="110">
        <v>0.15909999999999999</v>
      </c>
      <c r="L1554">
        <v>5000</v>
      </c>
      <c r="M1554">
        <v>500000</v>
      </c>
      <c r="N1554" s="105">
        <v>44378</v>
      </c>
      <c r="O1554" s="105">
        <v>44561</v>
      </c>
      <c r="P1554" t="s">
        <v>718</v>
      </c>
    </row>
    <row r="1555" spans="1:16" ht="15" customHeight="1" x14ac:dyDescent="0.3">
      <c r="A1555" t="str">
        <f t="shared" si="25"/>
        <v>23-0-HH 1RATE (CT)-SmartFIX – 1 Year (Level 2)</v>
      </c>
      <c r="B1555" t="s">
        <v>13</v>
      </c>
      <c r="C1555">
        <v>23</v>
      </c>
      <c r="D1555" s="100" t="s">
        <v>32</v>
      </c>
      <c r="E1555" t="s">
        <v>731</v>
      </c>
      <c r="F1555" t="s">
        <v>88</v>
      </c>
      <c r="G1555" t="s">
        <v>725</v>
      </c>
      <c r="H1555" s="128">
        <v>0.57469999999999999</v>
      </c>
      <c r="I1555" s="110">
        <v>0.1583</v>
      </c>
      <c r="L1555">
        <v>5000</v>
      </c>
      <c r="M1555">
        <v>500000</v>
      </c>
      <c r="N1555" s="105">
        <v>44378</v>
      </c>
      <c r="O1555" s="105">
        <v>44561</v>
      </c>
      <c r="P1555" t="s">
        <v>718</v>
      </c>
    </row>
    <row r="1556" spans="1:16" ht="15" customHeight="1" x14ac:dyDescent="0.3">
      <c r="A1556" t="str">
        <f t="shared" si="25"/>
        <v>10-0-HH 1RATE (CT)-SmartFIX – 1 Year Renewal (Level 2)</v>
      </c>
      <c r="B1556" t="s">
        <v>13</v>
      </c>
      <c r="C1556">
        <v>10</v>
      </c>
      <c r="D1556" s="100" t="s">
        <v>14</v>
      </c>
      <c r="E1556" t="s">
        <v>731</v>
      </c>
      <c r="F1556" t="s">
        <v>88</v>
      </c>
      <c r="G1556" t="s">
        <v>734</v>
      </c>
      <c r="H1556" s="128">
        <v>0.55479999999999996</v>
      </c>
      <c r="I1556" s="110">
        <v>0.16589999999999999</v>
      </c>
      <c r="L1556">
        <v>5000</v>
      </c>
      <c r="M1556">
        <v>500000</v>
      </c>
      <c r="N1556" s="105">
        <v>44378</v>
      </c>
      <c r="O1556" s="105">
        <v>44561</v>
      </c>
      <c r="P1556" t="s">
        <v>718</v>
      </c>
    </row>
    <row r="1557" spans="1:16" ht="15" customHeight="1" x14ac:dyDescent="0.3">
      <c r="A1557" t="str">
        <f t="shared" si="25"/>
        <v>11-0-HH 1RATE (CT)-SmartFIX – 1 Year Renewal (Level 2)</v>
      </c>
      <c r="B1557" t="s">
        <v>13</v>
      </c>
      <c r="C1557">
        <v>11</v>
      </c>
      <c r="D1557" s="100" t="s">
        <v>20</v>
      </c>
      <c r="E1557" t="s">
        <v>731</v>
      </c>
      <c r="F1557" t="s">
        <v>88</v>
      </c>
      <c r="G1557" t="s">
        <v>734</v>
      </c>
      <c r="H1557" s="128">
        <v>0.49309999999999998</v>
      </c>
      <c r="I1557" s="110">
        <v>0.16489999999999999</v>
      </c>
      <c r="L1557">
        <v>5000</v>
      </c>
      <c r="M1557">
        <v>500000</v>
      </c>
      <c r="N1557" s="105">
        <v>44378</v>
      </c>
      <c r="O1557" s="105">
        <v>44561</v>
      </c>
      <c r="P1557" t="s">
        <v>718</v>
      </c>
    </row>
    <row r="1558" spans="1:16" ht="15" customHeight="1" x14ac:dyDescent="0.3">
      <c r="A1558" t="str">
        <f t="shared" si="25"/>
        <v>12-0-HH 1RATE (CT)-SmartFIX – 1 Year Renewal (Level 2)</v>
      </c>
      <c r="B1558" t="s">
        <v>13</v>
      </c>
      <c r="C1558">
        <v>12</v>
      </c>
      <c r="D1558" s="100" t="s">
        <v>21</v>
      </c>
      <c r="E1558" t="s">
        <v>731</v>
      </c>
      <c r="F1558" t="s">
        <v>88</v>
      </c>
      <c r="G1558" t="s">
        <v>734</v>
      </c>
      <c r="H1558" s="128">
        <v>0.45529999999999998</v>
      </c>
      <c r="I1558" s="110">
        <v>0.16170000000000001</v>
      </c>
      <c r="L1558">
        <v>5000</v>
      </c>
      <c r="M1558">
        <v>500000</v>
      </c>
      <c r="N1558" s="105">
        <v>44378</v>
      </c>
      <c r="O1558" s="105">
        <v>44561</v>
      </c>
      <c r="P1558" t="s">
        <v>718</v>
      </c>
    </row>
    <row r="1559" spans="1:16" ht="15" customHeight="1" x14ac:dyDescent="0.3">
      <c r="A1559" t="str">
        <f t="shared" si="25"/>
        <v>13-0-HH 1RATE (CT)-SmartFIX – 1 Year Renewal (Level 2)</v>
      </c>
      <c r="B1559" t="s">
        <v>13</v>
      </c>
      <c r="C1559">
        <v>13</v>
      </c>
      <c r="D1559" s="100" t="s">
        <v>22</v>
      </c>
      <c r="E1559" t="s">
        <v>731</v>
      </c>
      <c r="F1559" t="s">
        <v>88</v>
      </c>
      <c r="G1559" t="s">
        <v>734</v>
      </c>
      <c r="H1559" s="128">
        <v>0.63900000000000001</v>
      </c>
      <c r="I1559" s="110">
        <v>0.19359999999999999</v>
      </c>
      <c r="L1559">
        <v>5000</v>
      </c>
      <c r="M1559">
        <v>500000</v>
      </c>
      <c r="N1559" s="105">
        <v>44378</v>
      </c>
      <c r="O1559" s="105">
        <v>44561</v>
      </c>
      <c r="P1559" t="s">
        <v>718</v>
      </c>
    </row>
    <row r="1560" spans="1:16" ht="15" customHeight="1" x14ac:dyDescent="0.3">
      <c r="A1560" t="str">
        <f t="shared" si="25"/>
        <v>14-0-HH 1RATE (CT)-SmartFIX – 1 Year Renewal (Level 2)</v>
      </c>
      <c r="B1560" t="s">
        <v>13</v>
      </c>
      <c r="C1560">
        <v>14</v>
      </c>
      <c r="D1560" s="100" t="s">
        <v>23</v>
      </c>
      <c r="E1560" t="s">
        <v>731</v>
      </c>
      <c r="F1560" t="s">
        <v>88</v>
      </c>
      <c r="G1560" t="s">
        <v>734</v>
      </c>
      <c r="H1560" s="128">
        <v>0.50660000000000005</v>
      </c>
      <c r="I1560" s="110">
        <v>0.1691</v>
      </c>
      <c r="L1560">
        <v>5000</v>
      </c>
      <c r="M1560">
        <v>500000</v>
      </c>
      <c r="N1560" s="105">
        <v>44378</v>
      </c>
      <c r="O1560" s="105">
        <v>44561</v>
      </c>
      <c r="P1560" t="s">
        <v>718</v>
      </c>
    </row>
    <row r="1561" spans="1:16" ht="15" customHeight="1" x14ac:dyDescent="0.3">
      <c r="A1561" t="str">
        <f t="shared" si="25"/>
        <v>15-0-HH 1RATE (CT)-SmartFIX – 1 Year Renewal (Level 2)</v>
      </c>
      <c r="B1561" t="s">
        <v>13</v>
      </c>
      <c r="C1561">
        <v>15</v>
      </c>
      <c r="D1561" s="100" t="s">
        <v>24</v>
      </c>
      <c r="E1561" t="s">
        <v>731</v>
      </c>
      <c r="F1561" t="s">
        <v>88</v>
      </c>
      <c r="G1561" t="s">
        <v>734</v>
      </c>
      <c r="H1561" s="128">
        <v>0.61280000000000001</v>
      </c>
      <c r="I1561" s="110">
        <v>0.16670000000000001</v>
      </c>
      <c r="L1561">
        <v>5000</v>
      </c>
      <c r="M1561">
        <v>500000</v>
      </c>
      <c r="N1561" s="105">
        <v>44378</v>
      </c>
      <c r="O1561" s="105">
        <v>44561</v>
      </c>
      <c r="P1561" t="s">
        <v>718</v>
      </c>
    </row>
    <row r="1562" spans="1:16" ht="15" customHeight="1" x14ac:dyDescent="0.3">
      <c r="A1562" t="str">
        <f t="shared" si="25"/>
        <v>16-0-HH 1RATE (CT)-SmartFIX – 1 Year Renewal (Level 2)</v>
      </c>
      <c r="B1562" t="s">
        <v>13</v>
      </c>
      <c r="C1562">
        <v>16</v>
      </c>
      <c r="D1562" s="100" t="s">
        <v>25</v>
      </c>
      <c r="E1562" t="s">
        <v>731</v>
      </c>
      <c r="F1562" t="s">
        <v>88</v>
      </c>
      <c r="G1562" t="s">
        <v>734</v>
      </c>
      <c r="H1562" s="128">
        <v>0.57079999999999997</v>
      </c>
      <c r="I1562" s="110">
        <v>0.1696</v>
      </c>
      <c r="L1562">
        <v>5000</v>
      </c>
      <c r="M1562">
        <v>500000</v>
      </c>
      <c r="N1562" s="105">
        <v>44378</v>
      </c>
      <c r="O1562" s="105">
        <v>44561</v>
      </c>
      <c r="P1562" t="s">
        <v>718</v>
      </c>
    </row>
    <row r="1563" spans="1:16" ht="15" customHeight="1" x14ac:dyDescent="0.3">
      <c r="A1563" t="str">
        <f t="shared" si="25"/>
        <v>17-0-HH 1RATE (CT)-SmartFIX – 1 Year Renewal (Level 2)</v>
      </c>
      <c r="B1563" t="s">
        <v>13</v>
      </c>
      <c r="C1563">
        <v>17</v>
      </c>
      <c r="D1563" s="100" t="s">
        <v>26</v>
      </c>
      <c r="E1563" t="s">
        <v>731</v>
      </c>
      <c r="F1563" t="s">
        <v>88</v>
      </c>
      <c r="G1563" t="s">
        <v>734</v>
      </c>
      <c r="H1563" s="128">
        <v>0.77270000000000005</v>
      </c>
      <c r="I1563" s="110">
        <v>0.16789999999999999</v>
      </c>
      <c r="L1563">
        <v>5000</v>
      </c>
      <c r="M1563">
        <v>500000</v>
      </c>
      <c r="N1563" s="105">
        <v>44378</v>
      </c>
      <c r="O1563" s="105">
        <v>44561</v>
      </c>
      <c r="P1563" t="s">
        <v>718</v>
      </c>
    </row>
    <row r="1564" spans="1:16" ht="15" customHeight="1" x14ac:dyDescent="0.3">
      <c r="A1564" t="str">
        <f t="shared" si="25"/>
        <v>18-0-HH 1RATE (CT)-SmartFIX – 1 Year Renewal (Level 2)</v>
      </c>
      <c r="B1564" t="s">
        <v>13</v>
      </c>
      <c r="C1564">
        <v>18</v>
      </c>
      <c r="D1564" s="100" t="s">
        <v>27</v>
      </c>
      <c r="E1564" t="s">
        <v>731</v>
      </c>
      <c r="F1564" t="s">
        <v>88</v>
      </c>
      <c r="G1564" t="s">
        <v>734</v>
      </c>
      <c r="H1564" s="128">
        <v>0.70830000000000004</v>
      </c>
      <c r="I1564" s="110">
        <v>0.1636</v>
      </c>
      <c r="L1564">
        <v>5000</v>
      </c>
      <c r="M1564">
        <v>500000</v>
      </c>
      <c r="N1564" s="105">
        <v>44378</v>
      </c>
      <c r="O1564" s="105">
        <v>44561</v>
      </c>
      <c r="P1564" t="s">
        <v>718</v>
      </c>
    </row>
    <row r="1565" spans="1:16" ht="15" customHeight="1" x14ac:dyDescent="0.3">
      <c r="A1565" t="str">
        <f t="shared" si="25"/>
        <v>19-0-HH 1RATE (CT)-SmartFIX – 1 Year Renewal (Level 2)</v>
      </c>
      <c r="B1565" t="s">
        <v>13</v>
      </c>
      <c r="C1565">
        <v>19</v>
      </c>
      <c r="D1565" s="100" t="s">
        <v>28</v>
      </c>
      <c r="E1565" t="s">
        <v>731</v>
      </c>
      <c r="F1565" t="s">
        <v>88</v>
      </c>
      <c r="G1565" t="s">
        <v>734</v>
      </c>
      <c r="H1565" s="128">
        <v>0.55659999999999998</v>
      </c>
      <c r="I1565" s="110">
        <v>0.16489999999999999</v>
      </c>
      <c r="L1565">
        <v>5000</v>
      </c>
      <c r="M1565">
        <v>500000</v>
      </c>
      <c r="N1565" s="105">
        <v>44378</v>
      </c>
      <c r="O1565" s="105">
        <v>44561</v>
      </c>
      <c r="P1565" t="s">
        <v>718</v>
      </c>
    </row>
    <row r="1566" spans="1:16" ht="15" customHeight="1" x14ac:dyDescent="0.3">
      <c r="A1566" t="str">
        <f t="shared" si="25"/>
        <v>20-0-HH 1RATE (CT)-SmartFIX – 1 Year Renewal (Level 2)</v>
      </c>
      <c r="B1566" t="s">
        <v>13</v>
      </c>
      <c r="C1566">
        <v>20</v>
      </c>
      <c r="D1566" s="100" t="s">
        <v>29</v>
      </c>
      <c r="E1566" t="s">
        <v>731</v>
      </c>
      <c r="F1566" t="s">
        <v>88</v>
      </c>
      <c r="G1566" t="s">
        <v>734</v>
      </c>
      <c r="H1566" s="128">
        <v>0.58799999999999997</v>
      </c>
      <c r="I1566" s="110">
        <v>0.16290000000000002</v>
      </c>
      <c r="L1566">
        <v>5000</v>
      </c>
      <c r="M1566">
        <v>500000</v>
      </c>
      <c r="N1566" s="105">
        <v>44378</v>
      </c>
      <c r="O1566" s="105">
        <v>44561</v>
      </c>
      <c r="P1566" t="s">
        <v>718</v>
      </c>
    </row>
    <row r="1567" spans="1:16" ht="15" customHeight="1" x14ac:dyDescent="0.3">
      <c r="A1567" t="str">
        <f t="shared" si="25"/>
        <v>21-0-HH 1RATE (CT)-SmartFIX – 1 Year Renewal (Level 2)</v>
      </c>
      <c r="B1567" t="s">
        <v>13</v>
      </c>
      <c r="C1567">
        <v>21</v>
      </c>
      <c r="D1567" s="100" t="s">
        <v>30</v>
      </c>
      <c r="E1567" t="s">
        <v>731</v>
      </c>
      <c r="F1567" t="s">
        <v>88</v>
      </c>
      <c r="G1567" t="s">
        <v>734</v>
      </c>
      <c r="H1567" s="128">
        <v>0.60389999999999999</v>
      </c>
      <c r="I1567" s="110">
        <v>0.1719</v>
      </c>
      <c r="L1567">
        <v>5000</v>
      </c>
      <c r="M1567">
        <v>500000</v>
      </c>
      <c r="N1567" s="105">
        <v>44378</v>
      </c>
      <c r="O1567" s="105">
        <v>44561</v>
      </c>
      <c r="P1567" t="s">
        <v>718</v>
      </c>
    </row>
    <row r="1568" spans="1:16" ht="15" customHeight="1" x14ac:dyDescent="0.3">
      <c r="A1568" t="str">
        <f t="shared" si="25"/>
        <v>22-0-HH 1RATE (CT)-SmartFIX – 1 Year Renewal (Level 2)</v>
      </c>
      <c r="B1568" t="s">
        <v>13</v>
      </c>
      <c r="C1568">
        <v>22</v>
      </c>
      <c r="D1568" s="100" t="s">
        <v>31</v>
      </c>
      <c r="E1568" t="s">
        <v>731</v>
      </c>
      <c r="F1568" t="s">
        <v>88</v>
      </c>
      <c r="G1568" t="s">
        <v>734</v>
      </c>
      <c r="H1568" s="128">
        <v>0.52969999999999995</v>
      </c>
      <c r="I1568" s="110">
        <v>0.16309999999999999</v>
      </c>
      <c r="L1568">
        <v>5000</v>
      </c>
      <c r="M1568">
        <v>500000</v>
      </c>
      <c r="N1568" s="105">
        <v>44378</v>
      </c>
      <c r="O1568" s="105">
        <v>44561</v>
      </c>
      <c r="P1568" t="s">
        <v>718</v>
      </c>
    </row>
    <row r="1569" spans="1:16" ht="15" customHeight="1" x14ac:dyDescent="0.3">
      <c r="A1569" t="str">
        <f t="shared" si="25"/>
        <v>23-0-HH 1RATE (CT)-SmartFIX – 1 Year Renewal (Level 2)</v>
      </c>
      <c r="B1569" t="s">
        <v>13</v>
      </c>
      <c r="C1569">
        <v>23</v>
      </c>
      <c r="D1569" s="100" t="s">
        <v>32</v>
      </c>
      <c r="E1569" t="s">
        <v>731</v>
      </c>
      <c r="F1569" t="s">
        <v>88</v>
      </c>
      <c r="G1569" t="s">
        <v>734</v>
      </c>
      <c r="H1569" s="128">
        <v>0.6321</v>
      </c>
      <c r="I1569" s="110">
        <v>0.1623</v>
      </c>
      <c r="L1569">
        <v>5000</v>
      </c>
      <c r="M1569">
        <v>500000</v>
      </c>
      <c r="N1569" s="105">
        <v>44378</v>
      </c>
      <c r="O1569" s="105">
        <v>44561</v>
      </c>
      <c r="P1569" t="s">
        <v>718</v>
      </c>
    </row>
    <row r="1570" spans="1:16" ht="15" customHeight="1" x14ac:dyDescent="0.3">
      <c r="A1570" t="str">
        <f t="shared" si="25"/>
        <v>10-0-HH 1RATE (WC)-SmartTRACKER (Level 2)</v>
      </c>
      <c r="B1570" t="s">
        <v>13</v>
      </c>
      <c r="C1570">
        <v>10</v>
      </c>
      <c r="D1570" s="100" t="s">
        <v>14</v>
      </c>
      <c r="E1570" t="s">
        <v>732</v>
      </c>
      <c r="F1570" t="s">
        <v>88</v>
      </c>
      <c r="G1570" t="s">
        <v>724</v>
      </c>
      <c r="H1570" s="128">
        <v>0.40300000000000002</v>
      </c>
      <c r="I1570" s="110">
        <v>0.15790000000000001</v>
      </c>
      <c r="L1570">
        <v>5000</v>
      </c>
      <c r="M1570">
        <v>500000</v>
      </c>
      <c r="N1570" s="105">
        <v>44378</v>
      </c>
      <c r="O1570" s="105">
        <v>44561</v>
      </c>
      <c r="P1570" t="s">
        <v>718</v>
      </c>
    </row>
    <row r="1571" spans="1:16" ht="15" customHeight="1" x14ac:dyDescent="0.3">
      <c r="A1571" t="str">
        <f t="shared" si="25"/>
        <v>11-0-HH 1RATE (WC)-SmartTRACKER (Level 2)</v>
      </c>
      <c r="B1571" t="s">
        <v>13</v>
      </c>
      <c r="C1571">
        <v>11</v>
      </c>
      <c r="D1571" s="100" t="s">
        <v>20</v>
      </c>
      <c r="E1571" t="s">
        <v>732</v>
      </c>
      <c r="F1571" t="s">
        <v>88</v>
      </c>
      <c r="G1571" t="s">
        <v>724</v>
      </c>
      <c r="H1571" s="128">
        <v>0.41310000000000002</v>
      </c>
      <c r="I1571" s="110">
        <v>0.1583</v>
      </c>
      <c r="L1571">
        <v>5000</v>
      </c>
      <c r="M1571">
        <v>500000</v>
      </c>
      <c r="N1571" s="105">
        <v>44378</v>
      </c>
      <c r="O1571" s="105">
        <v>44561</v>
      </c>
      <c r="P1571" t="s">
        <v>718</v>
      </c>
    </row>
    <row r="1572" spans="1:16" ht="15" customHeight="1" x14ac:dyDescent="0.3">
      <c r="A1572" t="str">
        <f t="shared" si="25"/>
        <v>12-0-HH 1RATE (WC)-SmartTRACKER (Level 2)</v>
      </c>
      <c r="B1572" t="s">
        <v>13</v>
      </c>
      <c r="C1572">
        <v>12</v>
      </c>
      <c r="D1572" s="100" t="s">
        <v>21</v>
      </c>
      <c r="E1572" t="s">
        <v>732</v>
      </c>
      <c r="F1572" t="s">
        <v>88</v>
      </c>
      <c r="G1572" t="s">
        <v>724</v>
      </c>
      <c r="H1572" s="128">
        <v>0.33729999999999999</v>
      </c>
      <c r="I1572" s="110">
        <v>0.15240000000000001</v>
      </c>
      <c r="L1572">
        <v>5000</v>
      </c>
      <c r="M1572">
        <v>500000</v>
      </c>
      <c r="N1572" s="105">
        <v>44378</v>
      </c>
      <c r="O1572" s="105">
        <v>44561</v>
      </c>
      <c r="P1572" t="s">
        <v>718</v>
      </c>
    </row>
    <row r="1573" spans="1:16" ht="15" customHeight="1" x14ac:dyDescent="0.3">
      <c r="A1573" t="str">
        <f t="shared" si="25"/>
        <v>13-0-HH 1RATE (WC)-SmartTRACKER (Level 2)</v>
      </c>
      <c r="B1573" t="s">
        <v>13</v>
      </c>
      <c r="C1573">
        <v>13</v>
      </c>
      <c r="D1573" s="100" t="s">
        <v>22</v>
      </c>
      <c r="E1573" t="s">
        <v>732</v>
      </c>
      <c r="F1573" t="s">
        <v>88</v>
      </c>
      <c r="G1573" t="s">
        <v>724</v>
      </c>
      <c r="H1573" s="128">
        <v>0.3785</v>
      </c>
      <c r="I1573" s="110">
        <v>0.18149999999999999</v>
      </c>
      <c r="L1573">
        <v>5000</v>
      </c>
      <c r="M1573">
        <v>500000</v>
      </c>
      <c r="N1573" s="105">
        <v>44378</v>
      </c>
      <c r="O1573" s="105">
        <v>44561</v>
      </c>
      <c r="P1573" t="s">
        <v>718</v>
      </c>
    </row>
    <row r="1574" spans="1:16" ht="15" customHeight="1" x14ac:dyDescent="0.3">
      <c r="A1574" t="str">
        <f t="shared" si="25"/>
        <v>14-0-HH 1RATE (WC)-SmartTRACKER (Level 2)</v>
      </c>
      <c r="B1574" t="s">
        <v>13</v>
      </c>
      <c r="C1574">
        <v>14</v>
      </c>
      <c r="D1574" s="100" t="s">
        <v>23</v>
      </c>
      <c r="E1574" t="s">
        <v>732</v>
      </c>
      <c r="F1574" t="s">
        <v>88</v>
      </c>
      <c r="G1574" t="s">
        <v>724</v>
      </c>
      <c r="H1574" s="128">
        <v>0.43530000000000002</v>
      </c>
      <c r="I1574" s="110">
        <v>0.16209999999999999</v>
      </c>
      <c r="L1574">
        <v>5000</v>
      </c>
      <c r="M1574">
        <v>500000</v>
      </c>
      <c r="N1574" s="105">
        <v>44378</v>
      </c>
      <c r="O1574" s="105">
        <v>44561</v>
      </c>
      <c r="P1574" t="s">
        <v>718</v>
      </c>
    </row>
    <row r="1575" spans="1:16" ht="15" customHeight="1" x14ac:dyDescent="0.3">
      <c r="A1575" t="str">
        <f t="shared" si="25"/>
        <v>15-0-HH 1RATE (WC)-SmartTRACKER (Level 2)</v>
      </c>
      <c r="B1575" t="s">
        <v>13</v>
      </c>
      <c r="C1575">
        <v>15</v>
      </c>
      <c r="D1575" s="100" t="s">
        <v>24</v>
      </c>
      <c r="E1575" t="s">
        <v>732</v>
      </c>
      <c r="F1575" t="s">
        <v>88</v>
      </c>
      <c r="G1575" t="s">
        <v>724</v>
      </c>
      <c r="H1575" s="128">
        <v>0.41239999999999999</v>
      </c>
      <c r="I1575" s="110">
        <v>0.1573</v>
      </c>
      <c r="L1575">
        <v>5000</v>
      </c>
      <c r="M1575">
        <v>500000</v>
      </c>
      <c r="N1575" s="105">
        <v>44378</v>
      </c>
      <c r="O1575" s="105">
        <v>44561</v>
      </c>
      <c r="P1575" t="s">
        <v>718</v>
      </c>
    </row>
    <row r="1576" spans="1:16" ht="15" customHeight="1" x14ac:dyDescent="0.3">
      <c r="A1576" t="str">
        <f t="shared" si="25"/>
        <v>16-0-HH 1RATE (WC)-SmartTRACKER (Level 2)</v>
      </c>
      <c r="B1576" t="s">
        <v>13</v>
      </c>
      <c r="C1576">
        <v>16</v>
      </c>
      <c r="D1576" s="100" t="s">
        <v>25</v>
      </c>
      <c r="E1576" t="s">
        <v>732</v>
      </c>
      <c r="F1576" t="s">
        <v>88</v>
      </c>
      <c r="G1576" t="s">
        <v>724</v>
      </c>
      <c r="H1576" s="128">
        <v>0.36770000000000003</v>
      </c>
      <c r="I1576" s="110">
        <v>0.16189999999999999</v>
      </c>
      <c r="L1576">
        <v>5000</v>
      </c>
      <c r="M1576">
        <v>500000</v>
      </c>
      <c r="N1576" s="105">
        <v>44378</v>
      </c>
      <c r="O1576" s="105">
        <v>44561</v>
      </c>
      <c r="P1576" t="s">
        <v>718</v>
      </c>
    </row>
    <row r="1577" spans="1:16" ht="15" customHeight="1" x14ac:dyDescent="0.3">
      <c r="A1577" t="str">
        <f t="shared" si="25"/>
        <v>17-0-HH 1RATE (WC)-SmartTRACKER (Level 2)</v>
      </c>
      <c r="B1577" t="s">
        <v>13</v>
      </c>
      <c r="C1577">
        <v>17</v>
      </c>
      <c r="D1577" s="100" t="s">
        <v>26</v>
      </c>
      <c r="E1577" t="s">
        <v>732</v>
      </c>
      <c r="F1577" t="s">
        <v>88</v>
      </c>
      <c r="G1577" t="s">
        <v>724</v>
      </c>
      <c r="H1577" s="128">
        <v>0.45</v>
      </c>
      <c r="I1577" s="110">
        <v>0.16919999999999999</v>
      </c>
      <c r="L1577">
        <v>5000</v>
      </c>
      <c r="M1577">
        <v>500000</v>
      </c>
      <c r="N1577" s="105">
        <v>44378</v>
      </c>
      <c r="O1577" s="105">
        <v>44561</v>
      </c>
      <c r="P1577" t="s">
        <v>718</v>
      </c>
    </row>
    <row r="1578" spans="1:16" ht="15" customHeight="1" x14ac:dyDescent="0.3">
      <c r="A1578" t="str">
        <f t="shared" si="25"/>
        <v>18-0-HH 1RATE (WC)-SmartTRACKER (Level 2)</v>
      </c>
      <c r="B1578" t="s">
        <v>13</v>
      </c>
      <c r="C1578">
        <v>18</v>
      </c>
      <c r="D1578" s="100" t="s">
        <v>27</v>
      </c>
      <c r="E1578" t="s">
        <v>732</v>
      </c>
      <c r="F1578" t="s">
        <v>88</v>
      </c>
      <c r="G1578" t="s">
        <v>724</v>
      </c>
      <c r="H1578" s="128">
        <v>0.39450000000000002</v>
      </c>
      <c r="I1578" s="110">
        <v>0.1593</v>
      </c>
      <c r="L1578">
        <v>5000</v>
      </c>
      <c r="M1578">
        <v>500000</v>
      </c>
      <c r="N1578" s="105">
        <v>44378</v>
      </c>
      <c r="O1578" s="105">
        <v>44561</v>
      </c>
      <c r="P1578" t="s">
        <v>718</v>
      </c>
    </row>
    <row r="1579" spans="1:16" ht="15" customHeight="1" x14ac:dyDescent="0.3">
      <c r="A1579" t="str">
        <f t="shared" si="25"/>
        <v>19-0-HH 1RATE (WC)-SmartTRACKER (Level 2)</v>
      </c>
      <c r="B1579" t="s">
        <v>13</v>
      </c>
      <c r="C1579">
        <v>19</v>
      </c>
      <c r="D1579" s="100" t="s">
        <v>28</v>
      </c>
      <c r="E1579" t="s">
        <v>732</v>
      </c>
      <c r="F1579" t="s">
        <v>88</v>
      </c>
      <c r="G1579" t="s">
        <v>724</v>
      </c>
      <c r="H1579" s="128">
        <v>0.39610000000000001</v>
      </c>
      <c r="I1579" s="110">
        <v>0.15759999999999999</v>
      </c>
      <c r="L1579">
        <v>5000</v>
      </c>
      <c r="M1579">
        <v>500000</v>
      </c>
      <c r="N1579" s="105">
        <v>44378</v>
      </c>
      <c r="O1579" s="105">
        <v>44561</v>
      </c>
      <c r="P1579" t="s">
        <v>718</v>
      </c>
    </row>
    <row r="1580" spans="1:16" ht="15" customHeight="1" x14ac:dyDescent="0.3">
      <c r="A1580" t="str">
        <f t="shared" si="25"/>
        <v>20-0-HH 1RATE (WC)-SmartTRACKER (Level 2)</v>
      </c>
      <c r="B1580" t="s">
        <v>13</v>
      </c>
      <c r="C1580">
        <v>20</v>
      </c>
      <c r="D1580" s="100" t="s">
        <v>29</v>
      </c>
      <c r="E1580" t="s">
        <v>732</v>
      </c>
      <c r="F1580" t="s">
        <v>88</v>
      </c>
      <c r="G1580" t="s">
        <v>724</v>
      </c>
      <c r="H1580" s="128">
        <v>0.38940000000000002</v>
      </c>
      <c r="I1580" s="110">
        <v>0.1615</v>
      </c>
      <c r="L1580">
        <v>5000</v>
      </c>
      <c r="M1580">
        <v>500000</v>
      </c>
      <c r="N1580" s="105">
        <v>44378</v>
      </c>
      <c r="O1580" s="105">
        <v>44561</v>
      </c>
      <c r="P1580" t="s">
        <v>718</v>
      </c>
    </row>
    <row r="1581" spans="1:16" ht="15" customHeight="1" x14ac:dyDescent="0.3">
      <c r="A1581" t="str">
        <f t="shared" si="25"/>
        <v>21-0-HH 1RATE (WC)-SmartTRACKER (Level 2)</v>
      </c>
      <c r="B1581" t="s">
        <v>13</v>
      </c>
      <c r="C1581">
        <v>21</v>
      </c>
      <c r="D1581" s="100" t="s">
        <v>30</v>
      </c>
      <c r="E1581" t="s">
        <v>732</v>
      </c>
      <c r="F1581" t="s">
        <v>88</v>
      </c>
      <c r="G1581" t="s">
        <v>724</v>
      </c>
      <c r="H1581" s="128">
        <v>0.49430000000000002</v>
      </c>
      <c r="I1581" s="110">
        <v>0.16520000000000001</v>
      </c>
      <c r="L1581">
        <v>5000</v>
      </c>
      <c r="M1581">
        <v>500000</v>
      </c>
      <c r="N1581" s="105">
        <v>44378</v>
      </c>
      <c r="O1581" s="105">
        <v>44561</v>
      </c>
      <c r="P1581" t="s">
        <v>718</v>
      </c>
    </row>
    <row r="1582" spans="1:16" ht="15" customHeight="1" x14ac:dyDescent="0.3">
      <c r="A1582" t="str">
        <f t="shared" si="25"/>
        <v>22-0-HH 1RATE (WC)-SmartTRACKER (Level 2)</v>
      </c>
      <c r="B1582" t="s">
        <v>13</v>
      </c>
      <c r="C1582">
        <v>22</v>
      </c>
      <c r="D1582" s="100" t="s">
        <v>31</v>
      </c>
      <c r="E1582" t="s">
        <v>732</v>
      </c>
      <c r="F1582" t="s">
        <v>88</v>
      </c>
      <c r="G1582" t="s">
        <v>724</v>
      </c>
      <c r="H1582" s="128">
        <v>0.44379999999999997</v>
      </c>
      <c r="I1582" s="110">
        <v>0.17699999999999999</v>
      </c>
      <c r="L1582">
        <v>5000</v>
      </c>
      <c r="M1582">
        <v>500000</v>
      </c>
      <c r="N1582" s="105">
        <v>44378</v>
      </c>
      <c r="O1582" s="105">
        <v>44561</v>
      </c>
      <c r="P1582" t="s">
        <v>718</v>
      </c>
    </row>
    <row r="1583" spans="1:16" ht="15" customHeight="1" x14ac:dyDescent="0.3">
      <c r="A1583" t="str">
        <f t="shared" si="25"/>
        <v>23-0-HH 1RATE (WC)-SmartTRACKER (Level 2)</v>
      </c>
      <c r="B1583" t="s">
        <v>13</v>
      </c>
      <c r="C1583">
        <v>23</v>
      </c>
      <c r="D1583" s="100" t="s">
        <v>32</v>
      </c>
      <c r="E1583" t="s">
        <v>732</v>
      </c>
      <c r="F1583" t="s">
        <v>88</v>
      </c>
      <c r="G1583" t="s">
        <v>724</v>
      </c>
      <c r="H1583" s="128">
        <v>0.40550000000000003</v>
      </c>
      <c r="I1583" s="110">
        <v>0.1532</v>
      </c>
      <c r="L1583">
        <v>5000</v>
      </c>
      <c r="M1583">
        <v>500000</v>
      </c>
      <c r="N1583" s="105">
        <v>44378</v>
      </c>
      <c r="O1583" s="105">
        <v>44561</v>
      </c>
      <c r="P1583" t="s">
        <v>718</v>
      </c>
    </row>
    <row r="1584" spans="1:16" ht="15" customHeight="1" x14ac:dyDescent="0.3">
      <c r="A1584" t="str">
        <f t="shared" si="25"/>
        <v>10-0-HH 1RATE (WC)-SmartTRACKER Renewal (Level 2)</v>
      </c>
      <c r="B1584" t="s">
        <v>13</v>
      </c>
      <c r="C1584">
        <v>10</v>
      </c>
      <c r="D1584" s="100" t="s">
        <v>14</v>
      </c>
      <c r="E1584" t="s">
        <v>732</v>
      </c>
      <c r="F1584" t="s">
        <v>88</v>
      </c>
      <c r="G1584" t="s">
        <v>733</v>
      </c>
      <c r="H1584" s="128">
        <v>0.44330000000000003</v>
      </c>
      <c r="I1584" s="110">
        <v>0.16390000000000002</v>
      </c>
      <c r="L1584">
        <v>5000</v>
      </c>
      <c r="M1584">
        <v>500000</v>
      </c>
      <c r="N1584" s="105">
        <v>44378</v>
      </c>
      <c r="O1584" s="105">
        <v>44561</v>
      </c>
      <c r="P1584" t="s">
        <v>718</v>
      </c>
    </row>
    <row r="1585" spans="1:16" ht="15" customHeight="1" x14ac:dyDescent="0.3">
      <c r="A1585" t="str">
        <f t="shared" si="25"/>
        <v>11-0-HH 1RATE (WC)-SmartTRACKER Renewal (Level 2)</v>
      </c>
      <c r="B1585" t="s">
        <v>13</v>
      </c>
      <c r="C1585">
        <v>11</v>
      </c>
      <c r="D1585" s="100" t="s">
        <v>20</v>
      </c>
      <c r="E1585" t="s">
        <v>732</v>
      </c>
      <c r="F1585" t="s">
        <v>88</v>
      </c>
      <c r="G1585" t="s">
        <v>733</v>
      </c>
      <c r="H1585" s="128">
        <v>0.45440000000000003</v>
      </c>
      <c r="I1585" s="110">
        <v>0.1643</v>
      </c>
      <c r="L1585">
        <v>5000</v>
      </c>
      <c r="M1585">
        <v>500000</v>
      </c>
      <c r="N1585" s="105">
        <v>44378</v>
      </c>
      <c r="O1585" s="105">
        <v>44561</v>
      </c>
      <c r="P1585" t="s">
        <v>718</v>
      </c>
    </row>
    <row r="1586" spans="1:16" ht="15" customHeight="1" x14ac:dyDescent="0.3">
      <c r="A1586" t="str">
        <f t="shared" si="25"/>
        <v>12-0-HH 1RATE (WC)-SmartTRACKER Renewal (Level 2)</v>
      </c>
      <c r="B1586" t="s">
        <v>13</v>
      </c>
      <c r="C1586">
        <v>12</v>
      </c>
      <c r="D1586" s="100" t="s">
        <v>21</v>
      </c>
      <c r="E1586" t="s">
        <v>732</v>
      </c>
      <c r="F1586" t="s">
        <v>88</v>
      </c>
      <c r="G1586" t="s">
        <v>733</v>
      </c>
      <c r="H1586" s="128">
        <v>0.371</v>
      </c>
      <c r="I1586" s="110">
        <v>0.15840000000000001</v>
      </c>
      <c r="L1586">
        <v>5000</v>
      </c>
      <c r="M1586">
        <v>500000</v>
      </c>
      <c r="N1586" s="105">
        <v>44378</v>
      </c>
      <c r="O1586" s="105">
        <v>44561</v>
      </c>
      <c r="P1586" t="s">
        <v>718</v>
      </c>
    </row>
    <row r="1587" spans="1:16" ht="15" customHeight="1" x14ac:dyDescent="0.3">
      <c r="A1587" t="str">
        <f t="shared" si="25"/>
        <v>13-0-HH 1RATE (WC)-SmartTRACKER Renewal (Level 2)</v>
      </c>
      <c r="B1587" t="s">
        <v>13</v>
      </c>
      <c r="C1587">
        <v>13</v>
      </c>
      <c r="D1587" s="100" t="s">
        <v>22</v>
      </c>
      <c r="E1587" t="s">
        <v>732</v>
      </c>
      <c r="F1587" t="s">
        <v>88</v>
      </c>
      <c r="G1587" t="s">
        <v>733</v>
      </c>
      <c r="H1587" s="128">
        <v>0.4163</v>
      </c>
      <c r="I1587" s="110">
        <v>0.1875</v>
      </c>
      <c r="L1587">
        <v>5000</v>
      </c>
      <c r="M1587">
        <v>500000</v>
      </c>
      <c r="N1587" s="105">
        <v>44378</v>
      </c>
      <c r="O1587" s="105">
        <v>44561</v>
      </c>
      <c r="P1587" t="s">
        <v>718</v>
      </c>
    </row>
    <row r="1588" spans="1:16" ht="15" customHeight="1" x14ac:dyDescent="0.3">
      <c r="A1588" t="str">
        <f t="shared" si="25"/>
        <v>14-0-HH 1RATE (WC)-SmartTRACKER Renewal (Level 2)</v>
      </c>
      <c r="B1588" t="s">
        <v>13</v>
      </c>
      <c r="C1588">
        <v>14</v>
      </c>
      <c r="D1588" s="100" t="s">
        <v>23</v>
      </c>
      <c r="E1588" t="s">
        <v>732</v>
      </c>
      <c r="F1588" t="s">
        <v>88</v>
      </c>
      <c r="G1588" t="s">
        <v>733</v>
      </c>
      <c r="H1588" s="128">
        <v>0.4788</v>
      </c>
      <c r="I1588" s="110">
        <v>0.1681</v>
      </c>
      <c r="L1588">
        <v>5000</v>
      </c>
      <c r="M1588">
        <v>500000</v>
      </c>
      <c r="N1588" s="105">
        <v>44378</v>
      </c>
      <c r="O1588" s="105">
        <v>44561</v>
      </c>
      <c r="P1588" t="s">
        <v>718</v>
      </c>
    </row>
    <row r="1589" spans="1:16" ht="15" customHeight="1" x14ac:dyDescent="0.3">
      <c r="A1589" t="str">
        <f t="shared" si="25"/>
        <v>15-0-HH 1RATE (WC)-SmartTRACKER Renewal (Level 2)</v>
      </c>
      <c r="B1589" t="s">
        <v>13</v>
      </c>
      <c r="C1589">
        <v>15</v>
      </c>
      <c r="D1589" s="100" t="s">
        <v>24</v>
      </c>
      <c r="E1589" t="s">
        <v>732</v>
      </c>
      <c r="F1589" t="s">
        <v>88</v>
      </c>
      <c r="G1589" t="s">
        <v>733</v>
      </c>
      <c r="H1589" s="128">
        <v>0.4536</v>
      </c>
      <c r="I1589" s="110">
        <v>0.1633</v>
      </c>
      <c r="L1589">
        <v>5000</v>
      </c>
      <c r="M1589">
        <v>500000</v>
      </c>
      <c r="N1589" s="105">
        <v>44378</v>
      </c>
      <c r="O1589" s="105">
        <v>44561</v>
      </c>
      <c r="P1589" t="s">
        <v>718</v>
      </c>
    </row>
    <row r="1590" spans="1:16" ht="15" customHeight="1" x14ac:dyDescent="0.3">
      <c r="A1590" t="str">
        <f t="shared" si="25"/>
        <v>16-0-HH 1RATE (WC)-SmartTRACKER Renewal (Level 2)</v>
      </c>
      <c r="B1590" t="s">
        <v>13</v>
      </c>
      <c r="C1590">
        <v>16</v>
      </c>
      <c r="D1590" s="100" t="s">
        <v>25</v>
      </c>
      <c r="E1590" t="s">
        <v>732</v>
      </c>
      <c r="F1590" t="s">
        <v>88</v>
      </c>
      <c r="G1590" t="s">
        <v>733</v>
      </c>
      <c r="H1590" s="128">
        <v>0.40439999999999998</v>
      </c>
      <c r="I1590" s="110">
        <v>0.16789999999999999</v>
      </c>
      <c r="L1590">
        <v>5000</v>
      </c>
      <c r="M1590">
        <v>500000</v>
      </c>
      <c r="N1590" s="105">
        <v>44378</v>
      </c>
      <c r="O1590" s="105">
        <v>44561</v>
      </c>
      <c r="P1590" t="s">
        <v>718</v>
      </c>
    </row>
    <row r="1591" spans="1:16" ht="15" customHeight="1" x14ac:dyDescent="0.3">
      <c r="A1591" t="str">
        <f t="shared" si="25"/>
        <v>17-0-HH 1RATE (WC)-SmartTRACKER Renewal (Level 2)</v>
      </c>
      <c r="B1591" t="s">
        <v>13</v>
      </c>
      <c r="C1591">
        <v>17</v>
      </c>
      <c r="D1591" s="100" t="s">
        <v>26</v>
      </c>
      <c r="E1591" t="s">
        <v>732</v>
      </c>
      <c r="F1591" t="s">
        <v>88</v>
      </c>
      <c r="G1591" t="s">
        <v>733</v>
      </c>
      <c r="H1591" s="128">
        <v>0.495</v>
      </c>
      <c r="I1591" s="110">
        <v>0.17519999999999999</v>
      </c>
      <c r="L1591">
        <v>5000</v>
      </c>
      <c r="M1591">
        <v>500000</v>
      </c>
      <c r="N1591" s="105">
        <v>44378</v>
      </c>
      <c r="O1591" s="105">
        <v>44561</v>
      </c>
      <c r="P1591" t="s">
        <v>718</v>
      </c>
    </row>
    <row r="1592" spans="1:16" ht="15" customHeight="1" x14ac:dyDescent="0.3">
      <c r="A1592" t="str">
        <f t="shared" si="25"/>
        <v>18-0-HH 1RATE (WC)-SmartTRACKER Renewal (Level 2)</v>
      </c>
      <c r="B1592" t="s">
        <v>13</v>
      </c>
      <c r="C1592">
        <v>18</v>
      </c>
      <c r="D1592" s="100" t="s">
        <v>27</v>
      </c>
      <c r="E1592" t="s">
        <v>732</v>
      </c>
      <c r="F1592" t="s">
        <v>88</v>
      </c>
      <c r="G1592" t="s">
        <v>733</v>
      </c>
      <c r="H1592" s="128">
        <v>0.43390000000000001</v>
      </c>
      <c r="I1592" s="110">
        <v>0.1653</v>
      </c>
      <c r="L1592">
        <v>5000</v>
      </c>
      <c r="M1592">
        <v>500000</v>
      </c>
      <c r="N1592" s="105">
        <v>44378</v>
      </c>
      <c r="O1592" s="105">
        <v>44561</v>
      </c>
      <c r="P1592" t="s">
        <v>718</v>
      </c>
    </row>
    <row r="1593" spans="1:16" ht="15" customHeight="1" x14ac:dyDescent="0.3">
      <c r="A1593" t="str">
        <f t="shared" si="25"/>
        <v>19-0-HH 1RATE (WC)-SmartTRACKER Renewal (Level 2)</v>
      </c>
      <c r="B1593" t="s">
        <v>13</v>
      </c>
      <c r="C1593">
        <v>19</v>
      </c>
      <c r="D1593" s="100" t="s">
        <v>28</v>
      </c>
      <c r="E1593" t="s">
        <v>732</v>
      </c>
      <c r="F1593" t="s">
        <v>88</v>
      </c>
      <c r="G1593" t="s">
        <v>733</v>
      </c>
      <c r="H1593" s="128">
        <v>0.43569999999999998</v>
      </c>
      <c r="I1593" s="110">
        <v>0.1636</v>
      </c>
      <c r="L1593">
        <v>5000</v>
      </c>
      <c r="M1593">
        <v>500000</v>
      </c>
      <c r="N1593" s="105">
        <v>44378</v>
      </c>
      <c r="O1593" s="105">
        <v>44561</v>
      </c>
      <c r="P1593" t="s">
        <v>718</v>
      </c>
    </row>
    <row r="1594" spans="1:16" ht="15" customHeight="1" x14ac:dyDescent="0.3">
      <c r="A1594" t="str">
        <f t="shared" si="25"/>
        <v>20-0-HH 1RATE (WC)-SmartTRACKER Renewal (Level 2)</v>
      </c>
      <c r="B1594" t="s">
        <v>13</v>
      </c>
      <c r="C1594">
        <v>20</v>
      </c>
      <c r="D1594" s="100" t="s">
        <v>29</v>
      </c>
      <c r="E1594" t="s">
        <v>732</v>
      </c>
      <c r="F1594" t="s">
        <v>88</v>
      </c>
      <c r="G1594" t="s">
        <v>733</v>
      </c>
      <c r="H1594" s="128">
        <v>0.42830000000000001</v>
      </c>
      <c r="I1594" s="110">
        <v>0.16750000000000001</v>
      </c>
      <c r="L1594">
        <v>5000</v>
      </c>
      <c r="M1594">
        <v>500000</v>
      </c>
      <c r="N1594" s="105">
        <v>44378</v>
      </c>
      <c r="O1594" s="105">
        <v>44561</v>
      </c>
      <c r="P1594" t="s">
        <v>718</v>
      </c>
    </row>
    <row r="1595" spans="1:16" ht="15" customHeight="1" x14ac:dyDescent="0.3">
      <c r="A1595" t="str">
        <f t="shared" si="25"/>
        <v>21-0-HH 1RATE (WC)-SmartTRACKER Renewal (Level 2)</v>
      </c>
      <c r="B1595" t="s">
        <v>13</v>
      </c>
      <c r="C1595">
        <v>21</v>
      </c>
      <c r="D1595" s="100" t="s">
        <v>30</v>
      </c>
      <c r="E1595" t="s">
        <v>732</v>
      </c>
      <c r="F1595" t="s">
        <v>88</v>
      </c>
      <c r="G1595" t="s">
        <v>733</v>
      </c>
      <c r="H1595" s="128">
        <v>0.54369999999999996</v>
      </c>
      <c r="I1595" s="110">
        <v>0.17120000000000002</v>
      </c>
      <c r="L1595">
        <v>5000</v>
      </c>
      <c r="M1595">
        <v>500000</v>
      </c>
      <c r="N1595" s="105">
        <v>44378</v>
      </c>
      <c r="O1595" s="105">
        <v>44561</v>
      </c>
      <c r="P1595" t="s">
        <v>718</v>
      </c>
    </row>
    <row r="1596" spans="1:16" ht="15" customHeight="1" x14ac:dyDescent="0.3">
      <c r="A1596" t="str">
        <f t="shared" si="25"/>
        <v>22-0-HH 1RATE (WC)-SmartTRACKER Renewal (Level 2)</v>
      </c>
      <c r="B1596" t="s">
        <v>13</v>
      </c>
      <c r="C1596">
        <v>22</v>
      </c>
      <c r="D1596" s="100" t="s">
        <v>31</v>
      </c>
      <c r="E1596" t="s">
        <v>732</v>
      </c>
      <c r="F1596" t="s">
        <v>88</v>
      </c>
      <c r="G1596" t="s">
        <v>733</v>
      </c>
      <c r="H1596" s="128">
        <v>0.48820000000000002</v>
      </c>
      <c r="I1596" s="110">
        <v>0.183</v>
      </c>
      <c r="L1596">
        <v>5000</v>
      </c>
      <c r="M1596">
        <v>500000</v>
      </c>
      <c r="N1596" s="105">
        <v>44378</v>
      </c>
      <c r="O1596" s="105">
        <v>44561</v>
      </c>
      <c r="P1596" t="s">
        <v>718</v>
      </c>
    </row>
    <row r="1597" spans="1:16" ht="15" customHeight="1" x14ac:dyDescent="0.3">
      <c r="A1597" t="str">
        <f t="shared" si="25"/>
        <v>23-0-HH 1RATE (WC)-SmartTRACKER Renewal (Level 2)</v>
      </c>
      <c r="B1597" t="s">
        <v>13</v>
      </c>
      <c r="C1597">
        <v>23</v>
      </c>
      <c r="D1597" s="100" t="s">
        <v>32</v>
      </c>
      <c r="E1597" t="s">
        <v>732</v>
      </c>
      <c r="F1597" t="s">
        <v>88</v>
      </c>
      <c r="G1597" t="s">
        <v>733</v>
      </c>
      <c r="H1597" s="128">
        <v>0.44600000000000001</v>
      </c>
      <c r="I1597" s="110">
        <v>0.15920000000000001</v>
      </c>
      <c r="L1597">
        <v>5000</v>
      </c>
      <c r="M1597">
        <v>500000</v>
      </c>
      <c r="N1597" s="105">
        <v>44378</v>
      </c>
      <c r="O1597" s="105">
        <v>44561</v>
      </c>
      <c r="P1597" t="s">
        <v>718</v>
      </c>
    </row>
    <row r="1598" spans="1:16" ht="15" customHeight="1" x14ac:dyDescent="0.3">
      <c r="A1598" t="str">
        <f t="shared" si="25"/>
        <v>10-0-HH 1RATE (WC)-SmartFIX – 1 Year (Level 2)</v>
      </c>
      <c r="B1598" t="s">
        <v>13</v>
      </c>
      <c r="C1598">
        <v>10</v>
      </c>
      <c r="D1598" s="100" t="s">
        <v>14</v>
      </c>
      <c r="E1598" t="s">
        <v>732</v>
      </c>
      <c r="F1598" t="s">
        <v>88</v>
      </c>
      <c r="G1598" t="s">
        <v>725</v>
      </c>
      <c r="H1598" s="128">
        <v>0.40300000000000002</v>
      </c>
      <c r="I1598" s="110">
        <v>0.15790000000000001</v>
      </c>
      <c r="L1598">
        <v>5000</v>
      </c>
      <c r="M1598">
        <v>500000</v>
      </c>
      <c r="N1598" s="105">
        <v>44378</v>
      </c>
      <c r="O1598" s="105">
        <v>44561</v>
      </c>
      <c r="P1598" t="s">
        <v>718</v>
      </c>
    </row>
    <row r="1599" spans="1:16" ht="15" customHeight="1" x14ac:dyDescent="0.3">
      <c r="A1599" t="str">
        <f t="shared" si="25"/>
        <v>11-0-HH 1RATE (WC)-SmartFIX – 1 Year (Level 2)</v>
      </c>
      <c r="B1599" t="s">
        <v>13</v>
      </c>
      <c r="C1599">
        <v>11</v>
      </c>
      <c r="D1599" s="100" t="s">
        <v>20</v>
      </c>
      <c r="E1599" t="s">
        <v>732</v>
      </c>
      <c r="F1599" t="s">
        <v>88</v>
      </c>
      <c r="G1599" t="s">
        <v>725</v>
      </c>
      <c r="H1599" s="128">
        <v>0.41310000000000002</v>
      </c>
      <c r="I1599" s="110">
        <v>0.1583</v>
      </c>
      <c r="L1599">
        <v>5000</v>
      </c>
      <c r="M1599">
        <v>500000</v>
      </c>
      <c r="N1599" s="105">
        <v>44378</v>
      </c>
      <c r="O1599" s="105">
        <v>44561</v>
      </c>
      <c r="P1599" t="s">
        <v>718</v>
      </c>
    </row>
    <row r="1600" spans="1:16" ht="15" customHeight="1" x14ac:dyDescent="0.3">
      <c r="A1600" t="str">
        <f t="shared" si="25"/>
        <v>12-0-HH 1RATE (WC)-SmartFIX – 1 Year (Level 2)</v>
      </c>
      <c r="B1600" t="s">
        <v>13</v>
      </c>
      <c r="C1600">
        <v>12</v>
      </c>
      <c r="D1600" s="100" t="s">
        <v>21</v>
      </c>
      <c r="E1600" t="s">
        <v>732</v>
      </c>
      <c r="F1600" t="s">
        <v>88</v>
      </c>
      <c r="G1600" t="s">
        <v>725</v>
      </c>
      <c r="H1600" s="128">
        <v>0.33729999999999999</v>
      </c>
      <c r="I1600" s="110">
        <v>0.15240000000000001</v>
      </c>
      <c r="L1600">
        <v>5000</v>
      </c>
      <c r="M1600">
        <v>500000</v>
      </c>
      <c r="N1600" s="105">
        <v>44378</v>
      </c>
      <c r="O1600" s="105">
        <v>44561</v>
      </c>
      <c r="P1600" t="s">
        <v>718</v>
      </c>
    </row>
    <row r="1601" spans="1:16" ht="15" customHeight="1" x14ac:dyDescent="0.3">
      <c r="A1601" t="str">
        <f t="shared" si="25"/>
        <v>13-0-HH 1RATE (WC)-SmartFIX – 1 Year (Level 2)</v>
      </c>
      <c r="B1601" t="s">
        <v>13</v>
      </c>
      <c r="C1601">
        <v>13</v>
      </c>
      <c r="D1601" s="100" t="s">
        <v>22</v>
      </c>
      <c r="E1601" t="s">
        <v>732</v>
      </c>
      <c r="F1601" t="s">
        <v>88</v>
      </c>
      <c r="G1601" t="s">
        <v>725</v>
      </c>
      <c r="H1601" s="128">
        <v>0.3785</v>
      </c>
      <c r="I1601" s="110">
        <v>0.18149999999999999</v>
      </c>
      <c r="L1601">
        <v>5000</v>
      </c>
      <c r="M1601">
        <v>500000</v>
      </c>
      <c r="N1601" s="105">
        <v>44378</v>
      </c>
      <c r="O1601" s="105">
        <v>44561</v>
      </c>
      <c r="P1601" t="s">
        <v>718</v>
      </c>
    </row>
    <row r="1602" spans="1:16" ht="15" customHeight="1" x14ac:dyDescent="0.3">
      <c r="A1602" t="str">
        <f t="shared" si="25"/>
        <v>14-0-HH 1RATE (WC)-SmartFIX – 1 Year (Level 2)</v>
      </c>
      <c r="B1602" t="s">
        <v>13</v>
      </c>
      <c r="C1602">
        <v>14</v>
      </c>
      <c r="D1602" s="100" t="s">
        <v>23</v>
      </c>
      <c r="E1602" t="s">
        <v>732</v>
      </c>
      <c r="F1602" t="s">
        <v>88</v>
      </c>
      <c r="G1602" t="s">
        <v>725</v>
      </c>
      <c r="H1602" s="128">
        <v>0.43530000000000002</v>
      </c>
      <c r="I1602" s="110">
        <v>0.16209999999999999</v>
      </c>
      <c r="L1602">
        <v>5000</v>
      </c>
      <c r="M1602">
        <v>500000</v>
      </c>
      <c r="N1602" s="105">
        <v>44378</v>
      </c>
      <c r="O1602" s="105">
        <v>44561</v>
      </c>
      <c r="P1602" t="s">
        <v>718</v>
      </c>
    </row>
    <row r="1603" spans="1:16" ht="15" customHeight="1" x14ac:dyDescent="0.3">
      <c r="A1603" t="str">
        <f t="shared" si="25"/>
        <v>15-0-HH 1RATE (WC)-SmartFIX – 1 Year (Level 2)</v>
      </c>
      <c r="B1603" t="s">
        <v>13</v>
      </c>
      <c r="C1603">
        <v>15</v>
      </c>
      <c r="D1603" s="100" t="s">
        <v>24</v>
      </c>
      <c r="E1603" t="s">
        <v>732</v>
      </c>
      <c r="F1603" t="s">
        <v>88</v>
      </c>
      <c r="G1603" t="s">
        <v>725</v>
      </c>
      <c r="H1603" s="128">
        <v>0.41239999999999999</v>
      </c>
      <c r="I1603" s="110">
        <v>0.1573</v>
      </c>
      <c r="L1603">
        <v>5000</v>
      </c>
      <c r="M1603">
        <v>500000</v>
      </c>
      <c r="N1603" s="105">
        <v>44378</v>
      </c>
      <c r="O1603" s="105">
        <v>44561</v>
      </c>
      <c r="P1603" t="s">
        <v>718</v>
      </c>
    </row>
    <row r="1604" spans="1:16" ht="15" customHeight="1" x14ac:dyDescent="0.3">
      <c r="A1604" t="str">
        <f t="shared" si="25"/>
        <v>16-0-HH 1RATE (WC)-SmartFIX – 1 Year (Level 2)</v>
      </c>
      <c r="B1604" t="s">
        <v>13</v>
      </c>
      <c r="C1604">
        <v>16</v>
      </c>
      <c r="D1604" s="100" t="s">
        <v>25</v>
      </c>
      <c r="E1604" t="s">
        <v>732</v>
      </c>
      <c r="F1604" t="s">
        <v>88</v>
      </c>
      <c r="G1604" t="s">
        <v>725</v>
      </c>
      <c r="H1604" s="128">
        <v>0.36770000000000003</v>
      </c>
      <c r="I1604" s="110">
        <v>0.16189999999999999</v>
      </c>
      <c r="L1604">
        <v>5000</v>
      </c>
      <c r="M1604">
        <v>500000</v>
      </c>
      <c r="N1604" s="105">
        <v>44378</v>
      </c>
      <c r="O1604" s="105">
        <v>44561</v>
      </c>
      <c r="P1604" t="s">
        <v>718</v>
      </c>
    </row>
    <row r="1605" spans="1:16" ht="15" customHeight="1" x14ac:dyDescent="0.3">
      <c r="A1605" t="str">
        <f t="shared" si="25"/>
        <v>17-0-HH 1RATE (WC)-SmartFIX – 1 Year (Level 2)</v>
      </c>
      <c r="B1605" t="s">
        <v>13</v>
      </c>
      <c r="C1605">
        <v>17</v>
      </c>
      <c r="D1605" s="100" t="s">
        <v>26</v>
      </c>
      <c r="E1605" t="s">
        <v>732</v>
      </c>
      <c r="F1605" t="s">
        <v>88</v>
      </c>
      <c r="G1605" t="s">
        <v>725</v>
      </c>
      <c r="H1605" s="128">
        <v>0.45</v>
      </c>
      <c r="I1605" s="110">
        <v>0.16919999999999999</v>
      </c>
      <c r="L1605">
        <v>5000</v>
      </c>
      <c r="M1605">
        <v>500000</v>
      </c>
      <c r="N1605" s="105">
        <v>44378</v>
      </c>
      <c r="O1605" s="105">
        <v>44561</v>
      </c>
      <c r="P1605" t="s">
        <v>718</v>
      </c>
    </row>
    <row r="1606" spans="1:16" ht="15" customHeight="1" x14ac:dyDescent="0.3">
      <c r="A1606" t="str">
        <f t="shared" si="25"/>
        <v>18-0-HH 1RATE (WC)-SmartFIX – 1 Year (Level 2)</v>
      </c>
      <c r="B1606" t="s">
        <v>13</v>
      </c>
      <c r="C1606">
        <v>18</v>
      </c>
      <c r="D1606" s="100" t="s">
        <v>27</v>
      </c>
      <c r="E1606" t="s">
        <v>732</v>
      </c>
      <c r="F1606" t="s">
        <v>88</v>
      </c>
      <c r="G1606" t="s">
        <v>725</v>
      </c>
      <c r="H1606" s="128">
        <v>0.39450000000000002</v>
      </c>
      <c r="I1606" s="110">
        <v>0.1593</v>
      </c>
      <c r="L1606">
        <v>5000</v>
      </c>
      <c r="M1606">
        <v>500000</v>
      </c>
      <c r="N1606" s="105">
        <v>44378</v>
      </c>
      <c r="O1606" s="105">
        <v>44561</v>
      </c>
      <c r="P1606" t="s">
        <v>718</v>
      </c>
    </row>
    <row r="1607" spans="1:16" ht="15" customHeight="1" x14ac:dyDescent="0.3">
      <c r="A1607" t="str">
        <f t="shared" si="25"/>
        <v>19-0-HH 1RATE (WC)-SmartFIX – 1 Year (Level 2)</v>
      </c>
      <c r="B1607" t="s">
        <v>13</v>
      </c>
      <c r="C1607">
        <v>19</v>
      </c>
      <c r="D1607" s="100" t="s">
        <v>28</v>
      </c>
      <c r="E1607" t="s">
        <v>732</v>
      </c>
      <c r="F1607" t="s">
        <v>88</v>
      </c>
      <c r="G1607" t="s">
        <v>725</v>
      </c>
      <c r="H1607" s="128">
        <v>0.39610000000000001</v>
      </c>
      <c r="I1607" s="110">
        <v>0.15759999999999999</v>
      </c>
      <c r="L1607">
        <v>5000</v>
      </c>
      <c r="M1607">
        <v>500000</v>
      </c>
      <c r="N1607" s="105">
        <v>44378</v>
      </c>
      <c r="O1607" s="105">
        <v>44561</v>
      </c>
      <c r="P1607" t="s">
        <v>718</v>
      </c>
    </row>
    <row r="1608" spans="1:16" ht="15" customHeight="1" x14ac:dyDescent="0.3">
      <c r="A1608" t="str">
        <f t="shared" si="25"/>
        <v>20-0-HH 1RATE (WC)-SmartFIX – 1 Year (Level 2)</v>
      </c>
      <c r="B1608" t="s">
        <v>13</v>
      </c>
      <c r="C1608">
        <v>20</v>
      </c>
      <c r="D1608" s="100" t="s">
        <v>29</v>
      </c>
      <c r="E1608" t="s">
        <v>732</v>
      </c>
      <c r="F1608" t="s">
        <v>88</v>
      </c>
      <c r="G1608" t="s">
        <v>725</v>
      </c>
      <c r="H1608" s="128">
        <v>0.38940000000000002</v>
      </c>
      <c r="I1608" s="110">
        <v>0.1615</v>
      </c>
      <c r="L1608">
        <v>5000</v>
      </c>
      <c r="M1608">
        <v>500000</v>
      </c>
      <c r="N1608" s="105">
        <v>44378</v>
      </c>
      <c r="O1608" s="105">
        <v>44561</v>
      </c>
      <c r="P1608" t="s">
        <v>718</v>
      </c>
    </row>
    <row r="1609" spans="1:16" ht="15" customHeight="1" x14ac:dyDescent="0.3">
      <c r="A1609" t="str">
        <f t="shared" si="25"/>
        <v>21-0-HH 1RATE (WC)-SmartFIX – 1 Year (Level 2)</v>
      </c>
      <c r="B1609" t="s">
        <v>13</v>
      </c>
      <c r="C1609">
        <v>21</v>
      </c>
      <c r="D1609" s="100" t="s">
        <v>30</v>
      </c>
      <c r="E1609" t="s">
        <v>732</v>
      </c>
      <c r="F1609" t="s">
        <v>88</v>
      </c>
      <c r="G1609" t="s">
        <v>725</v>
      </c>
      <c r="H1609" s="128">
        <v>0.49430000000000002</v>
      </c>
      <c r="I1609" s="110">
        <v>0.16520000000000001</v>
      </c>
      <c r="L1609">
        <v>5000</v>
      </c>
      <c r="M1609">
        <v>500000</v>
      </c>
      <c r="N1609" s="105">
        <v>44378</v>
      </c>
      <c r="O1609" s="105">
        <v>44561</v>
      </c>
      <c r="P1609" t="s">
        <v>718</v>
      </c>
    </row>
    <row r="1610" spans="1:16" ht="15" customHeight="1" x14ac:dyDescent="0.3">
      <c r="A1610" t="str">
        <f t="shared" si="25"/>
        <v>22-0-HH 1RATE (WC)-SmartFIX – 1 Year (Level 2)</v>
      </c>
      <c r="B1610" t="s">
        <v>13</v>
      </c>
      <c r="C1610">
        <v>22</v>
      </c>
      <c r="D1610" s="100" t="s">
        <v>31</v>
      </c>
      <c r="E1610" t="s">
        <v>732</v>
      </c>
      <c r="F1610" t="s">
        <v>88</v>
      </c>
      <c r="G1610" t="s">
        <v>725</v>
      </c>
      <c r="H1610" s="128">
        <v>0.44379999999999997</v>
      </c>
      <c r="I1610" s="110">
        <v>0.17699999999999999</v>
      </c>
      <c r="L1610">
        <v>5000</v>
      </c>
      <c r="M1610">
        <v>500000</v>
      </c>
      <c r="N1610" s="105">
        <v>44378</v>
      </c>
      <c r="O1610" s="105">
        <v>44561</v>
      </c>
      <c r="P1610" t="s">
        <v>718</v>
      </c>
    </row>
    <row r="1611" spans="1:16" ht="15" customHeight="1" x14ac:dyDescent="0.3">
      <c r="A1611" t="str">
        <f t="shared" si="25"/>
        <v>23-0-HH 1RATE (WC)-SmartFIX – 1 Year (Level 2)</v>
      </c>
      <c r="B1611" t="s">
        <v>13</v>
      </c>
      <c r="C1611">
        <v>23</v>
      </c>
      <c r="D1611" s="100" t="s">
        <v>32</v>
      </c>
      <c r="E1611" t="s">
        <v>732</v>
      </c>
      <c r="F1611" t="s">
        <v>88</v>
      </c>
      <c r="G1611" t="s">
        <v>725</v>
      </c>
      <c r="H1611" s="128">
        <v>0.40550000000000003</v>
      </c>
      <c r="I1611" s="110">
        <v>0.1532</v>
      </c>
      <c r="L1611">
        <v>5000</v>
      </c>
      <c r="M1611">
        <v>500000</v>
      </c>
      <c r="N1611" s="105">
        <v>44378</v>
      </c>
      <c r="O1611" s="105">
        <v>44561</v>
      </c>
      <c r="P1611" t="s">
        <v>718</v>
      </c>
    </row>
    <row r="1612" spans="1:16" ht="15" customHeight="1" x14ac:dyDescent="0.3">
      <c r="A1612" t="str">
        <f t="shared" ref="A1612:A1675" si="26">IF(E1612="OP","",CONCATENATE(C1612,"-",RIGHT(F1612,1),"-",IF(OR(E1612="1 Rate MD",E1612="DAY"),"U",IF(OR(E1612="2 Rate MD",E1612="E7"),"E7",IF(OR(E1612="3 Rate MD (EW)",E1612="EW"),"EW",IF(OR(E1612="3 Rate MD",E1612="EWN"),"3RATE",IF(E1612="HH 2RATE (CT)","HH 2RATE (CT)",IF(E1612="HH 2RATE (WC)","HH 2RATE (WC)",IF(E1612="HH 1RATE (CT)","HH 1RATE (CT)",IF(E1612="HH 1RATE (WC)","HH 1RATE (WC)")))))))),"-",G1612))</f>
        <v>10-0-HH 1RATE (WC)-SmartFIX – 1 Year Renewal (Level 2)</v>
      </c>
      <c r="B1612" t="s">
        <v>13</v>
      </c>
      <c r="C1612">
        <v>10</v>
      </c>
      <c r="D1612" s="100" t="s">
        <v>14</v>
      </c>
      <c r="E1612" t="s">
        <v>732</v>
      </c>
      <c r="F1612" t="s">
        <v>88</v>
      </c>
      <c r="G1612" t="s">
        <v>734</v>
      </c>
      <c r="H1612" s="128">
        <v>0.44330000000000003</v>
      </c>
      <c r="I1612" s="110">
        <v>0.16390000000000002</v>
      </c>
      <c r="L1612">
        <v>5000</v>
      </c>
      <c r="M1612">
        <v>500000</v>
      </c>
      <c r="N1612" s="105">
        <v>44378</v>
      </c>
      <c r="O1612" s="105">
        <v>44561</v>
      </c>
      <c r="P1612" t="s">
        <v>718</v>
      </c>
    </row>
    <row r="1613" spans="1:16" ht="15" customHeight="1" x14ac:dyDescent="0.3">
      <c r="A1613" t="str">
        <f t="shared" si="26"/>
        <v>11-0-HH 1RATE (WC)-SmartFIX – 1 Year Renewal (Level 2)</v>
      </c>
      <c r="B1613" t="s">
        <v>13</v>
      </c>
      <c r="C1613">
        <v>11</v>
      </c>
      <c r="D1613" s="100" t="s">
        <v>20</v>
      </c>
      <c r="E1613" t="s">
        <v>732</v>
      </c>
      <c r="F1613" t="s">
        <v>88</v>
      </c>
      <c r="G1613" t="s">
        <v>734</v>
      </c>
      <c r="H1613" s="128">
        <v>0.45440000000000003</v>
      </c>
      <c r="I1613" s="110">
        <v>0.1643</v>
      </c>
      <c r="L1613">
        <v>5000</v>
      </c>
      <c r="M1613">
        <v>500000</v>
      </c>
      <c r="N1613" s="105">
        <v>44378</v>
      </c>
      <c r="O1613" s="105">
        <v>44561</v>
      </c>
      <c r="P1613" t="s">
        <v>718</v>
      </c>
    </row>
    <row r="1614" spans="1:16" ht="15" customHeight="1" x14ac:dyDescent="0.3">
      <c r="A1614" t="str">
        <f t="shared" si="26"/>
        <v>12-0-HH 1RATE (WC)-SmartFIX – 1 Year Renewal (Level 2)</v>
      </c>
      <c r="B1614" t="s">
        <v>13</v>
      </c>
      <c r="C1614">
        <v>12</v>
      </c>
      <c r="D1614" s="100" t="s">
        <v>21</v>
      </c>
      <c r="E1614" t="s">
        <v>732</v>
      </c>
      <c r="F1614" t="s">
        <v>88</v>
      </c>
      <c r="G1614" t="s">
        <v>734</v>
      </c>
      <c r="H1614" s="128">
        <v>0.371</v>
      </c>
      <c r="I1614" s="110">
        <v>0.15840000000000001</v>
      </c>
      <c r="L1614">
        <v>5000</v>
      </c>
      <c r="M1614">
        <v>500000</v>
      </c>
      <c r="N1614" s="105">
        <v>44378</v>
      </c>
      <c r="O1614" s="105">
        <v>44561</v>
      </c>
      <c r="P1614" t="s">
        <v>718</v>
      </c>
    </row>
    <row r="1615" spans="1:16" ht="15" customHeight="1" x14ac:dyDescent="0.3">
      <c r="A1615" t="str">
        <f t="shared" si="26"/>
        <v>13-0-HH 1RATE (WC)-SmartFIX – 1 Year Renewal (Level 2)</v>
      </c>
      <c r="B1615" t="s">
        <v>13</v>
      </c>
      <c r="C1615">
        <v>13</v>
      </c>
      <c r="D1615" s="100" t="s">
        <v>22</v>
      </c>
      <c r="E1615" t="s">
        <v>732</v>
      </c>
      <c r="F1615" t="s">
        <v>88</v>
      </c>
      <c r="G1615" t="s">
        <v>734</v>
      </c>
      <c r="H1615" s="128">
        <v>0.4163</v>
      </c>
      <c r="I1615" s="110">
        <v>0.1875</v>
      </c>
      <c r="L1615">
        <v>5000</v>
      </c>
      <c r="M1615">
        <v>500000</v>
      </c>
      <c r="N1615" s="105">
        <v>44378</v>
      </c>
      <c r="O1615" s="105">
        <v>44561</v>
      </c>
      <c r="P1615" t="s">
        <v>718</v>
      </c>
    </row>
    <row r="1616" spans="1:16" ht="15" customHeight="1" x14ac:dyDescent="0.3">
      <c r="A1616" t="str">
        <f t="shared" si="26"/>
        <v>14-0-HH 1RATE (WC)-SmartFIX – 1 Year Renewal (Level 2)</v>
      </c>
      <c r="B1616" t="s">
        <v>13</v>
      </c>
      <c r="C1616">
        <v>14</v>
      </c>
      <c r="D1616" s="100" t="s">
        <v>23</v>
      </c>
      <c r="E1616" t="s">
        <v>732</v>
      </c>
      <c r="F1616" t="s">
        <v>88</v>
      </c>
      <c r="G1616" t="s">
        <v>734</v>
      </c>
      <c r="H1616" s="128">
        <v>0.4788</v>
      </c>
      <c r="I1616" s="110">
        <v>0.1681</v>
      </c>
      <c r="L1616">
        <v>5000</v>
      </c>
      <c r="M1616">
        <v>500000</v>
      </c>
      <c r="N1616" s="105">
        <v>44378</v>
      </c>
      <c r="O1616" s="105">
        <v>44561</v>
      </c>
      <c r="P1616" t="s">
        <v>718</v>
      </c>
    </row>
    <row r="1617" spans="1:16" ht="15" customHeight="1" x14ac:dyDescent="0.3">
      <c r="A1617" t="str">
        <f t="shared" si="26"/>
        <v>15-0-HH 1RATE (WC)-SmartFIX – 1 Year Renewal (Level 2)</v>
      </c>
      <c r="B1617" t="s">
        <v>13</v>
      </c>
      <c r="C1617">
        <v>15</v>
      </c>
      <c r="D1617" s="100" t="s">
        <v>24</v>
      </c>
      <c r="E1617" t="s">
        <v>732</v>
      </c>
      <c r="F1617" t="s">
        <v>88</v>
      </c>
      <c r="G1617" t="s">
        <v>734</v>
      </c>
      <c r="H1617" s="128">
        <v>0.4536</v>
      </c>
      <c r="I1617" s="110">
        <v>0.1633</v>
      </c>
      <c r="L1617">
        <v>5000</v>
      </c>
      <c r="M1617">
        <v>500000</v>
      </c>
      <c r="N1617" s="105">
        <v>44378</v>
      </c>
      <c r="O1617" s="105">
        <v>44561</v>
      </c>
      <c r="P1617" t="s">
        <v>718</v>
      </c>
    </row>
    <row r="1618" spans="1:16" ht="15" customHeight="1" x14ac:dyDescent="0.3">
      <c r="A1618" t="str">
        <f t="shared" si="26"/>
        <v>16-0-HH 1RATE (WC)-SmartFIX – 1 Year Renewal (Level 2)</v>
      </c>
      <c r="B1618" t="s">
        <v>13</v>
      </c>
      <c r="C1618">
        <v>16</v>
      </c>
      <c r="D1618" s="100" t="s">
        <v>25</v>
      </c>
      <c r="E1618" t="s">
        <v>732</v>
      </c>
      <c r="F1618" t="s">
        <v>88</v>
      </c>
      <c r="G1618" t="s">
        <v>734</v>
      </c>
      <c r="H1618" s="128">
        <v>0.40439999999999998</v>
      </c>
      <c r="I1618" s="110">
        <v>0.16789999999999999</v>
      </c>
      <c r="L1618">
        <v>5000</v>
      </c>
      <c r="M1618">
        <v>500000</v>
      </c>
      <c r="N1618" s="105">
        <v>44378</v>
      </c>
      <c r="O1618" s="105">
        <v>44561</v>
      </c>
      <c r="P1618" t="s">
        <v>718</v>
      </c>
    </row>
    <row r="1619" spans="1:16" ht="15" customHeight="1" x14ac:dyDescent="0.3">
      <c r="A1619" t="str">
        <f t="shared" si="26"/>
        <v>17-0-HH 1RATE (WC)-SmartFIX – 1 Year Renewal (Level 2)</v>
      </c>
      <c r="B1619" t="s">
        <v>13</v>
      </c>
      <c r="C1619">
        <v>17</v>
      </c>
      <c r="D1619" s="100" t="s">
        <v>26</v>
      </c>
      <c r="E1619" t="s">
        <v>732</v>
      </c>
      <c r="F1619" t="s">
        <v>88</v>
      </c>
      <c r="G1619" t="s">
        <v>734</v>
      </c>
      <c r="H1619" s="128">
        <v>0.495</v>
      </c>
      <c r="I1619" s="110">
        <v>0.17519999999999999</v>
      </c>
      <c r="L1619">
        <v>5000</v>
      </c>
      <c r="M1619">
        <v>500000</v>
      </c>
      <c r="N1619" s="105">
        <v>44378</v>
      </c>
      <c r="O1619" s="105">
        <v>44561</v>
      </c>
      <c r="P1619" t="s">
        <v>718</v>
      </c>
    </row>
    <row r="1620" spans="1:16" ht="15" customHeight="1" x14ac:dyDescent="0.3">
      <c r="A1620" t="str">
        <f t="shared" si="26"/>
        <v>18-0-HH 1RATE (WC)-SmartFIX – 1 Year Renewal (Level 2)</v>
      </c>
      <c r="B1620" t="s">
        <v>13</v>
      </c>
      <c r="C1620">
        <v>18</v>
      </c>
      <c r="D1620" s="100" t="s">
        <v>27</v>
      </c>
      <c r="E1620" t="s">
        <v>732</v>
      </c>
      <c r="F1620" t="s">
        <v>88</v>
      </c>
      <c r="G1620" t="s">
        <v>734</v>
      </c>
      <c r="H1620" s="128">
        <v>0.43390000000000001</v>
      </c>
      <c r="I1620" s="110">
        <v>0.1653</v>
      </c>
      <c r="L1620">
        <v>5000</v>
      </c>
      <c r="M1620">
        <v>500000</v>
      </c>
      <c r="N1620" s="105">
        <v>44378</v>
      </c>
      <c r="O1620" s="105">
        <v>44561</v>
      </c>
      <c r="P1620" t="s">
        <v>718</v>
      </c>
    </row>
    <row r="1621" spans="1:16" ht="15" customHeight="1" x14ac:dyDescent="0.3">
      <c r="A1621" t="str">
        <f t="shared" si="26"/>
        <v>19-0-HH 1RATE (WC)-SmartFIX – 1 Year Renewal (Level 2)</v>
      </c>
      <c r="B1621" t="s">
        <v>13</v>
      </c>
      <c r="C1621">
        <v>19</v>
      </c>
      <c r="D1621" s="100" t="s">
        <v>28</v>
      </c>
      <c r="E1621" t="s">
        <v>732</v>
      </c>
      <c r="F1621" t="s">
        <v>88</v>
      </c>
      <c r="G1621" t="s">
        <v>734</v>
      </c>
      <c r="H1621" s="128">
        <v>0.43569999999999998</v>
      </c>
      <c r="I1621" s="110">
        <v>0.1636</v>
      </c>
      <c r="L1621">
        <v>5000</v>
      </c>
      <c r="M1621">
        <v>500000</v>
      </c>
      <c r="N1621" s="105">
        <v>44378</v>
      </c>
      <c r="O1621" s="105">
        <v>44561</v>
      </c>
      <c r="P1621" t="s">
        <v>718</v>
      </c>
    </row>
    <row r="1622" spans="1:16" ht="15" customHeight="1" x14ac:dyDescent="0.3">
      <c r="A1622" t="str">
        <f t="shared" si="26"/>
        <v>20-0-HH 1RATE (WC)-SmartFIX – 1 Year Renewal (Level 2)</v>
      </c>
      <c r="B1622" t="s">
        <v>13</v>
      </c>
      <c r="C1622">
        <v>20</v>
      </c>
      <c r="D1622" s="100" t="s">
        <v>29</v>
      </c>
      <c r="E1622" t="s">
        <v>732</v>
      </c>
      <c r="F1622" t="s">
        <v>88</v>
      </c>
      <c r="G1622" t="s">
        <v>734</v>
      </c>
      <c r="H1622" s="128">
        <v>0.42830000000000001</v>
      </c>
      <c r="I1622" s="110">
        <v>0.16750000000000001</v>
      </c>
      <c r="L1622">
        <v>5000</v>
      </c>
      <c r="M1622">
        <v>500000</v>
      </c>
      <c r="N1622" s="105">
        <v>44378</v>
      </c>
      <c r="O1622" s="105">
        <v>44561</v>
      </c>
      <c r="P1622" t="s">
        <v>718</v>
      </c>
    </row>
    <row r="1623" spans="1:16" ht="15" customHeight="1" x14ac:dyDescent="0.3">
      <c r="A1623" t="str">
        <f t="shared" si="26"/>
        <v>21-0-HH 1RATE (WC)-SmartFIX – 1 Year Renewal (Level 2)</v>
      </c>
      <c r="B1623" t="s">
        <v>13</v>
      </c>
      <c r="C1623">
        <v>21</v>
      </c>
      <c r="D1623" s="100" t="s">
        <v>30</v>
      </c>
      <c r="E1623" t="s">
        <v>732</v>
      </c>
      <c r="F1623" t="s">
        <v>88</v>
      </c>
      <c r="G1623" t="s">
        <v>734</v>
      </c>
      <c r="H1623" s="128">
        <v>0.54369999999999996</v>
      </c>
      <c r="I1623" s="110">
        <v>0.17120000000000002</v>
      </c>
      <c r="L1623">
        <v>5000</v>
      </c>
      <c r="M1623">
        <v>500000</v>
      </c>
      <c r="N1623" s="105">
        <v>44378</v>
      </c>
      <c r="O1623" s="105">
        <v>44561</v>
      </c>
      <c r="P1623" t="s">
        <v>718</v>
      </c>
    </row>
    <row r="1624" spans="1:16" ht="15" customHeight="1" x14ac:dyDescent="0.3">
      <c r="A1624" t="str">
        <f t="shared" si="26"/>
        <v>22-0-HH 1RATE (WC)-SmartFIX – 1 Year Renewal (Level 2)</v>
      </c>
      <c r="B1624" t="s">
        <v>13</v>
      </c>
      <c r="C1624">
        <v>22</v>
      </c>
      <c r="D1624" s="100" t="s">
        <v>31</v>
      </c>
      <c r="E1624" t="s">
        <v>732</v>
      </c>
      <c r="F1624" t="s">
        <v>88</v>
      </c>
      <c r="G1624" t="s">
        <v>734</v>
      </c>
      <c r="H1624" s="128">
        <v>0.48820000000000002</v>
      </c>
      <c r="I1624" s="110">
        <v>0.183</v>
      </c>
      <c r="L1624">
        <v>5000</v>
      </c>
      <c r="M1624">
        <v>500000</v>
      </c>
      <c r="N1624" s="105">
        <v>44378</v>
      </c>
      <c r="O1624" s="105">
        <v>44561</v>
      </c>
      <c r="P1624" t="s">
        <v>718</v>
      </c>
    </row>
    <row r="1625" spans="1:16" ht="15" customHeight="1" x14ac:dyDescent="0.3">
      <c r="A1625" t="str">
        <f t="shared" si="26"/>
        <v>23-0-HH 1RATE (WC)-SmartFIX – 1 Year Renewal (Level 2)</v>
      </c>
      <c r="B1625" t="s">
        <v>13</v>
      </c>
      <c r="C1625">
        <v>23</v>
      </c>
      <c r="D1625" s="100" t="s">
        <v>32</v>
      </c>
      <c r="E1625" t="s">
        <v>732</v>
      </c>
      <c r="F1625" t="s">
        <v>88</v>
      </c>
      <c r="G1625" t="s">
        <v>734</v>
      </c>
      <c r="H1625" s="128">
        <v>0.44600000000000001</v>
      </c>
      <c r="I1625" s="110">
        <v>0.15920000000000001</v>
      </c>
      <c r="L1625">
        <v>5000</v>
      </c>
      <c r="M1625">
        <v>500000</v>
      </c>
      <c r="N1625" s="105">
        <v>44378</v>
      </c>
      <c r="O1625" s="105">
        <v>44561</v>
      </c>
      <c r="P1625" t="s">
        <v>718</v>
      </c>
    </row>
    <row r="1626" spans="1:16" ht="15" customHeight="1" x14ac:dyDescent="0.3">
      <c r="A1626" t="str">
        <f t="shared" si="26"/>
        <v>10-0-HH 1RATE (WC)-SmartFIX – 2 Year (Level 2)</v>
      </c>
      <c r="B1626" t="s">
        <v>13</v>
      </c>
      <c r="C1626">
        <v>10</v>
      </c>
      <c r="D1626" s="100" t="s">
        <v>14</v>
      </c>
      <c r="E1626" t="s">
        <v>732</v>
      </c>
      <c r="F1626" t="s">
        <v>88</v>
      </c>
      <c r="G1626" t="s">
        <v>726</v>
      </c>
      <c r="H1626" s="128">
        <v>0.41099999999999998</v>
      </c>
      <c r="I1626" s="110">
        <v>0.15840000000000001</v>
      </c>
      <c r="L1626">
        <v>5000</v>
      </c>
      <c r="M1626">
        <v>500000</v>
      </c>
      <c r="N1626" s="105">
        <v>44378</v>
      </c>
      <c r="O1626" s="105">
        <v>44561</v>
      </c>
      <c r="P1626" t="s">
        <v>718</v>
      </c>
    </row>
    <row r="1627" spans="1:16" ht="15" customHeight="1" x14ac:dyDescent="0.3">
      <c r="A1627" t="str">
        <f t="shared" si="26"/>
        <v>11-0-HH 1RATE (WC)-SmartFIX – 2 Year (Level 2)</v>
      </c>
      <c r="B1627" t="s">
        <v>13</v>
      </c>
      <c r="C1627">
        <v>11</v>
      </c>
      <c r="D1627" s="100" t="s">
        <v>20</v>
      </c>
      <c r="E1627" t="s">
        <v>732</v>
      </c>
      <c r="F1627" t="s">
        <v>88</v>
      </c>
      <c r="G1627" t="s">
        <v>726</v>
      </c>
      <c r="H1627" s="128">
        <v>0.4214</v>
      </c>
      <c r="I1627" s="110">
        <v>0.15840000000000001</v>
      </c>
      <c r="L1627">
        <v>5000</v>
      </c>
      <c r="M1627">
        <v>500000</v>
      </c>
      <c r="N1627" s="105">
        <v>44378</v>
      </c>
      <c r="O1627" s="105">
        <v>44561</v>
      </c>
      <c r="P1627" t="s">
        <v>718</v>
      </c>
    </row>
    <row r="1628" spans="1:16" ht="15" customHeight="1" x14ac:dyDescent="0.3">
      <c r="A1628" t="str">
        <f t="shared" si="26"/>
        <v>12-0-HH 1RATE (WC)-SmartFIX – 2 Year (Level 2)</v>
      </c>
      <c r="B1628" t="s">
        <v>13</v>
      </c>
      <c r="C1628">
        <v>12</v>
      </c>
      <c r="D1628" s="100" t="s">
        <v>21</v>
      </c>
      <c r="E1628" t="s">
        <v>732</v>
      </c>
      <c r="F1628" t="s">
        <v>88</v>
      </c>
      <c r="G1628" t="s">
        <v>726</v>
      </c>
      <c r="H1628" s="128">
        <v>0.34410000000000002</v>
      </c>
      <c r="I1628" s="110">
        <v>0.15260000000000001</v>
      </c>
      <c r="L1628">
        <v>5000</v>
      </c>
      <c r="M1628">
        <v>500000</v>
      </c>
      <c r="N1628" s="105">
        <v>44378</v>
      </c>
      <c r="O1628" s="105">
        <v>44561</v>
      </c>
      <c r="P1628" t="s">
        <v>718</v>
      </c>
    </row>
    <row r="1629" spans="1:16" ht="15" customHeight="1" x14ac:dyDescent="0.3">
      <c r="A1629" t="str">
        <f t="shared" si="26"/>
        <v>13-0-HH 1RATE (WC)-SmartFIX – 2 Year (Level 2)</v>
      </c>
      <c r="B1629" t="s">
        <v>13</v>
      </c>
      <c r="C1629">
        <v>13</v>
      </c>
      <c r="D1629" s="100" t="s">
        <v>22</v>
      </c>
      <c r="E1629" t="s">
        <v>732</v>
      </c>
      <c r="F1629" t="s">
        <v>88</v>
      </c>
      <c r="G1629" t="s">
        <v>726</v>
      </c>
      <c r="H1629" s="128">
        <v>0.3861</v>
      </c>
      <c r="I1629" s="110">
        <v>0.18590000000000001</v>
      </c>
      <c r="L1629">
        <v>5000</v>
      </c>
      <c r="M1629">
        <v>500000</v>
      </c>
      <c r="N1629" s="105">
        <v>44378</v>
      </c>
      <c r="O1629" s="105">
        <v>44561</v>
      </c>
      <c r="P1629" t="s">
        <v>718</v>
      </c>
    </row>
    <row r="1630" spans="1:16" ht="15" customHeight="1" x14ac:dyDescent="0.3">
      <c r="A1630" t="str">
        <f t="shared" si="26"/>
        <v>14-0-HH 1RATE (WC)-SmartFIX – 2 Year (Level 2)</v>
      </c>
      <c r="B1630" t="s">
        <v>13</v>
      </c>
      <c r="C1630">
        <v>14</v>
      </c>
      <c r="D1630" s="100" t="s">
        <v>23</v>
      </c>
      <c r="E1630" t="s">
        <v>732</v>
      </c>
      <c r="F1630" t="s">
        <v>88</v>
      </c>
      <c r="G1630" t="s">
        <v>726</v>
      </c>
      <c r="H1630" s="128">
        <v>0.44400000000000001</v>
      </c>
      <c r="I1630" s="110">
        <v>0.16189999999999999</v>
      </c>
      <c r="L1630">
        <v>5000</v>
      </c>
      <c r="M1630">
        <v>500000</v>
      </c>
      <c r="N1630" s="105">
        <v>44378</v>
      </c>
      <c r="O1630" s="105">
        <v>44561</v>
      </c>
      <c r="P1630" t="s">
        <v>718</v>
      </c>
    </row>
    <row r="1631" spans="1:16" ht="15" customHeight="1" x14ac:dyDescent="0.3">
      <c r="A1631" t="str">
        <f t="shared" si="26"/>
        <v>15-0-HH 1RATE (WC)-SmartFIX – 2 Year (Level 2)</v>
      </c>
      <c r="B1631" t="s">
        <v>13</v>
      </c>
      <c r="C1631">
        <v>15</v>
      </c>
      <c r="D1631" s="100" t="s">
        <v>24</v>
      </c>
      <c r="E1631" t="s">
        <v>732</v>
      </c>
      <c r="F1631" t="s">
        <v>88</v>
      </c>
      <c r="G1631" t="s">
        <v>726</v>
      </c>
      <c r="H1631" s="128">
        <v>0.42070000000000002</v>
      </c>
      <c r="I1631" s="110">
        <v>0.161</v>
      </c>
      <c r="L1631">
        <v>5000</v>
      </c>
      <c r="M1631">
        <v>500000</v>
      </c>
      <c r="N1631" s="105">
        <v>44378</v>
      </c>
      <c r="O1631" s="105">
        <v>44561</v>
      </c>
      <c r="P1631" t="s">
        <v>718</v>
      </c>
    </row>
    <row r="1632" spans="1:16" ht="15" customHeight="1" x14ac:dyDescent="0.3">
      <c r="A1632" t="str">
        <f t="shared" si="26"/>
        <v>16-0-HH 1RATE (WC)-SmartFIX – 2 Year (Level 2)</v>
      </c>
      <c r="B1632" t="s">
        <v>13</v>
      </c>
      <c r="C1632">
        <v>16</v>
      </c>
      <c r="D1632" s="100" t="s">
        <v>25</v>
      </c>
      <c r="E1632" t="s">
        <v>732</v>
      </c>
      <c r="F1632" t="s">
        <v>88</v>
      </c>
      <c r="G1632" t="s">
        <v>726</v>
      </c>
      <c r="H1632" s="128">
        <v>0.375</v>
      </c>
      <c r="I1632" s="110">
        <v>0.16339999999999999</v>
      </c>
      <c r="L1632">
        <v>5000</v>
      </c>
      <c r="M1632">
        <v>500000</v>
      </c>
      <c r="N1632" s="105">
        <v>44378</v>
      </c>
      <c r="O1632" s="105">
        <v>44561</v>
      </c>
      <c r="P1632" t="s">
        <v>718</v>
      </c>
    </row>
    <row r="1633" spans="1:16" ht="15" customHeight="1" x14ac:dyDescent="0.3">
      <c r="A1633" t="str">
        <f t="shared" si="26"/>
        <v>17-0-HH 1RATE (WC)-SmartFIX – 2 Year (Level 2)</v>
      </c>
      <c r="B1633" t="s">
        <v>13</v>
      </c>
      <c r="C1633">
        <v>17</v>
      </c>
      <c r="D1633" s="100" t="s">
        <v>26</v>
      </c>
      <c r="E1633" t="s">
        <v>732</v>
      </c>
      <c r="F1633" t="s">
        <v>88</v>
      </c>
      <c r="G1633" t="s">
        <v>726</v>
      </c>
      <c r="H1633" s="128">
        <v>0.45900000000000002</v>
      </c>
      <c r="I1633" s="110">
        <v>0.1704</v>
      </c>
      <c r="L1633">
        <v>5000</v>
      </c>
      <c r="M1633">
        <v>500000</v>
      </c>
      <c r="N1633" s="105">
        <v>44378</v>
      </c>
      <c r="O1633" s="105">
        <v>44561</v>
      </c>
      <c r="P1633" t="s">
        <v>718</v>
      </c>
    </row>
    <row r="1634" spans="1:16" ht="15" customHeight="1" x14ac:dyDescent="0.3">
      <c r="A1634" t="str">
        <f t="shared" si="26"/>
        <v>18-0-HH 1RATE (WC)-SmartFIX – 2 Year (Level 2)</v>
      </c>
      <c r="B1634" t="s">
        <v>13</v>
      </c>
      <c r="C1634">
        <v>18</v>
      </c>
      <c r="D1634" s="100" t="s">
        <v>27</v>
      </c>
      <c r="E1634" t="s">
        <v>732</v>
      </c>
      <c r="F1634" t="s">
        <v>88</v>
      </c>
      <c r="G1634" t="s">
        <v>726</v>
      </c>
      <c r="H1634" s="128">
        <v>0.40239999999999998</v>
      </c>
      <c r="I1634" s="110">
        <v>0.16289999999999999</v>
      </c>
      <c r="L1634">
        <v>5000</v>
      </c>
      <c r="M1634">
        <v>500000</v>
      </c>
      <c r="N1634" s="105">
        <v>44378</v>
      </c>
      <c r="O1634" s="105">
        <v>44561</v>
      </c>
      <c r="P1634" t="s">
        <v>718</v>
      </c>
    </row>
    <row r="1635" spans="1:16" ht="15" customHeight="1" x14ac:dyDescent="0.3">
      <c r="A1635" t="str">
        <f t="shared" si="26"/>
        <v>19-0-HH 1RATE (WC)-SmartFIX – 2 Year (Level 2)</v>
      </c>
      <c r="B1635" t="s">
        <v>13</v>
      </c>
      <c r="C1635">
        <v>19</v>
      </c>
      <c r="D1635" s="100" t="s">
        <v>28</v>
      </c>
      <c r="E1635" t="s">
        <v>732</v>
      </c>
      <c r="F1635" t="s">
        <v>88</v>
      </c>
      <c r="G1635" t="s">
        <v>726</v>
      </c>
      <c r="H1635" s="128">
        <v>0.40400000000000003</v>
      </c>
      <c r="I1635" s="110">
        <v>0.15629999999999999</v>
      </c>
      <c r="L1635">
        <v>5000</v>
      </c>
      <c r="M1635">
        <v>500000</v>
      </c>
      <c r="N1635" s="105">
        <v>44378</v>
      </c>
      <c r="O1635" s="105">
        <v>44561</v>
      </c>
      <c r="P1635" t="s">
        <v>718</v>
      </c>
    </row>
    <row r="1636" spans="1:16" ht="15" customHeight="1" x14ac:dyDescent="0.3">
      <c r="A1636" t="str">
        <f t="shared" si="26"/>
        <v>20-0-HH 1RATE (WC)-SmartFIX – 2 Year (Level 2)</v>
      </c>
      <c r="B1636" t="s">
        <v>13</v>
      </c>
      <c r="C1636">
        <v>20</v>
      </c>
      <c r="D1636" s="100" t="s">
        <v>29</v>
      </c>
      <c r="E1636" t="s">
        <v>732</v>
      </c>
      <c r="F1636" t="s">
        <v>88</v>
      </c>
      <c r="G1636" t="s">
        <v>726</v>
      </c>
      <c r="H1636" s="128">
        <v>0.3972</v>
      </c>
      <c r="I1636" s="110">
        <v>0.16220000000000001</v>
      </c>
      <c r="L1636">
        <v>5000</v>
      </c>
      <c r="M1636">
        <v>500000</v>
      </c>
      <c r="N1636" s="105">
        <v>44378</v>
      </c>
      <c r="O1636" s="105">
        <v>44561</v>
      </c>
      <c r="P1636" t="s">
        <v>718</v>
      </c>
    </row>
    <row r="1637" spans="1:16" ht="15" customHeight="1" x14ac:dyDescent="0.3">
      <c r="A1637" t="str">
        <f t="shared" si="26"/>
        <v>21-0-HH 1RATE (WC)-SmartFIX – 2 Year (Level 2)</v>
      </c>
      <c r="B1637" t="s">
        <v>13</v>
      </c>
      <c r="C1637">
        <v>21</v>
      </c>
      <c r="D1637" s="100" t="s">
        <v>30</v>
      </c>
      <c r="E1637" t="s">
        <v>732</v>
      </c>
      <c r="F1637" t="s">
        <v>88</v>
      </c>
      <c r="G1637" t="s">
        <v>726</v>
      </c>
      <c r="H1637" s="128">
        <v>0.50419999999999998</v>
      </c>
      <c r="I1637" s="110">
        <v>0.1646</v>
      </c>
      <c r="L1637">
        <v>5000</v>
      </c>
      <c r="M1637">
        <v>500000</v>
      </c>
      <c r="N1637" s="105">
        <v>44378</v>
      </c>
      <c r="O1637" s="105">
        <v>44561</v>
      </c>
      <c r="P1637" t="s">
        <v>718</v>
      </c>
    </row>
    <row r="1638" spans="1:16" ht="15" customHeight="1" x14ac:dyDescent="0.3">
      <c r="A1638" t="str">
        <f t="shared" si="26"/>
        <v>22-0-HH 1RATE (WC)-SmartFIX – 2 Year (Level 2)</v>
      </c>
      <c r="B1638" t="s">
        <v>13</v>
      </c>
      <c r="C1638">
        <v>22</v>
      </c>
      <c r="D1638" s="100" t="s">
        <v>31</v>
      </c>
      <c r="E1638" t="s">
        <v>732</v>
      </c>
      <c r="F1638" t="s">
        <v>88</v>
      </c>
      <c r="G1638" t="s">
        <v>726</v>
      </c>
      <c r="H1638" s="128">
        <v>0.4526</v>
      </c>
      <c r="I1638" s="110">
        <v>0.17549999999999999</v>
      </c>
      <c r="L1638">
        <v>5000</v>
      </c>
      <c r="M1638">
        <v>500000</v>
      </c>
      <c r="N1638" s="105">
        <v>44378</v>
      </c>
      <c r="O1638" s="105">
        <v>44561</v>
      </c>
      <c r="P1638" t="s">
        <v>718</v>
      </c>
    </row>
    <row r="1639" spans="1:16" ht="15" customHeight="1" x14ac:dyDescent="0.3">
      <c r="A1639" t="str">
        <f t="shared" si="26"/>
        <v>23-0-HH 1RATE (WC)-SmartFIX – 2 Year (Level 2)</v>
      </c>
      <c r="B1639" t="s">
        <v>13</v>
      </c>
      <c r="C1639">
        <v>23</v>
      </c>
      <c r="D1639" s="100" t="s">
        <v>32</v>
      </c>
      <c r="E1639" t="s">
        <v>732</v>
      </c>
      <c r="F1639" t="s">
        <v>88</v>
      </c>
      <c r="G1639" t="s">
        <v>726</v>
      </c>
      <c r="H1639" s="128">
        <v>0.41370000000000001</v>
      </c>
      <c r="I1639" s="110">
        <v>0.15390000000000001</v>
      </c>
      <c r="L1639">
        <v>5000</v>
      </c>
      <c r="M1639">
        <v>500000</v>
      </c>
      <c r="N1639" s="105">
        <v>44378</v>
      </c>
      <c r="O1639" s="105">
        <v>44561</v>
      </c>
      <c r="P1639" t="s">
        <v>718</v>
      </c>
    </row>
    <row r="1640" spans="1:16" ht="15" customHeight="1" x14ac:dyDescent="0.3">
      <c r="A1640" t="str">
        <f t="shared" si="26"/>
        <v>10-0-HH 1RATE (WC)-SmartFIX – 2 Year Renewal (Level 2)</v>
      </c>
      <c r="B1640" t="s">
        <v>13</v>
      </c>
      <c r="C1640">
        <v>10</v>
      </c>
      <c r="D1640" s="100" t="s">
        <v>14</v>
      </c>
      <c r="E1640" t="s">
        <v>732</v>
      </c>
      <c r="F1640" t="s">
        <v>88</v>
      </c>
      <c r="G1640" t="s">
        <v>735</v>
      </c>
      <c r="H1640" s="128">
        <v>0.4521</v>
      </c>
      <c r="I1640" s="110">
        <v>0.16440000000000002</v>
      </c>
      <c r="L1640">
        <v>5000</v>
      </c>
      <c r="M1640">
        <v>500000</v>
      </c>
      <c r="N1640" s="105">
        <v>44378</v>
      </c>
      <c r="O1640" s="105">
        <v>44561</v>
      </c>
      <c r="P1640" t="s">
        <v>718</v>
      </c>
    </row>
    <row r="1641" spans="1:16" ht="15" customHeight="1" x14ac:dyDescent="0.3">
      <c r="A1641" t="str">
        <f t="shared" si="26"/>
        <v>11-0-HH 1RATE (WC)-SmartFIX – 2 Year Renewal (Level 2)</v>
      </c>
      <c r="B1641" t="s">
        <v>13</v>
      </c>
      <c r="C1641">
        <v>11</v>
      </c>
      <c r="D1641" s="100" t="s">
        <v>20</v>
      </c>
      <c r="E1641" t="s">
        <v>732</v>
      </c>
      <c r="F1641" t="s">
        <v>88</v>
      </c>
      <c r="G1641" t="s">
        <v>735</v>
      </c>
      <c r="H1641" s="128">
        <v>0.46350000000000002</v>
      </c>
      <c r="I1641" s="110">
        <v>0.16440000000000002</v>
      </c>
      <c r="L1641">
        <v>5000</v>
      </c>
      <c r="M1641">
        <v>500000</v>
      </c>
      <c r="N1641" s="105">
        <v>44378</v>
      </c>
      <c r="O1641" s="105">
        <v>44561</v>
      </c>
      <c r="P1641" t="s">
        <v>718</v>
      </c>
    </row>
    <row r="1642" spans="1:16" ht="15" customHeight="1" x14ac:dyDescent="0.3">
      <c r="A1642" t="str">
        <f t="shared" si="26"/>
        <v>12-0-HH 1RATE (WC)-SmartFIX – 2 Year Renewal (Level 2)</v>
      </c>
      <c r="B1642" t="s">
        <v>13</v>
      </c>
      <c r="C1642">
        <v>12</v>
      </c>
      <c r="D1642" s="100" t="s">
        <v>21</v>
      </c>
      <c r="E1642" t="s">
        <v>732</v>
      </c>
      <c r="F1642" t="s">
        <v>88</v>
      </c>
      <c r="G1642" t="s">
        <v>735</v>
      </c>
      <c r="H1642" s="128">
        <v>0.3785</v>
      </c>
      <c r="I1642" s="110">
        <v>0.15860000000000002</v>
      </c>
      <c r="L1642">
        <v>5000</v>
      </c>
      <c r="M1642">
        <v>500000</v>
      </c>
      <c r="N1642" s="105">
        <v>44378</v>
      </c>
      <c r="O1642" s="105">
        <v>44561</v>
      </c>
      <c r="P1642" t="s">
        <v>718</v>
      </c>
    </row>
    <row r="1643" spans="1:16" ht="15" customHeight="1" x14ac:dyDescent="0.3">
      <c r="A1643" t="str">
        <f t="shared" si="26"/>
        <v>13-0-HH 1RATE (WC)-SmartFIX – 2 Year Renewal (Level 2)</v>
      </c>
      <c r="B1643" t="s">
        <v>13</v>
      </c>
      <c r="C1643">
        <v>13</v>
      </c>
      <c r="D1643" s="100" t="s">
        <v>22</v>
      </c>
      <c r="E1643" t="s">
        <v>732</v>
      </c>
      <c r="F1643" t="s">
        <v>88</v>
      </c>
      <c r="G1643" t="s">
        <v>735</v>
      </c>
      <c r="H1643" s="128">
        <v>0.42470000000000002</v>
      </c>
      <c r="I1643" s="110">
        <v>0.19190000000000002</v>
      </c>
      <c r="L1643">
        <v>5000</v>
      </c>
      <c r="M1643">
        <v>500000</v>
      </c>
      <c r="N1643" s="105">
        <v>44378</v>
      </c>
      <c r="O1643" s="105">
        <v>44561</v>
      </c>
      <c r="P1643" t="s">
        <v>718</v>
      </c>
    </row>
    <row r="1644" spans="1:16" ht="15" customHeight="1" x14ac:dyDescent="0.3">
      <c r="A1644" t="str">
        <f t="shared" si="26"/>
        <v>14-0-HH 1RATE (WC)-SmartFIX – 2 Year Renewal (Level 2)</v>
      </c>
      <c r="B1644" t="s">
        <v>13</v>
      </c>
      <c r="C1644">
        <v>14</v>
      </c>
      <c r="D1644" s="100" t="s">
        <v>23</v>
      </c>
      <c r="E1644" t="s">
        <v>732</v>
      </c>
      <c r="F1644" t="s">
        <v>88</v>
      </c>
      <c r="G1644" t="s">
        <v>735</v>
      </c>
      <c r="H1644" s="128">
        <v>0.4884</v>
      </c>
      <c r="I1644" s="110">
        <v>0.16789999999999999</v>
      </c>
      <c r="L1644">
        <v>5000</v>
      </c>
      <c r="M1644">
        <v>500000</v>
      </c>
      <c r="N1644" s="105">
        <v>44378</v>
      </c>
      <c r="O1644" s="105">
        <v>44561</v>
      </c>
      <c r="P1644" t="s">
        <v>718</v>
      </c>
    </row>
    <row r="1645" spans="1:16" ht="15" customHeight="1" x14ac:dyDescent="0.3">
      <c r="A1645" t="str">
        <f t="shared" si="26"/>
        <v>15-0-HH 1RATE (WC)-SmartFIX – 2 Year Renewal (Level 2)</v>
      </c>
      <c r="B1645" t="s">
        <v>13</v>
      </c>
      <c r="C1645">
        <v>15</v>
      </c>
      <c r="D1645" s="100" t="s">
        <v>24</v>
      </c>
      <c r="E1645" t="s">
        <v>732</v>
      </c>
      <c r="F1645" t="s">
        <v>88</v>
      </c>
      <c r="G1645" t="s">
        <v>735</v>
      </c>
      <c r="H1645" s="128">
        <v>0.4627</v>
      </c>
      <c r="I1645" s="110">
        <v>0.16700000000000001</v>
      </c>
      <c r="L1645">
        <v>5000</v>
      </c>
      <c r="M1645">
        <v>500000</v>
      </c>
      <c r="N1645" s="105">
        <v>44378</v>
      </c>
      <c r="O1645" s="105">
        <v>44561</v>
      </c>
      <c r="P1645" t="s">
        <v>718</v>
      </c>
    </row>
    <row r="1646" spans="1:16" ht="15" customHeight="1" x14ac:dyDescent="0.3">
      <c r="A1646" t="str">
        <f t="shared" si="26"/>
        <v>16-0-HH 1RATE (WC)-SmartFIX – 2 Year Renewal (Level 2)</v>
      </c>
      <c r="B1646" t="s">
        <v>13</v>
      </c>
      <c r="C1646">
        <v>16</v>
      </c>
      <c r="D1646" s="100" t="s">
        <v>25</v>
      </c>
      <c r="E1646" t="s">
        <v>732</v>
      </c>
      <c r="F1646" t="s">
        <v>88</v>
      </c>
      <c r="G1646" t="s">
        <v>735</v>
      </c>
      <c r="H1646" s="128">
        <v>0.41249999999999998</v>
      </c>
      <c r="I1646" s="110">
        <v>0.1694</v>
      </c>
      <c r="L1646">
        <v>5000</v>
      </c>
      <c r="M1646">
        <v>500000</v>
      </c>
      <c r="N1646" s="105">
        <v>44378</v>
      </c>
      <c r="O1646" s="105">
        <v>44561</v>
      </c>
      <c r="P1646" t="s">
        <v>718</v>
      </c>
    </row>
    <row r="1647" spans="1:16" ht="15" customHeight="1" x14ac:dyDescent="0.3">
      <c r="A1647" t="str">
        <f t="shared" si="26"/>
        <v>17-0-HH 1RATE (WC)-SmartFIX – 2 Year Renewal (Level 2)</v>
      </c>
      <c r="B1647" t="s">
        <v>13</v>
      </c>
      <c r="C1647">
        <v>17</v>
      </c>
      <c r="D1647" s="100" t="s">
        <v>26</v>
      </c>
      <c r="E1647" t="s">
        <v>732</v>
      </c>
      <c r="F1647" t="s">
        <v>88</v>
      </c>
      <c r="G1647" t="s">
        <v>735</v>
      </c>
      <c r="H1647" s="128">
        <v>0.50490000000000002</v>
      </c>
      <c r="I1647" s="110">
        <v>0.1764</v>
      </c>
      <c r="L1647">
        <v>5000</v>
      </c>
      <c r="M1647">
        <v>500000</v>
      </c>
      <c r="N1647" s="105">
        <v>44378</v>
      </c>
      <c r="O1647" s="105">
        <v>44561</v>
      </c>
      <c r="P1647" t="s">
        <v>718</v>
      </c>
    </row>
    <row r="1648" spans="1:16" ht="15" customHeight="1" x14ac:dyDescent="0.3">
      <c r="A1648" t="str">
        <f t="shared" si="26"/>
        <v>18-0-HH 1RATE (WC)-SmartFIX – 2 Year Renewal (Level 2)</v>
      </c>
      <c r="B1648" t="s">
        <v>13</v>
      </c>
      <c r="C1648">
        <v>18</v>
      </c>
      <c r="D1648" s="100" t="s">
        <v>27</v>
      </c>
      <c r="E1648" t="s">
        <v>732</v>
      </c>
      <c r="F1648" t="s">
        <v>88</v>
      </c>
      <c r="G1648" t="s">
        <v>735</v>
      </c>
      <c r="H1648" s="128">
        <v>0.44259999999999999</v>
      </c>
      <c r="I1648" s="110">
        <v>0.16889999999999999</v>
      </c>
      <c r="L1648">
        <v>5000</v>
      </c>
      <c r="M1648">
        <v>500000</v>
      </c>
      <c r="N1648" s="105">
        <v>44378</v>
      </c>
      <c r="O1648" s="105">
        <v>44561</v>
      </c>
      <c r="P1648" t="s">
        <v>718</v>
      </c>
    </row>
    <row r="1649" spans="1:16" ht="15" customHeight="1" x14ac:dyDescent="0.3">
      <c r="A1649" t="str">
        <f t="shared" si="26"/>
        <v>19-0-HH 1RATE (WC)-SmartFIX – 2 Year Renewal (Level 2)</v>
      </c>
      <c r="B1649" t="s">
        <v>13</v>
      </c>
      <c r="C1649">
        <v>19</v>
      </c>
      <c r="D1649" s="100" t="s">
        <v>28</v>
      </c>
      <c r="E1649" t="s">
        <v>732</v>
      </c>
      <c r="F1649" t="s">
        <v>88</v>
      </c>
      <c r="G1649" t="s">
        <v>735</v>
      </c>
      <c r="H1649" s="128">
        <v>0.44440000000000002</v>
      </c>
      <c r="I1649" s="110">
        <v>0.1623</v>
      </c>
      <c r="L1649">
        <v>5000</v>
      </c>
      <c r="M1649">
        <v>500000</v>
      </c>
      <c r="N1649" s="105">
        <v>44378</v>
      </c>
      <c r="O1649" s="105">
        <v>44561</v>
      </c>
      <c r="P1649" t="s">
        <v>718</v>
      </c>
    </row>
    <row r="1650" spans="1:16" ht="15" customHeight="1" x14ac:dyDescent="0.3">
      <c r="A1650" t="str">
        <f t="shared" si="26"/>
        <v>20-0-HH 1RATE (WC)-SmartFIX – 2 Year Renewal (Level 2)</v>
      </c>
      <c r="B1650" t="s">
        <v>13</v>
      </c>
      <c r="C1650">
        <v>20</v>
      </c>
      <c r="D1650" s="100" t="s">
        <v>29</v>
      </c>
      <c r="E1650" t="s">
        <v>732</v>
      </c>
      <c r="F1650" t="s">
        <v>88</v>
      </c>
      <c r="G1650" t="s">
        <v>735</v>
      </c>
      <c r="H1650" s="128">
        <v>0.43690000000000001</v>
      </c>
      <c r="I1650" s="110">
        <v>0.16820000000000002</v>
      </c>
      <c r="L1650">
        <v>5000</v>
      </c>
      <c r="M1650">
        <v>500000</v>
      </c>
      <c r="N1650" s="105">
        <v>44378</v>
      </c>
      <c r="O1650" s="105">
        <v>44561</v>
      </c>
      <c r="P1650" t="s">
        <v>718</v>
      </c>
    </row>
    <row r="1651" spans="1:16" ht="15" customHeight="1" x14ac:dyDescent="0.3">
      <c r="A1651" t="str">
        <f t="shared" si="26"/>
        <v>21-0-HH 1RATE (WC)-SmartFIX – 2 Year Renewal (Level 2)</v>
      </c>
      <c r="B1651" t="s">
        <v>13</v>
      </c>
      <c r="C1651">
        <v>21</v>
      </c>
      <c r="D1651" s="100" t="s">
        <v>30</v>
      </c>
      <c r="E1651" t="s">
        <v>732</v>
      </c>
      <c r="F1651" t="s">
        <v>88</v>
      </c>
      <c r="G1651" t="s">
        <v>735</v>
      </c>
      <c r="H1651" s="128">
        <v>0.55459999999999998</v>
      </c>
      <c r="I1651" s="110">
        <v>0.1706</v>
      </c>
      <c r="L1651">
        <v>5000</v>
      </c>
      <c r="M1651">
        <v>500000</v>
      </c>
      <c r="N1651" s="105">
        <v>44378</v>
      </c>
      <c r="O1651" s="105">
        <v>44561</v>
      </c>
      <c r="P1651" t="s">
        <v>718</v>
      </c>
    </row>
    <row r="1652" spans="1:16" ht="15" customHeight="1" x14ac:dyDescent="0.3">
      <c r="A1652" t="str">
        <f t="shared" si="26"/>
        <v>22-0-HH 1RATE (WC)-SmartFIX – 2 Year Renewal (Level 2)</v>
      </c>
      <c r="B1652" t="s">
        <v>13</v>
      </c>
      <c r="C1652">
        <v>22</v>
      </c>
      <c r="D1652" s="100" t="s">
        <v>31</v>
      </c>
      <c r="E1652" t="s">
        <v>732</v>
      </c>
      <c r="F1652" t="s">
        <v>88</v>
      </c>
      <c r="G1652" t="s">
        <v>735</v>
      </c>
      <c r="H1652" s="128">
        <v>0.49790000000000001</v>
      </c>
      <c r="I1652" s="110">
        <v>0.18149999999999999</v>
      </c>
      <c r="L1652">
        <v>5000</v>
      </c>
      <c r="M1652">
        <v>500000</v>
      </c>
      <c r="N1652" s="105">
        <v>44378</v>
      </c>
      <c r="O1652" s="105">
        <v>44561</v>
      </c>
      <c r="P1652" t="s">
        <v>718</v>
      </c>
    </row>
    <row r="1653" spans="1:16" ht="15" customHeight="1" x14ac:dyDescent="0.3">
      <c r="A1653" t="str">
        <f t="shared" si="26"/>
        <v>23-0-HH 1RATE (WC)-SmartFIX – 2 Year Renewal (Level 2)</v>
      </c>
      <c r="B1653" t="s">
        <v>13</v>
      </c>
      <c r="C1653">
        <v>23</v>
      </c>
      <c r="D1653" s="100" t="s">
        <v>32</v>
      </c>
      <c r="E1653" t="s">
        <v>732</v>
      </c>
      <c r="F1653" t="s">
        <v>88</v>
      </c>
      <c r="G1653" t="s">
        <v>735</v>
      </c>
      <c r="H1653" s="128">
        <v>0.45500000000000002</v>
      </c>
      <c r="I1653" s="110">
        <v>0.15990000000000001</v>
      </c>
      <c r="L1653">
        <v>5000</v>
      </c>
      <c r="M1653">
        <v>500000</v>
      </c>
      <c r="N1653" s="105">
        <v>44378</v>
      </c>
      <c r="O1653" s="105">
        <v>44561</v>
      </c>
      <c r="P1653" t="s">
        <v>718</v>
      </c>
    </row>
    <row r="1654" spans="1:16" ht="15" customHeight="1" x14ac:dyDescent="0.3">
      <c r="A1654" t="str">
        <f t="shared" si="26"/>
        <v>10-0-HH 1RATE (CT)-SmartFIX – 2 Year (Level 2)</v>
      </c>
      <c r="B1654" t="s">
        <v>13</v>
      </c>
      <c r="C1654">
        <v>10</v>
      </c>
      <c r="D1654" s="100" t="s">
        <v>14</v>
      </c>
      <c r="E1654" t="s">
        <v>731</v>
      </c>
      <c r="F1654" t="s">
        <v>88</v>
      </c>
      <c r="G1654" t="s">
        <v>726</v>
      </c>
      <c r="H1654" s="128">
        <v>0.51449999999999996</v>
      </c>
      <c r="I1654" s="110">
        <v>0.1646</v>
      </c>
      <c r="L1654">
        <v>5000</v>
      </c>
      <c r="M1654">
        <v>500000</v>
      </c>
      <c r="N1654" s="105">
        <v>44378</v>
      </c>
      <c r="O1654" s="105">
        <v>44561</v>
      </c>
      <c r="P1654" t="s">
        <v>718</v>
      </c>
    </row>
    <row r="1655" spans="1:16" ht="15" customHeight="1" x14ac:dyDescent="0.3">
      <c r="A1655" t="str">
        <f t="shared" si="26"/>
        <v>11-0-HH 1RATE (CT)-SmartFIX – 2 Year (Level 2)</v>
      </c>
      <c r="B1655" t="s">
        <v>13</v>
      </c>
      <c r="C1655">
        <v>11</v>
      </c>
      <c r="D1655" s="100" t="s">
        <v>20</v>
      </c>
      <c r="E1655" t="s">
        <v>731</v>
      </c>
      <c r="F1655" t="s">
        <v>88</v>
      </c>
      <c r="G1655" t="s">
        <v>726</v>
      </c>
      <c r="H1655" s="128">
        <v>0.4572</v>
      </c>
      <c r="I1655" s="110">
        <v>0.16350000000000001</v>
      </c>
      <c r="L1655">
        <v>5000</v>
      </c>
      <c r="M1655">
        <v>500000</v>
      </c>
      <c r="N1655" s="105">
        <v>44378</v>
      </c>
      <c r="O1655" s="105">
        <v>44561</v>
      </c>
      <c r="P1655" t="s">
        <v>718</v>
      </c>
    </row>
    <row r="1656" spans="1:16" ht="15" customHeight="1" x14ac:dyDescent="0.3">
      <c r="A1656" t="str">
        <f t="shared" si="26"/>
        <v>12-0-HH 1RATE (CT)-SmartFIX – 2 Year (Level 2)</v>
      </c>
      <c r="B1656" t="s">
        <v>13</v>
      </c>
      <c r="C1656">
        <v>12</v>
      </c>
      <c r="D1656" s="100" t="s">
        <v>21</v>
      </c>
      <c r="E1656" t="s">
        <v>731</v>
      </c>
      <c r="F1656" t="s">
        <v>88</v>
      </c>
      <c r="G1656" t="s">
        <v>726</v>
      </c>
      <c r="H1656" s="128">
        <v>0.42220000000000002</v>
      </c>
      <c r="I1656" s="110">
        <v>0.15989999999999999</v>
      </c>
      <c r="L1656">
        <v>5000</v>
      </c>
      <c r="M1656">
        <v>500000</v>
      </c>
      <c r="N1656" s="105">
        <v>44378</v>
      </c>
      <c r="O1656" s="105">
        <v>44561</v>
      </c>
      <c r="P1656" t="s">
        <v>718</v>
      </c>
    </row>
    <row r="1657" spans="1:16" ht="15" customHeight="1" x14ac:dyDescent="0.3">
      <c r="A1657" t="str">
        <f t="shared" si="26"/>
        <v>13-0-HH 1RATE (CT)-SmartFIX – 2 Year (Level 2)</v>
      </c>
      <c r="B1657" t="s">
        <v>13</v>
      </c>
      <c r="C1657">
        <v>13</v>
      </c>
      <c r="D1657" s="100" t="s">
        <v>22</v>
      </c>
      <c r="E1657" t="s">
        <v>731</v>
      </c>
      <c r="F1657" t="s">
        <v>88</v>
      </c>
      <c r="G1657" t="s">
        <v>726</v>
      </c>
      <c r="H1657" s="128">
        <v>0.59250000000000003</v>
      </c>
      <c r="I1657" s="110">
        <v>0.1966</v>
      </c>
      <c r="L1657">
        <v>5000</v>
      </c>
      <c r="M1657">
        <v>500000</v>
      </c>
      <c r="N1657" s="105">
        <v>44378</v>
      </c>
      <c r="O1657" s="105">
        <v>44561</v>
      </c>
      <c r="P1657" t="s">
        <v>718</v>
      </c>
    </row>
    <row r="1658" spans="1:16" ht="15" customHeight="1" x14ac:dyDescent="0.3">
      <c r="A1658" t="str">
        <f t="shared" si="26"/>
        <v>14-0-HH 1RATE (CT)-SmartFIX – 2 Year (Level 2)</v>
      </c>
      <c r="B1658" t="s">
        <v>13</v>
      </c>
      <c r="C1658">
        <v>14</v>
      </c>
      <c r="D1658" s="100" t="s">
        <v>23</v>
      </c>
      <c r="E1658" t="s">
        <v>731</v>
      </c>
      <c r="F1658" t="s">
        <v>88</v>
      </c>
      <c r="G1658" t="s">
        <v>726</v>
      </c>
      <c r="H1658" s="128">
        <v>0.4698</v>
      </c>
      <c r="I1658" s="110">
        <v>0.16769999999999999</v>
      </c>
      <c r="L1658">
        <v>5000</v>
      </c>
      <c r="M1658">
        <v>500000</v>
      </c>
      <c r="N1658" s="105">
        <v>44378</v>
      </c>
      <c r="O1658" s="105">
        <v>44561</v>
      </c>
      <c r="P1658" t="s">
        <v>718</v>
      </c>
    </row>
    <row r="1659" spans="1:16" ht="15" customHeight="1" x14ac:dyDescent="0.3">
      <c r="A1659" t="str">
        <f t="shared" si="26"/>
        <v>15-0-HH 1RATE (CT)-SmartFIX – 2 Year (Level 2)</v>
      </c>
      <c r="B1659" t="s">
        <v>13</v>
      </c>
      <c r="C1659">
        <v>15</v>
      </c>
      <c r="D1659" s="100" t="s">
        <v>24</v>
      </c>
      <c r="E1659" t="s">
        <v>731</v>
      </c>
      <c r="F1659" t="s">
        <v>88</v>
      </c>
      <c r="G1659" t="s">
        <v>726</v>
      </c>
      <c r="H1659" s="128">
        <v>0.56820000000000004</v>
      </c>
      <c r="I1659" s="110">
        <v>0.1671</v>
      </c>
      <c r="L1659">
        <v>5000</v>
      </c>
      <c r="M1659">
        <v>500000</v>
      </c>
      <c r="N1659" s="105">
        <v>44378</v>
      </c>
      <c r="O1659" s="105">
        <v>44561</v>
      </c>
      <c r="P1659" t="s">
        <v>718</v>
      </c>
    </row>
    <row r="1660" spans="1:16" ht="15" customHeight="1" x14ac:dyDescent="0.3">
      <c r="A1660" t="str">
        <f t="shared" si="26"/>
        <v>16-0-HH 1RATE (CT)-SmartFIX – 2 Year (Level 2)</v>
      </c>
      <c r="B1660" t="s">
        <v>13</v>
      </c>
      <c r="C1660">
        <v>16</v>
      </c>
      <c r="D1660" s="100" t="s">
        <v>25</v>
      </c>
      <c r="E1660" t="s">
        <v>731</v>
      </c>
      <c r="F1660" t="s">
        <v>88</v>
      </c>
      <c r="G1660" t="s">
        <v>726</v>
      </c>
      <c r="H1660" s="128">
        <v>0.5292</v>
      </c>
      <c r="I1660" s="110">
        <v>0.1694</v>
      </c>
      <c r="L1660">
        <v>5000</v>
      </c>
      <c r="M1660">
        <v>500000</v>
      </c>
      <c r="N1660" s="105">
        <v>44378</v>
      </c>
      <c r="O1660" s="105">
        <v>44561</v>
      </c>
      <c r="P1660" t="s">
        <v>718</v>
      </c>
    </row>
    <row r="1661" spans="1:16" ht="15" customHeight="1" x14ac:dyDescent="0.3">
      <c r="A1661" t="str">
        <f t="shared" si="26"/>
        <v>17-0-HH 1RATE (CT)-SmartFIX – 2 Year (Level 2)</v>
      </c>
      <c r="B1661" t="s">
        <v>13</v>
      </c>
      <c r="C1661">
        <v>17</v>
      </c>
      <c r="D1661" s="100" t="s">
        <v>26</v>
      </c>
      <c r="E1661" t="s">
        <v>731</v>
      </c>
      <c r="F1661" t="s">
        <v>88</v>
      </c>
      <c r="G1661" t="s">
        <v>726</v>
      </c>
      <c r="H1661" s="128">
        <v>0.71650000000000003</v>
      </c>
      <c r="I1661" s="110">
        <v>0.1678</v>
      </c>
      <c r="L1661">
        <v>5000</v>
      </c>
      <c r="M1661">
        <v>500000</v>
      </c>
      <c r="N1661" s="105">
        <v>44378</v>
      </c>
      <c r="O1661" s="105">
        <v>44561</v>
      </c>
      <c r="P1661" t="s">
        <v>718</v>
      </c>
    </row>
    <row r="1662" spans="1:16" ht="15" customHeight="1" x14ac:dyDescent="0.3">
      <c r="A1662" t="str">
        <f t="shared" si="26"/>
        <v>18-0-HH 1RATE (CT)-SmartFIX – 2 Year (Level 2)</v>
      </c>
      <c r="B1662" t="s">
        <v>13</v>
      </c>
      <c r="C1662">
        <v>18</v>
      </c>
      <c r="D1662" s="100" t="s">
        <v>27</v>
      </c>
      <c r="E1662" t="s">
        <v>731</v>
      </c>
      <c r="F1662" t="s">
        <v>88</v>
      </c>
      <c r="G1662" t="s">
        <v>726</v>
      </c>
      <c r="H1662" s="128">
        <v>0.65680000000000005</v>
      </c>
      <c r="I1662" s="110">
        <v>0.16550000000000001</v>
      </c>
      <c r="L1662">
        <v>5000</v>
      </c>
      <c r="M1662">
        <v>500000</v>
      </c>
      <c r="N1662" s="105">
        <v>44378</v>
      </c>
      <c r="O1662" s="105">
        <v>44561</v>
      </c>
      <c r="P1662" t="s">
        <v>718</v>
      </c>
    </row>
    <row r="1663" spans="1:16" ht="15" customHeight="1" x14ac:dyDescent="0.3">
      <c r="A1663" t="str">
        <f t="shared" si="26"/>
        <v>19-0-HH 1RATE (CT)-SmartFIX – 2 Year (Level 2)</v>
      </c>
      <c r="B1663" t="s">
        <v>13</v>
      </c>
      <c r="C1663">
        <v>19</v>
      </c>
      <c r="D1663" s="100" t="s">
        <v>28</v>
      </c>
      <c r="E1663" t="s">
        <v>731</v>
      </c>
      <c r="F1663" t="s">
        <v>88</v>
      </c>
      <c r="G1663" t="s">
        <v>726</v>
      </c>
      <c r="H1663" s="128">
        <v>0.5161</v>
      </c>
      <c r="I1663" s="110">
        <v>0.1628</v>
      </c>
      <c r="L1663">
        <v>5000</v>
      </c>
      <c r="M1663">
        <v>500000</v>
      </c>
      <c r="N1663" s="105">
        <v>44378</v>
      </c>
      <c r="O1663" s="105">
        <v>44561</v>
      </c>
      <c r="P1663" t="s">
        <v>718</v>
      </c>
    </row>
    <row r="1664" spans="1:16" ht="15" customHeight="1" x14ac:dyDescent="0.3">
      <c r="A1664" t="str">
        <f t="shared" si="26"/>
        <v>20-0-HH 1RATE (CT)-SmartFIX – 2 Year (Level 2)</v>
      </c>
      <c r="B1664" t="s">
        <v>13</v>
      </c>
      <c r="C1664">
        <v>20</v>
      </c>
      <c r="D1664" s="100" t="s">
        <v>29</v>
      </c>
      <c r="E1664" t="s">
        <v>731</v>
      </c>
      <c r="F1664" t="s">
        <v>88</v>
      </c>
      <c r="G1664" t="s">
        <v>726</v>
      </c>
      <c r="H1664" s="128">
        <v>0.54520000000000002</v>
      </c>
      <c r="I1664" s="110">
        <v>0.16209999999999999</v>
      </c>
      <c r="L1664">
        <v>5000</v>
      </c>
      <c r="M1664">
        <v>500000</v>
      </c>
      <c r="N1664" s="105">
        <v>44378</v>
      </c>
      <c r="O1664" s="105">
        <v>44561</v>
      </c>
      <c r="P1664" t="s">
        <v>718</v>
      </c>
    </row>
    <row r="1665" spans="1:16" ht="15" customHeight="1" x14ac:dyDescent="0.3">
      <c r="A1665" t="str">
        <f t="shared" si="26"/>
        <v>21-0-HH 1RATE (CT)-SmartFIX – 2 Year (Level 2)</v>
      </c>
      <c r="B1665" t="s">
        <v>13</v>
      </c>
      <c r="C1665">
        <v>21</v>
      </c>
      <c r="D1665" s="100" t="s">
        <v>30</v>
      </c>
      <c r="E1665" t="s">
        <v>731</v>
      </c>
      <c r="F1665" t="s">
        <v>88</v>
      </c>
      <c r="G1665" t="s">
        <v>726</v>
      </c>
      <c r="H1665" s="128">
        <v>0.55989999999999995</v>
      </c>
      <c r="I1665" s="110">
        <v>0.1696</v>
      </c>
      <c r="L1665">
        <v>5000</v>
      </c>
      <c r="M1665">
        <v>500000</v>
      </c>
      <c r="N1665" s="105">
        <v>44378</v>
      </c>
      <c r="O1665" s="105">
        <v>44561</v>
      </c>
      <c r="P1665" t="s">
        <v>718</v>
      </c>
    </row>
    <row r="1666" spans="1:16" ht="15" customHeight="1" x14ac:dyDescent="0.3">
      <c r="A1666" t="str">
        <f t="shared" si="26"/>
        <v>22-0-HH 1RATE (CT)-SmartFIX – 2 Year (Level 2)</v>
      </c>
      <c r="B1666" t="s">
        <v>13</v>
      </c>
      <c r="C1666">
        <v>22</v>
      </c>
      <c r="D1666" s="100" t="s">
        <v>31</v>
      </c>
      <c r="E1666" t="s">
        <v>731</v>
      </c>
      <c r="F1666" t="s">
        <v>88</v>
      </c>
      <c r="G1666" t="s">
        <v>726</v>
      </c>
      <c r="H1666" s="128">
        <v>0.49120000000000003</v>
      </c>
      <c r="I1666" s="110">
        <v>0.16830000000000001</v>
      </c>
      <c r="L1666">
        <v>5000</v>
      </c>
      <c r="M1666">
        <v>500000</v>
      </c>
      <c r="N1666" s="105">
        <v>44378</v>
      </c>
      <c r="O1666" s="105">
        <v>44561</v>
      </c>
      <c r="P1666" t="s">
        <v>718</v>
      </c>
    </row>
    <row r="1667" spans="1:16" ht="15" customHeight="1" x14ac:dyDescent="0.3">
      <c r="A1667" t="str">
        <f t="shared" si="26"/>
        <v>23-0-HH 1RATE (CT)-SmartFIX – 2 Year (Level 2)</v>
      </c>
      <c r="B1667" t="s">
        <v>13</v>
      </c>
      <c r="C1667">
        <v>23</v>
      </c>
      <c r="D1667" s="100" t="s">
        <v>32</v>
      </c>
      <c r="E1667" t="s">
        <v>731</v>
      </c>
      <c r="F1667" t="s">
        <v>88</v>
      </c>
      <c r="G1667" t="s">
        <v>726</v>
      </c>
      <c r="H1667" s="128">
        <v>0.58620000000000005</v>
      </c>
      <c r="I1667" s="110">
        <v>0.1615</v>
      </c>
      <c r="L1667">
        <v>5000</v>
      </c>
      <c r="M1667">
        <v>500000</v>
      </c>
      <c r="N1667" s="105">
        <v>44378</v>
      </c>
      <c r="O1667" s="105">
        <v>44561</v>
      </c>
      <c r="P1667" t="s">
        <v>718</v>
      </c>
    </row>
    <row r="1668" spans="1:16" ht="15" customHeight="1" x14ac:dyDescent="0.3">
      <c r="A1668" t="str">
        <f t="shared" si="26"/>
        <v>10-0-HH 1RATE (CT)-SmartFIX – 2 Year Renewal (Level 2)</v>
      </c>
      <c r="B1668" t="s">
        <v>13</v>
      </c>
      <c r="C1668">
        <v>10</v>
      </c>
      <c r="D1668" s="100" t="s">
        <v>14</v>
      </c>
      <c r="E1668" t="s">
        <v>731</v>
      </c>
      <c r="F1668" t="s">
        <v>88</v>
      </c>
      <c r="G1668" t="s">
        <v>735</v>
      </c>
      <c r="H1668" s="128">
        <v>0.56599999999999995</v>
      </c>
      <c r="I1668" s="110">
        <v>0.1686</v>
      </c>
      <c r="L1668">
        <v>5000</v>
      </c>
      <c r="M1668">
        <v>500000</v>
      </c>
      <c r="N1668" s="105">
        <v>44378</v>
      </c>
      <c r="O1668" s="105">
        <v>44561</v>
      </c>
      <c r="P1668" t="s">
        <v>718</v>
      </c>
    </row>
    <row r="1669" spans="1:16" ht="15" customHeight="1" x14ac:dyDescent="0.3">
      <c r="A1669" t="str">
        <f t="shared" si="26"/>
        <v>11-0-HH 1RATE (CT)-SmartFIX – 2 Year Renewal (Level 2)</v>
      </c>
      <c r="B1669" t="s">
        <v>13</v>
      </c>
      <c r="C1669">
        <v>11</v>
      </c>
      <c r="D1669" s="100" t="s">
        <v>20</v>
      </c>
      <c r="E1669" t="s">
        <v>731</v>
      </c>
      <c r="F1669" t="s">
        <v>88</v>
      </c>
      <c r="G1669" t="s">
        <v>735</v>
      </c>
      <c r="H1669" s="128">
        <v>0.503</v>
      </c>
      <c r="I1669" s="110">
        <v>0.16750000000000001</v>
      </c>
      <c r="L1669">
        <v>5000</v>
      </c>
      <c r="M1669">
        <v>500000</v>
      </c>
      <c r="N1669" s="105">
        <v>44378</v>
      </c>
      <c r="O1669" s="105">
        <v>44561</v>
      </c>
      <c r="P1669" t="s">
        <v>718</v>
      </c>
    </row>
    <row r="1670" spans="1:16" ht="15" customHeight="1" x14ac:dyDescent="0.3">
      <c r="A1670" t="str">
        <f t="shared" si="26"/>
        <v>12-0-HH 1RATE (CT)-SmartFIX – 2 Year Renewal (Level 2)</v>
      </c>
      <c r="B1670" t="s">
        <v>13</v>
      </c>
      <c r="C1670">
        <v>12</v>
      </c>
      <c r="D1670" s="100" t="s">
        <v>21</v>
      </c>
      <c r="E1670" t="s">
        <v>731</v>
      </c>
      <c r="F1670" t="s">
        <v>88</v>
      </c>
      <c r="G1670" t="s">
        <v>735</v>
      </c>
      <c r="H1670" s="128">
        <v>0.46439999999999998</v>
      </c>
      <c r="I1670" s="110">
        <v>0.16389999999999999</v>
      </c>
      <c r="L1670">
        <v>5000</v>
      </c>
      <c r="M1670">
        <v>500000</v>
      </c>
      <c r="N1670" s="105">
        <v>44378</v>
      </c>
      <c r="O1670" s="105">
        <v>44561</v>
      </c>
      <c r="P1670" t="s">
        <v>718</v>
      </c>
    </row>
    <row r="1671" spans="1:16" ht="15" customHeight="1" x14ac:dyDescent="0.3">
      <c r="A1671" t="str">
        <f t="shared" si="26"/>
        <v>13-0-HH 1RATE (CT)-SmartFIX – 2 Year Renewal (Level 2)</v>
      </c>
      <c r="B1671" t="s">
        <v>13</v>
      </c>
      <c r="C1671">
        <v>13</v>
      </c>
      <c r="D1671" s="100" t="s">
        <v>22</v>
      </c>
      <c r="E1671" t="s">
        <v>731</v>
      </c>
      <c r="F1671" t="s">
        <v>88</v>
      </c>
      <c r="G1671" t="s">
        <v>735</v>
      </c>
      <c r="H1671" s="128">
        <v>0.65169999999999995</v>
      </c>
      <c r="I1671" s="110">
        <v>0.2006</v>
      </c>
      <c r="L1671">
        <v>5000</v>
      </c>
      <c r="M1671">
        <v>500000</v>
      </c>
      <c r="N1671" s="105">
        <v>44378</v>
      </c>
      <c r="O1671" s="105">
        <v>44561</v>
      </c>
      <c r="P1671" t="s">
        <v>718</v>
      </c>
    </row>
    <row r="1672" spans="1:16" ht="15" customHeight="1" x14ac:dyDescent="0.3">
      <c r="A1672" t="str">
        <f t="shared" si="26"/>
        <v>14-0-HH 1RATE (CT)-SmartFIX – 2 Year Renewal (Level 2)</v>
      </c>
      <c r="B1672" t="s">
        <v>13</v>
      </c>
      <c r="C1672">
        <v>14</v>
      </c>
      <c r="D1672" s="100" t="s">
        <v>23</v>
      </c>
      <c r="E1672" t="s">
        <v>731</v>
      </c>
      <c r="F1672" t="s">
        <v>88</v>
      </c>
      <c r="G1672" t="s">
        <v>735</v>
      </c>
      <c r="H1672" s="128">
        <v>0.51680000000000004</v>
      </c>
      <c r="I1672" s="110">
        <v>0.17169999999999999</v>
      </c>
      <c r="L1672">
        <v>5000</v>
      </c>
      <c r="M1672">
        <v>500000</v>
      </c>
      <c r="N1672" s="105">
        <v>44378</v>
      </c>
      <c r="O1672" s="105">
        <v>44561</v>
      </c>
      <c r="P1672" t="s">
        <v>718</v>
      </c>
    </row>
    <row r="1673" spans="1:16" ht="15" customHeight="1" x14ac:dyDescent="0.3">
      <c r="A1673" t="str">
        <f t="shared" si="26"/>
        <v>15-0-HH 1RATE (CT)-SmartFIX – 2 Year Renewal (Level 2)</v>
      </c>
      <c r="B1673" t="s">
        <v>13</v>
      </c>
      <c r="C1673">
        <v>15</v>
      </c>
      <c r="D1673" s="100" t="s">
        <v>24</v>
      </c>
      <c r="E1673" t="s">
        <v>731</v>
      </c>
      <c r="F1673" t="s">
        <v>88</v>
      </c>
      <c r="G1673" t="s">
        <v>735</v>
      </c>
      <c r="H1673" s="128">
        <v>0.625</v>
      </c>
      <c r="I1673" s="110">
        <v>0.1711</v>
      </c>
      <c r="L1673">
        <v>5000</v>
      </c>
      <c r="M1673">
        <v>500000</v>
      </c>
      <c r="N1673" s="105">
        <v>44378</v>
      </c>
      <c r="O1673" s="105">
        <v>44561</v>
      </c>
      <c r="P1673" t="s">
        <v>718</v>
      </c>
    </row>
    <row r="1674" spans="1:16" ht="15" customHeight="1" x14ac:dyDescent="0.3">
      <c r="A1674" t="str">
        <f t="shared" si="26"/>
        <v>16-0-HH 1RATE (CT)-SmartFIX – 2 Year Renewal (Level 2)</v>
      </c>
      <c r="B1674" t="s">
        <v>13</v>
      </c>
      <c r="C1674">
        <v>16</v>
      </c>
      <c r="D1674" s="100" t="s">
        <v>25</v>
      </c>
      <c r="E1674" t="s">
        <v>731</v>
      </c>
      <c r="F1674" t="s">
        <v>88</v>
      </c>
      <c r="G1674" t="s">
        <v>735</v>
      </c>
      <c r="H1674" s="128">
        <v>0.58220000000000005</v>
      </c>
      <c r="I1674" s="110">
        <v>0.1734</v>
      </c>
      <c r="L1674">
        <v>5000</v>
      </c>
      <c r="M1674">
        <v>500000</v>
      </c>
      <c r="N1674" s="105">
        <v>44378</v>
      </c>
      <c r="O1674" s="105">
        <v>44561</v>
      </c>
      <c r="P1674" t="s">
        <v>718</v>
      </c>
    </row>
    <row r="1675" spans="1:16" ht="15" customHeight="1" x14ac:dyDescent="0.3">
      <c r="A1675" t="str">
        <f t="shared" si="26"/>
        <v>17-0-HH 1RATE (CT)-SmartFIX – 2 Year Renewal (Level 2)</v>
      </c>
      <c r="B1675" t="s">
        <v>13</v>
      </c>
      <c r="C1675">
        <v>17</v>
      </c>
      <c r="D1675" s="100" t="s">
        <v>26</v>
      </c>
      <c r="E1675" t="s">
        <v>731</v>
      </c>
      <c r="F1675" t="s">
        <v>88</v>
      </c>
      <c r="G1675" t="s">
        <v>735</v>
      </c>
      <c r="H1675" s="128">
        <v>0.78810000000000002</v>
      </c>
      <c r="I1675" s="110">
        <v>0.17180000000000001</v>
      </c>
      <c r="L1675">
        <v>5000</v>
      </c>
      <c r="M1675">
        <v>500000</v>
      </c>
      <c r="N1675" s="105">
        <v>44378</v>
      </c>
      <c r="O1675" s="105">
        <v>44561</v>
      </c>
      <c r="P1675" t="s">
        <v>718</v>
      </c>
    </row>
    <row r="1676" spans="1:16" ht="15" customHeight="1" x14ac:dyDescent="0.3">
      <c r="A1676" t="str">
        <f t="shared" ref="A1676:A1739" si="27">IF(E1676="OP","",CONCATENATE(C1676,"-",RIGHT(F1676,1),"-",IF(OR(E1676="1 Rate MD",E1676="DAY"),"U",IF(OR(E1676="2 Rate MD",E1676="E7"),"E7",IF(OR(E1676="3 Rate MD (EW)",E1676="EW"),"EW",IF(OR(E1676="3 Rate MD",E1676="EWN"),"3RATE",IF(E1676="HH 2RATE (CT)","HH 2RATE (CT)",IF(E1676="HH 2RATE (WC)","HH 2RATE (WC)",IF(E1676="HH 1RATE (CT)","HH 1RATE (CT)",IF(E1676="HH 1RATE (WC)","HH 1RATE (WC)")))))))),"-",G1676))</f>
        <v>18-0-HH 1RATE (CT)-SmartFIX – 2 Year Renewal (Level 2)</v>
      </c>
      <c r="B1676" t="s">
        <v>13</v>
      </c>
      <c r="C1676">
        <v>18</v>
      </c>
      <c r="D1676" s="100" t="s">
        <v>27</v>
      </c>
      <c r="E1676" t="s">
        <v>731</v>
      </c>
      <c r="F1676" t="s">
        <v>88</v>
      </c>
      <c r="G1676" t="s">
        <v>735</v>
      </c>
      <c r="H1676" s="128">
        <v>0.72240000000000004</v>
      </c>
      <c r="I1676" s="110">
        <v>0.16950000000000001</v>
      </c>
      <c r="L1676">
        <v>5000</v>
      </c>
      <c r="M1676">
        <v>500000</v>
      </c>
      <c r="N1676" s="105">
        <v>44378</v>
      </c>
      <c r="O1676" s="105">
        <v>44561</v>
      </c>
      <c r="P1676" t="s">
        <v>718</v>
      </c>
    </row>
    <row r="1677" spans="1:16" ht="15" customHeight="1" x14ac:dyDescent="0.3">
      <c r="A1677" t="str">
        <f t="shared" si="27"/>
        <v>19-0-HH 1RATE (CT)-SmartFIX – 2 Year Renewal (Level 2)</v>
      </c>
      <c r="B1677" t="s">
        <v>13</v>
      </c>
      <c r="C1677">
        <v>19</v>
      </c>
      <c r="D1677" s="100" t="s">
        <v>28</v>
      </c>
      <c r="E1677" t="s">
        <v>731</v>
      </c>
      <c r="F1677" t="s">
        <v>88</v>
      </c>
      <c r="G1677" t="s">
        <v>735</v>
      </c>
      <c r="H1677" s="128">
        <v>0.56769999999999998</v>
      </c>
      <c r="I1677" s="110">
        <v>0.1668</v>
      </c>
      <c r="L1677">
        <v>5000</v>
      </c>
      <c r="M1677">
        <v>500000</v>
      </c>
      <c r="N1677" s="105">
        <v>44378</v>
      </c>
      <c r="O1677" s="105">
        <v>44561</v>
      </c>
      <c r="P1677" t="s">
        <v>718</v>
      </c>
    </row>
    <row r="1678" spans="1:16" ht="15" customHeight="1" x14ac:dyDescent="0.3">
      <c r="A1678" t="str">
        <f t="shared" si="27"/>
        <v>20-0-HH 1RATE (CT)-SmartFIX – 2 Year Renewal (Level 2)</v>
      </c>
      <c r="B1678" t="s">
        <v>13</v>
      </c>
      <c r="C1678">
        <v>20</v>
      </c>
      <c r="D1678" s="100" t="s">
        <v>29</v>
      </c>
      <c r="E1678" t="s">
        <v>731</v>
      </c>
      <c r="F1678" t="s">
        <v>88</v>
      </c>
      <c r="G1678" t="s">
        <v>735</v>
      </c>
      <c r="H1678" s="128">
        <v>0.59970000000000001</v>
      </c>
      <c r="I1678" s="110">
        <v>0.1661</v>
      </c>
      <c r="L1678">
        <v>5000</v>
      </c>
      <c r="M1678">
        <v>500000</v>
      </c>
      <c r="N1678" s="105">
        <v>44378</v>
      </c>
      <c r="O1678" s="105">
        <v>44561</v>
      </c>
      <c r="P1678" t="s">
        <v>718</v>
      </c>
    </row>
    <row r="1679" spans="1:16" ht="15" customHeight="1" x14ac:dyDescent="0.3">
      <c r="A1679" t="str">
        <f t="shared" si="27"/>
        <v>21-0-HH 1RATE (CT)-SmartFIX – 2 Year Renewal (Level 2)</v>
      </c>
      <c r="B1679" t="s">
        <v>13</v>
      </c>
      <c r="C1679">
        <v>21</v>
      </c>
      <c r="D1679" s="100" t="s">
        <v>30</v>
      </c>
      <c r="E1679" t="s">
        <v>731</v>
      </c>
      <c r="F1679" t="s">
        <v>88</v>
      </c>
      <c r="G1679" t="s">
        <v>735</v>
      </c>
      <c r="H1679" s="128">
        <v>0.6159</v>
      </c>
      <c r="I1679" s="110">
        <v>0.1736</v>
      </c>
      <c r="L1679">
        <v>5000</v>
      </c>
      <c r="M1679">
        <v>500000</v>
      </c>
      <c r="N1679" s="105">
        <v>44378</v>
      </c>
      <c r="O1679" s="105">
        <v>44561</v>
      </c>
      <c r="P1679" t="s">
        <v>718</v>
      </c>
    </row>
    <row r="1680" spans="1:16" ht="15" customHeight="1" x14ac:dyDescent="0.3">
      <c r="A1680" t="str">
        <f t="shared" si="27"/>
        <v>22-0-HH 1RATE (CT)-SmartFIX – 2 Year Renewal (Level 2)</v>
      </c>
      <c r="B1680" t="s">
        <v>13</v>
      </c>
      <c r="C1680">
        <v>22</v>
      </c>
      <c r="D1680" s="100" t="s">
        <v>31</v>
      </c>
      <c r="E1680" t="s">
        <v>731</v>
      </c>
      <c r="F1680" t="s">
        <v>88</v>
      </c>
      <c r="G1680" t="s">
        <v>735</v>
      </c>
      <c r="H1680" s="128">
        <v>0.5403</v>
      </c>
      <c r="I1680" s="110">
        <v>0.17230000000000001</v>
      </c>
      <c r="L1680">
        <v>5000</v>
      </c>
      <c r="M1680">
        <v>500000</v>
      </c>
      <c r="N1680" s="105">
        <v>44378</v>
      </c>
      <c r="O1680" s="105">
        <v>44561</v>
      </c>
      <c r="P1680" t="s">
        <v>718</v>
      </c>
    </row>
    <row r="1681" spans="1:16" ht="15" customHeight="1" x14ac:dyDescent="0.3">
      <c r="A1681" t="str">
        <f t="shared" si="27"/>
        <v>23-0-HH 1RATE (CT)-SmartFIX – 2 Year Renewal (Level 2)</v>
      </c>
      <c r="B1681" t="s">
        <v>13</v>
      </c>
      <c r="C1681">
        <v>23</v>
      </c>
      <c r="D1681" s="100" t="s">
        <v>32</v>
      </c>
      <c r="E1681" t="s">
        <v>731</v>
      </c>
      <c r="F1681" t="s">
        <v>88</v>
      </c>
      <c r="G1681" t="s">
        <v>735</v>
      </c>
      <c r="H1681" s="128">
        <v>0.64480000000000004</v>
      </c>
      <c r="I1681" s="110">
        <v>0.16550000000000001</v>
      </c>
      <c r="L1681">
        <v>5000</v>
      </c>
      <c r="M1681">
        <v>500000</v>
      </c>
      <c r="N1681" s="105">
        <v>44378</v>
      </c>
      <c r="O1681" s="105">
        <v>44561</v>
      </c>
      <c r="P1681" t="s">
        <v>718</v>
      </c>
    </row>
    <row r="1682" spans="1:16" ht="15" customHeight="1" x14ac:dyDescent="0.3">
      <c r="A1682" t="str">
        <f t="shared" si="27"/>
        <v>10-0-HH 1RATE (WC)-SmartFIX – 3 Year (Level 2)</v>
      </c>
      <c r="B1682" t="s">
        <v>13</v>
      </c>
      <c r="C1682">
        <v>10</v>
      </c>
      <c r="D1682" s="100" t="s">
        <v>14</v>
      </c>
      <c r="E1682" t="s">
        <v>732</v>
      </c>
      <c r="F1682" t="s">
        <v>88</v>
      </c>
      <c r="G1682" t="s">
        <v>727</v>
      </c>
      <c r="H1682" s="128">
        <v>0.41920000000000002</v>
      </c>
      <c r="I1682" s="110">
        <v>0.16170000000000001</v>
      </c>
      <c r="L1682">
        <v>5000</v>
      </c>
      <c r="M1682">
        <v>500000</v>
      </c>
      <c r="N1682" s="105">
        <v>44378</v>
      </c>
      <c r="O1682" s="105">
        <v>44561</v>
      </c>
      <c r="P1682" t="s">
        <v>718</v>
      </c>
    </row>
    <row r="1683" spans="1:16" ht="15" customHeight="1" x14ac:dyDescent="0.3">
      <c r="A1683" t="str">
        <f t="shared" si="27"/>
        <v>11-0-HH 1RATE (WC)-SmartFIX – 3 Year (Level 2)</v>
      </c>
      <c r="B1683" t="s">
        <v>13</v>
      </c>
      <c r="C1683">
        <v>11</v>
      </c>
      <c r="D1683" s="100" t="s">
        <v>20</v>
      </c>
      <c r="E1683" t="s">
        <v>732</v>
      </c>
      <c r="F1683" t="s">
        <v>88</v>
      </c>
      <c r="G1683" t="s">
        <v>727</v>
      </c>
      <c r="H1683" s="128">
        <v>0.42980000000000002</v>
      </c>
      <c r="I1683" s="110">
        <v>0.15989999999999999</v>
      </c>
      <c r="L1683">
        <v>5000</v>
      </c>
      <c r="M1683">
        <v>500000</v>
      </c>
      <c r="N1683" s="105">
        <v>44378</v>
      </c>
      <c r="O1683" s="105">
        <v>44561</v>
      </c>
      <c r="P1683" t="s">
        <v>718</v>
      </c>
    </row>
    <row r="1684" spans="1:16" ht="15" customHeight="1" x14ac:dyDescent="0.3">
      <c r="A1684" t="str">
        <f t="shared" si="27"/>
        <v>12-0-HH 1RATE (WC)-SmartFIX – 3 Year (Level 2)</v>
      </c>
      <c r="B1684" t="s">
        <v>13</v>
      </c>
      <c r="C1684">
        <v>12</v>
      </c>
      <c r="D1684" s="100" t="s">
        <v>21</v>
      </c>
      <c r="E1684" t="s">
        <v>732</v>
      </c>
      <c r="F1684" t="s">
        <v>88</v>
      </c>
      <c r="G1684" t="s">
        <v>727</v>
      </c>
      <c r="H1684" s="128">
        <v>0.35099999999999998</v>
      </c>
      <c r="I1684" s="110">
        <v>0.157</v>
      </c>
      <c r="L1684">
        <v>5000</v>
      </c>
      <c r="M1684">
        <v>500000</v>
      </c>
      <c r="N1684" s="105">
        <v>44378</v>
      </c>
      <c r="O1684" s="105">
        <v>44561</v>
      </c>
      <c r="P1684" t="s">
        <v>718</v>
      </c>
    </row>
    <row r="1685" spans="1:16" ht="15" customHeight="1" x14ac:dyDescent="0.3">
      <c r="A1685" t="str">
        <f t="shared" si="27"/>
        <v>13-0-HH 1RATE (WC)-SmartFIX – 3 Year (Level 2)</v>
      </c>
      <c r="B1685" t="s">
        <v>13</v>
      </c>
      <c r="C1685">
        <v>13</v>
      </c>
      <c r="D1685" s="100" t="s">
        <v>22</v>
      </c>
      <c r="E1685" t="s">
        <v>732</v>
      </c>
      <c r="F1685" t="s">
        <v>88</v>
      </c>
      <c r="G1685" t="s">
        <v>727</v>
      </c>
      <c r="H1685" s="128">
        <v>0.39379999999999998</v>
      </c>
      <c r="I1685" s="110">
        <v>0.1832</v>
      </c>
      <c r="L1685">
        <v>5000</v>
      </c>
      <c r="M1685">
        <v>500000</v>
      </c>
      <c r="N1685" s="105">
        <v>44378</v>
      </c>
      <c r="O1685" s="105">
        <v>44561</v>
      </c>
      <c r="P1685" t="s">
        <v>718</v>
      </c>
    </row>
    <row r="1686" spans="1:16" ht="15" customHeight="1" x14ac:dyDescent="0.3">
      <c r="A1686" t="str">
        <f t="shared" si="27"/>
        <v>14-0-HH 1RATE (WC)-SmartFIX – 3 Year (Level 2)</v>
      </c>
      <c r="B1686" t="s">
        <v>13</v>
      </c>
      <c r="C1686">
        <v>14</v>
      </c>
      <c r="D1686" s="100" t="s">
        <v>23</v>
      </c>
      <c r="E1686" t="s">
        <v>732</v>
      </c>
      <c r="F1686" t="s">
        <v>88</v>
      </c>
      <c r="G1686" t="s">
        <v>727</v>
      </c>
      <c r="H1686" s="128">
        <v>0.45290000000000002</v>
      </c>
      <c r="I1686" s="110">
        <v>0.1651</v>
      </c>
      <c r="L1686">
        <v>5000</v>
      </c>
      <c r="M1686">
        <v>500000</v>
      </c>
      <c r="N1686" s="105">
        <v>44378</v>
      </c>
      <c r="O1686" s="105">
        <v>44561</v>
      </c>
      <c r="P1686" t="s">
        <v>718</v>
      </c>
    </row>
    <row r="1687" spans="1:16" ht="15" customHeight="1" x14ac:dyDescent="0.3">
      <c r="A1687" t="str">
        <f t="shared" si="27"/>
        <v>15-0-HH 1RATE (WC)-SmartFIX – 3 Year (Level 2)</v>
      </c>
      <c r="B1687" t="s">
        <v>13</v>
      </c>
      <c r="C1687">
        <v>15</v>
      </c>
      <c r="D1687" s="100" t="s">
        <v>24</v>
      </c>
      <c r="E1687" t="s">
        <v>732</v>
      </c>
      <c r="F1687" t="s">
        <v>88</v>
      </c>
      <c r="G1687" t="s">
        <v>727</v>
      </c>
      <c r="H1687" s="128">
        <v>0.42909999999999998</v>
      </c>
      <c r="I1687" s="110">
        <v>0.16320000000000001</v>
      </c>
      <c r="L1687">
        <v>5000</v>
      </c>
      <c r="M1687">
        <v>500000</v>
      </c>
      <c r="N1687" s="105">
        <v>44378</v>
      </c>
      <c r="O1687" s="105">
        <v>44561</v>
      </c>
      <c r="P1687" t="s">
        <v>718</v>
      </c>
    </row>
    <row r="1688" spans="1:16" ht="15" customHeight="1" x14ac:dyDescent="0.3">
      <c r="A1688" t="str">
        <f t="shared" si="27"/>
        <v>16-0-HH 1RATE (WC)-SmartFIX – 3 Year (Level 2)</v>
      </c>
      <c r="B1688" t="s">
        <v>13</v>
      </c>
      <c r="C1688">
        <v>16</v>
      </c>
      <c r="D1688" s="100" t="s">
        <v>25</v>
      </c>
      <c r="E1688" t="s">
        <v>732</v>
      </c>
      <c r="F1688" t="s">
        <v>88</v>
      </c>
      <c r="G1688" t="s">
        <v>727</v>
      </c>
      <c r="H1688" s="128">
        <v>0.38250000000000001</v>
      </c>
      <c r="I1688" s="110">
        <v>0.1663</v>
      </c>
      <c r="L1688">
        <v>5000</v>
      </c>
      <c r="M1688">
        <v>500000</v>
      </c>
      <c r="N1688" s="105">
        <v>44378</v>
      </c>
      <c r="O1688" s="105">
        <v>44561</v>
      </c>
      <c r="P1688" t="s">
        <v>718</v>
      </c>
    </row>
    <row r="1689" spans="1:16" ht="15" customHeight="1" x14ac:dyDescent="0.3">
      <c r="A1689" t="str">
        <f t="shared" si="27"/>
        <v>17-0-HH 1RATE (WC)-SmartFIX – 3 Year (Level 2)</v>
      </c>
      <c r="B1689" t="s">
        <v>13</v>
      </c>
      <c r="C1689">
        <v>17</v>
      </c>
      <c r="D1689" s="100" t="s">
        <v>26</v>
      </c>
      <c r="E1689" t="s">
        <v>732</v>
      </c>
      <c r="F1689" t="s">
        <v>88</v>
      </c>
      <c r="G1689" t="s">
        <v>727</v>
      </c>
      <c r="H1689" s="128">
        <v>0.46820000000000001</v>
      </c>
      <c r="I1689" s="110">
        <v>0.17780000000000001</v>
      </c>
      <c r="L1689">
        <v>5000</v>
      </c>
      <c r="M1689">
        <v>500000</v>
      </c>
      <c r="N1689" s="105">
        <v>44378</v>
      </c>
      <c r="O1689" s="105">
        <v>44561</v>
      </c>
      <c r="P1689" t="s">
        <v>718</v>
      </c>
    </row>
    <row r="1690" spans="1:16" ht="15" customHeight="1" x14ac:dyDescent="0.3">
      <c r="A1690" t="str">
        <f t="shared" si="27"/>
        <v>18-0-HH 1RATE (WC)-SmartFIX – 3 Year (Level 2)</v>
      </c>
      <c r="B1690" t="s">
        <v>13</v>
      </c>
      <c r="C1690">
        <v>18</v>
      </c>
      <c r="D1690" s="100" t="s">
        <v>27</v>
      </c>
      <c r="E1690" t="s">
        <v>732</v>
      </c>
      <c r="F1690" t="s">
        <v>88</v>
      </c>
      <c r="G1690" t="s">
        <v>727</v>
      </c>
      <c r="H1690" s="128">
        <v>0.41039999999999999</v>
      </c>
      <c r="I1690" s="110">
        <v>0.16569999999999999</v>
      </c>
      <c r="L1690">
        <v>5000</v>
      </c>
      <c r="M1690">
        <v>500000</v>
      </c>
      <c r="N1690" s="105">
        <v>44378</v>
      </c>
      <c r="O1690" s="105">
        <v>44561</v>
      </c>
      <c r="P1690" t="s">
        <v>718</v>
      </c>
    </row>
    <row r="1691" spans="1:16" ht="15" customHeight="1" x14ac:dyDescent="0.3">
      <c r="A1691" t="str">
        <f t="shared" si="27"/>
        <v>19-0-HH 1RATE (WC)-SmartFIX – 3 Year (Level 2)</v>
      </c>
      <c r="B1691" t="s">
        <v>13</v>
      </c>
      <c r="C1691">
        <v>19</v>
      </c>
      <c r="D1691" s="100" t="s">
        <v>28</v>
      </c>
      <c r="E1691" t="s">
        <v>732</v>
      </c>
      <c r="F1691" t="s">
        <v>88</v>
      </c>
      <c r="G1691" t="s">
        <v>727</v>
      </c>
      <c r="H1691" s="128">
        <v>0.41199999999999998</v>
      </c>
      <c r="I1691" s="110">
        <v>0.15809999999999999</v>
      </c>
      <c r="L1691">
        <v>5000</v>
      </c>
      <c r="M1691">
        <v>500000</v>
      </c>
      <c r="N1691" s="105">
        <v>44378</v>
      </c>
      <c r="O1691" s="105">
        <v>44561</v>
      </c>
      <c r="P1691" t="s">
        <v>718</v>
      </c>
    </row>
    <row r="1692" spans="1:16" ht="15" customHeight="1" x14ac:dyDescent="0.3">
      <c r="A1692" t="str">
        <f t="shared" si="27"/>
        <v>20-0-HH 1RATE (WC)-SmartFIX – 3 Year (Level 2)</v>
      </c>
      <c r="B1692" t="s">
        <v>13</v>
      </c>
      <c r="C1692">
        <v>20</v>
      </c>
      <c r="D1692" s="100" t="s">
        <v>29</v>
      </c>
      <c r="E1692" t="s">
        <v>732</v>
      </c>
      <c r="F1692" t="s">
        <v>88</v>
      </c>
      <c r="G1692" t="s">
        <v>727</v>
      </c>
      <c r="H1692" s="128">
        <v>0.40510000000000002</v>
      </c>
      <c r="I1692" s="110">
        <v>0.15790000000000001</v>
      </c>
      <c r="L1692">
        <v>5000</v>
      </c>
      <c r="M1692">
        <v>500000</v>
      </c>
      <c r="N1692" s="105">
        <v>44378</v>
      </c>
      <c r="O1692" s="105">
        <v>44561</v>
      </c>
      <c r="P1692" t="s">
        <v>718</v>
      </c>
    </row>
    <row r="1693" spans="1:16" ht="15" customHeight="1" x14ac:dyDescent="0.3">
      <c r="A1693" t="str">
        <f t="shared" si="27"/>
        <v>21-0-HH 1RATE (WC)-SmartFIX – 3 Year (Level 2)</v>
      </c>
      <c r="B1693" t="s">
        <v>13</v>
      </c>
      <c r="C1693">
        <v>21</v>
      </c>
      <c r="D1693" s="100" t="s">
        <v>30</v>
      </c>
      <c r="E1693" t="s">
        <v>732</v>
      </c>
      <c r="F1693" t="s">
        <v>88</v>
      </c>
      <c r="G1693" t="s">
        <v>727</v>
      </c>
      <c r="H1693" s="128">
        <v>0.51429999999999998</v>
      </c>
      <c r="I1693" s="110">
        <v>0.16550000000000001</v>
      </c>
      <c r="L1693">
        <v>5000</v>
      </c>
      <c r="M1693">
        <v>500000</v>
      </c>
      <c r="N1693" s="105">
        <v>44378</v>
      </c>
      <c r="O1693" s="105">
        <v>44561</v>
      </c>
      <c r="P1693" t="s">
        <v>718</v>
      </c>
    </row>
    <row r="1694" spans="1:16" ht="15" customHeight="1" x14ac:dyDescent="0.3">
      <c r="A1694" t="str">
        <f t="shared" si="27"/>
        <v>22-0-HH 1RATE (WC)-SmartFIX – 3 Year (Level 2)</v>
      </c>
      <c r="B1694" t="s">
        <v>13</v>
      </c>
      <c r="C1694">
        <v>22</v>
      </c>
      <c r="D1694" s="100" t="s">
        <v>31</v>
      </c>
      <c r="E1694" t="s">
        <v>732</v>
      </c>
      <c r="F1694" t="s">
        <v>88</v>
      </c>
      <c r="G1694" t="s">
        <v>727</v>
      </c>
      <c r="H1694" s="128">
        <v>0.4617</v>
      </c>
      <c r="I1694" s="110">
        <v>0.1706</v>
      </c>
      <c r="L1694">
        <v>5000</v>
      </c>
      <c r="M1694">
        <v>500000</v>
      </c>
      <c r="N1694" s="105">
        <v>44378</v>
      </c>
      <c r="O1694" s="105">
        <v>44561</v>
      </c>
      <c r="P1694" t="s">
        <v>718</v>
      </c>
    </row>
    <row r="1695" spans="1:16" ht="15" customHeight="1" x14ac:dyDescent="0.3">
      <c r="A1695" t="str">
        <f t="shared" si="27"/>
        <v>23-0-HH 1RATE (WC)-SmartFIX – 3 Year (Level 2)</v>
      </c>
      <c r="B1695" t="s">
        <v>13</v>
      </c>
      <c r="C1695">
        <v>23</v>
      </c>
      <c r="D1695" s="100" t="s">
        <v>32</v>
      </c>
      <c r="E1695" t="s">
        <v>732</v>
      </c>
      <c r="F1695" t="s">
        <v>88</v>
      </c>
      <c r="G1695" t="s">
        <v>727</v>
      </c>
      <c r="H1695" s="128">
        <v>0.4219</v>
      </c>
      <c r="I1695" s="110">
        <v>0.15540000000000001</v>
      </c>
      <c r="L1695">
        <v>5000</v>
      </c>
      <c r="M1695">
        <v>500000</v>
      </c>
      <c r="N1695" s="105">
        <v>44378</v>
      </c>
      <c r="O1695" s="105">
        <v>44561</v>
      </c>
      <c r="P1695" t="s">
        <v>718</v>
      </c>
    </row>
    <row r="1696" spans="1:16" ht="15" customHeight="1" x14ac:dyDescent="0.3">
      <c r="A1696" t="str">
        <f t="shared" si="27"/>
        <v>10-0-HH 1RATE (WC)-SmartFIX – 3 Year Renewal (Level 2)</v>
      </c>
      <c r="B1696" t="s">
        <v>13</v>
      </c>
      <c r="C1696">
        <v>10</v>
      </c>
      <c r="D1696" s="100" t="s">
        <v>14</v>
      </c>
      <c r="E1696" t="s">
        <v>732</v>
      </c>
      <c r="F1696" t="s">
        <v>88</v>
      </c>
      <c r="G1696" t="s">
        <v>736</v>
      </c>
      <c r="H1696" s="128">
        <v>0.46110000000000001</v>
      </c>
      <c r="I1696" s="110">
        <v>0.16770000000000002</v>
      </c>
      <c r="L1696">
        <v>5000</v>
      </c>
      <c r="M1696">
        <v>500000</v>
      </c>
      <c r="N1696" s="105">
        <v>44378</v>
      </c>
      <c r="O1696" s="105">
        <v>44561</v>
      </c>
      <c r="P1696" t="s">
        <v>718</v>
      </c>
    </row>
    <row r="1697" spans="1:16" ht="15" customHeight="1" x14ac:dyDescent="0.3">
      <c r="A1697" t="str">
        <f t="shared" si="27"/>
        <v>11-0-HH 1RATE (WC)-SmartFIX – 3 Year Renewal (Level 2)</v>
      </c>
      <c r="B1697" t="s">
        <v>13</v>
      </c>
      <c r="C1697">
        <v>11</v>
      </c>
      <c r="D1697" s="100" t="s">
        <v>20</v>
      </c>
      <c r="E1697" t="s">
        <v>732</v>
      </c>
      <c r="F1697" t="s">
        <v>88</v>
      </c>
      <c r="G1697" t="s">
        <v>736</v>
      </c>
      <c r="H1697" s="128">
        <v>0.47270000000000001</v>
      </c>
      <c r="I1697" s="110">
        <v>0.16589999999999999</v>
      </c>
      <c r="L1697">
        <v>5000</v>
      </c>
      <c r="M1697">
        <v>500000</v>
      </c>
      <c r="N1697" s="105">
        <v>44378</v>
      </c>
      <c r="O1697" s="105">
        <v>44561</v>
      </c>
      <c r="P1697" t="s">
        <v>718</v>
      </c>
    </row>
    <row r="1698" spans="1:16" ht="15" customHeight="1" x14ac:dyDescent="0.3">
      <c r="A1698" t="str">
        <f t="shared" si="27"/>
        <v>12-0-HH 1RATE (WC)-SmartFIX – 3 Year Renewal (Level 2)</v>
      </c>
      <c r="B1698" t="s">
        <v>13</v>
      </c>
      <c r="C1698">
        <v>12</v>
      </c>
      <c r="D1698" s="100" t="s">
        <v>21</v>
      </c>
      <c r="E1698" t="s">
        <v>732</v>
      </c>
      <c r="F1698" t="s">
        <v>88</v>
      </c>
      <c r="G1698" t="s">
        <v>736</v>
      </c>
      <c r="H1698" s="128">
        <v>0.3861</v>
      </c>
      <c r="I1698" s="110">
        <v>0.16300000000000001</v>
      </c>
      <c r="L1698">
        <v>5000</v>
      </c>
      <c r="M1698">
        <v>500000</v>
      </c>
      <c r="N1698" s="105">
        <v>44378</v>
      </c>
      <c r="O1698" s="105">
        <v>44561</v>
      </c>
      <c r="P1698" t="s">
        <v>718</v>
      </c>
    </row>
    <row r="1699" spans="1:16" ht="15" customHeight="1" x14ac:dyDescent="0.3">
      <c r="A1699" t="str">
        <f t="shared" si="27"/>
        <v>13-0-HH 1RATE (WC)-SmartFIX – 3 Year Renewal (Level 2)</v>
      </c>
      <c r="B1699" t="s">
        <v>13</v>
      </c>
      <c r="C1699">
        <v>13</v>
      </c>
      <c r="D1699" s="100" t="s">
        <v>22</v>
      </c>
      <c r="E1699" t="s">
        <v>732</v>
      </c>
      <c r="F1699" t="s">
        <v>88</v>
      </c>
      <c r="G1699" t="s">
        <v>736</v>
      </c>
      <c r="H1699" s="128">
        <v>0.43309999999999998</v>
      </c>
      <c r="I1699" s="110">
        <v>0.18920000000000001</v>
      </c>
      <c r="L1699">
        <v>5000</v>
      </c>
      <c r="M1699">
        <v>500000</v>
      </c>
      <c r="N1699" s="105">
        <v>44378</v>
      </c>
      <c r="O1699" s="105">
        <v>44561</v>
      </c>
      <c r="P1699" t="s">
        <v>718</v>
      </c>
    </row>
    <row r="1700" spans="1:16" ht="15" customHeight="1" x14ac:dyDescent="0.3">
      <c r="A1700" t="str">
        <f t="shared" si="27"/>
        <v>14-0-HH 1RATE (WC)-SmartFIX – 3 Year Renewal (Level 2)</v>
      </c>
      <c r="B1700" t="s">
        <v>13</v>
      </c>
      <c r="C1700">
        <v>14</v>
      </c>
      <c r="D1700" s="100" t="s">
        <v>23</v>
      </c>
      <c r="E1700" t="s">
        <v>732</v>
      </c>
      <c r="F1700" t="s">
        <v>88</v>
      </c>
      <c r="G1700" t="s">
        <v>736</v>
      </c>
      <c r="H1700" s="128">
        <v>0.49819999999999998</v>
      </c>
      <c r="I1700" s="110">
        <v>0.1711</v>
      </c>
      <c r="L1700">
        <v>5000</v>
      </c>
      <c r="M1700">
        <v>500000</v>
      </c>
      <c r="N1700" s="105">
        <v>44378</v>
      </c>
      <c r="O1700" s="105">
        <v>44561</v>
      </c>
      <c r="P1700" t="s">
        <v>718</v>
      </c>
    </row>
    <row r="1701" spans="1:16" ht="15" customHeight="1" x14ac:dyDescent="0.3">
      <c r="A1701" t="str">
        <f t="shared" si="27"/>
        <v>15-0-HH 1RATE (WC)-SmartFIX – 3 Year Renewal (Level 2)</v>
      </c>
      <c r="B1701" t="s">
        <v>13</v>
      </c>
      <c r="C1701">
        <v>15</v>
      </c>
      <c r="D1701" s="100" t="s">
        <v>24</v>
      </c>
      <c r="E1701" t="s">
        <v>732</v>
      </c>
      <c r="F1701" t="s">
        <v>88</v>
      </c>
      <c r="G1701" t="s">
        <v>736</v>
      </c>
      <c r="H1701" s="128">
        <v>0.47199999999999998</v>
      </c>
      <c r="I1701" s="110">
        <v>0.16920000000000002</v>
      </c>
      <c r="L1701">
        <v>5000</v>
      </c>
      <c r="M1701">
        <v>500000</v>
      </c>
      <c r="N1701" s="105">
        <v>44378</v>
      </c>
      <c r="O1701" s="105">
        <v>44561</v>
      </c>
      <c r="P1701" t="s">
        <v>718</v>
      </c>
    </row>
    <row r="1702" spans="1:16" ht="15" customHeight="1" x14ac:dyDescent="0.3">
      <c r="A1702" t="str">
        <f t="shared" si="27"/>
        <v>16-0-HH 1RATE (WC)-SmartFIX – 3 Year Renewal (Level 2)</v>
      </c>
      <c r="B1702" t="s">
        <v>13</v>
      </c>
      <c r="C1702">
        <v>16</v>
      </c>
      <c r="D1702" s="100" t="s">
        <v>25</v>
      </c>
      <c r="E1702" t="s">
        <v>732</v>
      </c>
      <c r="F1702" t="s">
        <v>88</v>
      </c>
      <c r="G1702" t="s">
        <v>736</v>
      </c>
      <c r="H1702" s="128">
        <v>0.42070000000000002</v>
      </c>
      <c r="I1702" s="110">
        <v>0.17230000000000001</v>
      </c>
      <c r="L1702">
        <v>5000</v>
      </c>
      <c r="M1702">
        <v>500000</v>
      </c>
      <c r="N1702" s="105">
        <v>44378</v>
      </c>
      <c r="O1702" s="105">
        <v>44561</v>
      </c>
      <c r="P1702" t="s">
        <v>718</v>
      </c>
    </row>
    <row r="1703" spans="1:16" ht="15" customHeight="1" x14ac:dyDescent="0.3">
      <c r="A1703" t="str">
        <f t="shared" si="27"/>
        <v>17-0-HH 1RATE (WC)-SmartFIX – 3 Year Renewal (Level 2)</v>
      </c>
      <c r="B1703" t="s">
        <v>13</v>
      </c>
      <c r="C1703">
        <v>17</v>
      </c>
      <c r="D1703" s="100" t="s">
        <v>26</v>
      </c>
      <c r="E1703" t="s">
        <v>732</v>
      </c>
      <c r="F1703" t="s">
        <v>88</v>
      </c>
      <c r="G1703" t="s">
        <v>736</v>
      </c>
      <c r="H1703" s="128">
        <v>0.51500000000000001</v>
      </c>
      <c r="I1703" s="110">
        <v>0.18380000000000002</v>
      </c>
      <c r="L1703">
        <v>5000</v>
      </c>
      <c r="M1703">
        <v>500000</v>
      </c>
      <c r="N1703" s="105">
        <v>44378</v>
      </c>
      <c r="O1703" s="105">
        <v>44561</v>
      </c>
      <c r="P1703" t="s">
        <v>718</v>
      </c>
    </row>
    <row r="1704" spans="1:16" ht="15" customHeight="1" x14ac:dyDescent="0.3">
      <c r="A1704" t="str">
        <f t="shared" si="27"/>
        <v>18-0-HH 1RATE (WC)-SmartFIX – 3 Year Renewal (Level 2)</v>
      </c>
      <c r="B1704" t="s">
        <v>13</v>
      </c>
      <c r="C1704">
        <v>18</v>
      </c>
      <c r="D1704" s="100" t="s">
        <v>27</v>
      </c>
      <c r="E1704" t="s">
        <v>732</v>
      </c>
      <c r="F1704" t="s">
        <v>88</v>
      </c>
      <c r="G1704" t="s">
        <v>736</v>
      </c>
      <c r="H1704" s="128">
        <v>0.45150000000000001</v>
      </c>
      <c r="I1704" s="110">
        <v>0.17169999999999999</v>
      </c>
      <c r="L1704">
        <v>5000</v>
      </c>
      <c r="M1704">
        <v>500000</v>
      </c>
      <c r="N1704" s="105">
        <v>44378</v>
      </c>
      <c r="O1704" s="105">
        <v>44561</v>
      </c>
      <c r="P1704" t="s">
        <v>718</v>
      </c>
    </row>
    <row r="1705" spans="1:16" ht="15" customHeight="1" x14ac:dyDescent="0.3">
      <c r="A1705" t="str">
        <f t="shared" si="27"/>
        <v>19-0-HH 1RATE (WC)-SmartFIX – 3 Year Renewal (Level 2)</v>
      </c>
      <c r="B1705" t="s">
        <v>13</v>
      </c>
      <c r="C1705">
        <v>19</v>
      </c>
      <c r="D1705" s="100" t="s">
        <v>28</v>
      </c>
      <c r="E1705" t="s">
        <v>732</v>
      </c>
      <c r="F1705" t="s">
        <v>88</v>
      </c>
      <c r="G1705" t="s">
        <v>736</v>
      </c>
      <c r="H1705" s="128">
        <v>0.45319999999999999</v>
      </c>
      <c r="I1705" s="110">
        <v>0.1641</v>
      </c>
      <c r="L1705">
        <v>5000</v>
      </c>
      <c r="M1705">
        <v>500000</v>
      </c>
      <c r="N1705" s="105">
        <v>44378</v>
      </c>
      <c r="O1705" s="105">
        <v>44561</v>
      </c>
      <c r="P1705" t="s">
        <v>718</v>
      </c>
    </row>
    <row r="1706" spans="1:16" ht="15" customHeight="1" x14ac:dyDescent="0.3">
      <c r="A1706" t="str">
        <f t="shared" si="27"/>
        <v>20-0-HH 1RATE (WC)-SmartFIX – 3 Year Renewal (Level 2)</v>
      </c>
      <c r="B1706" t="s">
        <v>13</v>
      </c>
      <c r="C1706">
        <v>20</v>
      </c>
      <c r="D1706" s="100" t="s">
        <v>29</v>
      </c>
      <c r="E1706" t="s">
        <v>732</v>
      </c>
      <c r="F1706" t="s">
        <v>88</v>
      </c>
      <c r="G1706" t="s">
        <v>736</v>
      </c>
      <c r="H1706" s="128">
        <v>0.44569999999999999</v>
      </c>
      <c r="I1706" s="110">
        <v>0.16390000000000002</v>
      </c>
      <c r="L1706">
        <v>5000</v>
      </c>
      <c r="M1706">
        <v>500000</v>
      </c>
      <c r="N1706" s="105">
        <v>44378</v>
      </c>
      <c r="O1706" s="105">
        <v>44561</v>
      </c>
      <c r="P1706" t="s">
        <v>718</v>
      </c>
    </row>
    <row r="1707" spans="1:16" ht="15" customHeight="1" x14ac:dyDescent="0.3">
      <c r="A1707" t="str">
        <f t="shared" si="27"/>
        <v>21-0-HH 1RATE (WC)-SmartFIX – 3 Year Renewal (Level 2)</v>
      </c>
      <c r="B1707" t="s">
        <v>13</v>
      </c>
      <c r="C1707">
        <v>21</v>
      </c>
      <c r="D1707" s="100" t="s">
        <v>30</v>
      </c>
      <c r="E1707" t="s">
        <v>732</v>
      </c>
      <c r="F1707" t="s">
        <v>88</v>
      </c>
      <c r="G1707" t="s">
        <v>736</v>
      </c>
      <c r="H1707" s="128">
        <v>0.56569999999999998</v>
      </c>
      <c r="I1707" s="110">
        <v>0.17150000000000001</v>
      </c>
      <c r="L1707">
        <v>5000</v>
      </c>
      <c r="M1707">
        <v>500000</v>
      </c>
      <c r="N1707" s="105">
        <v>44378</v>
      </c>
      <c r="O1707" s="105">
        <v>44561</v>
      </c>
      <c r="P1707" t="s">
        <v>718</v>
      </c>
    </row>
    <row r="1708" spans="1:16" ht="15" customHeight="1" x14ac:dyDescent="0.3">
      <c r="A1708" t="str">
        <f t="shared" si="27"/>
        <v>22-0-HH 1RATE (WC)-SmartFIX – 3 Year Renewal (Level 2)</v>
      </c>
      <c r="B1708" t="s">
        <v>13</v>
      </c>
      <c r="C1708">
        <v>22</v>
      </c>
      <c r="D1708" s="100" t="s">
        <v>31</v>
      </c>
      <c r="E1708" t="s">
        <v>732</v>
      </c>
      <c r="F1708" t="s">
        <v>88</v>
      </c>
      <c r="G1708" t="s">
        <v>736</v>
      </c>
      <c r="H1708" s="128">
        <v>0.50790000000000002</v>
      </c>
      <c r="I1708" s="110">
        <v>0.17660000000000001</v>
      </c>
      <c r="L1708">
        <v>5000</v>
      </c>
      <c r="M1708">
        <v>500000</v>
      </c>
      <c r="N1708" s="105">
        <v>44378</v>
      </c>
      <c r="O1708" s="105">
        <v>44561</v>
      </c>
      <c r="P1708" t="s">
        <v>718</v>
      </c>
    </row>
    <row r="1709" spans="1:16" ht="15" customHeight="1" x14ac:dyDescent="0.3">
      <c r="A1709" t="str">
        <f t="shared" si="27"/>
        <v>23-0-HH 1RATE (WC)-SmartFIX – 3 Year Renewal (Level 2)</v>
      </c>
      <c r="B1709" t="s">
        <v>13</v>
      </c>
      <c r="C1709">
        <v>23</v>
      </c>
      <c r="D1709" s="100" t="s">
        <v>32</v>
      </c>
      <c r="E1709" t="s">
        <v>732</v>
      </c>
      <c r="F1709" t="s">
        <v>88</v>
      </c>
      <c r="G1709" t="s">
        <v>736</v>
      </c>
      <c r="H1709" s="128">
        <v>0.46410000000000001</v>
      </c>
      <c r="I1709" s="110">
        <v>0.16140000000000002</v>
      </c>
      <c r="L1709">
        <v>5000</v>
      </c>
      <c r="M1709">
        <v>500000</v>
      </c>
      <c r="N1709" s="105">
        <v>44378</v>
      </c>
      <c r="O1709" s="105">
        <v>44561</v>
      </c>
      <c r="P1709" t="s">
        <v>718</v>
      </c>
    </row>
    <row r="1710" spans="1:16" ht="15" customHeight="1" x14ac:dyDescent="0.3">
      <c r="A1710" t="str">
        <f t="shared" si="27"/>
        <v>10-0-HH 1RATE (CT)-SmartFIX – 3 Year (Level 2)</v>
      </c>
      <c r="B1710" t="s">
        <v>13</v>
      </c>
      <c r="C1710">
        <v>10</v>
      </c>
      <c r="D1710" s="100" t="s">
        <v>14</v>
      </c>
      <c r="E1710" t="s">
        <v>731</v>
      </c>
      <c r="F1710" t="s">
        <v>88</v>
      </c>
      <c r="G1710" t="s">
        <v>727</v>
      </c>
      <c r="H1710" s="128">
        <v>0.5917</v>
      </c>
      <c r="I1710" s="110">
        <v>0.16619999999999999</v>
      </c>
      <c r="L1710">
        <v>5000</v>
      </c>
      <c r="M1710">
        <v>500000</v>
      </c>
      <c r="N1710" s="105">
        <v>44378</v>
      </c>
      <c r="O1710" s="105">
        <v>44561</v>
      </c>
      <c r="P1710" t="s">
        <v>718</v>
      </c>
    </row>
    <row r="1711" spans="1:16" ht="15" customHeight="1" x14ac:dyDescent="0.3">
      <c r="A1711" t="str">
        <f t="shared" si="27"/>
        <v>11-0-HH 1RATE (CT)-SmartFIX – 3 Year (Level 2)</v>
      </c>
      <c r="B1711" t="s">
        <v>13</v>
      </c>
      <c r="C1711">
        <v>11</v>
      </c>
      <c r="D1711" s="100" t="s">
        <v>20</v>
      </c>
      <c r="E1711" t="s">
        <v>731</v>
      </c>
      <c r="F1711" t="s">
        <v>88</v>
      </c>
      <c r="G1711" t="s">
        <v>727</v>
      </c>
      <c r="H1711" s="128">
        <v>0.52580000000000005</v>
      </c>
      <c r="I1711" s="110">
        <v>0.16600000000000001</v>
      </c>
      <c r="L1711">
        <v>5000</v>
      </c>
      <c r="M1711">
        <v>500000</v>
      </c>
      <c r="N1711" s="105">
        <v>44378</v>
      </c>
      <c r="O1711" s="105">
        <v>44561</v>
      </c>
      <c r="P1711" t="s">
        <v>718</v>
      </c>
    </row>
    <row r="1712" spans="1:16" ht="15" customHeight="1" x14ac:dyDescent="0.3">
      <c r="A1712" t="str">
        <f t="shared" si="27"/>
        <v>12-0-HH 1RATE (CT)-SmartFIX – 3 Year (Level 2)</v>
      </c>
      <c r="B1712" t="s">
        <v>13</v>
      </c>
      <c r="C1712">
        <v>12</v>
      </c>
      <c r="D1712" s="100" t="s">
        <v>21</v>
      </c>
      <c r="E1712" t="s">
        <v>731</v>
      </c>
      <c r="F1712" t="s">
        <v>88</v>
      </c>
      <c r="G1712" t="s">
        <v>727</v>
      </c>
      <c r="H1712" s="128">
        <v>0.48549999999999999</v>
      </c>
      <c r="I1712" s="110">
        <v>0.16400000000000001</v>
      </c>
      <c r="L1712">
        <v>5000</v>
      </c>
      <c r="M1712">
        <v>500000</v>
      </c>
      <c r="N1712" s="105">
        <v>44378</v>
      </c>
      <c r="O1712" s="105">
        <v>44561</v>
      </c>
      <c r="P1712" t="s">
        <v>718</v>
      </c>
    </row>
    <row r="1713" spans="1:16" ht="15" customHeight="1" x14ac:dyDescent="0.3">
      <c r="A1713" t="str">
        <f t="shared" si="27"/>
        <v>13-0-HH 1RATE (CT)-SmartFIX – 3 Year (Level 2)</v>
      </c>
      <c r="B1713" t="s">
        <v>13</v>
      </c>
      <c r="C1713">
        <v>13</v>
      </c>
      <c r="D1713" s="100" t="s">
        <v>22</v>
      </c>
      <c r="E1713" t="s">
        <v>731</v>
      </c>
      <c r="F1713" t="s">
        <v>88</v>
      </c>
      <c r="G1713" t="s">
        <v>727</v>
      </c>
      <c r="H1713" s="128">
        <v>0.68140000000000001</v>
      </c>
      <c r="I1713" s="110">
        <v>0.20419999999999999</v>
      </c>
      <c r="L1713">
        <v>5000</v>
      </c>
      <c r="M1713">
        <v>500000</v>
      </c>
      <c r="N1713" s="105">
        <v>44378</v>
      </c>
      <c r="O1713" s="105">
        <v>44561</v>
      </c>
      <c r="P1713" t="s">
        <v>718</v>
      </c>
    </row>
    <row r="1714" spans="1:16" ht="15" customHeight="1" x14ac:dyDescent="0.3">
      <c r="A1714" t="str">
        <f t="shared" si="27"/>
        <v>14-0-HH 1RATE (CT)-SmartFIX – 3 Year (Level 2)</v>
      </c>
      <c r="B1714" t="s">
        <v>13</v>
      </c>
      <c r="C1714">
        <v>14</v>
      </c>
      <c r="D1714" s="100" t="s">
        <v>23</v>
      </c>
      <c r="E1714" t="s">
        <v>731</v>
      </c>
      <c r="F1714" t="s">
        <v>88</v>
      </c>
      <c r="G1714" t="s">
        <v>727</v>
      </c>
      <c r="H1714" s="128">
        <v>0.54020000000000001</v>
      </c>
      <c r="I1714" s="110">
        <v>0.1704</v>
      </c>
      <c r="L1714">
        <v>5000</v>
      </c>
      <c r="M1714">
        <v>500000</v>
      </c>
      <c r="N1714" s="105">
        <v>44378</v>
      </c>
      <c r="O1714" s="105">
        <v>44561</v>
      </c>
      <c r="P1714" t="s">
        <v>718</v>
      </c>
    </row>
    <row r="1715" spans="1:16" ht="15" customHeight="1" x14ac:dyDescent="0.3">
      <c r="A1715" t="str">
        <f t="shared" si="27"/>
        <v>15-0-HH 1RATE (CT)-SmartFIX – 3 Year (Level 2)</v>
      </c>
      <c r="B1715" t="s">
        <v>13</v>
      </c>
      <c r="C1715">
        <v>15</v>
      </c>
      <c r="D1715" s="100" t="s">
        <v>24</v>
      </c>
      <c r="E1715" t="s">
        <v>731</v>
      </c>
      <c r="F1715" t="s">
        <v>88</v>
      </c>
      <c r="G1715" t="s">
        <v>727</v>
      </c>
      <c r="H1715" s="128">
        <v>0.65339999999999998</v>
      </c>
      <c r="I1715" s="110">
        <v>0.16850000000000001</v>
      </c>
      <c r="L1715">
        <v>5000</v>
      </c>
      <c r="M1715">
        <v>500000</v>
      </c>
      <c r="N1715" s="105">
        <v>44378</v>
      </c>
      <c r="O1715" s="105">
        <v>44561</v>
      </c>
      <c r="P1715" t="s">
        <v>718</v>
      </c>
    </row>
    <row r="1716" spans="1:16" ht="15" customHeight="1" x14ac:dyDescent="0.3">
      <c r="A1716" t="str">
        <f t="shared" si="27"/>
        <v>16-0-HH 1RATE (CT)-SmartFIX – 3 Year (Level 2)</v>
      </c>
      <c r="B1716" t="s">
        <v>13</v>
      </c>
      <c r="C1716">
        <v>16</v>
      </c>
      <c r="D1716" s="100" t="s">
        <v>25</v>
      </c>
      <c r="E1716" t="s">
        <v>731</v>
      </c>
      <c r="F1716" t="s">
        <v>88</v>
      </c>
      <c r="G1716" t="s">
        <v>727</v>
      </c>
      <c r="H1716" s="128">
        <v>0.60860000000000003</v>
      </c>
      <c r="I1716" s="110">
        <v>0.17180000000000001</v>
      </c>
      <c r="L1716">
        <v>5000</v>
      </c>
      <c r="M1716">
        <v>500000</v>
      </c>
      <c r="N1716" s="105">
        <v>44378</v>
      </c>
      <c r="O1716" s="105">
        <v>44561</v>
      </c>
      <c r="P1716" t="s">
        <v>718</v>
      </c>
    </row>
    <row r="1717" spans="1:16" ht="15" customHeight="1" x14ac:dyDescent="0.3">
      <c r="A1717" t="str">
        <f t="shared" si="27"/>
        <v>17-0-HH 1RATE (CT)-SmartFIX – 3 Year (Level 2)</v>
      </c>
      <c r="B1717" t="s">
        <v>13</v>
      </c>
      <c r="C1717">
        <v>17</v>
      </c>
      <c r="D1717" s="100" t="s">
        <v>26</v>
      </c>
      <c r="E1717" t="s">
        <v>731</v>
      </c>
      <c r="F1717" t="s">
        <v>88</v>
      </c>
      <c r="G1717" t="s">
        <v>727</v>
      </c>
      <c r="H1717" s="128">
        <v>0.82389999999999997</v>
      </c>
      <c r="I1717" s="110">
        <v>0.1825</v>
      </c>
      <c r="L1717">
        <v>5000</v>
      </c>
      <c r="M1717">
        <v>500000</v>
      </c>
      <c r="N1717" s="105">
        <v>44378</v>
      </c>
      <c r="O1717" s="105">
        <v>44561</v>
      </c>
      <c r="P1717" t="s">
        <v>718</v>
      </c>
    </row>
    <row r="1718" spans="1:16" ht="15" customHeight="1" x14ac:dyDescent="0.3">
      <c r="A1718" t="str">
        <f t="shared" si="27"/>
        <v>18-0-HH 1RATE (CT)-SmartFIX – 3 Year (Level 2)</v>
      </c>
      <c r="B1718" t="s">
        <v>13</v>
      </c>
      <c r="C1718">
        <v>18</v>
      </c>
      <c r="D1718" s="100" t="s">
        <v>27</v>
      </c>
      <c r="E1718" t="s">
        <v>731</v>
      </c>
      <c r="F1718" t="s">
        <v>88</v>
      </c>
      <c r="G1718" t="s">
        <v>727</v>
      </c>
      <c r="H1718" s="128">
        <v>0.75529999999999997</v>
      </c>
      <c r="I1718" s="110">
        <v>0.16930000000000001</v>
      </c>
      <c r="L1718">
        <v>5000</v>
      </c>
      <c r="M1718">
        <v>500000</v>
      </c>
      <c r="N1718" s="105">
        <v>44378</v>
      </c>
      <c r="O1718" s="105">
        <v>44561</v>
      </c>
      <c r="P1718" t="s">
        <v>718</v>
      </c>
    </row>
    <row r="1719" spans="1:16" ht="15" customHeight="1" x14ac:dyDescent="0.3">
      <c r="A1719" t="str">
        <f t="shared" si="27"/>
        <v>19-0-HH 1RATE (CT)-SmartFIX – 3 Year (Level 2)</v>
      </c>
      <c r="B1719" t="s">
        <v>13</v>
      </c>
      <c r="C1719">
        <v>19</v>
      </c>
      <c r="D1719" s="100" t="s">
        <v>28</v>
      </c>
      <c r="E1719" t="s">
        <v>731</v>
      </c>
      <c r="F1719" t="s">
        <v>88</v>
      </c>
      <c r="G1719" t="s">
        <v>727</v>
      </c>
      <c r="H1719" s="128">
        <v>0.59350000000000003</v>
      </c>
      <c r="I1719" s="110">
        <v>0.16880000000000001</v>
      </c>
      <c r="L1719">
        <v>5000</v>
      </c>
      <c r="M1719">
        <v>500000</v>
      </c>
      <c r="N1719" s="105">
        <v>44378</v>
      </c>
      <c r="O1719" s="105">
        <v>44561</v>
      </c>
      <c r="P1719" t="s">
        <v>718</v>
      </c>
    </row>
    <row r="1720" spans="1:16" ht="15" customHeight="1" x14ac:dyDescent="0.3">
      <c r="A1720" t="str">
        <f t="shared" si="27"/>
        <v>20-0-HH 1RATE (CT)-SmartFIX – 3 Year (Level 2)</v>
      </c>
      <c r="B1720" t="s">
        <v>13</v>
      </c>
      <c r="C1720">
        <v>20</v>
      </c>
      <c r="D1720" s="100" t="s">
        <v>29</v>
      </c>
      <c r="E1720" t="s">
        <v>731</v>
      </c>
      <c r="F1720" t="s">
        <v>88</v>
      </c>
      <c r="G1720" t="s">
        <v>727</v>
      </c>
      <c r="H1720" s="128">
        <v>0.627</v>
      </c>
      <c r="I1720" s="110">
        <v>0.16889999999999999</v>
      </c>
      <c r="L1720">
        <v>5000</v>
      </c>
      <c r="M1720">
        <v>500000</v>
      </c>
      <c r="N1720" s="105">
        <v>44378</v>
      </c>
      <c r="O1720" s="105">
        <v>44561</v>
      </c>
      <c r="P1720" t="s">
        <v>718</v>
      </c>
    </row>
    <row r="1721" spans="1:16" ht="15" customHeight="1" x14ac:dyDescent="0.3">
      <c r="A1721" t="str">
        <f t="shared" si="27"/>
        <v>21-0-HH 1RATE (CT)-SmartFIX – 3 Year (Level 2)</v>
      </c>
      <c r="B1721" t="s">
        <v>13</v>
      </c>
      <c r="C1721">
        <v>21</v>
      </c>
      <c r="D1721" s="100" t="s">
        <v>30</v>
      </c>
      <c r="E1721" t="s">
        <v>731</v>
      </c>
      <c r="F1721" t="s">
        <v>88</v>
      </c>
      <c r="G1721" t="s">
        <v>727</v>
      </c>
      <c r="H1721" s="128">
        <v>0.64390000000000003</v>
      </c>
      <c r="I1721" s="110">
        <v>0.17180000000000001</v>
      </c>
      <c r="L1721">
        <v>5000</v>
      </c>
      <c r="M1721">
        <v>500000</v>
      </c>
      <c r="N1721" s="105">
        <v>44378</v>
      </c>
      <c r="O1721" s="105">
        <v>44561</v>
      </c>
      <c r="P1721" t="s">
        <v>718</v>
      </c>
    </row>
    <row r="1722" spans="1:16" ht="15" customHeight="1" x14ac:dyDescent="0.3">
      <c r="A1722" t="str">
        <f t="shared" si="27"/>
        <v>22-0-HH 1RATE (CT)-SmartFIX – 3 Year (Level 2)</v>
      </c>
      <c r="B1722" t="s">
        <v>13</v>
      </c>
      <c r="C1722">
        <v>22</v>
      </c>
      <c r="D1722" s="100" t="s">
        <v>31</v>
      </c>
      <c r="E1722" t="s">
        <v>731</v>
      </c>
      <c r="F1722" t="s">
        <v>88</v>
      </c>
      <c r="G1722" t="s">
        <v>727</v>
      </c>
      <c r="H1722" s="128">
        <v>0.56479999999999997</v>
      </c>
      <c r="I1722" s="110">
        <v>0.16850000000000001</v>
      </c>
      <c r="L1722">
        <v>5000</v>
      </c>
      <c r="M1722">
        <v>500000</v>
      </c>
      <c r="N1722" s="105">
        <v>44378</v>
      </c>
      <c r="O1722" s="105">
        <v>44561</v>
      </c>
      <c r="P1722" t="s">
        <v>718</v>
      </c>
    </row>
    <row r="1723" spans="1:16" ht="15" customHeight="1" x14ac:dyDescent="0.3">
      <c r="A1723" t="str">
        <f t="shared" si="27"/>
        <v>23-0-HH 1RATE (CT)-SmartFIX – 3 Year (Level 2)</v>
      </c>
      <c r="B1723" t="s">
        <v>13</v>
      </c>
      <c r="C1723">
        <v>23</v>
      </c>
      <c r="D1723" s="100" t="s">
        <v>32</v>
      </c>
      <c r="E1723" t="s">
        <v>731</v>
      </c>
      <c r="F1723" t="s">
        <v>88</v>
      </c>
      <c r="G1723" t="s">
        <v>727</v>
      </c>
      <c r="H1723" s="128">
        <v>0.67410000000000003</v>
      </c>
      <c r="I1723" s="110">
        <v>0.1671</v>
      </c>
      <c r="L1723">
        <v>5000</v>
      </c>
      <c r="M1723">
        <v>500000</v>
      </c>
      <c r="N1723" s="105">
        <v>44378</v>
      </c>
      <c r="O1723" s="105">
        <v>44561</v>
      </c>
      <c r="P1723" t="s">
        <v>718</v>
      </c>
    </row>
    <row r="1724" spans="1:16" ht="15" customHeight="1" x14ac:dyDescent="0.3">
      <c r="A1724" t="str">
        <f t="shared" si="27"/>
        <v>10-0-HH 1RATE (CT)-SmartFIX – 3 Year Renewal (Level 2)</v>
      </c>
      <c r="B1724" t="s">
        <v>13</v>
      </c>
      <c r="C1724">
        <v>10</v>
      </c>
      <c r="D1724" s="100" t="s">
        <v>14</v>
      </c>
      <c r="E1724" t="s">
        <v>731</v>
      </c>
      <c r="F1724" t="s">
        <v>88</v>
      </c>
      <c r="G1724" t="s">
        <v>736</v>
      </c>
      <c r="H1724" s="128">
        <v>0.65090000000000003</v>
      </c>
      <c r="I1724" s="110">
        <v>0.17019999999999999</v>
      </c>
      <c r="L1724">
        <v>5000</v>
      </c>
      <c r="M1724">
        <v>500000</v>
      </c>
      <c r="N1724" s="105">
        <v>44378</v>
      </c>
      <c r="O1724" s="105">
        <v>44561</v>
      </c>
      <c r="P1724" t="s">
        <v>718</v>
      </c>
    </row>
    <row r="1725" spans="1:16" ht="15" customHeight="1" x14ac:dyDescent="0.3">
      <c r="A1725" t="str">
        <f t="shared" si="27"/>
        <v>11-0-HH 1RATE (CT)-SmartFIX – 3 Year Renewal (Level 2)</v>
      </c>
      <c r="B1725" t="s">
        <v>13</v>
      </c>
      <c r="C1725">
        <v>11</v>
      </c>
      <c r="D1725" s="100" t="s">
        <v>20</v>
      </c>
      <c r="E1725" t="s">
        <v>731</v>
      </c>
      <c r="F1725" t="s">
        <v>88</v>
      </c>
      <c r="G1725" t="s">
        <v>736</v>
      </c>
      <c r="H1725" s="128">
        <v>0.57840000000000003</v>
      </c>
      <c r="I1725" s="110">
        <v>0.17</v>
      </c>
      <c r="L1725">
        <v>5000</v>
      </c>
      <c r="M1725">
        <v>500000</v>
      </c>
      <c r="N1725" s="105">
        <v>44378</v>
      </c>
      <c r="O1725" s="105">
        <v>44561</v>
      </c>
      <c r="P1725" t="s">
        <v>718</v>
      </c>
    </row>
    <row r="1726" spans="1:16" ht="15" customHeight="1" x14ac:dyDescent="0.3">
      <c r="A1726" t="str">
        <f t="shared" si="27"/>
        <v>12-0-HH 1RATE (CT)-SmartFIX – 3 Year Renewal (Level 2)</v>
      </c>
      <c r="B1726" t="s">
        <v>13</v>
      </c>
      <c r="C1726">
        <v>12</v>
      </c>
      <c r="D1726" s="100" t="s">
        <v>21</v>
      </c>
      <c r="E1726" t="s">
        <v>731</v>
      </c>
      <c r="F1726" t="s">
        <v>88</v>
      </c>
      <c r="G1726" t="s">
        <v>736</v>
      </c>
      <c r="H1726" s="128">
        <v>0.53400000000000003</v>
      </c>
      <c r="I1726" s="110">
        <v>0.16800000000000001</v>
      </c>
      <c r="L1726">
        <v>5000</v>
      </c>
      <c r="M1726">
        <v>500000</v>
      </c>
      <c r="N1726" s="105">
        <v>44378</v>
      </c>
      <c r="O1726" s="105">
        <v>44561</v>
      </c>
      <c r="P1726" t="s">
        <v>718</v>
      </c>
    </row>
    <row r="1727" spans="1:16" ht="15" customHeight="1" x14ac:dyDescent="0.3">
      <c r="A1727" t="str">
        <f t="shared" si="27"/>
        <v>13-0-HH 1RATE (CT)-SmartFIX – 3 Year Renewal (Level 2)</v>
      </c>
      <c r="B1727" t="s">
        <v>13</v>
      </c>
      <c r="C1727">
        <v>13</v>
      </c>
      <c r="D1727" s="100" t="s">
        <v>22</v>
      </c>
      <c r="E1727" t="s">
        <v>731</v>
      </c>
      <c r="F1727" t="s">
        <v>88</v>
      </c>
      <c r="G1727" t="s">
        <v>736</v>
      </c>
      <c r="H1727" s="128">
        <v>0.74950000000000006</v>
      </c>
      <c r="I1727" s="110">
        <v>0.2082</v>
      </c>
      <c r="L1727">
        <v>5000</v>
      </c>
      <c r="M1727">
        <v>500000</v>
      </c>
      <c r="N1727" s="105">
        <v>44378</v>
      </c>
      <c r="O1727" s="105">
        <v>44561</v>
      </c>
      <c r="P1727" t="s">
        <v>718</v>
      </c>
    </row>
    <row r="1728" spans="1:16" ht="15" customHeight="1" x14ac:dyDescent="0.3">
      <c r="A1728" t="str">
        <f t="shared" si="27"/>
        <v>14-0-HH 1RATE (CT)-SmartFIX – 3 Year Renewal (Level 2)</v>
      </c>
      <c r="B1728" t="s">
        <v>13</v>
      </c>
      <c r="C1728">
        <v>14</v>
      </c>
      <c r="D1728" s="100" t="s">
        <v>23</v>
      </c>
      <c r="E1728" t="s">
        <v>731</v>
      </c>
      <c r="F1728" t="s">
        <v>88</v>
      </c>
      <c r="G1728" t="s">
        <v>736</v>
      </c>
      <c r="H1728" s="128">
        <v>0.59430000000000005</v>
      </c>
      <c r="I1728" s="110">
        <v>0.1744</v>
      </c>
      <c r="L1728">
        <v>5000</v>
      </c>
      <c r="M1728">
        <v>500000</v>
      </c>
      <c r="N1728" s="105">
        <v>44378</v>
      </c>
      <c r="O1728" s="105">
        <v>44561</v>
      </c>
      <c r="P1728" t="s">
        <v>718</v>
      </c>
    </row>
    <row r="1729" spans="1:16" ht="15" customHeight="1" x14ac:dyDescent="0.3">
      <c r="A1729" t="str">
        <f t="shared" si="27"/>
        <v>15-0-HH 1RATE (CT)-SmartFIX – 3 Year Renewal (Level 2)</v>
      </c>
      <c r="B1729" t="s">
        <v>13</v>
      </c>
      <c r="C1729">
        <v>15</v>
      </c>
      <c r="D1729" s="100" t="s">
        <v>24</v>
      </c>
      <c r="E1729" t="s">
        <v>731</v>
      </c>
      <c r="F1729" t="s">
        <v>88</v>
      </c>
      <c r="G1729" t="s">
        <v>736</v>
      </c>
      <c r="H1729" s="128">
        <v>0.71879999999999999</v>
      </c>
      <c r="I1729" s="110">
        <v>0.17250000000000001</v>
      </c>
      <c r="L1729">
        <v>5000</v>
      </c>
      <c r="M1729">
        <v>500000</v>
      </c>
      <c r="N1729" s="105">
        <v>44378</v>
      </c>
      <c r="O1729" s="105">
        <v>44561</v>
      </c>
      <c r="P1729" t="s">
        <v>718</v>
      </c>
    </row>
    <row r="1730" spans="1:16" ht="15" customHeight="1" x14ac:dyDescent="0.3">
      <c r="A1730" t="str">
        <f t="shared" si="27"/>
        <v>16-0-HH 1RATE (CT)-SmartFIX – 3 Year Renewal (Level 2)</v>
      </c>
      <c r="B1730" t="s">
        <v>13</v>
      </c>
      <c r="C1730">
        <v>16</v>
      </c>
      <c r="D1730" s="100" t="s">
        <v>25</v>
      </c>
      <c r="E1730" t="s">
        <v>731</v>
      </c>
      <c r="F1730" t="s">
        <v>88</v>
      </c>
      <c r="G1730" t="s">
        <v>736</v>
      </c>
      <c r="H1730" s="128">
        <v>0.66949999999999998</v>
      </c>
      <c r="I1730" s="110">
        <v>0.17580000000000001</v>
      </c>
      <c r="L1730">
        <v>5000</v>
      </c>
      <c r="M1730">
        <v>500000</v>
      </c>
      <c r="N1730" s="105">
        <v>44378</v>
      </c>
      <c r="O1730" s="105">
        <v>44561</v>
      </c>
      <c r="P1730" t="s">
        <v>718</v>
      </c>
    </row>
    <row r="1731" spans="1:16" ht="15" customHeight="1" x14ac:dyDescent="0.3">
      <c r="A1731" t="str">
        <f t="shared" si="27"/>
        <v>17-0-HH 1RATE (CT)-SmartFIX – 3 Year Renewal (Level 2)</v>
      </c>
      <c r="B1731" t="s">
        <v>13</v>
      </c>
      <c r="C1731">
        <v>17</v>
      </c>
      <c r="D1731" s="100" t="s">
        <v>26</v>
      </c>
      <c r="E1731" t="s">
        <v>731</v>
      </c>
      <c r="F1731" t="s">
        <v>88</v>
      </c>
      <c r="G1731" t="s">
        <v>736</v>
      </c>
      <c r="H1731" s="128">
        <v>0.90629999999999999</v>
      </c>
      <c r="I1731" s="110">
        <v>0.1865</v>
      </c>
      <c r="L1731">
        <v>5000</v>
      </c>
      <c r="M1731">
        <v>500000</v>
      </c>
      <c r="N1731" s="105">
        <v>44378</v>
      </c>
      <c r="O1731" s="105">
        <v>44561</v>
      </c>
      <c r="P1731" t="s">
        <v>718</v>
      </c>
    </row>
    <row r="1732" spans="1:16" ht="15" customHeight="1" x14ac:dyDescent="0.3">
      <c r="A1732" t="str">
        <f t="shared" si="27"/>
        <v>18-0-HH 1RATE (CT)-SmartFIX – 3 Year Renewal (Level 2)</v>
      </c>
      <c r="B1732" t="s">
        <v>13</v>
      </c>
      <c r="C1732">
        <v>18</v>
      </c>
      <c r="D1732" s="100" t="s">
        <v>27</v>
      </c>
      <c r="E1732" t="s">
        <v>731</v>
      </c>
      <c r="F1732" t="s">
        <v>88</v>
      </c>
      <c r="G1732" t="s">
        <v>736</v>
      </c>
      <c r="H1732" s="128">
        <v>0.83079999999999998</v>
      </c>
      <c r="I1732" s="110">
        <v>0.17330000000000001</v>
      </c>
      <c r="L1732">
        <v>5000</v>
      </c>
      <c r="M1732">
        <v>500000</v>
      </c>
      <c r="N1732" s="105">
        <v>44378</v>
      </c>
      <c r="O1732" s="105">
        <v>44561</v>
      </c>
      <c r="P1732" t="s">
        <v>718</v>
      </c>
    </row>
    <row r="1733" spans="1:16" ht="15" customHeight="1" x14ac:dyDescent="0.3">
      <c r="A1733" t="str">
        <f t="shared" si="27"/>
        <v>19-0-HH 1RATE (CT)-SmartFIX – 3 Year Renewal (Level 2)</v>
      </c>
      <c r="B1733" t="s">
        <v>13</v>
      </c>
      <c r="C1733">
        <v>19</v>
      </c>
      <c r="D1733" s="100" t="s">
        <v>28</v>
      </c>
      <c r="E1733" t="s">
        <v>731</v>
      </c>
      <c r="F1733" t="s">
        <v>88</v>
      </c>
      <c r="G1733" t="s">
        <v>736</v>
      </c>
      <c r="H1733" s="128">
        <v>0.65290000000000004</v>
      </c>
      <c r="I1733" s="110">
        <v>0.17280000000000001</v>
      </c>
      <c r="L1733">
        <v>5000</v>
      </c>
      <c r="M1733">
        <v>500000</v>
      </c>
      <c r="N1733" s="105">
        <v>44378</v>
      </c>
      <c r="O1733" s="105">
        <v>44561</v>
      </c>
      <c r="P1733" t="s">
        <v>718</v>
      </c>
    </row>
    <row r="1734" spans="1:16" ht="15" customHeight="1" x14ac:dyDescent="0.3">
      <c r="A1734" t="str">
        <f t="shared" si="27"/>
        <v>20-0-HH 1RATE (CT)-SmartFIX – 3 Year Renewal (Level 2)</v>
      </c>
      <c r="B1734" t="s">
        <v>13</v>
      </c>
      <c r="C1734">
        <v>20</v>
      </c>
      <c r="D1734" s="100" t="s">
        <v>29</v>
      </c>
      <c r="E1734" t="s">
        <v>731</v>
      </c>
      <c r="F1734" t="s">
        <v>88</v>
      </c>
      <c r="G1734" t="s">
        <v>736</v>
      </c>
      <c r="H1734" s="128">
        <v>0.68969999999999998</v>
      </c>
      <c r="I1734" s="110">
        <v>0.1729</v>
      </c>
      <c r="L1734">
        <v>5000</v>
      </c>
      <c r="M1734">
        <v>500000</v>
      </c>
      <c r="N1734" s="105">
        <v>44378</v>
      </c>
      <c r="O1734" s="105">
        <v>44561</v>
      </c>
      <c r="P1734" t="s">
        <v>718</v>
      </c>
    </row>
    <row r="1735" spans="1:16" ht="15" customHeight="1" x14ac:dyDescent="0.3">
      <c r="A1735" t="str">
        <f t="shared" si="27"/>
        <v>21-0-HH 1RATE (CT)-SmartFIX – 3 Year Renewal (Level 2)</v>
      </c>
      <c r="B1735" t="s">
        <v>13</v>
      </c>
      <c r="C1735">
        <v>21</v>
      </c>
      <c r="D1735" s="100" t="s">
        <v>30</v>
      </c>
      <c r="E1735" t="s">
        <v>731</v>
      </c>
      <c r="F1735" t="s">
        <v>88</v>
      </c>
      <c r="G1735" t="s">
        <v>736</v>
      </c>
      <c r="H1735" s="128">
        <v>0.70830000000000004</v>
      </c>
      <c r="I1735" s="110">
        <v>0.17580000000000001</v>
      </c>
      <c r="L1735">
        <v>5000</v>
      </c>
      <c r="M1735">
        <v>500000</v>
      </c>
      <c r="N1735" s="105">
        <v>44378</v>
      </c>
      <c r="O1735" s="105">
        <v>44561</v>
      </c>
      <c r="P1735" t="s">
        <v>718</v>
      </c>
    </row>
    <row r="1736" spans="1:16" ht="15" customHeight="1" x14ac:dyDescent="0.3">
      <c r="A1736" t="str">
        <f t="shared" si="27"/>
        <v>22-0-HH 1RATE (CT)-SmartFIX – 3 Year Renewal (Level 2)</v>
      </c>
      <c r="B1736" t="s">
        <v>13</v>
      </c>
      <c r="C1736">
        <v>22</v>
      </c>
      <c r="D1736" s="100" t="s">
        <v>31</v>
      </c>
      <c r="E1736" t="s">
        <v>731</v>
      </c>
      <c r="F1736" t="s">
        <v>88</v>
      </c>
      <c r="G1736" t="s">
        <v>736</v>
      </c>
      <c r="H1736" s="128">
        <v>0.62129999999999996</v>
      </c>
      <c r="I1736" s="110">
        <v>0.17250000000000001</v>
      </c>
      <c r="L1736">
        <v>5000</v>
      </c>
      <c r="M1736">
        <v>500000</v>
      </c>
      <c r="N1736" s="105">
        <v>44378</v>
      </c>
      <c r="O1736" s="105">
        <v>44561</v>
      </c>
      <c r="P1736" t="s">
        <v>718</v>
      </c>
    </row>
    <row r="1737" spans="1:16" ht="15" customHeight="1" x14ac:dyDescent="0.3">
      <c r="A1737" t="str">
        <f t="shared" si="27"/>
        <v>23-0-HH 1RATE (CT)-SmartFIX – 3 Year Renewal (Level 2)</v>
      </c>
      <c r="B1737" t="s">
        <v>13</v>
      </c>
      <c r="C1737">
        <v>23</v>
      </c>
      <c r="D1737" s="100" t="s">
        <v>32</v>
      </c>
      <c r="E1737" t="s">
        <v>731</v>
      </c>
      <c r="F1737" t="s">
        <v>88</v>
      </c>
      <c r="G1737" t="s">
        <v>736</v>
      </c>
      <c r="H1737" s="128">
        <v>0.74150000000000005</v>
      </c>
      <c r="I1737" s="110">
        <v>0.1711</v>
      </c>
      <c r="L1737">
        <v>5000</v>
      </c>
      <c r="M1737">
        <v>500000</v>
      </c>
      <c r="N1737" s="105">
        <v>44378</v>
      </c>
      <c r="O1737" s="105">
        <v>44561</v>
      </c>
      <c r="P1737" t="s">
        <v>718</v>
      </c>
    </row>
    <row r="1738" spans="1:16" ht="15" customHeight="1" x14ac:dyDescent="0.3">
      <c r="A1738" t="str">
        <f t="shared" si="27"/>
        <v>10-3-U-SmartTRACKER Renewal (Level 2)</v>
      </c>
      <c r="B1738" t="s">
        <v>13</v>
      </c>
      <c r="C1738">
        <v>10</v>
      </c>
      <c r="D1738" s="100" t="s">
        <v>14</v>
      </c>
      <c r="E1738" t="s">
        <v>716</v>
      </c>
      <c r="F1738" t="s">
        <v>16</v>
      </c>
      <c r="G1738" t="s">
        <v>733</v>
      </c>
      <c r="H1738" s="128">
        <v>0.32900000000000001</v>
      </c>
      <c r="I1738" s="110">
        <v>0.1555</v>
      </c>
      <c r="L1738">
        <v>5000</v>
      </c>
      <c r="M1738">
        <v>500000</v>
      </c>
      <c r="N1738" s="105">
        <v>44378</v>
      </c>
      <c r="O1738" s="105">
        <v>44561</v>
      </c>
      <c r="P1738" t="s">
        <v>718</v>
      </c>
    </row>
    <row r="1739" spans="1:16" ht="15" customHeight="1" x14ac:dyDescent="0.3">
      <c r="A1739" t="str">
        <f t="shared" si="27"/>
        <v>10-4-E7-SmartTRACKER Renewal (Level 2)</v>
      </c>
      <c r="B1739" t="s">
        <v>13</v>
      </c>
      <c r="C1739">
        <v>10</v>
      </c>
      <c r="D1739" s="100" t="s">
        <v>14</v>
      </c>
      <c r="E1739" t="s">
        <v>17</v>
      </c>
      <c r="F1739" t="s">
        <v>18</v>
      </c>
      <c r="G1739" t="s">
        <v>733</v>
      </c>
      <c r="H1739" s="128">
        <v>0.32900000000000001</v>
      </c>
      <c r="I1739" s="110">
        <v>0.1648</v>
      </c>
      <c r="J1739" s="110">
        <v>0.11599999999999999</v>
      </c>
      <c r="L1739">
        <v>5000</v>
      </c>
      <c r="M1739">
        <v>500000</v>
      </c>
      <c r="N1739" s="105">
        <v>44378</v>
      </c>
      <c r="O1739" s="105">
        <v>44561</v>
      </c>
      <c r="P1739" t="s">
        <v>718</v>
      </c>
    </row>
    <row r="1740" spans="1:16" ht="15" customHeight="1" x14ac:dyDescent="0.3">
      <c r="A1740" t="str">
        <f t="shared" ref="A1740:A1803" si="28">IF(E1740="OP","",CONCATENATE(C1740,"-",RIGHT(F1740,1),"-",IF(OR(E1740="1 Rate MD",E1740="DAY"),"U",IF(OR(E1740="2 Rate MD",E1740="E7"),"E7",IF(OR(E1740="3 Rate MD (EW)",E1740="EW"),"EW",IF(OR(E1740="3 Rate MD",E1740="EWN"),"3RATE",IF(E1740="HH 2RATE (CT)","HH 2RATE (CT)",IF(E1740="HH 2RATE (WC)","HH 2RATE (WC)",IF(E1740="HH 1RATE (CT)","HH 1RATE (CT)",IF(E1740="HH 1RATE (WC)","HH 1RATE (WC)")))))))),"-",G1740))</f>
        <v>10-3-EW-SmartTRACKER Renewal (Level 2)</v>
      </c>
      <c r="B1740" t="s">
        <v>13</v>
      </c>
      <c r="C1740">
        <v>10</v>
      </c>
      <c r="D1740" s="100" t="s">
        <v>14</v>
      </c>
      <c r="E1740" t="s">
        <v>19</v>
      </c>
      <c r="F1740" t="s">
        <v>16</v>
      </c>
      <c r="G1740" t="s">
        <v>733</v>
      </c>
      <c r="H1740" s="128">
        <v>0.32900000000000001</v>
      </c>
      <c r="I1740" s="110">
        <v>0.16450000000000001</v>
      </c>
      <c r="K1740" s="110">
        <v>0.14200000000000002</v>
      </c>
      <c r="L1740">
        <v>5000</v>
      </c>
      <c r="M1740">
        <v>500000</v>
      </c>
      <c r="N1740" s="105">
        <v>44378</v>
      </c>
      <c r="O1740" s="105">
        <v>44561</v>
      </c>
      <c r="P1740" t="s">
        <v>718</v>
      </c>
    </row>
    <row r="1741" spans="1:16" ht="15" customHeight="1" x14ac:dyDescent="0.3">
      <c r="A1741" t="str">
        <f t="shared" si="28"/>
        <v>10-4-3RATE-SmartTRACKER Renewal (Level 2)</v>
      </c>
      <c r="B1741" t="s">
        <v>13</v>
      </c>
      <c r="C1741">
        <v>10</v>
      </c>
      <c r="D1741" s="100" t="s">
        <v>14</v>
      </c>
      <c r="E1741" t="s">
        <v>719</v>
      </c>
      <c r="F1741" t="s">
        <v>18</v>
      </c>
      <c r="G1741" t="s">
        <v>733</v>
      </c>
      <c r="H1741" s="128">
        <v>0.32900000000000001</v>
      </c>
      <c r="I1741" s="110">
        <v>0.17510000000000001</v>
      </c>
      <c r="J1741" s="110">
        <v>0.1154</v>
      </c>
      <c r="K1741" s="110">
        <v>0.158</v>
      </c>
      <c r="L1741">
        <v>5000</v>
      </c>
      <c r="M1741">
        <v>500000</v>
      </c>
      <c r="N1741" s="105">
        <v>44378</v>
      </c>
      <c r="O1741" s="105">
        <v>44561</v>
      </c>
      <c r="P1741" t="s">
        <v>718</v>
      </c>
    </row>
    <row r="1742" spans="1:16" ht="15" customHeight="1" x14ac:dyDescent="0.3">
      <c r="A1742" t="str">
        <f t="shared" si="28"/>
        <v/>
      </c>
      <c r="B1742" t="s">
        <v>13</v>
      </c>
      <c r="C1742">
        <v>10</v>
      </c>
      <c r="D1742" s="100" t="s">
        <v>14</v>
      </c>
      <c r="E1742" t="s">
        <v>720</v>
      </c>
      <c r="F1742" t="s">
        <v>18</v>
      </c>
      <c r="G1742" t="s">
        <v>733</v>
      </c>
      <c r="H1742" s="128">
        <v>0.32900000000000001</v>
      </c>
      <c r="J1742" s="110">
        <v>0.14200000000000002</v>
      </c>
      <c r="L1742">
        <v>5000</v>
      </c>
      <c r="M1742">
        <v>500000</v>
      </c>
      <c r="N1742" s="105">
        <v>44378</v>
      </c>
      <c r="O1742" s="105">
        <v>44561</v>
      </c>
      <c r="P1742" t="s">
        <v>718</v>
      </c>
    </row>
    <row r="1743" spans="1:16" ht="15" customHeight="1" x14ac:dyDescent="0.3">
      <c r="A1743" t="str">
        <f t="shared" si="28"/>
        <v>11-3-U-SmartTRACKER Renewal (Level 2)</v>
      </c>
      <c r="B1743" t="s">
        <v>13</v>
      </c>
      <c r="C1743">
        <v>11</v>
      </c>
      <c r="D1743" s="100" t="s">
        <v>20</v>
      </c>
      <c r="E1743" t="s">
        <v>716</v>
      </c>
      <c r="F1743" t="s">
        <v>16</v>
      </c>
      <c r="G1743" t="s">
        <v>733</v>
      </c>
      <c r="H1743" s="128">
        <v>0.33900000000000002</v>
      </c>
      <c r="I1743" s="110">
        <v>0.155</v>
      </c>
      <c r="L1743">
        <v>5000</v>
      </c>
      <c r="M1743">
        <v>500000</v>
      </c>
      <c r="N1743" s="105">
        <v>44378</v>
      </c>
      <c r="O1743" s="105">
        <v>44561</v>
      </c>
      <c r="P1743" t="s">
        <v>718</v>
      </c>
    </row>
    <row r="1744" spans="1:16" ht="15" customHeight="1" x14ac:dyDescent="0.3">
      <c r="A1744" t="str">
        <f t="shared" si="28"/>
        <v>11-4-E7-SmartTRACKER Renewal (Level 2)</v>
      </c>
      <c r="B1744" t="s">
        <v>13</v>
      </c>
      <c r="C1744">
        <v>11</v>
      </c>
      <c r="D1744" s="100" t="s">
        <v>20</v>
      </c>
      <c r="E1744" t="s">
        <v>17</v>
      </c>
      <c r="F1744" t="s">
        <v>18</v>
      </c>
      <c r="G1744" t="s">
        <v>733</v>
      </c>
      <c r="H1744" s="128">
        <v>0.33900000000000002</v>
      </c>
      <c r="I1744" s="110">
        <v>0.16340000000000002</v>
      </c>
      <c r="J1744" s="110">
        <v>0.1217</v>
      </c>
      <c r="L1744">
        <v>5000</v>
      </c>
      <c r="M1744">
        <v>500000</v>
      </c>
      <c r="N1744" s="105">
        <v>44378</v>
      </c>
      <c r="O1744" s="105">
        <v>44561</v>
      </c>
      <c r="P1744" t="s">
        <v>718</v>
      </c>
    </row>
    <row r="1745" spans="1:16" ht="15" customHeight="1" x14ac:dyDescent="0.3">
      <c r="A1745" t="str">
        <f t="shared" si="28"/>
        <v>11-3-EW-SmartTRACKER Renewal (Level 2)</v>
      </c>
      <c r="B1745" t="s">
        <v>13</v>
      </c>
      <c r="C1745">
        <v>11</v>
      </c>
      <c r="D1745" s="100" t="s">
        <v>20</v>
      </c>
      <c r="E1745" t="s">
        <v>19</v>
      </c>
      <c r="F1745" t="s">
        <v>16</v>
      </c>
      <c r="G1745" t="s">
        <v>733</v>
      </c>
      <c r="H1745" s="128">
        <v>0.33900000000000002</v>
      </c>
      <c r="I1745" s="110">
        <v>0.16340000000000002</v>
      </c>
      <c r="K1745" s="110">
        <v>0.1419</v>
      </c>
      <c r="L1745">
        <v>5000</v>
      </c>
      <c r="M1745">
        <v>500000</v>
      </c>
      <c r="N1745" s="105">
        <v>44378</v>
      </c>
      <c r="O1745" s="105">
        <v>44561</v>
      </c>
      <c r="P1745" t="s">
        <v>718</v>
      </c>
    </row>
    <row r="1746" spans="1:16" ht="15" customHeight="1" x14ac:dyDescent="0.3">
      <c r="A1746" t="str">
        <f t="shared" si="28"/>
        <v>11-4-3RATE-SmartTRACKER Renewal (Level 2)</v>
      </c>
      <c r="B1746" t="s">
        <v>13</v>
      </c>
      <c r="C1746">
        <v>11</v>
      </c>
      <c r="D1746" s="100" t="s">
        <v>20</v>
      </c>
      <c r="E1746" t="s">
        <v>719</v>
      </c>
      <c r="F1746" t="s">
        <v>18</v>
      </c>
      <c r="G1746" t="s">
        <v>733</v>
      </c>
      <c r="H1746" s="128">
        <v>0.33900000000000002</v>
      </c>
      <c r="I1746" s="110">
        <v>0.17070000000000002</v>
      </c>
      <c r="J1746" s="110">
        <v>0.1162</v>
      </c>
      <c r="K1746" s="110">
        <v>0.1502</v>
      </c>
      <c r="L1746">
        <v>5000</v>
      </c>
      <c r="M1746">
        <v>500000</v>
      </c>
      <c r="N1746" s="105">
        <v>44378</v>
      </c>
      <c r="O1746" s="105">
        <v>44561</v>
      </c>
      <c r="P1746" t="s">
        <v>718</v>
      </c>
    </row>
    <row r="1747" spans="1:16" ht="15" customHeight="1" x14ac:dyDescent="0.3">
      <c r="A1747" t="str">
        <f t="shared" si="28"/>
        <v/>
      </c>
      <c r="B1747" t="s">
        <v>13</v>
      </c>
      <c r="C1747">
        <v>11</v>
      </c>
      <c r="D1747" s="100" t="s">
        <v>20</v>
      </c>
      <c r="E1747" t="s">
        <v>720</v>
      </c>
      <c r="F1747" t="s">
        <v>18</v>
      </c>
      <c r="G1747" t="s">
        <v>733</v>
      </c>
      <c r="H1747" s="128">
        <v>0.33900000000000002</v>
      </c>
      <c r="J1747" s="110">
        <v>0.1419</v>
      </c>
      <c r="L1747">
        <v>5000</v>
      </c>
      <c r="M1747">
        <v>500000</v>
      </c>
      <c r="N1747" s="105">
        <v>44378</v>
      </c>
      <c r="O1747" s="105">
        <v>44561</v>
      </c>
      <c r="P1747" t="s">
        <v>718</v>
      </c>
    </row>
    <row r="1748" spans="1:16" ht="15" customHeight="1" x14ac:dyDescent="0.3">
      <c r="A1748" t="str">
        <f t="shared" si="28"/>
        <v>12-3-U-SmartTRACKER Renewal (Level 2)</v>
      </c>
      <c r="B1748" t="s">
        <v>13</v>
      </c>
      <c r="C1748">
        <v>12</v>
      </c>
      <c r="D1748" s="100" t="s">
        <v>21</v>
      </c>
      <c r="E1748" t="s">
        <v>716</v>
      </c>
      <c r="F1748" t="s">
        <v>16</v>
      </c>
      <c r="G1748" t="s">
        <v>733</v>
      </c>
      <c r="H1748" s="128">
        <v>0.25590000000000002</v>
      </c>
      <c r="I1748" s="110">
        <v>0.1479</v>
      </c>
      <c r="L1748">
        <v>5000</v>
      </c>
      <c r="M1748">
        <v>500000</v>
      </c>
      <c r="N1748" s="105">
        <v>44378</v>
      </c>
      <c r="O1748" s="105">
        <v>44561</v>
      </c>
      <c r="P1748" t="s">
        <v>718</v>
      </c>
    </row>
    <row r="1749" spans="1:16" ht="15" customHeight="1" x14ac:dyDescent="0.3">
      <c r="A1749" t="str">
        <f t="shared" si="28"/>
        <v>12-4-E7-SmartTRACKER Renewal (Level 2)</v>
      </c>
      <c r="B1749" t="s">
        <v>13</v>
      </c>
      <c r="C1749">
        <v>12</v>
      </c>
      <c r="D1749" s="100" t="s">
        <v>21</v>
      </c>
      <c r="E1749" t="s">
        <v>17</v>
      </c>
      <c r="F1749" t="s">
        <v>18</v>
      </c>
      <c r="G1749" t="s">
        <v>733</v>
      </c>
      <c r="H1749" s="128">
        <v>0.25590000000000002</v>
      </c>
      <c r="I1749" s="110">
        <v>0.158</v>
      </c>
      <c r="J1749" s="110">
        <v>0.1154</v>
      </c>
      <c r="L1749">
        <v>5000</v>
      </c>
      <c r="M1749">
        <v>500000</v>
      </c>
      <c r="N1749" s="105">
        <v>44378</v>
      </c>
      <c r="O1749" s="105">
        <v>44561</v>
      </c>
      <c r="P1749" t="s">
        <v>718</v>
      </c>
    </row>
    <row r="1750" spans="1:16" ht="15" customHeight="1" x14ac:dyDescent="0.3">
      <c r="A1750" t="str">
        <f t="shared" si="28"/>
        <v>12-3-EW-SmartTRACKER Renewal (Level 2)</v>
      </c>
      <c r="B1750" t="s">
        <v>13</v>
      </c>
      <c r="C1750">
        <v>12</v>
      </c>
      <c r="D1750" s="100" t="s">
        <v>21</v>
      </c>
      <c r="E1750" t="s">
        <v>19</v>
      </c>
      <c r="F1750" t="s">
        <v>16</v>
      </c>
      <c r="G1750" t="s">
        <v>733</v>
      </c>
      <c r="H1750" s="128">
        <v>0.25590000000000002</v>
      </c>
      <c r="I1750" s="110">
        <v>0.15620000000000001</v>
      </c>
      <c r="K1750" s="110">
        <v>0.1363</v>
      </c>
      <c r="L1750">
        <v>5000</v>
      </c>
      <c r="M1750">
        <v>500000</v>
      </c>
      <c r="N1750" s="105">
        <v>44378</v>
      </c>
      <c r="O1750" s="105">
        <v>44561</v>
      </c>
      <c r="P1750" t="s">
        <v>718</v>
      </c>
    </row>
    <row r="1751" spans="1:16" ht="15" customHeight="1" x14ac:dyDescent="0.3">
      <c r="A1751" t="str">
        <f t="shared" si="28"/>
        <v>12-4-3RATE-SmartTRACKER Renewal (Level 2)</v>
      </c>
      <c r="B1751" t="s">
        <v>13</v>
      </c>
      <c r="C1751">
        <v>12</v>
      </c>
      <c r="D1751" s="100" t="s">
        <v>21</v>
      </c>
      <c r="E1751" t="s">
        <v>719</v>
      </c>
      <c r="F1751" t="s">
        <v>18</v>
      </c>
      <c r="G1751" t="s">
        <v>733</v>
      </c>
      <c r="H1751" s="128">
        <v>0.25590000000000002</v>
      </c>
      <c r="I1751" s="110">
        <v>0.252</v>
      </c>
      <c r="J1751" s="110">
        <v>0.252</v>
      </c>
      <c r="K1751" s="110">
        <v>0.252</v>
      </c>
      <c r="L1751">
        <v>5000</v>
      </c>
      <c r="M1751">
        <v>500000</v>
      </c>
      <c r="N1751" s="105">
        <v>44378</v>
      </c>
      <c r="O1751" s="105">
        <v>44561</v>
      </c>
      <c r="P1751" t="s">
        <v>718</v>
      </c>
    </row>
    <row r="1752" spans="1:16" ht="15" customHeight="1" x14ac:dyDescent="0.3">
      <c r="A1752" t="str">
        <f t="shared" si="28"/>
        <v/>
      </c>
      <c r="B1752" t="s">
        <v>13</v>
      </c>
      <c r="C1752">
        <v>12</v>
      </c>
      <c r="D1752" s="100" t="s">
        <v>21</v>
      </c>
      <c r="E1752" t="s">
        <v>720</v>
      </c>
      <c r="F1752" t="s">
        <v>18</v>
      </c>
      <c r="G1752" t="s">
        <v>733</v>
      </c>
      <c r="H1752" s="128">
        <v>0.25590000000000002</v>
      </c>
      <c r="J1752" s="110">
        <v>0.1363</v>
      </c>
      <c r="L1752">
        <v>5000</v>
      </c>
      <c r="M1752">
        <v>500000</v>
      </c>
      <c r="N1752" s="105">
        <v>44378</v>
      </c>
      <c r="O1752" s="105">
        <v>44561</v>
      </c>
      <c r="P1752" t="s">
        <v>718</v>
      </c>
    </row>
    <row r="1753" spans="1:16" ht="15" customHeight="1" x14ac:dyDescent="0.3">
      <c r="A1753" t="str">
        <f t="shared" si="28"/>
        <v>13-3-U-SmartTRACKER Renewal (Level 2)</v>
      </c>
      <c r="B1753" t="s">
        <v>13</v>
      </c>
      <c r="C1753">
        <v>13</v>
      </c>
      <c r="D1753" s="100" t="s">
        <v>22</v>
      </c>
      <c r="E1753" t="s">
        <v>716</v>
      </c>
      <c r="F1753" t="s">
        <v>16</v>
      </c>
      <c r="G1753" t="s">
        <v>733</v>
      </c>
      <c r="H1753" s="128">
        <v>0.30109999999999998</v>
      </c>
      <c r="I1753" s="110">
        <v>0.1729</v>
      </c>
      <c r="L1753">
        <v>5000</v>
      </c>
      <c r="M1753">
        <v>500000</v>
      </c>
      <c r="N1753" s="105">
        <v>44378</v>
      </c>
      <c r="O1753" s="105">
        <v>44561</v>
      </c>
      <c r="P1753" t="s">
        <v>718</v>
      </c>
    </row>
    <row r="1754" spans="1:16" ht="15" customHeight="1" x14ac:dyDescent="0.3">
      <c r="A1754" t="str">
        <f t="shared" si="28"/>
        <v>13-4-E7-SmartTRACKER Renewal (Level 2)</v>
      </c>
      <c r="B1754" t="s">
        <v>13</v>
      </c>
      <c r="C1754">
        <v>13</v>
      </c>
      <c r="D1754" s="100" t="s">
        <v>22</v>
      </c>
      <c r="E1754" t="s">
        <v>17</v>
      </c>
      <c r="F1754" t="s">
        <v>18</v>
      </c>
      <c r="G1754" t="s">
        <v>733</v>
      </c>
      <c r="H1754" s="128">
        <v>0.30109999999999998</v>
      </c>
      <c r="I1754" s="110">
        <v>0.18210000000000001</v>
      </c>
      <c r="J1754" s="110">
        <v>0.13270000000000001</v>
      </c>
      <c r="L1754">
        <v>5000</v>
      </c>
      <c r="M1754">
        <v>500000</v>
      </c>
      <c r="N1754" s="105">
        <v>44378</v>
      </c>
      <c r="O1754" s="105">
        <v>44561</v>
      </c>
      <c r="P1754" t="s">
        <v>718</v>
      </c>
    </row>
    <row r="1755" spans="1:16" ht="15" customHeight="1" x14ac:dyDescent="0.3">
      <c r="A1755" t="str">
        <f t="shared" si="28"/>
        <v>13-3-EW-SmartTRACKER Renewal (Level 2)</v>
      </c>
      <c r="B1755" t="s">
        <v>13</v>
      </c>
      <c r="C1755">
        <v>13</v>
      </c>
      <c r="D1755" s="100" t="s">
        <v>22</v>
      </c>
      <c r="E1755" t="s">
        <v>19</v>
      </c>
      <c r="F1755" t="s">
        <v>16</v>
      </c>
      <c r="G1755" t="s">
        <v>733</v>
      </c>
      <c r="H1755" s="128">
        <v>0.30109999999999998</v>
      </c>
      <c r="I1755" s="110">
        <v>0.252</v>
      </c>
      <c r="K1755" s="110">
        <v>0.252</v>
      </c>
      <c r="L1755">
        <v>5000</v>
      </c>
      <c r="M1755">
        <v>500000</v>
      </c>
      <c r="N1755" s="105">
        <v>44378</v>
      </c>
      <c r="O1755" s="105">
        <v>44561</v>
      </c>
      <c r="P1755" t="s">
        <v>718</v>
      </c>
    </row>
    <row r="1756" spans="1:16" ht="15" customHeight="1" x14ac:dyDescent="0.3">
      <c r="A1756" t="str">
        <f t="shared" si="28"/>
        <v>13-4-3RATE-SmartTRACKER Renewal (Level 2)</v>
      </c>
      <c r="B1756" t="s">
        <v>13</v>
      </c>
      <c r="C1756">
        <v>13</v>
      </c>
      <c r="D1756" s="100" t="s">
        <v>22</v>
      </c>
      <c r="E1756" t="s">
        <v>719</v>
      </c>
      <c r="F1756" t="s">
        <v>18</v>
      </c>
      <c r="G1756" t="s">
        <v>733</v>
      </c>
      <c r="H1756" s="128">
        <v>0.30109999999999998</v>
      </c>
      <c r="I1756" s="110">
        <v>0.1867</v>
      </c>
      <c r="J1756" s="110">
        <v>0.1293</v>
      </c>
      <c r="K1756" s="110">
        <v>0.17270000000000002</v>
      </c>
      <c r="L1756">
        <v>5000</v>
      </c>
      <c r="M1756">
        <v>500000</v>
      </c>
      <c r="N1756" s="105">
        <v>44378</v>
      </c>
      <c r="O1756" s="105">
        <v>44561</v>
      </c>
      <c r="P1756" t="s">
        <v>718</v>
      </c>
    </row>
    <row r="1757" spans="1:16" ht="15" customHeight="1" x14ac:dyDescent="0.3">
      <c r="A1757" t="str">
        <f t="shared" si="28"/>
        <v/>
      </c>
      <c r="B1757" t="s">
        <v>13</v>
      </c>
      <c r="C1757">
        <v>13</v>
      </c>
      <c r="D1757" s="100" t="s">
        <v>22</v>
      </c>
      <c r="E1757" t="s">
        <v>720</v>
      </c>
      <c r="F1757" t="s">
        <v>18</v>
      </c>
      <c r="G1757" t="s">
        <v>733</v>
      </c>
      <c r="H1757" s="128">
        <v>0.30109999999999998</v>
      </c>
      <c r="J1757" s="110">
        <v>0.13270000000000001</v>
      </c>
      <c r="L1757">
        <v>5000</v>
      </c>
      <c r="M1757">
        <v>500000</v>
      </c>
      <c r="N1757" s="105">
        <v>44378</v>
      </c>
      <c r="O1757" s="105">
        <v>44561</v>
      </c>
      <c r="P1757" t="s">
        <v>718</v>
      </c>
    </row>
    <row r="1758" spans="1:16" ht="15" customHeight="1" x14ac:dyDescent="0.3">
      <c r="A1758" t="str">
        <f t="shared" si="28"/>
        <v>14-3-U-SmartTRACKER Renewal (Level 2)</v>
      </c>
      <c r="B1758" t="s">
        <v>13</v>
      </c>
      <c r="C1758">
        <v>14</v>
      </c>
      <c r="D1758" s="100" t="s">
        <v>23</v>
      </c>
      <c r="E1758" t="s">
        <v>716</v>
      </c>
      <c r="F1758" t="s">
        <v>16</v>
      </c>
      <c r="G1758" t="s">
        <v>733</v>
      </c>
      <c r="H1758" s="128">
        <v>0.37159999999999999</v>
      </c>
      <c r="I1758" s="110">
        <v>0.158</v>
      </c>
      <c r="L1758">
        <v>5000</v>
      </c>
      <c r="M1758">
        <v>500000</v>
      </c>
      <c r="N1758" s="105">
        <v>44378</v>
      </c>
      <c r="O1758" s="105">
        <v>44561</v>
      </c>
      <c r="P1758" t="s">
        <v>718</v>
      </c>
    </row>
    <row r="1759" spans="1:16" ht="15" customHeight="1" x14ac:dyDescent="0.3">
      <c r="A1759" t="str">
        <f t="shared" si="28"/>
        <v>14-4-E7-SmartTRACKER Renewal (Level 2)</v>
      </c>
      <c r="B1759" t="s">
        <v>13</v>
      </c>
      <c r="C1759">
        <v>14</v>
      </c>
      <c r="D1759" s="100" t="s">
        <v>23</v>
      </c>
      <c r="E1759" t="s">
        <v>17</v>
      </c>
      <c r="F1759" t="s">
        <v>18</v>
      </c>
      <c r="G1759" t="s">
        <v>733</v>
      </c>
      <c r="H1759" s="128">
        <v>0.37159999999999999</v>
      </c>
      <c r="I1759" s="110">
        <v>0.1653</v>
      </c>
      <c r="J1759" s="110">
        <v>0.12209999999999999</v>
      </c>
      <c r="L1759">
        <v>5000</v>
      </c>
      <c r="M1759">
        <v>500000</v>
      </c>
      <c r="N1759" s="105">
        <v>44378</v>
      </c>
      <c r="O1759" s="105">
        <v>44561</v>
      </c>
      <c r="P1759" t="s">
        <v>718</v>
      </c>
    </row>
    <row r="1760" spans="1:16" ht="15" customHeight="1" x14ac:dyDescent="0.3">
      <c r="A1760" t="str">
        <f t="shared" si="28"/>
        <v>14-3-EW-SmartTRACKER Renewal (Level 2)</v>
      </c>
      <c r="B1760" t="s">
        <v>13</v>
      </c>
      <c r="C1760">
        <v>14</v>
      </c>
      <c r="D1760" s="100" t="s">
        <v>23</v>
      </c>
      <c r="E1760" t="s">
        <v>19</v>
      </c>
      <c r="F1760" t="s">
        <v>16</v>
      </c>
      <c r="G1760" t="s">
        <v>733</v>
      </c>
      <c r="H1760" s="128">
        <v>0.37159999999999999</v>
      </c>
      <c r="I1760" s="110">
        <v>0.1653</v>
      </c>
      <c r="K1760" s="110">
        <v>0.1472</v>
      </c>
      <c r="L1760">
        <v>5000</v>
      </c>
      <c r="M1760">
        <v>500000</v>
      </c>
      <c r="N1760" s="105">
        <v>44378</v>
      </c>
      <c r="O1760" s="105">
        <v>44561</v>
      </c>
      <c r="P1760" t="s">
        <v>718</v>
      </c>
    </row>
    <row r="1761" spans="1:16" ht="15" customHeight="1" x14ac:dyDescent="0.3">
      <c r="A1761" t="str">
        <f t="shared" si="28"/>
        <v>14-4-3RATE-SmartTRACKER Renewal (Level 2)</v>
      </c>
      <c r="B1761" t="s">
        <v>13</v>
      </c>
      <c r="C1761">
        <v>14</v>
      </c>
      <c r="D1761" s="100" t="s">
        <v>23</v>
      </c>
      <c r="E1761" t="s">
        <v>719</v>
      </c>
      <c r="F1761" t="s">
        <v>18</v>
      </c>
      <c r="G1761" t="s">
        <v>733</v>
      </c>
      <c r="H1761" s="128">
        <v>0.37159999999999999</v>
      </c>
      <c r="I1761" s="110">
        <v>0.252</v>
      </c>
      <c r="J1761" s="110">
        <v>0.252</v>
      </c>
      <c r="K1761" s="110">
        <v>0.252</v>
      </c>
      <c r="L1761">
        <v>5000</v>
      </c>
      <c r="M1761">
        <v>500000</v>
      </c>
      <c r="N1761" s="105">
        <v>44378</v>
      </c>
      <c r="O1761" s="105">
        <v>44561</v>
      </c>
      <c r="P1761" t="s">
        <v>718</v>
      </c>
    </row>
    <row r="1762" spans="1:16" ht="15" customHeight="1" x14ac:dyDescent="0.3">
      <c r="A1762" t="str">
        <f t="shared" si="28"/>
        <v/>
      </c>
      <c r="B1762" t="s">
        <v>13</v>
      </c>
      <c r="C1762">
        <v>14</v>
      </c>
      <c r="D1762" s="100" t="s">
        <v>23</v>
      </c>
      <c r="E1762" t="s">
        <v>720</v>
      </c>
      <c r="F1762" t="s">
        <v>18</v>
      </c>
      <c r="G1762" t="s">
        <v>733</v>
      </c>
      <c r="H1762" s="128">
        <v>0.37159999999999999</v>
      </c>
      <c r="J1762" s="110">
        <v>0.1472</v>
      </c>
      <c r="L1762">
        <v>5000</v>
      </c>
      <c r="M1762">
        <v>500000</v>
      </c>
      <c r="N1762" s="105">
        <v>44378</v>
      </c>
      <c r="O1762" s="105">
        <v>44561</v>
      </c>
      <c r="P1762" t="s">
        <v>718</v>
      </c>
    </row>
    <row r="1763" spans="1:16" ht="15" customHeight="1" x14ac:dyDescent="0.3">
      <c r="A1763" t="str">
        <f t="shared" si="28"/>
        <v>15-3-U-SmartTRACKER Renewal (Level 2)</v>
      </c>
      <c r="B1763" t="s">
        <v>13</v>
      </c>
      <c r="C1763">
        <v>15</v>
      </c>
      <c r="D1763" s="100" t="s">
        <v>24</v>
      </c>
      <c r="E1763" t="s">
        <v>716</v>
      </c>
      <c r="F1763" t="s">
        <v>16</v>
      </c>
      <c r="G1763" t="s">
        <v>733</v>
      </c>
      <c r="H1763" s="128">
        <v>0.34489999999999998</v>
      </c>
      <c r="I1763" s="110">
        <v>0.15690000000000001</v>
      </c>
      <c r="L1763">
        <v>5000</v>
      </c>
      <c r="M1763">
        <v>500000</v>
      </c>
      <c r="N1763" s="105">
        <v>44378</v>
      </c>
      <c r="O1763" s="105">
        <v>44561</v>
      </c>
      <c r="P1763" t="s">
        <v>718</v>
      </c>
    </row>
    <row r="1764" spans="1:16" ht="15" customHeight="1" x14ac:dyDescent="0.3">
      <c r="A1764" t="str">
        <f t="shared" si="28"/>
        <v>15-4-E7-SmartTRACKER Renewal (Level 2)</v>
      </c>
      <c r="B1764" t="s">
        <v>13</v>
      </c>
      <c r="C1764">
        <v>15</v>
      </c>
      <c r="D1764" s="100" t="s">
        <v>24</v>
      </c>
      <c r="E1764" t="s">
        <v>17</v>
      </c>
      <c r="F1764" t="s">
        <v>18</v>
      </c>
      <c r="G1764" t="s">
        <v>733</v>
      </c>
      <c r="H1764" s="128">
        <v>0.34489999999999998</v>
      </c>
      <c r="I1764" s="110">
        <v>0.16270000000000001</v>
      </c>
      <c r="J1764" s="110">
        <v>0.12160000000000001</v>
      </c>
      <c r="L1764">
        <v>5000</v>
      </c>
      <c r="M1764">
        <v>500000</v>
      </c>
      <c r="N1764" s="105">
        <v>44378</v>
      </c>
      <c r="O1764" s="105">
        <v>44561</v>
      </c>
      <c r="P1764" t="s">
        <v>718</v>
      </c>
    </row>
    <row r="1765" spans="1:16" ht="15" customHeight="1" x14ac:dyDescent="0.3">
      <c r="A1765" t="str">
        <f t="shared" si="28"/>
        <v>15-3-EW-SmartTRACKER Renewal (Level 2)</v>
      </c>
      <c r="B1765" t="s">
        <v>13</v>
      </c>
      <c r="C1765">
        <v>15</v>
      </c>
      <c r="D1765" s="100" t="s">
        <v>24</v>
      </c>
      <c r="E1765" t="s">
        <v>19</v>
      </c>
      <c r="F1765" t="s">
        <v>16</v>
      </c>
      <c r="G1765" t="s">
        <v>733</v>
      </c>
      <c r="H1765" s="128">
        <v>0.34489999999999998</v>
      </c>
      <c r="I1765" s="110">
        <v>0.16700000000000001</v>
      </c>
      <c r="K1765" s="110">
        <v>0.14560000000000001</v>
      </c>
      <c r="L1765">
        <v>5000</v>
      </c>
      <c r="M1765">
        <v>500000</v>
      </c>
      <c r="N1765" s="105">
        <v>44378</v>
      </c>
      <c r="O1765" s="105">
        <v>44561</v>
      </c>
      <c r="P1765" t="s">
        <v>718</v>
      </c>
    </row>
    <row r="1766" spans="1:16" ht="15" customHeight="1" x14ac:dyDescent="0.3">
      <c r="A1766" t="str">
        <f t="shared" si="28"/>
        <v>15-4-3RATE-SmartTRACKER Renewal (Level 2)</v>
      </c>
      <c r="B1766" t="s">
        <v>13</v>
      </c>
      <c r="C1766">
        <v>15</v>
      </c>
      <c r="D1766" s="100" t="s">
        <v>24</v>
      </c>
      <c r="E1766" t="s">
        <v>719</v>
      </c>
      <c r="F1766" t="s">
        <v>18</v>
      </c>
      <c r="G1766" t="s">
        <v>733</v>
      </c>
      <c r="H1766" s="128">
        <v>0.34489999999999998</v>
      </c>
      <c r="I1766" s="110">
        <v>0.252</v>
      </c>
      <c r="J1766" s="110">
        <v>0.252</v>
      </c>
      <c r="K1766" s="110">
        <v>0.252</v>
      </c>
      <c r="L1766">
        <v>5000</v>
      </c>
      <c r="M1766">
        <v>500000</v>
      </c>
      <c r="N1766" s="105">
        <v>44378</v>
      </c>
      <c r="O1766" s="105">
        <v>44561</v>
      </c>
      <c r="P1766" t="s">
        <v>718</v>
      </c>
    </row>
    <row r="1767" spans="1:16" ht="15" customHeight="1" x14ac:dyDescent="0.3">
      <c r="A1767" t="str">
        <f t="shared" si="28"/>
        <v/>
      </c>
      <c r="B1767" t="s">
        <v>13</v>
      </c>
      <c r="C1767">
        <v>15</v>
      </c>
      <c r="D1767" s="100" t="s">
        <v>24</v>
      </c>
      <c r="E1767" t="s">
        <v>720</v>
      </c>
      <c r="F1767" t="s">
        <v>18</v>
      </c>
      <c r="G1767" t="s">
        <v>733</v>
      </c>
      <c r="H1767" s="128">
        <v>0.34489999999999998</v>
      </c>
      <c r="J1767" s="110">
        <v>0.14560000000000001</v>
      </c>
      <c r="L1767">
        <v>5000</v>
      </c>
      <c r="M1767">
        <v>500000</v>
      </c>
      <c r="N1767" s="105">
        <v>44378</v>
      </c>
      <c r="O1767" s="105">
        <v>44561</v>
      </c>
      <c r="P1767" t="s">
        <v>718</v>
      </c>
    </row>
    <row r="1768" spans="1:16" ht="15" customHeight="1" x14ac:dyDescent="0.3">
      <c r="A1768" t="str">
        <f t="shared" si="28"/>
        <v>16-3-U-SmartTRACKER Renewal (Level 2)</v>
      </c>
      <c r="B1768" t="s">
        <v>13</v>
      </c>
      <c r="C1768">
        <v>16</v>
      </c>
      <c r="D1768" s="100" t="s">
        <v>25</v>
      </c>
      <c r="E1768" t="s">
        <v>716</v>
      </c>
      <c r="F1768" t="s">
        <v>16</v>
      </c>
      <c r="G1768" t="s">
        <v>733</v>
      </c>
      <c r="H1768" s="128">
        <v>0.29189999999999999</v>
      </c>
      <c r="I1768" s="110">
        <v>0.1593</v>
      </c>
      <c r="L1768">
        <v>5000</v>
      </c>
      <c r="M1768">
        <v>500000</v>
      </c>
      <c r="N1768" s="105">
        <v>44378</v>
      </c>
      <c r="O1768" s="105">
        <v>44561</v>
      </c>
      <c r="P1768" t="s">
        <v>718</v>
      </c>
    </row>
    <row r="1769" spans="1:16" ht="15" customHeight="1" x14ac:dyDescent="0.3">
      <c r="A1769" t="str">
        <f t="shared" si="28"/>
        <v>16-4-E7-SmartTRACKER Renewal (Level 2)</v>
      </c>
      <c r="B1769" t="s">
        <v>13</v>
      </c>
      <c r="C1769">
        <v>16</v>
      </c>
      <c r="D1769" s="100" t="s">
        <v>25</v>
      </c>
      <c r="E1769" t="s">
        <v>17</v>
      </c>
      <c r="F1769" t="s">
        <v>18</v>
      </c>
      <c r="G1769" t="s">
        <v>733</v>
      </c>
      <c r="H1769" s="128">
        <v>0.29189999999999999</v>
      </c>
      <c r="I1769" s="110">
        <v>0.16620000000000001</v>
      </c>
      <c r="J1769" s="110">
        <v>0.123</v>
      </c>
      <c r="L1769">
        <v>5000</v>
      </c>
      <c r="M1769">
        <v>500000</v>
      </c>
      <c r="N1769" s="105">
        <v>44378</v>
      </c>
      <c r="O1769" s="105">
        <v>44561</v>
      </c>
      <c r="P1769" t="s">
        <v>718</v>
      </c>
    </row>
    <row r="1770" spans="1:16" ht="15" customHeight="1" x14ac:dyDescent="0.3">
      <c r="A1770" t="str">
        <f t="shared" si="28"/>
        <v>16-3-EW-SmartTRACKER Renewal (Level 2)</v>
      </c>
      <c r="B1770" t="s">
        <v>13</v>
      </c>
      <c r="C1770">
        <v>16</v>
      </c>
      <c r="D1770" s="100" t="s">
        <v>25</v>
      </c>
      <c r="E1770" t="s">
        <v>19</v>
      </c>
      <c r="F1770" t="s">
        <v>16</v>
      </c>
      <c r="G1770" t="s">
        <v>733</v>
      </c>
      <c r="H1770" s="128">
        <v>0.29189999999999999</v>
      </c>
      <c r="I1770" s="110">
        <v>0.16930000000000001</v>
      </c>
      <c r="K1770" s="110">
        <v>0.14730000000000001</v>
      </c>
      <c r="L1770">
        <v>5000</v>
      </c>
      <c r="M1770">
        <v>500000</v>
      </c>
      <c r="N1770" s="105">
        <v>44378</v>
      </c>
      <c r="O1770" s="105">
        <v>44561</v>
      </c>
      <c r="P1770" t="s">
        <v>718</v>
      </c>
    </row>
    <row r="1771" spans="1:16" ht="15" customHeight="1" x14ac:dyDescent="0.3">
      <c r="A1771" t="str">
        <f t="shared" si="28"/>
        <v>16-4-3RATE-SmartTRACKER Renewal (Level 2)</v>
      </c>
      <c r="B1771" t="s">
        <v>13</v>
      </c>
      <c r="C1771">
        <v>16</v>
      </c>
      <c r="D1771" s="100" t="s">
        <v>25</v>
      </c>
      <c r="E1771" t="s">
        <v>719</v>
      </c>
      <c r="F1771" t="s">
        <v>18</v>
      </c>
      <c r="G1771" t="s">
        <v>733</v>
      </c>
      <c r="H1771" s="128">
        <v>0.29189999999999999</v>
      </c>
      <c r="I1771" s="110">
        <v>0.1749</v>
      </c>
      <c r="J1771" s="110">
        <v>0.11990000000000001</v>
      </c>
      <c r="K1771" s="110">
        <v>0.14960000000000001</v>
      </c>
      <c r="L1771">
        <v>5000</v>
      </c>
      <c r="M1771">
        <v>500000</v>
      </c>
      <c r="N1771" s="105">
        <v>44378</v>
      </c>
      <c r="O1771" s="105">
        <v>44561</v>
      </c>
      <c r="P1771" t="s">
        <v>718</v>
      </c>
    </row>
    <row r="1772" spans="1:16" ht="15" customHeight="1" x14ac:dyDescent="0.3">
      <c r="A1772" t="str">
        <f t="shared" si="28"/>
        <v/>
      </c>
      <c r="B1772" t="s">
        <v>13</v>
      </c>
      <c r="C1772">
        <v>16</v>
      </c>
      <c r="D1772" s="100" t="s">
        <v>25</v>
      </c>
      <c r="E1772" t="s">
        <v>720</v>
      </c>
      <c r="F1772" t="s">
        <v>18</v>
      </c>
      <c r="G1772" t="s">
        <v>733</v>
      </c>
      <c r="H1772" s="128">
        <v>0.29189999999999999</v>
      </c>
      <c r="J1772" s="110">
        <v>0.14730000000000001</v>
      </c>
      <c r="L1772">
        <v>5000</v>
      </c>
      <c r="M1772">
        <v>500000</v>
      </c>
      <c r="N1772" s="105">
        <v>44378</v>
      </c>
      <c r="O1772" s="105">
        <v>44561</v>
      </c>
      <c r="P1772" t="s">
        <v>718</v>
      </c>
    </row>
    <row r="1773" spans="1:16" ht="15" customHeight="1" x14ac:dyDescent="0.3">
      <c r="A1773" t="str">
        <f t="shared" si="28"/>
        <v>17-3-U-SmartTRACKER Renewal (Level 2)</v>
      </c>
      <c r="B1773" t="s">
        <v>13</v>
      </c>
      <c r="C1773">
        <v>17</v>
      </c>
      <c r="D1773" s="100" t="s">
        <v>26</v>
      </c>
      <c r="E1773" t="s">
        <v>716</v>
      </c>
      <c r="F1773" t="s">
        <v>16</v>
      </c>
      <c r="G1773" t="s">
        <v>733</v>
      </c>
      <c r="H1773" s="128">
        <v>0.3846</v>
      </c>
      <c r="I1773" s="110">
        <v>0.16200000000000001</v>
      </c>
      <c r="L1773">
        <v>5000</v>
      </c>
      <c r="M1773">
        <v>500000</v>
      </c>
      <c r="N1773" s="105">
        <v>44378</v>
      </c>
      <c r="O1773" s="105">
        <v>44561</v>
      </c>
      <c r="P1773" t="s">
        <v>718</v>
      </c>
    </row>
    <row r="1774" spans="1:16" ht="15" customHeight="1" x14ac:dyDescent="0.3">
      <c r="A1774" t="str">
        <f t="shared" si="28"/>
        <v>17-4-E7-SmartTRACKER Renewal (Level 2)</v>
      </c>
      <c r="B1774" t="s">
        <v>13</v>
      </c>
      <c r="C1774">
        <v>17</v>
      </c>
      <c r="D1774" s="100" t="s">
        <v>26</v>
      </c>
      <c r="E1774" t="s">
        <v>17</v>
      </c>
      <c r="F1774" t="s">
        <v>18</v>
      </c>
      <c r="G1774" t="s">
        <v>733</v>
      </c>
      <c r="H1774" s="128">
        <v>0.3846</v>
      </c>
      <c r="I1774" s="110">
        <v>0.17760000000000001</v>
      </c>
      <c r="J1774" s="110">
        <v>0.1326</v>
      </c>
      <c r="L1774">
        <v>5000</v>
      </c>
      <c r="M1774">
        <v>500000</v>
      </c>
      <c r="N1774" s="105">
        <v>44378</v>
      </c>
      <c r="O1774" s="105">
        <v>44561</v>
      </c>
      <c r="P1774" t="s">
        <v>718</v>
      </c>
    </row>
    <row r="1775" spans="1:16" ht="15" customHeight="1" x14ac:dyDescent="0.3">
      <c r="A1775" t="str">
        <f t="shared" si="28"/>
        <v>17-3-EW-SmartTRACKER Renewal (Level 2)</v>
      </c>
      <c r="B1775" t="s">
        <v>13</v>
      </c>
      <c r="C1775">
        <v>17</v>
      </c>
      <c r="D1775" s="100" t="s">
        <v>26</v>
      </c>
      <c r="E1775" t="s">
        <v>19</v>
      </c>
      <c r="F1775" t="s">
        <v>16</v>
      </c>
      <c r="G1775" t="s">
        <v>733</v>
      </c>
      <c r="H1775" s="128">
        <v>0.3846</v>
      </c>
      <c r="I1775" s="110">
        <v>0.16950000000000001</v>
      </c>
      <c r="K1775" s="110">
        <v>0.1522</v>
      </c>
      <c r="L1775">
        <v>5000</v>
      </c>
      <c r="M1775">
        <v>500000</v>
      </c>
      <c r="N1775" s="105">
        <v>44378</v>
      </c>
      <c r="O1775" s="105">
        <v>44561</v>
      </c>
      <c r="P1775" t="s">
        <v>718</v>
      </c>
    </row>
    <row r="1776" spans="1:16" ht="15" customHeight="1" x14ac:dyDescent="0.3">
      <c r="A1776" t="str">
        <f t="shared" si="28"/>
        <v>17-4-3RATE-SmartTRACKER Renewal (Level 2)</v>
      </c>
      <c r="B1776" t="s">
        <v>13</v>
      </c>
      <c r="C1776">
        <v>17</v>
      </c>
      <c r="D1776" s="100" t="s">
        <v>26</v>
      </c>
      <c r="E1776" t="s">
        <v>719</v>
      </c>
      <c r="F1776" t="s">
        <v>18</v>
      </c>
      <c r="G1776" t="s">
        <v>733</v>
      </c>
      <c r="H1776" s="128">
        <v>0.3846</v>
      </c>
      <c r="I1776" s="110">
        <v>0.252</v>
      </c>
      <c r="J1776" s="110">
        <v>0.252</v>
      </c>
      <c r="K1776" s="110">
        <v>0.252</v>
      </c>
      <c r="L1776">
        <v>5000</v>
      </c>
      <c r="M1776">
        <v>500000</v>
      </c>
      <c r="N1776" s="105">
        <v>44378</v>
      </c>
      <c r="O1776" s="105">
        <v>44561</v>
      </c>
      <c r="P1776" t="s">
        <v>718</v>
      </c>
    </row>
    <row r="1777" spans="1:16" ht="15" customHeight="1" x14ac:dyDescent="0.3">
      <c r="A1777" t="str">
        <f t="shared" si="28"/>
        <v/>
      </c>
      <c r="B1777" t="s">
        <v>13</v>
      </c>
      <c r="C1777">
        <v>17</v>
      </c>
      <c r="D1777" s="100" t="s">
        <v>26</v>
      </c>
      <c r="E1777" t="s">
        <v>720</v>
      </c>
      <c r="F1777" t="s">
        <v>18</v>
      </c>
      <c r="G1777" t="s">
        <v>733</v>
      </c>
      <c r="H1777" s="128">
        <v>0.3846</v>
      </c>
      <c r="J1777" s="110">
        <v>0.1522</v>
      </c>
      <c r="L1777">
        <v>5000</v>
      </c>
      <c r="M1777">
        <v>500000</v>
      </c>
      <c r="N1777" s="105">
        <v>44378</v>
      </c>
      <c r="O1777" s="105">
        <v>44561</v>
      </c>
      <c r="P1777" t="s">
        <v>718</v>
      </c>
    </row>
    <row r="1778" spans="1:16" ht="15" customHeight="1" x14ac:dyDescent="0.3">
      <c r="A1778" t="str">
        <f t="shared" si="28"/>
        <v>18-3-U-SmartTRACKER Renewal (Level 2)</v>
      </c>
      <c r="B1778" t="s">
        <v>13</v>
      </c>
      <c r="C1778">
        <v>18</v>
      </c>
      <c r="D1778" s="100" t="s">
        <v>27</v>
      </c>
      <c r="E1778" t="s">
        <v>716</v>
      </c>
      <c r="F1778" t="s">
        <v>16</v>
      </c>
      <c r="G1778" t="s">
        <v>733</v>
      </c>
      <c r="H1778" s="128">
        <v>0.33550000000000002</v>
      </c>
      <c r="I1778" s="110">
        <v>0.1573</v>
      </c>
      <c r="L1778">
        <v>5000</v>
      </c>
      <c r="M1778">
        <v>500000</v>
      </c>
      <c r="N1778" s="105">
        <v>44378</v>
      </c>
      <c r="O1778" s="105">
        <v>44561</v>
      </c>
      <c r="P1778" t="s">
        <v>718</v>
      </c>
    </row>
    <row r="1779" spans="1:16" ht="15" customHeight="1" x14ac:dyDescent="0.3">
      <c r="A1779" t="str">
        <f t="shared" si="28"/>
        <v>18-4-E7-SmartTRACKER Renewal (Level 2)</v>
      </c>
      <c r="B1779" t="s">
        <v>13</v>
      </c>
      <c r="C1779">
        <v>18</v>
      </c>
      <c r="D1779" s="100" t="s">
        <v>27</v>
      </c>
      <c r="E1779" t="s">
        <v>17</v>
      </c>
      <c r="F1779" t="s">
        <v>18</v>
      </c>
      <c r="G1779" t="s">
        <v>733</v>
      </c>
      <c r="H1779" s="128">
        <v>0.33550000000000002</v>
      </c>
      <c r="I1779" s="110">
        <v>0.17020000000000002</v>
      </c>
      <c r="J1779" s="110">
        <v>0.12770000000000001</v>
      </c>
      <c r="L1779">
        <v>5000</v>
      </c>
      <c r="M1779">
        <v>500000</v>
      </c>
      <c r="N1779" s="105">
        <v>44378</v>
      </c>
      <c r="O1779" s="105">
        <v>44561</v>
      </c>
      <c r="P1779" t="s">
        <v>718</v>
      </c>
    </row>
    <row r="1780" spans="1:16" ht="15" customHeight="1" x14ac:dyDescent="0.3">
      <c r="A1780" t="str">
        <f t="shared" si="28"/>
        <v>18-3-EW-SmartTRACKER Renewal (Level 2)</v>
      </c>
      <c r="B1780" t="s">
        <v>13</v>
      </c>
      <c r="C1780">
        <v>18</v>
      </c>
      <c r="D1780" s="100" t="s">
        <v>27</v>
      </c>
      <c r="E1780" t="s">
        <v>19</v>
      </c>
      <c r="F1780" t="s">
        <v>16</v>
      </c>
      <c r="G1780" t="s">
        <v>733</v>
      </c>
      <c r="H1780" s="128">
        <v>0.33550000000000002</v>
      </c>
      <c r="I1780" s="110">
        <v>0.16490000000000002</v>
      </c>
      <c r="K1780" s="110">
        <v>0.14630000000000001</v>
      </c>
      <c r="L1780">
        <v>5000</v>
      </c>
      <c r="M1780">
        <v>500000</v>
      </c>
      <c r="N1780" s="105">
        <v>44378</v>
      </c>
      <c r="O1780" s="105">
        <v>44561</v>
      </c>
      <c r="P1780" t="s">
        <v>718</v>
      </c>
    </row>
    <row r="1781" spans="1:16" ht="15" customHeight="1" x14ac:dyDescent="0.3">
      <c r="A1781" t="str">
        <f t="shared" si="28"/>
        <v>18-4-3RATE-SmartTRACKER Renewal (Level 2)</v>
      </c>
      <c r="B1781" t="s">
        <v>13</v>
      </c>
      <c r="C1781">
        <v>18</v>
      </c>
      <c r="D1781" s="100" t="s">
        <v>27</v>
      </c>
      <c r="E1781" t="s">
        <v>719</v>
      </c>
      <c r="F1781" t="s">
        <v>18</v>
      </c>
      <c r="G1781" t="s">
        <v>733</v>
      </c>
      <c r="H1781" s="128">
        <v>0.33550000000000002</v>
      </c>
      <c r="I1781" s="110">
        <v>0.252</v>
      </c>
      <c r="J1781" s="110">
        <v>0.252</v>
      </c>
      <c r="K1781" s="110">
        <v>0.252</v>
      </c>
      <c r="L1781">
        <v>5000</v>
      </c>
      <c r="M1781">
        <v>500000</v>
      </c>
      <c r="N1781" s="105">
        <v>44378</v>
      </c>
      <c r="O1781" s="105">
        <v>44561</v>
      </c>
      <c r="P1781" t="s">
        <v>718</v>
      </c>
    </row>
    <row r="1782" spans="1:16" ht="15" customHeight="1" x14ac:dyDescent="0.3">
      <c r="A1782" t="str">
        <f t="shared" si="28"/>
        <v/>
      </c>
      <c r="B1782" t="s">
        <v>13</v>
      </c>
      <c r="C1782">
        <v>18</v>
      </c>
      <c r="D1782" s="100" t="s">
        <v>27</v>
      </c>
      <c r="E1782" t="s">
        <v>720</v>
      </c>
      <c r="F1782" t="s">
        <v>18</v>
      </c>
      <c r="G1782" t="s">
        <v>733</v>
      </c>
      <c r="H1782" s="128">
        <v>0.33550000000000002</v>
      </c>
      <c r="J1782" s="110">
        <v>0.14630000000000001</v>
      </c>
      <c r="L1782">
        <v>5000</v>
      </c>
      <c r="M1782">
        <v>500000</v>
      </c>
      <c r="N1782" s="105">
        <v>44378</v>
      </c>
      <c r="O1782" s="105">
        <v>44561</v>
      </c>
      <c r="P1782" t="s">
        <v>718</v>
      </c>
    </row>
    <row r="1783" spans="1:16" ht="15" customHeight="1" x14ac:dyDescent="0.3">
      <c r="A1783" t="str">
        <f t="shared" si="28"/>
        <v>19-3-U-SmartTRACKER Renewal (Level 2)</v>
      </c>
      <c r="B1783" t="s">
        <v>13</v>
      </c>
      <c r="C1783">
        <v>19</v>
      </c>
      <c r="D1783" s="100" t="s">
        <v>28</v>
      </c>
      <c r="E1783" t="s">
        <v>716</v>
      </c>
      <c r="F1783" t="s">
        <v>16</v>
      </c>
      <c r="G1783" t="s">
        <v>733</v>
      </c>
      <c r="H1783" s="128">
        <v>0.31890000000000002</v>
      </c>
      <c r="I1783" s="110">
        <v>0.1578</v>
      </c>
      <c r="L1783">
        <v>5000</v>
      </c>
      <c r="M1783">
        <v>500000</v>
      </c>
      <c r="N1783" s="105">
        <v>44378</v>
      </c>
      <c r="O1783" s="105">
        <v>44561</v>
      </c>
      <c r="P1783" t="s">
        <v>718</v>
      </c>
    </row>
    <row r="1784" spans="1:16" ht="15" customHeight="1" x14ac:dyDescent="0.3">
      <c r="A1784" t="str">
        <f t="shared" si="28"/>
        <v>19-4-E7-SmartTRACKER Renewal (Level 2)</v>
      </c>
      <c r="B1784" t="s">
        <v>13</v>
      </c>
      <c r="C1784">
        <v>19</v>
      </c>
      <c r="D1784" s="100" t="s">
        <v>28</v>
      </c>
      <c r="E1784" t="s">
        <v>17</v>
      </c>
      <c r="F1784" t="s">
        <v>18</v>
      </c>
      <c r="G1784" t="s">
        <v>733</v>
      </c>
      <c r="H1784" s="128">
        <v>0.31890000000000002</v>
      </c>
      <c r="I1784" s="110">
        <v>0.1663</v>
      </c>
      <c r="J1784" s="110">
        <v>0.11879999999999999</v>
      </c>
      <c r="L1784">
        <v>5000</v>
      </c>
      <c r="M1784">
        <v>500000</v>
      </c>
      <c r="N1784" s="105">
        <v>44378</v>
      </c>
      <c r="O1784" s="105">
        <v>44561</v>
      </c>
      <c r="P1784" t="s">
        <v>718</v>
      </c>
    </row>
    <row r="1785" spans="1:16" ht="15" customHeight="1" x14ac:dyDescent="0.3">
      <c r="A1785" t="str">
        <f t="shared" si="28"/>
        <v>19-3-EW-SmartTRACKER Renewal (Level 2)</v>
      </c>
      <c r="B1785" t="s">
        <v>13</v>
      </c>
      <c r="C1785">
        <v>19</v>
      </c>
      <c r="D1785" s="100" t="s">
        <v>28</v>
      </c>
      <c r="E1785" t="s">
        <v>19</v>
      </c>
      <c r="F1785" t="s">
        <v>16</v>
      </c>
      <c r="G1785" t="s">
        <v>733</v>
      </c>
      <c r="H1785" s="128">
        <v>0.31890000000000002</v>
      </c>
      <c r="I1785" s="110">
        <v>0.252</v>
      </c>
      <c r="K1785" s="110">
        <v>0.252</v>
      </c>
      <c r="L1785">
        <v>5000</v>
      </c>
      <c r="M1785">
        <v>500000</v>
      </c>
      <c r="N1785" s="105">
        <v>44378</v>
      </c>
      <c r="O1785" s="105">
        <v>44561</v>
      </c>
      <c r="P1785" t="s">
        <v>718</v>
      </c>
    </row>
    <row r="1786" spans="1:16" ht="15" customHeight="1" x14ac:dyDescent="0.3">
      <c r="A1786" t="str">
        <f t="shared" si="28"/>
        <v>19-4-3RATE-SmartTRACKER Renewal (Level 2)</v>
      </c>
      <c r="B1786" t="s">
        <v>13</v>
      </c>
      <c r="C1786">
        <v>19</v>
      </c>
      <c r="D1786" s="100" t="s">
        <v>28</v>
      </c>
      <c r="E1786" t="s">
        <v>719</v>
      </c>
      <c r="F1786" t="s">
        <v>18</v>
      </c>
      <c r="G1786" t="s">
        <v>733</v>
      </c>
      <c r="H1786" s="128">
        <v>0.31890000000000002</v>
      </c>
      <c r="I1786" s="110">
        <v>0.17650000000000002</v>
      </c>
      <c r="J1786" s="110">
        <v>0.12010000000000001</v>
      </c>
      <c r="K1786" s="110">
        <v>0.16420000000000001</v>
      </c>
      <c r="L1786">
        <v>5000</v>
      </c>
      <c r="M1786">
        <v>500000</v>
      </c>
      <c r="N1786" s="105">
        <v>44378</v>
      </c>
      <c r="O1786" s="105">
        <v>44561</v>
      </c>
      <c r="P1786" t="s">
        <v>718</v>
      </c>
    </row>
    <row r="1787" spans="1:16" ht="15" customHeight="1" x14ac:dyDescent="0.3">
      <c r="A1787" t="str">
        <f t="shared" si="28"/>
        <v/>
      </c>
      <c r="B1787" t="s">
        <v>13</v>
      </c>
      <c r="C1787">
        <v>19</v>
      </c>
      <c r="D1787" s="100" t="s">
        <v>28</v>
      </c>
      <c r="E1787" t="s">
        <v>720</v>
      </c>
      <c r="F1787" t="s">
        <v>18</v>
      </c>
      <c r="G1787" t="s">
        <v>733</v>
      </c>
      <c r="H1787" s="128">
        <v>0.31890000000000002</v>
      </c>
      <c r="J1787" s="110">
        <v>0.11879999999999999</v>
      </c>
      <c r="L1787">
        <v>5000</v>
      </c>
      <c r="M1787">
        <v>500000</v>
      </c>
      <c r="N1787" s="105">
        <v>44378</v>
      </c>
      <c r="O1787" s="105">
        <v>44561</v>
      </c>
      <c r="P1787" t="s">
        <v>718</v>
      </c>
    </row>
    <row r="1788" spans="1:16" ht="15" customHeight="1" x14ac:dyDescent="0.3">
      <c r="A1788" t="str">
        <f t="shared" si="28"/>
        <v>20-3-U-SmartTRACKER Renewal (Level 2)</v>
      </c>
      <c r="B1788" t="s">
        <v>13</v>
      </c>
      <c r="C1788">
        <v>20</v>
      </c>
      <c r="D1788" s="100" t="s">
        <v>29</v>
      </c>
      <c r="E1788" t="s">
        <v>716</v>
      </c>
      <c r="F1788" t="s">
        <v>16</v>
      </c>
      <c r="G1788" t="s">
        <v>733</v>
      </c>
      <c r="H1788" s="128">
        <v>0.316</v>
      </c>
      <c r="I1788" s="110">
        <v>0.1535</v>
      </c>
      <c r="L1788">
        <v>5000</v>
      </c>
      <c r="M1788">
        <v>500000</v>
      </c>
      <c r="N1788" s="105">
        <v>44378</v>
      </c>
      <c r="O1788" s="105">
        <v>44561</v>
      </c>
      <c r="P1788" t="s">
        <v>718</v>
      </c>
    </row>
    <row r="1789" spans="1:16" ht="15" customHeight="1" x14ac:dyDescent="0.3">
      <c r="A1789" t="str">
        <f t="shared" si="28"/>
        <v>20-4-E7-SmartTRACKER Renewal (Level 2)</v>
      </c>
      <c r="B1789" t="s">
        <v>13</v>
      </c>
      <c r="C1789">
        <v>20</v>
      </c>
      <c r="D1789" s="100" t="s">
        <v>29</v>
      </c>
      <c r="E1789" t="s">
        <v>17</v>
      </c>
      <c r="F1789" t="s">
        <v>18</v>
      </c>
      <c r="G1789" t="s">
        <v>733</v>
      </c>
      <c r="H1789" s="128">
        <v>0.316</v>
      </c>
      <c r="I1789" s="110">
        <v>0.1646</v>
      </c>
      <c r="J1789" s="110">
        <v>0.1207</v>
      </c>
      <c r="L1789">
        <v>5000</v>
      </c>
      <c r="M1789">
        <v>500000</v>
      </c>
      <c r="N1789" s="105">
        <v>44378</v>
      </c>
      <c r="O1789" s="105">
        <v>44561</v>
      </c>
      <c r="P1789" t="s">
        <v>718</v>
      </c>
    </row>
    <row r="1790" spans="1:16" ht="15" customHeight="1" x14ac:dyDescent="0.3">
      <c r="A1790" t="str">
        <f t="shared" si="28"/>
        <v>20-3-EW-SmartTRACKER Renewal (Level 2)</v>
      </c>
      <c r="B1790" t="s">
        <v>13</v>
      </c>
      <c r="C1790">
        <v>20</v>
      </c>
      <c r="D1790" s="100" t="s">
        <v>29</v>
      </c>
      <c r="E1790" t="s">
        <v>19</v>
      </c>
      <c r="F1790" t="s">
        <v>16</v>
      </c>
      <c r="G1790" t="s">
        <v>733</v>
      </c>
      <c r="H1790" s="128">
        <v>0.316</v>
      </c>
      <c r="I1790" s="110">
        <v>0.16259999999999999</v>
      </c>
      <c r="K1790" s="110">
        <v>0.14120000000000002</v>
      </c>
      <c r="L1790">
        <v>5000</v>
      </c>
      <c r="M1790">
        <v>500000</v>
      </c>
      <c r="N1790" s="105">
        <v>44378</v>
      </c>
      <c r="O1790" s="105">
        <v>44561</v>
      </c>
      <c r="P1790" t="s">
        <v>718</v>
      </c>
    </row>
    <row r="1791" spans="1:16" ht="15" customHeight="1" x14ac:dyDescent="0.3">
      <c r="A1791" t="str">
        <f t="shared" si="28"/>
        <v>20-4-3RATE-SmartTRACKER Renewal (Level 2)</v>
      </c>
      <c r="B1791" t="s">
        <v>13</v>
      </c>
      <c r="C1791">
        <v>20</v>
      </c>
      <c r="D1791" s="100" t="s">
        <v>29</v>
      </c>
      <c r="E1791" t="s">
        <v>719</v>
      </c>
      <c r="F1791" t="s">
        <v>18</v>
      </c>
      <c r="G1791" t="s">
        <v>733</v>
      </c>
      <c r="H1791" s="128">
        <v>0.316</v>
      </c>
      <c r="I1791" s="110">
        <v>0.17369999999999999</v>
      </c>
      <c r="J1791" s="110">
        <v>0.12190000000000001</v>
      </c>
      <c r="K1791" s="110">
        <v>0.155</v>
      </c>
      <c r="L1791">
        <v>5000</v>
      </c>
      <c r="M1791">
        <v>500000</v>
      </c>
      <c r="N1791" s="105">
        <v>44378</v>
      </c>
      <c r="O1791" s="105">
        <v>44561</v>
      </c>
      <c r="P1791" t="s">
        <v>718</v>
      </c>
    </row>
    <row r="1792" spans="1:16" ht="15" customHeight="1" x14ac:dyDescent="0.3">
      <c r="A1792" t="str">
        <f t="shared" si="28"/>
        <v/>
      </c>
      <c r="B1792" t="s">
        <v>13</v>
      </c>
      <c r="C1792">
        <v>20</v>
      </c>
      <c r="D1792" s="100" t="s">
        <v>29</v>
      </c>
      <c r="E1792" t="s">
        <v>720</v>
      </c>
      <c r="F1792" t="s">
        <v>18</v>
      </c>
      <c r="G1792" t="s">
        <v>733</v>
      </c>
      <c r="H1792" s="128">
        <v>0.316</v>
      </c>
      <c r="J1792" s="110">
        <v>0.14120000000000002</v>
      </c>
      <c r="L1792">
        <v>5000</v>
      </c>
      <c r="M1792">
        <v>500000</v>
      </c>
      <c r="N1792" s="105">
        <v>44378</v>
      </c>
      <c r="O1792" s="105">
        <v>44561</v>
      </c>
      <c r="P1792" t="s">
        <v>718</v>
      </c>
    </row>
    <row r="1793" spans="1:16" ht="15" customHeight="1" x14ac:dyDescent="0.3">
      <c r="A1793" t="str">
        <f t="shared" si="28"/>
        <v>21-3-U-SmartTRACKER Renewal (Level 2)</v>
      </c>
      <c r="B1793" t="s">
        <v>13</v>
      </c>
      <c r="C1793">
        <v>21</v>
      </c>
      <c r="D1793" s="100" t="s">
        <v>30</v>
      </c>
      <c r="E1793" t="s">
        <v>716</v>
      </c>
      <c r="F1793" t="s">
        <v>16</v>
      </c>
      <c r="G1793" t="s">
        <v>733</v>
      </c>
      <c r="H1793" s="128">
        <v>0.43740000000000001</v>
      </c>
      <c r="I1793" s="110">
        <v>0.15529999999999999</v>
      </c>
      <c r="L1793">
        <v>5000</v>
      </c>
      <c r="M1793">
        <v>500000</v>
      </c>
      <c r="N1793" s="105">
        <v>44378</v>
      </c>
      <c r="O1793" s="105">
        <v>44561</v>
      </c>
      <c r="P1793" t="s">
        <v>718</v>
      </c>
    </row>
    <row r="1794" spans="1:16" ht="15" customHeight="1" x14ac:dyDescent="0.3">
      <c r="A1794" t="str">
        <f t="shared" si="28"/>
        <v>21-4-E7-SmartTRACKER Renewal (Level 2)</v>
      </c>
      <c r="B1794" t="s">
        <v>13</v>
      </c>
      <c r="C1794">
        <v>21</v>
      </c>
      <c r="D1794" s="100" t="s">
        <v>30</v>
      </c>
      <c r="E1794" t="s">
        <v>17</v>
      </c>
      <c r="F1794" t="s">
        <v>18</v>
      </c>
      <c r="G1794" t="s">
        <v>733</v>
      </c>
      <c r="H1794" s="128">
        <v>0.43740000000000001</v>
      </c>
      <c r="I1794" s="110">
        <v>0.1646</v>
      </c>
      <c r="J1794" s="110">
        <v>0.12379999999999999</v>
      </c>
      <c r="L1794">
        <v>5000</v>
      </c>
      <c r="M1794">
        <v>500000</v>
      </c>
      <c r="N1794" s="105">
        <v>44378</v>
      </c>
      <c r="O1794" s="105">
        <v>44561</v>
      </c>
      <c r="P1794" t="s">
        <v>718</v>
      </c>
    </row>
    <row r="1795" spans="1:16" ht="15" customHeight="1" x14ac:dyDescent="0.3">
      <c r="A1795" t="str">
        <f t="shared" si="28"/>
        <v>21-3-EW-SmartTRACKER Renewal (Level 2)</v>
      </c>
      <c r="B1795" t="s">
        <v>13</v>
      </c>
      <c r="C1795">
        <v>21</v>
      </c>
      <c r="D1795" s="100" t="s">
        <v>30</v>
      </c>
      <c r="E1795" t="s">
        <v>19</v>
      </c>
      <c r="F1795" t="s">
        <v>16</v>
      </c>
      <c r="G1795" t="s">
        <v>733</v>
      </c>
      <c r="H1795" s="128">
        <v>0.43740000000000001</v>
      </c>
      <c r="I1795" s="110">
        <v>0.16290000000000002</v>
      </c>
      <c r="K1795" s="110">
        <v>0.1447</v>
      </c>
      <c r="L1795">
        <v>5000</v>
      </c>
      <c r="M1795">
        <v>500000</v>
      </c>
      <c r="N1795" s="105">
        <v>44378</v>
      </c>
      <c r="O1795" s="105">
        <v>44561</v>
      </c>
      <c r="P1795" t="s">
        <v>718</v>
      </c>
    </row>
    <row r="1796" spans="1:16" ht="15" customHeight="1" x14ac:dyDescent="0.3">
      <c r="A1796" t="str">
        <f t="shared" si="28"/>
        <v>21-4-3RATE-SmartTRACKER Renewal (Level 2)</v>
      </c>
      <c r="B1796" t="s">
        <v>13</v>
      </c>
      <c r="C1796">
        <v>21</v>
      </c>
      <c r="D1796" s="100" t="s">
        <v>30</v>
      </c>
      <c r="E1796" t="s">
        <v>719</v>
      </c>
      <c r="F1796" t="s">
        <v>18</v>
      </c>
      <c r="G1796" t="s">
        <v>733</v>
      </c>
      <c r="H1796" s="128">
        <v>0.43740000000000001</v>
      </c>
      <c r="I1796" s="110">
        <v>0.1744</v>
      </c>
      <c r="J1796" s="110">
        <v>0.123</v>
      </c>
      <c r="K1796" s="110">
        <v>0.15870000000000001</v>
      </c>
      <c r="L1796">
        <v>5000</v>
      </c>
      <c r="M1796">
        <v>500000</v>
      </c>
      <c r="N1796" s="105">
        <v>44378</v>
      </c>
      <c r="O1796" s="105">
        <v>44561</v>
      </c>
      <c r="P1796" t="s">
        <v>718</v>
      </c>
    </row>
    <row r="1797" spans="1:16" ht="15" customHeight="1" x14ac:dyDescent="0.3">
      <c r="A1797" t="str">
        <f t="shared" si="28"/>
        <v/>
      </c>
      <c r="B1797" t="s">
        <v>13</v>
      </c>
      <c r="C1797">
        <v>21</v>
      </c>
      <c r="D1797" s="100" t="s">
        <v>30</v>
      </c>
      <c r="E1797" t="s">
        <v>720</v>
      </c>
      <c r="F1797" t="s">
        <v>18</v>
      </c>
      <c r="G1797" t="s">
        <v>733</v>
      </c>
      <c r="H1797" s="128">
        <v>0.43740000000000001</v>
      </c>
      <c r="J1797" s="110">
        <v>0.1447</v>
      </c>
      <c r="L1797">
        <v>5000</v>
      </c>
      <c r="M1797">
        <v>500000</v>
      </c>
      <c r="N1797" s="105">
        <v>44378</v>
      </c>
      <c r="O1797" s="105">
        <v>44561</v>
      </c>
      <c r="P1797" t="s">
        <v>718</v>
      </c>
    </row>
    <row r="1798" spans="1:16" ht="15" customHeight="1" x14ac:dyDescent="0.3">
      <c r="A1798" t="str">
        <f t="shared" si="28"/>
        <v>22-3-U-SmartTRACKER Renewal (Level 2)</v>
      </c>
      <c r="B1798" t="s">
        <v>13</v>
      </c>
      <c r="C1798">
        <v>22</v>
      </c>
      <c r="D1798" s="100" t="s">
        <v>31</v>
      </c>
      <c r="E1798" t="s">
        <v>716</v>
      </c>
      <c r="F1798" t="s">
        <v>16</v>
      </c>
      <c r="G1798" t="s">
        <v>733</v>
      </c>
      <c r="H1798" s="128">
        <v>0.37709999999999999</v>
      </c>
      <c r="I1798" s="110">
        <v>0.16170000000000001</v>
      </c>
      <c r="L1798">
        <v>5000</v>
      </c>
      <c r="M1798">
        <v>500000</v>
      </c>
      <c r="N1798" s="105">
        <v>44378</v>
      </c>
      <c r="O1798" s="105">
        <v>44561</v>
      </c>
      <c r="P1798" t="s">
        <v>718</v>
      </c>
    </row>
    <row r="1799" spans="1:16" ht="15" customHeight="1" x14ac:dyDescent="0.3">
      <c r="A1799" t="str">
        <f t="shared" si="28"/>
        <v>22-4-E7-SmartTRACKER Renewal (Level 2)</v>
      </c>
      <c r="B1799" t="s">
        <v>13</v>
      </c>
      <c r="C1799">
        <v>22</v>
      </c>
      <c r="D1799" s="100" t="s">
        <v>31</v>
      </c>
      <c r="E1799" t="s">
        <v>17</v>
      </c>
      <c r="F1799" t="s">
        <v>18</v>
      </c>
      <c r="G1799" t="s">
        <v>733</v>
      </c>
      <c r="H1799" s="128">
        <v>0.37709999999999999</v>
      </c>
      <c r="I1799" s="110">
        <v>0.1699</v>
      </c>
      <c r="J1799" s="110">
        <v>0.12959999999999999</v>
      </c>
      <c r="L1799">
        <v>5000</v>
      </c>
      <c r="M1799">
        <v>500000</v>
      </c>
      <c r="N1799" s="105">
        <v>44378</v>
      </c>
      <c r="O1799" s="105">
        <v>44561</v>
      </c>
      <c r="P1799" t="s">
        <v>718</v>
      </c>
    </row>
    <row r="1800" spans="1:16" ht="15" customHeight="1" x14ac:dyDescent="0.3">
      <c r="A1800" t="str">
        <f t="shared" si="28"/>
        <v>22-3-EW-SmartTRACKER Renewal (Level 2)</v>
      </c>
      <c r="B1800" t="s">
        <v>13</v>
      </c>
      <c r="C1800">
        <v>22</v>
      </c>
      <c r="D1800" s="100" t="s">
        <v>31</v>
      </c>
      <c r="E1800" t="s">
        <v>19</v>
      </c>
      <c r="F1800" t="s">
        <v>16</v>
      </c>
      <c r="G1800" t="s">
        <v>733</v>
      </c>
      <c r="H1800" s="128">
        <v>0.37709999999999999</v>
      </c>
      <c r="I1800" s="110">
        <v>0.17100000000000001</v>
      </c>
      <c r="K1800" s="110">
        <v>0.1502</v>
      </c>
      <c r="L1800">
        <v>5000</v>
      </c>
      <c r="M1800">
        <v>500000</v>
      </c>
      <c r="N1800" s="105">
        <v>44378</v>
      </c>
      <c r="O1800" s="105">
        <v>44561</v>
      </c>
      <c r="P1800" t="s">
        <v>718</v>
      </c>
    </row>
    <row r="1801" spans="1:16" ht="15" customHeight="1" x14ac:dyDescent="0.3">
      <c r="A1801" t="str">
        <f t="shared" si="28"/>
        <v>22-4-3RATE-SmartTRACKER Renewal (Level 2)</v>
      </c>
      <c r="B1801" t="s">
        <v>13</v>
      </c>
      <c r="C1801">
        <v>22</v>
      </c>
      <c r="D1801" s="100" t="s">
        <v>31</v>
      </c>
      <c r="E1801" t="s">
        <v>719</v>
      </c>
      <c r="F1801" t="s">
        <v>18</v>
      </c>
      <c r="G1801" t="s">
        <v>733</v>
      </c>
      <c r="H1801" s="128">
        <v>0.37709999999999999</v>
      </c>
      <c r="I1801" s="110">
        <v>0.17880000000000001</v>
      </c>
      <c r="J1801" s="110">
        <v>0.12429999999999999</v>
      </c>
      <c r="K1801" s="110">
        <v>0.1651</v>
      </c>
      <c r="L1801">
        <v>5000</v>
      </c>
      <c r="M1801">
        <v>500000</v>
      </c>
      <c r="N1801" s="105">
        <v>44378</v>
      </c>
      <c r="O1801" s="105">
        <v>44561</v>
      </c>
      <c r="P1801" t="s">
        <v>718</v>
      </c>
    </row>
    <row r="1802" spans="1:16" ht="15" customHeight="1" x14ac:dyDescent="0.3">
      <c r="A1802" t="str">
        <f t="shared" si="28"/>
        <v/>
      </c>
      <c r="B1802" t="s">
        <v>13</v>
      </c>
      <c r="C1802">
        <v>22</v>
      </c>
      <c r="D1802" s="100" t="s">
        <v>31</v>
      </c>
      <c r="E1802" t="s">
        <v>720</v>
      </c>
      <c r="F1802" t="s">
        <v>18</v>
      </c>
      <c r="G1802" t="s">
        <v>733</v>
      </c>
      <c r="H1802" s="128">
        <v>0.37709999999999999</v>
      </c>
      <c r="J1802" s="110">
        <v>0.1502</v>
      </c>
      <c r="L1802">
        <v>5000</v>
      </c>
      <c r="M1802">
        <v>500000</v>
      </c>
      <c r="N1802" s="105">
        <v>44378</v>
      </c>
      <c r="O1802" s="105">
        <v>44561</v>
      </c>
      <c r="P1802" t="s">
        <v>718</v>
      </c>
    </row>
    <row r="1803" spans="1:16" ht="15" customHeight="1" x14ac:dyDescent="0.3">
      <c r="A1803" t="str">
        <f t="shared" si="28"/>
        <v>23-3-U-SmartTRACKER Renewal (Level 2)</v>
      </c>
      <c r="B1803" t="s">
        <v>13</v>
      </c>
      <c r="C1803">
        <v>23</v>
      </c>
      <c r="D1803" s="100" t="s">
        <v>32</v>
      </c>
      <c r="E1803" t="s">
        <v>716</v>
      </c>
      <c r="F1803" t="s">
        <v>16</v>
      </c>
      <c r="G1803" t="s">
        <v>733</v>
      </c>
      <c r="H1803" s="128">
        <v>0.33129999999999998</v>
      </c>
      <c r="I1803" s="110">
        <v>0.15510000000000002</v>
      </c>
      <c r="L1803">
        <v>5000</v>
      </c>
      <c r="M1803">
        <v>500000</v>
      </c>
      <c r="N1803" s="105">
        <v>44378</v>
      </c>
      <c r="O1803" s="105">
        <v>44561</v>
      </c>
      <c r="P1803" t="s">
        <v>718</v>
      </c>
    </row>
    <row r="1804" spans="1:16" ht="15" customHeight="1" x14ac:dyDescent="0.3">
      <c r="A1804" t="str">
        <f t="shared" ref="A1804:A1867" si="29">IF(E1804="OP","",CONCATENATE(C1804,"-",RIGHT(F1804,1),"-",IF(OR(E1804="1 Rate MD",E1804="DAY"),"U",IF(OR(E1804="2 Rate MD",E1804="E7"),"E7",IF(OR(E1804="3 Rate MD (EW)",E1804="EW"),"EW",IF(OR(E1804="3 Rate MD",E1804="EWN"),"3RATE",IF(E1804="HH 2RATE (CT)","HH 2RATE (CT)",IF(E1804="HH 2RATE (WC)","HH 2RATE (WC)",IF(E1804="HH 1RATE (CT)","HH 1RATE (CT)",IF(E1804="HH 1RATE (WC)","HH 1RATE (WC)")))))))),"-",G1804))</f>
        <v>23-4-E7-SmartTRACKER Renewal (Level 2)</v>
      </c>
      <c r="B1804" t="s">
        <v>13</v>
      </c>
      <c r="C1804">
        <v>23</v>
      </c>
      <c r="D1804" s="100" t="s">
        <v>32</v>
      </c>
      <c r="E1804" t="s">
        <v>17</v>
      </c>
      <c r="F1804" t="s">
        <v>18</v>
      </c>
      <c r="G1804" t="s">
        <v>733</v>
      </c>
      <c r="H1804" s="128">
        <v>0.33129999999999998</v>
      </c>
      <c r="I1804" s="110">
        <v>0.16110000000000002</v>
      </c>
      <c r="J1804" s="110">
        <v>0.11979999999999999</v>
      </c>
      <c r="L1804">
        <v>5000</v>
      </c>
      <c r="M1804">
        <v>500000</v>
      </c>
      <c r="N1804" s="105">
        <v>44378</v>
      </c>
      <c r="O1804" s="105">
        <v>44561</v>
      </c>
      <c r="P1804" t="s">
        <v>718</v>
      </c>
    </row>
    <row r="1805" spans="1:16" ht="15" customHeight="1" x14ac:dyDescent="0.3">
      <c r="A1805" t="str">
        <f t="shared" si="29"/>
        <v>23-3-EW-SmartTRACKER Renewal (Level 2)</v>
      </c>
      <c r="B1805" t="s">
        <v>13</v>
      </c>
      <c r="C1805">
        <v>23</v>
      </c>
      <c r="D1805" s="100" t="s">
        <v>32</v>
      </c>
      <c r="E1805" t="s">
        <v>19</v>
      </c>
      <c r="F1805" t="s">
        <v>16</v>
      </c>
      <c r="G1805" t="s">
        <v>733</v>
      </c>
      <c r="H1805" s="128">
        <v>0.33129999999999998</v>
      </c>
      <c r="I1805" s="110">
        <v>0.1638</v>
      </c>
      <c r="K1805" s="110">
        <v>0.14330000000000001</v>
      </c>
      <c r="L1805">
        <v>5000</v>
      </c>
      <c r="M1805">
        <v>500000</v>
      </c>
      <c r="N1805" s="105">
        <v>44378</v>
      </c>
      <c r="O1805" s="105">
        <v>44561</v>
      </c>
      <c r="P1805" t="s">
        <v>718</v>
      </c>
    </row>
    <row r="1806" spans="1:16" ht="15" customHeight="1" x14ac:dyDescent="0.3">
      <c r="A1806" t="str">
        <f t="shared" si="29"/>
        <v>23-4-3RATE-SmartTRACKER Renewal (Level 2)</v>
      </c>
      <c r="B1806" t="s">
        <v>13</v>
      </c>
      <c r="C1806">
        <v>23</v>
      </c>
      <c r="D1806" s="100" t="s">
        <v>32</v>
      </c>
      <c r="E1806" t="s">
        <v>719</v>
      </c>
      <c r="F1806" t="s">
        <v>18</v>
      </c>
      <c r="G1806" t="s">
        <v>733</v>
      </c>
      <c r="H1806" s="128">
        <v>0.33129999999999998</v>
      </c>
      <c r="I1806" s="110">
        <v>0.1729</v>
      </c>
      <c r="J1806" s="110">
        <v>0.12259999999999999</v>
      </c>
      <c r="K1806" s="110">
        <v>0.15410000000000001</v>
      </c>
      <c r="L1806">
        <v>5000</v>
      </c>
      <c r="M1806">
        <v>500000</v>
      </c>
      <c r="N1806" s="105">
        <v>44378</v>
      </c>
      <c r="O1806" s="105">
        <v>44561</v>
      </c>
      <c r="P1806" t="s">
        <v>718</v>
      </c>
    </row>
    <row r="1807" spans="1:16" ht="15" customHeight="1" x14ac:dyDescent="0.3">
      <c r="A1807" t="str">
        <f t="shared" si="29"/>
        <v/>
      </c>
      <c r="B1807" t="s">
        <v>13</v>
      </c>
      <c r="C1807">
        <v>23</v>
      </c>
      <c r="D1807" s="100" t="s">
        <v>32</v>
      </c>
      <c r="E1807" t="s">
        <v>720</v>
      </c>
      <c r="F1807" t="s">
        <v>18</v>
      </c>
      <c r="G1807" t="s">
        <v>733</v>
      </c>
      <c r="H1807" s="128">
        <v>0.33129999999999998</v>
      </c>
      <c r="J1807" s="110">
        <v>0.14330000000000001</v>
      </c>
      <c r="L1807">
        <v>5000</v>
      </c>
      <c r="M1807">
        <v>500000</v>
      </c>
      <c r="N1807" s="105">
        <v>44378</v>
      </c>
      <c r="O1807" s="105">
        <v>44561</v>
      </c>
      <c r="P1807" t="s">
        <v>718</v>
      </c>
    </row>
    <row r="1808" spans="1:16" ht="15" customHeight="1" x14ac:dyDescent="0.3">
      <c r="A1808" t="str">
        <f t="shared" si="29"/>
        <v>10-3-U-SmartFIX – 1 Year Renewal (Level 2)</v>
      </c>
      <c r="B1808" t="s">
        <v>13</v>
      </c>
      <c r="C1808">
        <v>10</v>
      </c>
      <c r="D1808" s="100" t="s">
        <v>14</v>
      </c>
      <c r="E1808" t="s">
        <v>716</v>
      </c>
      <c r="F1808" t="s">
        <v>16</v>
      </c>
      <c r="G1808" t="s">
        <v>734</v>
      </c>
      <c r="H1808" s="128">
        <v>0.32900000000000001</v>
      </c>
      <c r="I1808" s="110">
        <v>0.1555</v>
      </c>
      <c r="L1808">
        <v>5000</v>
      </c>
      <c r="M1808">
        <v>500000</v>
      </c>
      <c r="N1808" s="105">
        <v>44378</v>
      </c>
      <c r="O1808" s="105">
        <v>44561</v>
      </c>
      <c r="P1808" t="s">
        <v>718</v>
      </c>
    </row>
    <row r="1809" spans="1:16" ht="15" customHeight="1" x14ac:dyDescent="0.3">
      <c r="A1809" t="str">
        <f t="shared" si="29"/>
        <v>10-4-E7-SmartFIX – 1 Year Renewal (Level 2)</v>
      </c>
      <c r="B1809" t="s">
        <v>13</v>
      </c>
      <c r="C1809">
        <v>10</v>
      </c>
      <c r="D1809" s="100" t="s">
        <v>14</v>
      </c>
      <c r="E1809" t="s">
        <v>17</v>
      </c>
      <c r="F1809" t="s">
        <v>18</v>
      </c>
      <c r="G1809" t="s">
        <v>734</v>
      </c>
      <c r="H1809" s="128">
        <v>0.32900000000000001</v>
      </c>
      <c r="I1809" s="110">
        <v>0.1648</v>
      </c>
      <c r="J1809" s="110">
        <v>0.11599999999999999</v>
      </c>
      <c r="L1809">
        <v>5000</v>
      </c>
      <c r="M1809">
        <v>500000</v>
      </c>
      <c r="N1809" s="105">
        <v>44378</v>
      </c>
      <c r="O1809" s="105">
        <v>44561</v>
      </c>
      <c r="P1809" t="s">
        <v>718</v>
      </c>
    </row>
    <row r="1810" spans="1:16" ht="15" customHeight="1" x14ac:dyDescent="0.3">
      <c r="A1810" t="str">
        <f t="shared" si="29"/>
        <v>10-3-EW-SmartFIX – 1 Year Renewal (Level 2)</v>
      </c>
      <c r="B1810" t="s">
        <v>13</v>
      </c>
      <c r="C1810">
        <v>10</v>
      </c>
      <c r="D1810" s="100" t="s">
        <v>14</v>
      </c>
      <c r="E1810" t="s">
        <v>19</v>
      </c>
      <c r="F1810" t="s">
        <v>16</v>
      </c>
      <c r="G1810" t="s">
        <v>734</v>
      </c>
      <c r="H1810" s="128">
        <v>0.32900000000000001</v>
      </c>
      <c r="I1810" s="110">
        <v>0.16450000000000001</v>
      </c>
      <c r="K1810" s="110">
        <v>0.14200000000000002</v>
      </c>
      <c r="L1810">
        <v>5000</v>
      </c>
      <c r="M1810">
        <v>500000</v>
      </c>
      <c r="N1810" s="105">
        <v>44378</v>
      </c>
      <c r="O1810" s="105">
        <v>44561</v>
      </c>
      <c r="P1810" t="s">
        <v>718</v>
      </c>
    </row>
    <row r="1811" spans="1:16" ht="15" customHeight="1" x14ac:dyDescent="0.3">
      <c r="A1811" t="str">
        <f t="shared" si="29"/>
        <v>10-4-3RATE-SmartFIX – 1 Year Renewal (Level 2)</v>
      </c>
      <c r="B1811" t="s">
        <v>13</v>
      </c>
      <c r="C1811">
        <v>10</v>
      </c>
      <c r="D1811" s="100" t="s">
        <v>14</v>
      </c>
      <c r="E1811" t="s">
        <v>719</v>
      </c>
      <c r="F1811" t="s">
        <v>18</v>
      </c>
      <c r="G1811" t="s">
        <v>734</v>
      </c>
      <c r="H1811" s="128">
        <v>0.32900000000000001</v>
      </c>
      <c r="I1811" s="110">
        <v>0.17510000000000001</v>
      </c>
      <c r="J1811" s="110">
        <v>0.1154</v>
      </c>
      <c r="K1811" s="110">
        <v>0.158</v>
      </c>
      <c r="L1811">
        <v>5000</v>
      </c>
      <c r="M1811">
        <v>500000</v>
      </c>
      <c r="N1811" s="105">
        <v>44378</v>
      </c>
      <c r="O1811" s="105">
        <v>44561</v>
      </c>
      <c r="P1811" t="s">
        <v>718</v>
      </c>
    </row>
    <row r="1812" spans="1:16" ht="15" customHeight="1" x14ac:dyDescent="0.3">
      <c r="A1812" t="str">
        <f t="shared" si="29"/>
        <v/>
      </c>
      <c r="B1812" t="s">
        <v>13</v>
      </c>
      <c r="C1812">
        <v>10</v>
      </c>
      <c r="D1812" s="100" t="s">
        <v>14</v>
      </c>
      <c r="E1812" t="s">
        <v>720</v>
      </c>
      <c r="F1812" t="s">
        <v>18</v>
      </c>
      <c r="G1812" t="s">
        <v>734</v>
      </c>
      <c r="H1812" s="128">
        <v>0.32900000000000001</v>
      </c>
      <c r="J1812" s="110">
        <v>0.14200000000000002</v>
      </c>
      <c r="L1812">
        <v>5000</v>
      </c>
      <c r="M1812">
        <v>500000</v>
      </c>
      <c r="N1812" s="105">
        <v>44378</v>
      </c>
      <c r="O1812" s="105">
        <v>44561</v>
      </c>
      <c r="P1812" t="s">
        <v>718</v>
      </c>
    </row>
    <row r="1813" spans="1:16" ht="15" customHeight="1" x14ac:dyDescent="0.3">
      <c r="A1813" t="str">
        <f t="shared" si="29"/>
        <v>11-3-U-SmartFIX – 1 Year Renewal (Level 2)</v>
      </c>
      <c r="B1813" t="s">
        <v>13</v>
      </c>
      <c r="C1813">
        <v>11</v>
      </c>
      <c r="D1813" s="100" t="s">
        <v>20</v>
      </c>
      <c r="E1813" t="s">
        <v>716</v>
      </c>
      <c r="F1813" t="s">
        <v>16</v>
      </c>
      <c r="G1813" t="s">
        <v>734</v>
      </c>
      <c r="H1813" s="128">
        <v>0.33900000000000002</v>
      </c>
      <c r="I1813" s="110">
        <v>0.155</v>
      </c>
      <c r="L1813">
        <v>5000</v>
      </c>
      <c r="M1813">
        <v>500000</v>
      </c>
      <c r="N1813" s="105">
        <v>44378</v>
      </c>
      <c r="O1813" s="105">
        <v>44561</v>
      </c>
      <c r="P1813" t="s">
        <v>718</v>
      </c>
    </row>
    <row r="1814" spans="1:16" ht="15" customHeight="1" x14ac:dyDescent="0.3">
      <c r="A1814" t="str">
        <f t="shared" si="29"/>
        <v>11-4-E7-SmartFIX – 1 Year Renewal (Level 2)</v>
      </c>
      <c r="B1814" t="s">
        <v>13</v>
      </c>
      <c r="C1814">
        <v>11</v>
      </c>
      <c r="D1814" s="100" t="s">
        <v>20</v>
      </c>
      <c r="E1814" t="s">
        <v>17</v>
      </c>
      <c r="F1814" t="s">
        <v>18</v>
      </c>
      <c r="G1814" t="s">
        <v>734</v>
      </c>
      <c r="H1814" s="128">
        <v>0.33900000000000002</v>
      </c>
      <c r="I1814" s="110">
        <v>0.16340000000000002</v>
      </c>
      <c r="J1814" s="110">
        <v>0.1217</v>
      </c>
      <c r="L1814">
        <v>5000</v>
      </c>
      <c r="M1814">
        <v>500000</v>
      </c>
      <c r="N1814" s="105">
        <v>44378</v>
      </c>
      <c r="O1814" s="105">
        <v>44561</v>
      </c>
      <c r="P1814" t="s">
        <v>718</v>
      </c>
    </row>
    <row r="1815" spans="1:16" ht="15" customHeight="1" x14ac:dyDescent="0.3">
      <c r="A1815" t="str">
        <f t="shared" si="29"/>
        <v>11-3-EW-SmartFIX – 1 Year Renewal (Level 2)</v>
      </c>
      <c r="B1815" t="s">
        <v>13</v>
      </c>
      <c r="C1815">
        <v>11</v>
      </c>
      <c r="D1815" s="100" t="s">
        <v>20</v>
      </c>
      <c r="E1815" t="s">
        <v>19</v>
      </c>
      <c r="F1815" t="s">
        <v>16</v>
      </c>
      <c r="G1815" t="s">
        <v>734</v>
      </c>
      <c r="H1815" s="128">
        <v>0.33900000000000002</v>
      </c>
      <c r="I1815" s="110">
        <v>0.16340000000000002</v>
      </c>
      <c r="K1815" s="110">
        <v>0.1419</v>
      </c>
      <c r="L1815">
        <v>5000</v>
      </c>
      <c r="M1815">
        <v>500000</v>
      </c>
      <c r="N1815" s="105">
        <v>44378</v>
      </c>
      <c r="O1815" s="105">
        <v>44561</v>
      </c>
      <c r="P1815" t="s">
        <v>718</v>
      </c>
    </row>
    <row r="1816" spans="1:16" ht="15" customHeight="1" x14ac:dyDescent="0.3">
      <c r="A1816" t="str">
        <f t="shared" si="29"/>
        <v>11-4-3RATE-SmartFIX – 1 Year Renewal (Level 2)</v>
      </c>
      <c r="B1816" t="s">
        <v>13</v>
      </c>
      <c r="C1816">
        <v>11</v>
      </c>
      <c r="D1816" s="100" t="s">
        <v>20</v>
      </c>
      <c r="E1816" t="s">
        <v>719</v>
      </c>
      <c r="F1816" t="s">
        <v>18</v>
      </c>
      <c r="G1816" t="s">
        <v>734</v>
      </c>
      <c r="H1816" s="128">
        <v>0.33900000000000002</v>
      </c>
      <c r="I1816" s="110">
        <v>0.17070000000000002</v>
      </c>
      <c r="J1816" s="110">
        <v>0.1162</v>
      </c>
      <c r="K1816" s="110">
        <v>0.1502</v>
      </c>
      <c r="L1816">
        <v>5000</v>
      </c>
      <c r="M1816">
        <v>500000</v>
      </c>
      <c r="N1816" s="105">
        <v>44378</v>
      </c>
      <c r="O1816" s="105">
        <v>44561</v>
      </c>
      <c r="P1816" t="s">
        <v>718</v>
      </c>
    </row>
    <row r="1817" spans="1:16" ht="15" customHeight="1" x14ac:dyDescent="0.3">
      <c r="A1817" t="str">
        <f t="shared" si="29"/>
        <v/>
      </c>
      <c r="B1817" t="s">
        <v>13</v>
      </c>
      <c r="C1817">
        <v>11</v>
      </c>
      <c r="D1817" s="100" t="s">
        <v>20</v>
      </c>
      <c r="E1817" t="s">
        <v>720</v>
      </c>
      <c r="F1817" t="s">
        <v>18</v>
      </c>
      <c r="G1817" t="s">
        <v>734</v>
      </c>
      <c r="H1817" s="128">
        <v>0.33900000000000002</v>
      </c>
      <c r="J1817" s="110">
        <v>0.1419</v>
      </c>
      <c r="L1817">
        <v>5000</v>
      </c>
      <c r="M1817">
        <v>500000</v>
      </c>
      <c r="N1817" s="105">
        <v>44378</v>
      </c>
      <c r="O1817" s="105">
        <v>44561</v>
      </c>
      <c r="P1817" t="s">
        <v>718</v>
      </c>
    </row>
    <row r="1818" spans="1:16" ht="15" customHeight="1" x14ac:dyDescent="0.3">
      <c r="A1818" t="str">
        <f t="shared" si="29"/>
        <v>12-3-U-SmartFIX – 1 Year Renewal (Level 2)</v>
      </c>
      <c r="B1818" t="s">
        <v>13</v>
      </c>
      <c r="C1818">
        <v>12</v>
      </c>
      <c r="D1818" s="100" t="s">
        <v>21</v>
      </c>
      <c r="E1818" t="s">
        <v>716</v>
      </c>
      <c r="F1818" t="s">
        <v>16</v>
      </c>
      <c r="G1818" t="s">
        <v>734</v>
      </c>
      <c r="H1818" s="128">
        <v>0.25590000000000002</v>
      </c>
      <c r="I1818" s="110">
        <v>0.1479</v>
      </c>
      <c r="L1818">
        <v>5000</v>
      </c>
      <c r="M1818">
        <v>500000</v>
      </c>
      <c r="N1818" s="105">
        <v>44378</v>
      </c>
      <c r="O1818" s="105">
        <v>44561</v>
      </c>
      <c r="P1818" t="s">
        <v>718</v>
      </c>
    </row>
    <row r="1819" spans="1:16" ht="15" customHeight="1" x14ac:dyDescent="0.3">
      <c r="A1819" t="str">
        <f t="shared" si="29"/>
        <v>12-4-E7-SmartFIX – 1 Year Renewal (Level 2)</v>
      </c>
      <c r="B1819" t="s">
        <v>13</v>
      </c>
      <c r="C1819">
        <v>12</v>
      </c>
      <c r="D1819" s="100" t="s">
        <v>21</v>
      </c>
      <c r="E1819" t="s">
        <v>17</v>
      </c>
      <c r="F1819" t="s">
        <v>18</v>
      </c>
      <c r="G1819" t="s">
        <v>734</v>
      </c>
      <c r="H1819" s="128">
        <v>0.25590000000000002</v>
      </c>
      <c r="I1819" s="110">
        <v>0.158</v>
      </c>
      <c r="J1819" s="110">
        <v>0.1154</v>
      </c>
      <c r="L1819">
        <v>5000</v>
      </c>
      <c r="M1819">
        <v>500000</v>
      </c>
      <c r="N1819" s="105">
        <v>44378</v>
      </c>
      <c r="O1819" s="105">
        <v>44561</v>
      </c>
      <c r="P1819" t="s">
        <v>718</v>
      </c>
    </row>
    <row r="1820" spans="1:16" ht="15" customHeight="1" x14ac:dyDescent="0.3">
      <c r="A1820" t="str">
        <f t="shared" si="29"/>
        <v>12-3-EW-SmartFIX – 1 Year Renewal (Level 2)</v>
      </c>
      <c r="B1820" t="s">
        <v>13</v>
      </c>
      <c r="C1820">
        <v>12</v>
      </c>
      <c r="D1820" s="100" t="s">
        <v>21</v>
      </c>
      <c r="E1820" t="s">
        <v>19</v>
      </c>
      <c r="F1820" t="s">
        <v>16</v>
      </c>
      <c r="G1820" t="s">
        <v>734</v>
      </c>
      <c r="H1820" s="128">
        <v>0.25590000000000002</v>
      </c>
      <c r="I1820" s="110">
        <v>0.15620000000000001</v>
      </c>
      <c r="K1820" s="110">
        <v>0.1363</v>
      </c>
      <c r="L1820">
        <v>5000</v>
      </c>
      <c r="M1820">
        <v>500000</v>
      </c>
      <c r="N1820" s="105">
        <v>44378</v>
      </c>
      <c r="O1820" s="105">
        <v>44561</v>
      </c>
      <c r="P1820" t="s">
        <v>718</v>
      </c>
    </row>
    <row r="1821" spans="1:16" ht="15" customHeight="1" x14ac:dyDescent="0.3">
      <c r="A1821" t="str">
        <f t="shared" si="29"/>
        <v>12-4-3RATE-SmartFIX – 1 Year Renewal (Level 2)</v>
      </c>
      <c r="B1821" t="s">
        <v>13</v>
      </c>
      <c r="C1821">
        <v>12</v>
      </c>
      <c r="D1821" s="100" t="s">
        <v>21</v>
      </c>
      <c r="E1821" t="s">
        <v>719</v>
      </c>
      <c r="F1821" t="s">
        <v>18</v>
      </c>
      <c r="G1821" t="s">
        <v>734</v>
      </c>
      <c r="H1821" s="128">
        <v>0.25590000000000002</v>
      </c>
      <c r="I1821" s="110">
        <v>0.252</v>
      </c>
      <c r="J1821" s="110">
        <v>0.252</v>
      </c>
      <c r="K1821" s="110">
        <v>0.252</v>
      </c>
      <c r="L1821">
        <v>5000</v>
      </c>
      <c r="M1821">
        <v>500000</v>
      </c>
      <c r="N1821" s="105">
        <v>44378</v>
      </c>
      <c r="O1821" s="105">
        <v>44561</v>
      </c>
      <c r="P1821" t="s">
        <v>718</v>
      </c>
    </row>
    <row r="1822" spans="1:16" ht="15" customHeight="1" x14ac:dyDescent="0.3">
      <c r="A1822" t="str">
        <f t="shared" si="29"/>
        <v/>
      </c>
      <c r="B1822" t="s">
        <v>13</v>
      </c>
      <c r="C1822">
        <v>12</v>
      </c>
      <c r="D1822" s="100" t="s">
        <v>21</v>
      </c>
      <c r="E1822" t="s">
        <v>720</v>
      </c>
      <c r="F1822" t="s">
        <v>18</v>
      </c>
      <c r="G1822" t="s">
        <v>734</v>
      </c>
      <c r="H1822" s="128">
        <v>0.25590000000000002</v>
      </c>
      <c r="J1822" s="110">
        <v>0.1363</v>
      </c>
      <c r="L1822">
        <v>5000</v>
      </c>
      <c r="M1822">
        <v>500000</v>
      </c>
      <c r="N1822" s="105">
        <v>44378</v>
      </c>
      <c r="O1822" s="105">
        <v>44561</v>
      </c>
      <c r="P1822" t="s">
        <v>718</v>
      </c>
    </row>
    <row r="1823" spans="1:16" ht="15" customHeight="1" x14ac:dyDescent="0.3">
      <c r="A1823" t="str">
        <f t="shared" si="29"/>
        <v>13-3-U-SmartFIX – 1 Year Renewal (Level 2)</v>
      </c>
      <c r="B1823" t="s">
        <v>13</v>
      </c>
      <c r="C1823">
        <v>13</v>
      </c>
      <c r="D1823" s="100" t="s">
        <v>22</v>
      </c>
      <c r="E1823" t="s">
        <v>716</v>
      </c>
      <c r="F1823" t="s">
        <v>16</v>
      </c>
      <c r="G1823" t="s">
        <v>734</v>
      </c>
      <c r="H1823" s="128">
        <v>0.30109999999999998</v>
      </c>
      <c r="I1823" s="110">
        <v>0.1729</v>
      </c>
      <c r="L1823">
        <v>5000</v>
      </c>
      <c r="M1823">
        <v>500000</v>
      </c>
      <c r="N1823" s="105">
        <v>44378</v>
      </c>
      <c r="O1823" s="105">
        <v>44561</v>
      </c>
      <c r="P1823" t="s">
        <v>718</v>
      </c>
    </row>
    <row r="1824" spans="1:16" ht="15" customHeight="1" x14ac:dyDescent="0.3">
      <c r="A1824" t="str">
        <f t="shared" si="29"/>
        <v>13-4-E7-SmartFIX – 1 Year Renewal (Level 2)</v>
      </c>
      <c r="B1824" t="s">
        <v>13</v>
      </c>
      <c r="C1824">
        <v>13</v>
      </c>
      <c r="D1824" s="100" t="s">
        <v>22</v>
      </c>
      <c r="E1824" t="s">
        <v>17</v>
      </c>
      <c r="F1824" t="s">
        <v>18</v>
      </c>
      <c r="G1824" t="s">
        <v>734</v>
      </c>
      <c r="H1824" s="128">
        <v>0.30109999999999998</v>
      </c>
      <c r="I1824" s="110">
        <v>0.18210000000000001</v>
      </c>
      <c r="J1824" s="110">
        <v>0.13270000000000001</v>
      </c>
      <c r="L1824">
        <v>5000</v>
      </c>
      <c r="M1824">
        <v>500000</v>
      </c>
      <c r="N1824" s="105">
        <v>44378</v>
      </c>
      <c r="O1824" s="105">
        <v>44561</v>
      </c>
      <c r="P1824" t="s">
        <v>718</v>
      </c>
    </row>
    <row r="1825" spans="1:16" ht="15" customHeight="1" x14ac:dyDescent="0.3">
      <c r="A1825" t="str">
        <f t="shared" si="29"/>
        <v>13-3-EW-SmartFIX – 1 Year Renewal (Level 2)</v>
      </c>
      <c r="B1825" t="s">
        <v>13</v>
      </c>
      <c r="C1825">
        <v>13</v>
      </c>
      <c r="D1825" s="100" t="s">
        <v>22</v>
      </c>
      <c r="E1825" t="s">
        <v>19</v>
      </c>
      <c r="F1825" t="s">
        <v>16</v>
      </c>
      <c r="G1825" t="s">
        <v>734</v>
      </c>
      <c r="H1825" s="128">
        <v>0.30109999999999998</v>
      </c>
      <c r="I1825" s="110">
        <v>0.252</v>
      </c>
      <c r="K1825" s="110">
        <v>0.252</v>
      </c>
      <c r="L1825">
        <v>5000</v>
      </c>
      <c r="M1825">
        <v>500000</v>
      </c>
      <c r="N1825" s="105">
        <v>44378</v>
      </c>
      <c r="O1825" s="105">
        <v>44561</v>
      </c>
      <c r="P1825" t="s">
        <v>718</v>
      </c>
    </row>
    <row r="1826" spans="1:16" ht="15" customHeight="1" x14ac:dyDescent="0.3">
      <c r="A1826" t="str">
        <f t="shared" si="29"/>
        <v>13-4-3RATE-SmartFIX – 1 Year Renewal (Level 2)</v>
      </c>
      <c r="B1826" t="s">
        <v>13</v>
      </c>
      <c r="C1826">
        <v>13</v>
      </c>
      <c r="D1826" s="100" t="s">
        <v>22</v>
      </c>
      <c r="E1826" t="s">
        <v>719</v>
      </c>
      <c r="F1826" t="s">
        <v>18</v>
      </c>
      <c r="G1826" t="s">
        <v>734</v>
      </c>
      <c r="H1826" s="128">
        <v>0.30109999999999998</v>
      </c>
      <c r="I1826" s="110">
        <v>0.1867</v>
      </c>
      <c r="J1826" s="110">
        <v>0.1293</v>
      </c>
      <c r="K1826" s="110">
        <v>0.17270000000000002</v>
      </c>
      <c r="L1826">
        <v>5000</v>
      </c>
      <c r="M1826">
        <v>500000</v>
      </c>
      <c r="N1826" s="105">
        <v>44378</v>
      </c>
      <c r="O1826" s="105">
        <v>44561</v>
      </c>
      <c r="P1826" t="s">
        <v>718</v>
      </c>
    </row>
    <row r="1827" spans="1:16" ht="15" customHeight="1" x14ac:dyDescent="0.3">
      <c r="A1827" t="str">
        <f t="shared" si="29"/>
        <v/>
      </c>
      <c r="B1827" t="s">
        <v>13</v>
      </c>
      <c r="C1827">
        <v>13</v>
      </c>
      <c r="D1827" s="100" t="s">
        <v>22</v>
      </c>
      <c r="E1827" t="s">
        <v>720</v>
      </c>
      <c r="F1827" t="s">
        <v>18</v>
      </c>
      <c r="G1827" t="s">
        <v>734</v>
      </c>
      <c r="H1827" s="128">
        <v>0.30109999999999998</v>
      </c>
      <c r="J1827" s="110">
        <v>0.13270000000000001</v>
      </c>
      <c r="L1827">
        <v>5000</v>
      </c>
      <c r="M1827">
        <v>500000</v>
      </c>
      <c r="N1827" s="105">
        <v>44378</v>
      </c>
      <c r="O1827" s="105">
        <v>44561</v>
      </c>
      <c r="P1827" t="s">
        <v>718</v>
      </c>
    </row>
    <row r="1828" spans="1:16" ht="15" customHeight="1" x14ac:dyDescent="0.3">
      <c r="A1828" t="str">
        <f t="shared" si="29"/>
        <v>14-3-U-SmartFIX – 1 Year Renewal (Level 2)</v>
      </c>
      <c r="B1828" t="s">
        <v>13</v>
      </c>
      <c r="C1828">
        <v>14</v>
      </c>
      <c r="D1828" s="100" t="s">
        <v>23</v>
      </c>
      <c r="E1828" t="s">
        <v>716</v>
      </c>
      <c r="F1828" t="s">
        <v>16</v>
      </c>
      <c r="G1828" t="s">
        <v>734</v>
      </c>
      <c r="H1828" s="128">
        <v>0.37159999999999999</v>
      </c>
      <c r="I1828" s="110">
        <v>0.158</v>
      </c>
      <c r="L1828">
        <v>5000</v>
      </c>
      <c r="M1828">
        <v>500000</v>
      </c>
      <c r="N1828" s="105">
        <v>44378</v>
      </c>
      <c r="O1828" s="105">
        <v>44561</v>
      </c>
      <c r="P1828" t="s">
        <v>718</v>
      </c>
    </row>
    <row r="1829" spans="1:16" ht="15" customHeight="1" x14ac:dyDescent="0.3">
      <c r="A1829" t="str">
        <f t="shared" si="29"/>
        <v>14-4-E7-SmartFIX – 1 Year Renewal (Level 2)</v>
      </c>
      <c r="B1829" t="s">
        <v>13</v>
      </c>
      <c r="C1829">
        <v>14</v>
      </c>
      <c r="D1829" s="100" t="s">
        <v>23</v>
      </c>
      <c r="E1829" t="s">
        <v>17</v>
      </c>
      <c r="F1829" t="s">
        <v>18</v>
      </c>
      <c r="G1829" t="s">
        <v>734</v>
      </c>
      <c r="H1829" s="128">
        <v>0.37159999999999999</v>
      </c>
      <c r="I1829" s="110">
        <v>0.1653</v>
      </c>
      <c r="J1829" s="110">
        <v>0.12209999999999999</v>
      </c>
      <c r="L1829">
        <v>5000</v>
      </c>
      <c r="M1829">
        <v>500000</v>
      </c>
      <c r="N1829" s="105">
        <v>44378</v>
      </c>
      <c r="O1829" s="105">
        <v>44561</v>
      </c>
      <c r="P1829" t="s">
        <v>718</v>
      </c>
    </row>
    <row r="1830" spans="1:16" ht="15" customHeight="1" x14ac:dyDescent="0.3">
      <c r="A1830" t="str">
        <f t="shared" si="29"/>
        <v>14-3-EW-SmartFIX – 1 Year Renewal (Level 2)</v>
      </c>
      <c r="B1830" t="s">
        <v>13</v>
      </c>
      <c r="C1830">
        <v>14</v>
      </c>
      <c r="D1830" s="100" t="s">
        <v>23</v>
      </c>
      <c r="E1830" t="s">
        <v>19</v>
      </c>
      <c r="F1830" t="s">
        <v>16</v>
      </c>
      <c r="G1830" t="s">
        <v>734</v>
      </c>
      <c r="H1830" s="128">
        <v>0.37159999999999999</v>
      </c>
      <c r="I1830" s="110">
        <v>0.1653</v>
      </c>
      <c r="K1830" s="110">
        <v>0.1472</v>
      </c>
      <c r="L1830">
        <v>5000</v>
      </c>
      <c r="M1830">
        <v>500000</v>
      </c>
      <c r="N1830" s="105">
        <v>44378</v>
      </c>
      <c r="O1830" s="105">
        <v>44561</v>
      </c>
      <c r="P1830" t="s">
        <v>718</v>
      </c>
    </row>
    <row r="1831" spans="1:16" ht="15" customHeight="1" x14ac:dyDescent="0.3">
      <c r="A1831" t="str">
        <f t="shared" si="29"/>
        <v>14-4-3RATE-SmartFIX – 1 Year Renewal (Level 2)</v>
      </c>
      <c r="B1831" t="s">
        <v>13</v>
      </c>
      <c r="C1831">
        <v>14</v>
      </c>
      <c r="D1831" s="100" t="s">
        <v>23</v>
      </c>
      <c r="E1831" t="s">
        <v>719</v>
      </c>
      <c r="F1831" t="s">
        <v>18</v>
      </c>
      <c r="G1831" t="s">
        <v>734</v>
      </c>
      <c r="H1831" s="128">
        <v>0.37159999999999999</v>
      </c>
      <c r="I1831" s="110">
        <v>0.252</v>
      </c>
      <c r="J1831" s="110">
        <v>0.252</v>
      </c>
      <c r="K1831" s="110">
        <v>0.252</v>
      </c>
      <c r="L1831">
        <v>5000</v>
      </c>
      <c r="M1831">
        <v>500000</v>
      </c>
      <c r="N1831" s="105">
        <v>44378</v>
      </c>
      <c r="O1831" s="105">
        <v>44561</v>
      </c>
      <c r="P1831" t="s">
        <v>718</v>
      </c>
    </row>
    <row r="1832" spans="1:16" ht="15" customHeight="1" x14ac:dyDescent="0.3">
      <c r="A1832" t="str">
        <f t="shared" si="29"/>
        <v/>
      </c>
      <c r="B1832" t="s">
        <v>13</v>
      </c>
      <c r="C1832">
        <v>14</v>
      </c>
      <c r="D1832" s="100" t="s">
        <v>23</v>
      </c>
      <c r="E1832" t="s">
        <v>720</v>
      </c>
      <c r="F1832" t="s">
        <v>18</v>
      </c>
      <c r="G1832" t="s">
        <v>734</v>
      </c>
      <c r="H1832" s="128">
        <v>0.37159999999999999</v>
      </c>
      <c r="J1832" s="110">
        <v>0.1472</v>
      </c>
      <c r="L1832">
        <v>5000</v>
      </c>
      <c r="M1832">
        <v>500000</v>
      </c>
      <c r="N1832" s="105">
        <v>44378</v>
      </c>
      <c r="O1832" s="105">
        <v>44561</v>
      </c>
      <c r="P1832" t="s">
        <v>718</v>
      </c>
    </row>
    <row r="1833" spans="1:16" ht="15" customHeight="1" x14ac:dyDescent="0.3">
      <c r="A1833" t="str">
        <f t="shared" si="29"/>
        <v>15-3-U-SmartFIX – 1 Year Renewal (Level 2)</v>
      </c>
      <c r="B1833" t="s">
        <v>13</v>
      </c>
      <c r="C1833">
        <v>15</v>
      </c>
      <c r="D1833" s="100" t="s">
        <v>24</v>
      </c>
      <c r="E1833" t="s">
        <v>716</v>
      </c>
      <c r="F1833" t="s">
        <v>16</v>
      </c>
      <c r="G1833" t="s">
        <v>734</v>
      </c>
      <c r="H1833" s="128">
        <v>0.34489999999999998</v>
      </c>
      <c r="I1833" s="110">
        <v>0.15690000000000001</v>
      </c>
      <c r="L1833">
        <v>5000</v>
      </c>
      <c r="M1833">
        <v>500000</v>
      </c>
      <c r="N1833" s="105">
        <v>44378</v>
      </c>
      <c r="O1833" s="105">
        <v>44561</v>
      </c>
      <c r="P1833" t="s">
        <v>718</v>
      </c>
    </row>
    <row r="1834" spans="1:16" ht="15" customHeight="1" x14ac:dyDescent="0.3">
      <c r="A1834" t="str">
        <f t="shared" si="29"/>
        <v>15-4-E7-SmartFIX – 1 Year Renewal (Level 2)</v>
      </c>
      <c r="B1834" t="s">
        <v>13</v>
      </c>
      <c r="C1834">
        <v>15</v>
      </c>
      <c r="D1834" s="100" t="s">
        <v>24</v>
      </c>
      <c r="E1834" t="s">
        <v>17</v>
      </c>
      <c r="F1834" t="s">
        <v>18</v>
      </c>
      <c r="G1834" t="s">
        <v>734</v>
      </c>
      <c r="H1834" s="128">
        <v>0.34489999999999998</v>
      </c>
      <c r="I1834" s="110">
        <v>0.16270000000000001</v>
      </c>
      <c r="J1834" s="110">
        <v>0.12160000000000001</v>
      </c>
      <c r="L1834">
        <v>5000</v>
      </c>
      <c r="M1834">
        <v>500000</v>
      </c>
      <c r="N1834" s="105">
        <v>44378</v>
      </c>
      <c r="O1834" s="105">
        <v>44561</v>
      </c>
      <c r="P1834" t="s">
        <v>718</v>
      </c>
    </row>
    <row r="1835" spans="1:16" ht="15" customHeight="1" x14ac:dyDescent="0.3">
      <c r="A1835" t="str">
        <f t="shared" si="29"/>
        <v>15-3-EW-SmartFIX – 1 Year Renewal (Level 2)</v>
      </c>
      <c r="B1835" t="s">
        <v>13</v>
      </c>
      <c r="C1835">
        <v>15</v>
      </c>
      <c r="D1835" s="100" t="s">
        <v>24</v>
      </c>
      <c r="E1835" t="s">
        <v>19</v>
      </c>
      <c r="F1835" t="s">
        <v>16</v>
      </c>
      <c r="G1835" t="s">
        <v>734</v>
      </c>
      <c r="H1835" s="128">
        <v>0.34489999999999998</v>
      </c>
      <c r="I1835" s="110">
        <v>0.16700000000000001</v>
      </c>
      <c r="K1835" s="110">
        <v>0.14560000000000001</v>
      </c>
      <c r="L1835">
        <v>5000</v>
      </c>
      <c r="M1835">
        <v>500000</v>
      </c>
      <c r="N1835" s="105">
        <v>44378</v>
      </c>
      <c r="O1835" s="105">
        <v>44561</v>
      </c>
      <c r="P1835" t="s">
        <v>718</v>
      </c>
    </row>
    <row r="1836" spans="1:16" ht="15" customHeight="1" x14ac:dyDescent="0.3">
      <c r="A1836" t="str">
        <f t="shared" si="29"/>
        <v>15-4-3RATE-SmartFIX – 1 Year Renewal (Level 2)</v>
      </c>
      <c r="B1836" t="s">
        <v>13</v>
      </c>
      <c r="C1836">
        <v>15</v>
      </c>
      <c r="D1836" s="100" t="s">
        <v>24</v>
      </c>
      <c r="E1836" t="s">
        <v>719</v>
      </c>
      <c r="F1836" t="s">
        <v>18</v>
      </c>
      <c r="G1836" t="s">
        <v>734</v>
      </c>
      <c r="H1836" s="128">
        <v>0.34489999999999998</v>
      </c>
      <c r="I1836" s="110">
        <v>0.252</v>
      </c>
      <c r="J1836" s="110">
        <v>0.252</v>
      </c>
      <c r="K1836" s="110">
        <v>0.252</v>
      </c>
      <c r="L1836">
        <v>5000</v>
      </c>
      <c r="M1836">
        <v>500000</v>
      </c>
      <c r="N1836" s="105">
        <v>44378</v>
      </c>
      <c r="O1836" s="105">
        <v>44561</v>
      </c>
      <c r="P1836" t="s">
        <v>718</v>
      </c>
    </row>
    <row r="1837" spans="1:16" ht="15" customHeight="1" x14ac:dyDescent="0.3">
      <c r="A1837" t="str">
        <f t="shared" si="29"/>
        <v/>
      </c>
      <c r="B1837" t="s">
        <v>13</v>
      </c>
      <c r="C1837">
        <v>15</v>
      </c>
      <c r="D1837" s="100" t="s">
        <v>24</v>
      </c>
      <c r="E1837" t="s">
        <v>720</v>
      </c>
      <c r="F1837" t="s">
        <v>18</v>
      </c>
      <c r="G1837" t="s">
        <v>734</v>
      </c>
      <c r="H1837" s="128">
        <v>0.34489999999999998</v>
      </c>
      <c r="J1837" s="110">
        <v>0.14560000000000001</v>
      </c>
      <c r="L1837">
        <v>5000</v>
      </c>
      <c r="M1837">
        <v>500000</v>
      </c>
      <c r="N1837" s="105">
        <v>44378</v>
      </c>
      <c r="O1837" s="105">
        <v>44561</v>
      </c>
      <c r="P1837" t="s">
        <v>718</v>
      </c>
    </row>
    <row r="1838" spans="1:16" ht="15" customHeight="1" x14ac:dyDescent="0.3">
      <c r="A1838" t="str">
        <f t="shared" si="29"/>
        <v>16-3-U-SmartFIX – 1 Year Renewal (Level 2)</v>
      </c>
      <c r="B1838" t="s">
        <v>13</v>
      </c>
      <c r="C1838">
        <v>16</v>
      </c>
      <c r="D1838" s="100" t="s">
        <v>25</v>
      </c>
      <c r="E1838" t="s">
        <v>716</v>
      </c>
      <c r="F1838" t="s">
        <v>16</v>
      </c>
      <c r="G1838" t="s">
        <v>734</v>
      </c>
      <c r="H1838" s="128">
        <v>0.29189999999999999</v>
      </c>
      <c r="I1838" s="110">
        <v>0.1593</v>
      </c>
      <c r="L1838">
        <v>5000</v>
      </c>
      <c r="M1838">
        <v>500000</v>
      </c>
      <c r="N1838" s="105">
        <v>44378</v>
      </c>
      <c r="O1838" s="105">
        <v>44561</v>
      </c>
      <c r="P1838" t="s">
        <v>718</v>
      </c>
    </row>
    <row r="1839" spans="1:16" ht="15" customHeight="1" x14ac:dyDescent="0.3">
      <c r="A1839" t="str">
        <f t="shared" si="29"/>
        <v>16-4-E7-SmartFIX – 1 Year Renewal (Level 2)</v>
      </c>
      <c r="B1839" t="s">
        <v>13</v>
      </c>
      <c r="C1839">
        <v>16</v>
      </c>
      <c r="D1839" s="100" t="s">
        <v>25</v>
      </c>
      <c r="E1839" t="s">
        <v>17</v>
      </c>
      <c r="F1839" t="s">
        <v>18</v>
      </c>
      <c r="G1839" t="s">
        <v>734</v>
      </c>
      <c r="H1839" s="128">
        <v>0.29189999999999999</v>
      </c>
      <c r="I1839" s="110">
        <v>0.16620000000000001</v>
      </c>
      <c r="J1839" s="110">
        <v>0.123</v>
      </c>
      <c r="L1839">
        <v>5000</v>
      </c>
      <c r="M1839">
        <v>500000</v>
      </c>
      <c r="N1839" s="105">
        <v>44378</v>
      </c>
      <c r="O1839" s="105">
        <v>44561</v>
      </c>
      <c r="P1839" t="s">
        <v>718</v>
      </c>
    </row>
    <row r="1840" spans="1:16" ht="15" customHeight="1" x14ac:dyDescent="0.3">
      <c r="A1840" t="str">
        <f t="shared" si="29"/>
        <v>16-3-EW-SmartFIX – 1 Year Renewal (Level 2)</v>
      </c>
      <c r="B1840" t="s">
        <v>13</v>
      </c>
      <c r="C1840">
        <v>16</v>
      </c>
      <c r="D1840" s="100" t="s">
        <v>25</v>
      </c>
      <c r="E1840" t="s">
        <v>19</v>
      </c>
      <c r="F1840" t="s">
        <v>16</v>
      </c>
      <c r="G1840" t="s">
        <v>734</v>
      </c>
      <c r="H1840" s="128">
        <v>0.29189999999999999</v>
      </c>
      <c r="I1840" s="110">
        <v>0.16930000000000001</v>
      </c>
      <c r="K1840" s="110">
        <v>0.14730000000000001</v>
      </c>
      <c r="L1840">
        <v>5000</v>
      </c>
      <c r="M1840">
        <v>500000</v>
      </c>
      <c r="N1840" s="105">
        <v>44378</v>
      </c>
      <c r="O1840" s="105">
        <v>44561</v>
      </c>
      <c r="P1840" t="s">
        <v>718</v>
      </c>
    </row>
    <row r="1841" spans="1:16" ht="15" customHeight="1" x14ac:dyDescent="0.3">
      <c r="A1841" t="str">
        <f t="shared" si="29"/>
        <v>16-4-3RATE-SmartFIX – 1 Year Renewal (Level 2)</v>
      </c>
      <c r="B1841" t="s">
        <v>13</v>
      </c>
      <c r="C1841">
        <v>16</v>
      </c>
      <c r="D1841" s="100" t="s">
        <v>25</v>
      </c>
      <c r="E1841" t="s">
        <v>719</v>
      </c>
      <c r="F1841" t="s">
        <v>18</v>
      </c>
      <c r="G1841" t="s">
        <v>734</v>
      </c>
      <c r="H1841" s="128">
        <v>0.29189999999999999</v>
      </c>
      <c r="I1841" s="110">
        <v>0.1749</v>
      </c>
      <c r="J1841" s="110">
        <v>0.11990000000000001</v>
      </c>
      <c r="K1841" s="110">
        <v>0.14960000000000001</v>
      </c>
      <c r="L1841">
        <v>5000</v>
      </c>
      <c r="M1841">
        <v>500000</v>
      </c>
      <c r="N1841" s="105">
        <v>44378</v>
      </c>
      <c r="O1841" s="105">
        <v>44561</v>
      </c>
      <c r="P1841" t="s">
        <v>718</v>
      </c>
    </row>
    <row r="1842" spans="1:16" ht="15" customHeight="1" x14ac:dyDescent="0.3">
      <c r="A1842" t="str">
        <f t="shared" si="29"/>
        <v/>
      </c>
      <c r="B1842" t="s">
        <v>13</v>
      </c>
      <c r="C1842">
        <v>16</v>
      </c>
      <c r="D1842" s="100" t="s">
        <v>25</v>
      </c>
      <c r="E1842" t="s">
        <v>720</v>
      </c>
      <c r="F1842" t="s">
        <v>18</v>
      </c>
      <c r="G1842" t="s">
        <v>734</v>
      </c>
      <c r="H1842" s="128">
        <v>0.29189999999999999</v>
      </c>
      <c r="J1842" s="110">
        <v>0.14730000000000001</v>
      </c>
      <c r="L1842">
        <v>5000</v>
      </c>
      <c r="M1842">
        <v>500000</v>
      </c>
      <c r="N1842" s="105">
        <v>44378</v>
      </c>
      <c r="O1842" s="105">
        <v>44561</v>
      </c>
      <c r="P1842" t="s">
        <v>718</v>
      </c>
    </row>
    <row r="1843" spans="1:16" ht="15" customHeight="1" x14ac:dyDescent="0.3">
      <c r="A1843" t="str">
        <f t="shared" si="29"/>
        <v>17-3-U-SmartFIX – 1 Year Renewal (Level 2)</v>
      </c>
      <c r="B1843" t="s">
        <v>13</v>
      </c>
      <c r="C1843">
        <v>17</v>
      </c>
      <c r="D1843" s="100" t="s">
        <v>26</v>
      </c>
      <c r="E1843" t="s">
        <v>716</v>
      </c>
      <c r="F1843" t="s">
        <v>16</v>
      </c>
      <c r="G1843" t="s">
        <v>734</v>
      </c>
      <c r="H1843" s="128">
        <v>0.3846</v>
      </c>
      <c r="I1843" s="110">
        <v>0.16200000000000001</v>
      </c>
      <c r="L1843">
        <v>5000</v>
      </c>
      <c r="M1843">
        <v>500000</v>
      </c>
      <c r="N1843" s="105">
        <v>44378</v>
      </c>
      <c r="O1843" s="105">
        <v>44561</v>
      </c>
      <c r="P1843" t="s">
        <v>718</v>
      </c>
    </row>
    <row r="1844" spans="1:16" ht="15" customHeight="1" x14ac:dyDescent="0.3">
      <c r="A1844" t="str">
        <f t="shared" si="29"/>
        <v>17-4-E7-SmartFIX – 1 Year Renewal (Level 2)</v>
      </c>
      <c r="B1844" t="s">
        <v>13</v>
      </c>
      <c r="C1844">
        <v>17</v>
      </c>
      <c r="D1844" s="100" t="s">
        <v>26</v>
      </c>
      <c r="E1844" t="s">
        <v>17</v>
      </c>
      <c r="F1844" t="s">
        <v>18</v>
      </c>
      <c r="G1844" t="s">
        <v>734</v>
      </c>
      <c r="H1844" s="128">
        <v>0.3846</v>
      </c>
      <c r="I1844" s="110">
        <v>0.17760000000000001</v>
      </c>
      <c r="J1844" s="110">
        <v>0.1326</v>
      </c>
      <c r="L1844">
        <v>5000</v>
      </c>
      <c r="M1844">
        <v>500000</v>
      </c>
      <c r="N1844" s="105">
        <v>44378</v>
      </c>
      <c r="O1844" s="105">
        <v>44561</v>
      </c>
      <c r="P1844" t="s">
        <v>718</v>
      </c>
    </row>
    <row r="1845" spans="1:16" ht="15" customHeight="1" x14ac:dyDescent="0.3">
      <c r="A1845" t="str">
        <f t="shared" si="29"/>
        <v>17-3-EW-SmartFIX – 1 Year Renewal (Level 2)</v>
      </c>
      <c r="B1845" t="s">
        <v>13</v>
      </c>
      <c r="C1845">
        <v>17</v>
      </c>
      <c r="D1845" s="100" t="s">
        <v>26</v>
      </c>
      <c r="E1845" t="s">
        <v>19</v>
      </c>
      <c r="F1845" t="s">
        <v>16</v>
      </c>
      <c r="G1845" t="s">
        <v>734</v>
      </c>
      <c r="H1845" s="128">
        <v>0.3846</v>
      </c>
      <c r="I1845" s="110">
        <v>0.16950000000000001</v>
      </c>
      <c r="K1845" s="110">
        <v>0.1522</v>
      </c>
      <c r="L1845">
        <v>5000</v>
      </c>
      <c r="M1845">
        <v>500000</v>
      </c>
      <c r="N1845" s="105">
        <v>44378</v>
      </c>
      <c r="O1845" s="105">
        <v>44561</v>
      </c>
      <c r="P1845" t="s">
        <v>718</v>
      </c>
    </row>
    <row r="1846" spans="1:16" ht="15" customHeight="1" x14ac:dyDescent="0.3">
      <c r="A1846" t="str">
        <f t="shared" si="29"/>
        <v>17-4-3RATE-SmartFIX – 1 Year Renewal (Level 2)</v>
      </c>
      <c r="B1846" t="s">
        <v>13</v>
      </c>
      <c r="C1846">
        <v>17</v>
      </c>
      <c r="D1846" s="100" t="s">
        <v>26</v>
      </c>
      <c r="E1846" t="s">
        <v>719</v>
      </c>
      <c r="F1846" t="s">
        <v>18</v>
      </c>
      <c r="G1846" t="s">
        <v>734</v>
      </c>
      <c r="H1846" s="128">
        <v>0.3846</v>
      </c>
      <c r="I1846" s="110">
        <v>0.252</v>
      </c>
      <c r="J1846" s="110">
        <v>0.252</v>
      </c>
      <c r="K1846" s="110">
        <v>0.252</v>
      </c>
      <c r="L1846">
        <v>5000</v>
      </c>
      <c r="M1846">
        <v>500000</v>
      </c>
      <c r="N1846" s="105">
        <v>44378</v>
      </c>
      <c r="O1846" s="105">
        <v>44561</v>
      </c>
      <c r="P1846" t="s">
        <v>718</v>
      </c>
    </row>
    <row r="1847" spans="1:16" ht="15" customHeight="1" x14ac:dyDescent="0.3">
      <c r="A1847" t="str">
        <f t="shared" si="29"/>
        <v/>
      </c>
      <c r="B1847" t="s">
        <v>13</v>
      </c>
      <c r="C1847">
        <v>17</v>
      </c>
      <c r="D1847" s="100" t="s">
        <v>26</v>
      </c>
      <c r="E1847" t="s">
        <v>720</v>
      </c>
      <c r="F1847" t="s">
        <v>18</v>
      </c>
      <c r="G1847" t="s">
        <v>734</v>
      </c>
      <c r="H1847" s="128">
        <v>0.3846</v>
      </c>
      <c r="J1847" s="110">
        <v>0.1522</v>
      </c>
      <c r="L1847">
        <v>5000</v>
      </c>
      <c r="M1847">
        <v>500000</v>
      </c>
      <c r="N1847" s="105">
        <v>44378</v>
      </c>
      <c r="O1847" s="105">
        <v>44561</v>
      </c>
      <c r="P1847" t="s">
        <v>718</v>
      </c>
    </row>
    <row r="1848" spans="1:16" ht="15" customHeight="1" x14ac:dyDescent="0.3">
      <c r="A1848" t="str">
        <f t="shared" si="29"/>
        <v>18-3-U-SmartFIX – 1 Year Renewal (Level 2)</v>
      </c>
      <c r="B1848" t="s">
        <v>13</v>
      </c>
      <c r="C1848">
        <v>18</v>
      </c>
      <c r="D1848" s="100" t="s">
        <v>27</v>
      </c>
      <c r="E1848" t="s">
        <v>716</v>
      </c>
      <c r="F1848" t="s">
        <v>16</v>
      </c>
      <c r="G1848" t="s">
        <v>734</v>
      </c>
      <c r="H1848" s="128">
        <v>0.33550000000000002</v>
      </c>
      <c r="I1848" s="110">
        <v>0.1573</v>
      </c>
      <c r="L1848">
        <v>5000</v>
      </c>
      <c r="M1848">
        <v>500000</v>
      </c>
      <c r="N1848" s="105">
        <v>44378</v>
      </c>
      <c r="O1848" s="105">
        <v>44561</v>
      </c>
      <c r="P1848" t="s">
        <v>718</v>
      </c>
    </row>
    <row r="1849" spans="1:16" ht="15" customHeight="1" x14ac:dyDescent="0.3">
      <c r="A1849" t="str">
        <f t="shared" si="29"/>
        <v>18-4-E7-SmartFIX – 1 Year Renewal (Level 2)</v>
      </c>
      <c r="B1849" t="s">
        <v>13</v>
      </c>
      <c r="C1849">
        <v>18</v>
      </c>
      <c r="D1849" s="100" t="s">
        <v>27</v>
      </c>
      <c r="E1849" t="s">
        <v>17</v>
      </c>
      <c r="F1849" t="s">
        <v>18</v>
      </c>
      <c r="G1849" t="s">
        <v>734</v>
      </c>
      <c r="H1849" s="128">
        <v>0.33550000000000002</v>
      </c>
      <c r="I1849" s="110">
        <v>0.17020000000000002</v>
      </c>
      <c r="J1849" s="110">
        <v>0.12770000000000001</v>
      </c>
      <c r="L1849">
        <v>5000</v>
      </c>
      <c r="M1849">
        <v>500000</v>
      </c>
      <c r="N1849" s="105">
        <v>44378</v>
      </c>
      <c r="O1849" s="105">
        <v>44561</v>
      </c>
      <c r="P1849" t="s">
        <v>718</v>
      </c>
    </row>
    <row r="1850" spans="1:16" ht="15" customHeight="1" x14ac:dyDescent="0.3">
      <c r="A1850" t="str">
        <f t="shared" si="29"/>
        <v>18-3-EW-SmartFIX – 1 Year Renewal (Level 2)</v>
      </c>
      <c r="B1850" t="s">
        <v>13</v>
      </c>
      <c r="C1850">
        <v>18</v>
      </c>
      <c r="D1850" s="100" t="s">
        <v>27</v>
      </c>
      <c r="E1850" t="s">
        <v>19</v>
      </c>
      <c r="F1850" t="s">
        <v>16</v>
      </c>
      <c r="G1850" t="s">
        <v>734</v>
      </c>
      <c r="H1850" s="128">
        <v>0.33550000000000002</v>
      </c>
      <c r="I1850" s="110">
        <v>0.16490000000000002</v>
      </c>
      <c r="K1850" s="110">
        <v>0.14630000000000001</v>
      </c>
      <c r="L1850">
        <v>5000</v>
      </c>
      <c r="M1850">
        <v>500000</v>
      </c>
      <c r="N1850" s="105">
        <v>44378</v>
      </c>
      <c r="O1850" s="105">
        <v>44561</v>
      </c>
      <c r="P1850" t="s">
        <v>718</v>
      </c>
    </row>
    <row r="1851" spans="1:16" ht="15" customHeight="1" x14ac:dyDescent="0.3">
      <c r="A1851" t="str">
        <f t="shared" si="29"/>
        <v>18-4-3RATE-SmartFIX – 1 Year Renewal (Level 2)</v>
      </c>
      <c r="B1851" t="s">
        <v>13</v>
      </c>
      <c r="C1851">
        <v>18</v>
      </c>
      <c r="D1851" s="100" t="s">
        <v>27</v>
      </c>
      <c r="E1851" t="s">
        <v>719</v>
      </c>
      <c r="F1851" t="s">
        <v>18</v>
      </c>
      <c r="G1851" t="s">
        <v>734</v>
      </c>
      <c r="H1851" s="128">
        <v>0.33550000000000002</v>
      </c>
      <c r="I1851" s="110">
        <v>0.252</v>
      </c>
      <c r="J1851" s="110">
        <v>0.252</v>
      </c>
      <c r="K1851" s="110">
        <v>0.252</v>
      </c>
      <c r="L1851">
        <v>5000</v>
      </c>
      <c r="M1851">
        <v>500000</v>
      </c>
      <c r="N1851" s="105">
        <v>44378</v>
      </c>
      <c r="O1851" s="105">
        <v>44561</v>
      </c>
      <c r="P1851" t="s">
        <v>718</v>
      </c>
    </row>
    <row r="1852" spans="1:16" ht="15" customHeight="1" x14ac:dyDescent="0.3">
      <c r="A1852" t="str">
        <f t="shared" si="29"/>
        <v/>
      </c>
      <c r="B1852" t="s">
        <v>13</v>
      </c>
      <c r="C1852">
        <v>18</v>
      </c>
      <c r="D1852" s="100" t="s">
        <v>27</v>
      </c>
      <c r="E1852" t="s">
        <v>720</v>
      </c>
      <c r="F1852" t="s">
        <v>18</v>
      </c>
      <c r="G1852" t="s">
        <v>734</v>
      </c>
      <c r="H1852" s="128">
        <v>0.33550000000000002</v>
      </c>
      <c r="J1852" s="110">
        <v>0.14630000000000001</v>
      </c>
      <c r="L1852">
        <v>5000</v>
      </c>
      <c r="M1852">
        <v>500000</v>
      </c>
      <c r="N1852" s="105">
        <v>44378</v>
      </c>
      <c r="O1852" s="105">
        <v>44561</v>
      </c>
      <c r="P1852" t="s">
        <v>718</v>
      </c>
    </row>
    <row r="1853" spans="1:16" ht="15" customHeight="1" x14ac:dyDescent="0.3">
      <c r="A1853" t="str">
        <f t="shared" si="29"/>
        <v>19-3-U-SmartFIX – 1 Year Renewal (Level 2)</v>
      </c>
      <c r="B1853" t="s">
        <v>13</v>
      </c>
      <c r="C1853">
        <v>19</v>
      </c>
      <c r="D1853" s="100" t="s">
        <v>28</v>
      </c>
      <c r="E1853" t="s">
        <v>716</v>
      </c>
      <c r="F1853" t="s">
        <v>16</v>
      </c>
      <c r="G1853" t="s">
        <v>734</v>
      </c>
      <c r="H1853" s="128">
        <v>0.31890000000000002</v>
      </c>
      <c r="I1853" s="110">
        <v>0.1578</v>
      </c>
      <c r="L1853">
        <v>5000</v>
      </c>
      <c r="M1853">
        <v>500000</v>
      </c>
      <c r="N1853" s="105">
        <v>44378</v>
      </c>
      <c r="O1853" s="105">
        <v>44561</v>
      </c>
      <c r="P1853" t="s">
        <v>718</v>
      </c>
    </row>
    <row r="1854" spans="1:16" ht="15" customHeight="1" x14ac:dyDescent="0.3">
      <c r="A1854" t="str">
        <f t="shared" si="29"/>
        <v>19-4-E7-SmartFIX – 1 Year Renewal (Level 2)</v>
      </c>
      <c r="B1854" t="s">
        <v>13</v>
      </c>
      <c r="C1854">
        <v>19</v>
      </c>
      <c r="D1854" s="100" t="s">
        <v>28</v>
      </c>
      <c r="E1854" t="s">
        <v>17</v>
      </c>
      <c r="F1854" t="s">
        <v>18</v>
      </c>
      <c r="G1854" t="s">
        <v>734</v>
      </c>
      <c r="H1854" s="128">
        <v>0.31890000000000002</v>
      </c>
      <c r="I1854" s="110">
        <v>0.1663</v>
      </c>
      <c r="J1854" s="110">
        <v>0.11879999999999999</v>
      </c>
      <c r="L1854">
        <v>5000</v>
      </c>
      <c r="M1854">
        <v>500000</v>
      </c>
      <c r="N1854" s="105">
        <v>44378</v>
      </c>
      <c r="O1854" s="105">
        <v>44561</v>
      </c>
      <c r="P1854" t="s">
        <v>718</v>
      </c>
    </row>
    <row r="1855" spans="1:16" ht="15" customHeight="1" x14ac:dyDescent="0.3">
      <c r="A1855" t="str">
        <f t="shared" si="29"/>
        <v>19-3-EW-SmartFIX – 1 Year Renewal (Level 2)</v>
      </c>
      <c r="B1855" t="s">
        <v>13</v>
      </c>
      <c r="C1855">
        <v>19</v>
      </c>
      <c r="D1855" s="100" t="s">
        <v>28</v>
      </c>
      <c r="E1855" t="s">
        <v>19</v>
      </c>
      <c r="F1855" t="s">
        <v>16</v>
      </c>
      <c r="G1855" t="s">
        <v>734</v>
      </c>
      <c r="H1855" s="128">
        <v>0.31890000000000002</v>
      </c>
      <c r="I1855" s="110">
        <v>0.252</v>
      </c>
      <c r="K1855" s="110">
        <v>0.252</v>
      </c>
      <c r="L1855">
        <v>5000</v>
      </c>
      <c r="M1855">
        <v>500000</v>
      </c>
      <c r="N1855" s="105">
        <v>44378</v>
      </c>
      <c r="O1855" s="105">
        <v>44561</v>
      </c>
      <c r="P1855" t="s">
        <v>718</v>
      </c>
    </row>
    <row r="1856" spans="1:16" ht="15" customHeight="1" x14ac:dyDescent="0.3">
      <c r="A1856" t="str">
        <f t="shared" si="29"/>
        <v>19-4-3RATE-SmartFIX – 1 Year Renewal (Level 2)</v>
      </c>
      <c r="B1856" t="s">
        <v>13</v>
      </c>
      <c r="C1856">
        <v>19</v>
      </c>
      <c r="D1856" s="100" t="s">
        <v>28</v>
      </c>
      <c r="E1856" t="s">
        <v>719</v>
      </c>
      <c r="F1856" t="s">
        <v>18</v>
      </c>
      <c r="G1856" t="s">
        <v>734</v>
      </c>
      <c r="H1856" s="128">
        <v>0.31890000000000002</v>
      </c>
      <c r="I1856" s="110">
        <v>0.17650000000000002</v>
      </c>
      <c r="J1856" s="110">
        <v>0.12010000000000001</v>
      </c>
      <c r="K1856" s="110">
        <v>0.16420000000000001</v>
      </c>
      <c r="L1856">
        <v>5000</v>
      </c>
      <c r="M1856">
        <v>500000</v>
      </c>
      <c r="N1856" s="105">
        <v>44378</v>
      </c>
      <c r="O1856" s="105">
        <v>44561</v>
      </c>
      <c r="P1856" t="s">
        <v>718</v>
      </c>
    </row>
    <row r="1857" spans="1:16" ht="15" customHeight="1" x14ac:dyDescent="0.3">
      <c r="A1857" t="str">
        <f t="shared" si="29"/>
        <v/>
      </c>
      <c r="B1857" t="s">
        <v>13</v>
      </c>
      <c r="C1857">
        <v>19</v>
      </c>
      <c r="D1857" s="100" t="s">
        <v>28</v>
      </c>
      <c r="E1857" t="s">
        <v>720</v>
      </c>
      <c r="F1857" t="s">
        <v>18</v>
      </c>
      <c r="G1857" t="s">
        <v>734</v>
      </c>
      <c r="H1857" s="128">
        <v>0.31890000000000002</v>
      </c>
      <c r="J1857" s="110">
        <v>0.11879999999999999</v>
      </c>
      <c r="L1857">
        <v>5000</v>
      </c>
      <c r="M1857">
        <v>500000</v>
      </c>
      <c r="N1857" s="105">
        <v>44378</v>
      </c>
      <c r="O1857" s="105">
        <v>44561</v>
      </c>
      <c r="P1857" t="s">
        <v>718</v>
      </c>
    </row>
    <row r="1858" spans="1:16" ht="15" customHeight="1" x14ac:dyDescent="0.3">
      <c r="A1858" t="str">
        <f t="shared" si="29"/>
        <v>20-3-U-SmartFIX – 1 Year Renewal (Level 2)</v>
      </c>
      <c r="B1858" t="s">
        <v>13</v>
      </c>
      <c r="C1858">
        <v>20</v>
      </c>
      <c r="D1858" s="100" t="s">
        <v>29</v>
      </c>
      <c r="E1858" t="s">
        <v>716</v>
      </c>
      <c r="F1858" t="s">
        <v>16</v>
      </c>
      <c r="G1858" t="s">
        <v>734</v>
      </c>
      <c r="H1858" s="128">
        <v>0.316</v>
      </c>
      <c r="I1858" s="110">
        <v>0.1535</v>
      </c>
      <c r="L1858">
        <v>5000</v>
      </c>
      <c r="M1858">
        <v>500000</v>
      </c>
      <c r="N1858" s="105">
        <v>44378</v>
      </c>
      <c r="O1858" s="105">
        <v>44561</v>
      </c>
      <c r="P1858" t="s">
        <v>718</v>
      </c>
    </row>
    <row r="1859" spans="1:16" ht="15" customHeight="1" x14ac:dyDescent="0.3">
      <c r="A1859" t="str">
        <f t="shared" si="29"/>
        <v>20-4-E7-SmartFIX – 1 Year Renewal (Level 2)</v>
      </c>
      <c r="B1859" t="s">
        <v>13</v>
      </c>
      <c r="C1859">
        <v>20</v>
      </c>
      <c r="D1859" s="100" t="s">
        <v>29</v>
      </c>
      <c r="E1859" t="s">
        <v>17</v>
      </c>
      <c r="F1859" t="s">
        <v>18</v>
      </c>
      <c r="G1859" t="s">
        <v>734</v>
      </c>
      <c r="H1859" s="128">
        <v>0.316</v>
      </c>
      <c r="I1859" s="110">
        <v>0.1646</v>
      </c>
      <c r="J1859" s="110">
        <v>0.1207</v>
      </c>
      <c r="L1859">
        <v>5000</v>
      </c>
      <c r="M1859">
        <v>500000</v>
      </c>
      <c r="N1859" s="105">
        <v>44378</v>
      </c>
      <c r="O1859" s="105">
        <v>44561</v>
      </c>
      <c r="P1859" t="s">
        <v>718</v>
      </c>
    </row>
    <row r="1860" spans="1:16" ht="15" customHeight="1" x14ac:dyDescent="0.3">
      <c r="A1860" t="str">
        <f t="shared" si="29"/>
        <v>20-3-EW-SmartFIX – 1 Year Renewal (Level 2)</v>
      </c>
      <c r="B1860" t="s">
        <v>13</v>
      </c>
      <c r="C1860">
        <v>20</v>
      </c>
      <c r="D1860" s="100" t="s">
        <v>29</v>
      </c>
      <c r="E1860" t="s">
        <v>19</v>
      </c>
      <c r="F1860" t="s">
        <v>16</v>
      </c>
      <c r="G1860" t="s">
        <v>734</v>
      </c>
      <c r="H1860" s="128">
        <v>0.316</v>
      </c>
      <c r="I1860" s="110">
        <v>0.16259999999999999</v>
      </c>
      <c r="K1860" s="110">
        <v>0.14120000000000002</v>
      </c>
      <c r="L1860">
        <v>5000</v>
      </c>
      <c r="M1860">
        <v>500000</v>
      </c>
      <c r="N1860" s="105">
        <v>44378</v>
      </c>
      <c r="O1860" s="105">
        <v>44561</v>
      </c>
      <c r="P1860" t="s">
        <v>718</v>
      </c>
    </row>
    <row r="1861" spans="1:16" ht="15" customHeight="1" x14ac:dyDescent="0.3">
      <c r="A1861" t="str">
        <f t="shared" si="29"/>
        <v>20-4-3RATE-SmartFIX – 1 Year Renewal (Level 2)</v>
      </c>
      <c r="B1861" t="s">
        <v>13</v>
      </c>
      <c r="C1861">
        <v>20</v>
      </c>
      <c r="D1861" s="100" t="s">
        <v>29</v>
      </c>
      <c r="E1861" t="s">
        <v>719</v>
      </c>
      <c r="F1861" t="s">
        <v>18</v>
      </c>
      <c r="G1861" t="s">
        <v>734</v>
      </c>
      <c r="H1861" s="128">
        <v>0.316</v>
      </c>
      <c r="I1861" s="110">
        <v>0.17369999999999999</v>
      </c>
      <c r="J1861" s="110">
        <v>0.12190000000000001</v>
      </c>
      <c r="K1861" s="110">
        <v>0.155</v>
      </c>
      <c r="L1861">
        <v>5000</v>
      </c>
      <c r="M1861">
        <v>500000</v>
      </c>
      <c r="N1861" s="105">
        <v>44378</v>
      </c>
      <c r="O1861" s="105">
        <v>44561</v>
      </c>
      <c r="P1861" t="s">
        <v>718</v>
      </c>
    </row>
    <row r="1862" spans="1:16" ht="15" customHeight="1" x14ac:dyDescent="0.3">
      <c r="A1862" t="str">
        <f t="shared" si="29"/>
        <v/>
      </c>
      <c r="B1862" t="s">
        <v>13</v>
      </c>
      <c r="C1862">
        <v>20</v>
      </c>
      <c r="D1862" s="100" t="s">
        <v>29</v>
      </c>
      <c r="E1862" t="s">
        <v>720</v>
      </c>
      <c r="F1862" t="s">
        <v>18</v>
      </c>
      <c r="G1862" t="s">
        <v>734</v>
      </c>
      <c r="H1862" s="128">
        <v>0.316</v>
      </c>
      <c r="J1862" s="110">
        <v>0.14120000000000002</v>
      </c>
      <c r="L1862">
        <v>5000</v>
      </c>
      <c r="M1862">
        <v>500000</v>
      </c>
      <c r="N1862" s="105">
        <v>44378</v>
      </c>
      <c r="O1862" s="105">
        <v>44561</v>
      </c>
      <c r="P1862" t="s">
        <v>718</v>
      </c>
    </row>
    <row r="1863" spans="1:16" ht="15" customHeight="1" x14ac:dyDescent="0.3">
      <c r="A1863" t="str">
        <f t="shared" si="29"/>
        <v>21-3-U-SmartFIX – 1 Year Renewal (Level 2)</v>
      </c>
      <c r="B1863" t="s">
        <v>13</v>
      </c>
      <c r="C1863">
        <v>21</v>
      </c>
      <c r="D1863" s="100" t="s">
        <v>30</v>
      </c>
      <c r="E1863" t="s">
        <v>716</v>
      </c>
      <c r="F1863" t="s">
        <v>16</v>
      </c>
      <c r="G1863" t="s">
        <v>734</v>
      </c>
      <c r="H1863" s="128">
        <v>0.43740000000000001</v>
      </c>
      <c r="I1863" s="110">
        <v>0.15529999999999999</v>
      </c>
      <c r="L1863">
        <v>5000</v>
      </c>
      <c r="M1863">
        <v>500000</v>
      </c>
      <c r="N1863" s="105">
        <v>44378</v>
      </c>
      <c r="O1863" s="105">
        <v>44561</v>
      </c>
      <c r="P1863" t="s">
        <v>718</v>
      </c>
    </row>
    <row r="1864" spans="1:16" ht="15" customHeight="1" x14ac:dyDescent="0.3">
      <c r="A1864" t="str">
        <f t="shared" si="29"/>
        <v>21-4-E7-SmartFIX – 1 Year Renewal (Level 2)</v>
      </c>
      <c r="B1864" t="s">
        <v>13</v>
      </c>
      <c r="C1864">
        <v>21</v>
      </c>
      <c r="D1864" s="100" t="s">
        <v>30</v>
      </c>
      <c r="E1864" t="s">
        <v>17</v>
      </c>
      <c r="F1864" t="s">
        <v>18</v>
      </c>
      <c r="G1864" t="s">
        <v>734</v>
      </c>
      <c r="H1864" s="128">
        <v>0.43740000000000001</v>
      </c>
      <c r="I1864" s="110">
        <v>0.1646</v>
      </c>
      <c r="J1864" s="110">
        <v>0.12379999999999999</v>
      </c>
      <c r="L1864">
        <v>5000</v>
      </c>
      <c r="M1864">
        <v>500000</v>
      </c>
      <c r="N1864" s="105">
        <v>44378</v>
      </c>
      <c r="O1864" s="105">
        <v>44561</v>
      </c>
      <c r="P1864" t="s">
        <v>718</v>
      </c>
    </row>
    <row r="1865" spans="1:16" ht="15" customHeight="1" x14ac:dyDescent="0.3">
      <c r="A1865" t="str">
        <f t="shared" si="29"/>
        <v>21-3-EW-SmartFIX – 1 Year Renewal (Level 2)</v>
      </c>
      <c r="B1865" t="s">
        <v>13</v>
      </c>
      <c r="C1865">
        <v>21</v>
      </c>
      <c r="D1865" s="100" t="s">
        <v>30</v>
      </c>
      <c r="E1865" t="s">
        <v>19</v>
      </c>
      <c r="F1865" t="s">
        <v>16</v>
      </c>
      <c r="G1865" t="s">
        <v>734</v>
      </c>
      <c r="H1865" s="128">
        <v>0.43740000000000001</v>
      </c>
      <c r="I1865" s="110">
        <v>0.16290000000000002</v>
      </c>
      <c r="K1865" s="110">
        <v>0.1447</v>
      </c>
      <c r="L1865">
        <v>5000</v>
      </c>
      <c r="M1865">
        <v>500000</v>
      </c>
      <c r="N1865" s="105">
        <v>44378</v>
      </c>
      <c r="O1865" s="105">
        <v>44561</v>
      </c>
      <c r="P1865" t="s">
        <v>718</v>
      </c>
    </row>
    <row r="1866" spans="1:16" ht="15" customHeight="1" x14ac:dyDescent="0.3">
      <c r="A1866" t="str">
        <f t="shared" si="29"/>
        <v>21-4-3RATE-SmartFIX – 1 Year Renewal (Level 2)</v>
      </c>
      <c r="B1866" t="s">
        <v>13</v>
      </c>
      <c r="C1866">
        <v>21</v>
      </c>
      <c r="D1866" s="100" t="s">
        <v>30</v>
      </c>
      <c r="E1866" t="s">
        <v>719</v>
      </c>
      <c r="F1866" t="s">
        <v>18</v>
      </c>
      <c r="G1866" t="s">
        <v>734</v>
      </c>
      <c r="H1866" s="128">
        <v>0.43740000000000001</v>
      </c>
      <c r="I1866" s="110">
        <v>0.1744</v>
      </c>
      <c r="J1866" s="110">
        <v>0.123</v>
      </c>
      <c r="K1866" s="110">
        <v>0.15870000000000001</v>
      </c>
      <c r="L1866">
        <v>5000</v>
      </c>
      <c r="M1866">
        <v>500000</v>
      </c>
      <c r="N1866" s="105">
        <v>44378</v>
      </c>
      <c r="O1866" s="105">
        <v>44561</v>
      </c>
      <c r="P1866" t="s">
        <v>718</v>
      </c>
    </row>
    <row r="1867" spans="1:16" ht="15" customHeight="1" x14ac:dyDescent="0.3">
      <c r="A1867" t="str">
        <f t="shared" si="29"/>
        <v/>
      </c>
      <c r="B1867" t="s">
        <v>13</v>
      </c>
      <c r="C1867">
        <v>21</v>
      </c>
      <c r="D1867" s="100" t="s">
        <v>30</v>
      </c>
      <c r="E1867" t="s">
        <v>720</v>
      </c>
      <c r="F1867" t="s">
        <v>18</v>
      </c>
      <c r="G1867" t="s">
        <v>734</v>
      </c>
      <c r="H1867" s="128">
        <v>0.43740000000000001</v>
      </c>
      <c r="J1867" s="110">
        <v>0.1447</v>
      </c>
      <c r="L1867">
        <v>5000</v>
      </c>
      <c r="M1867">
        <v>500000</v>
      </c>
      <c r="N1867" s="105">
        <v>44378</v>
      </c>
      <c r="O1867" s="105">
        <v>44561</v>
      </c>
      <c r="P1867" t="s">
        <v>718</v>
      </c>
    </row>
    <row r="1868" spans="1:16" ht="15" customHeight="1" x14ac:dyDescent="0.3">
      <c r="A1868" t="str">
        <f t="shared" ref="A1868:A1931" si="30">IF(E1868="OP","",CONCATENATE(C1868,"-",RIGHT(F1868,1),"-",IF(OR(E1868="1 Rate MD",E1868="DAY"),"U",IF(OR(E1868="2 Rate MD",E1868="E7"),"E7",IF(OR(E1868="3 Rate MD (EW)",E1868="EW"),"EW",IF(OR(E1868="3 Rate MD",E1868="EWN"),"3RATE",IF(E1868="HH 2RATE (CT)","HH 2RATE (CT)",IF(E1868="HH 2RATE (WC)","HH 2RATE (WC)",IF(E1868="HH 1RATE (CT)","HH 1RATE (CT)",IF(E1868="HH 1RATE (WC)","HH 1RATE (WC)")))))))),"-",G1868))</f>
        <v>22-3-U-SmartFIX – 1 Year Renewal (Level 2)</v>
      </c>
      <c r="B1868" t="s">
        <v>13</v>
      </c>
      <c r="C1868">
        <v>22</v>
      </c>
      <c r="D1868" s="100" t="s">
        <v>31</v>
      </c>
      <c r="E1868" t="s">
        <v>716</v>
      </c>
      <c r="F1868" t="s">
        <v>16</v>
      </c>
      <c r="G1868" t="s">
        <v>734</v>
      </c>
      <c r="H1868" s="128">
        <v>0.37709999999999999</v>
      </c>
      <c r="I1868" s="110">
        <v>0.16170000000000001</v>
      </c>
      <c r="L1868">
        <v>5000</v>
      </c>
      <c r="M1868">
        <v>500000</v>
      </c>
      <c r="N1868" s="105">
        <v>44378</v>
      </c>
      <c r="O1868" s="105">
        <v>44561</v>
      </c>
      <c r="P1868" t="s">
        <v>718</v>
      </c>
    </row>
    <row r="1869" spans="1:16" ht="15" customHeight="1" x14ac:dyDescent="0.3">
      <c r="A1869" t="str">
        <f t="shared" si="30"/>
        <v>22-4-E7-SmartFIX – 1 Year Renewal (Level 2)</v>
      </c>
      <c r="B1869" t="s">
        <v>13</v>
      </c>
      <c r="C1869">
        <v>22</v>
      </c>
      <c r="D1869" s="100" t="s">
        <v>31</v>
      </c>
      <c r="E1869" t="s">
        <v>17</v>
      </c>
      <c r="F1869" t="s">
        <v>18</v>
      </c>
      <c r="G1869" t="s">
        <v>734</v>
      </c>
      <c r="H1869" s="128">
        <v>0.37709999999999999</v>
      </c>
      <c r="I1869" s="110">
        <v>0.1699</v>
      </c>
      <c r="J1869" s="110">
        <v>0.12959999999999999</v>
      </c>
      <c r="L1869">
        <v>5000</v>
      </c>
      <c r="M1869">
        <v>500000</v>
      </c>
      <c r="N1869" s="105">
        <v>44378</v>
      </c>
      <c r="O1869" s="105">
        <v>44561</v>
      </c>
      <c r="P1869" t="s">
        <v>718</v>
      </c>
    </row>
    <row r="1870" spans="1:16" ht="15" customHeight="1" x14ac:dyDescent="0.3">
      <c r="A1870" t="str">
        <f t="shared" si="30"/>
        <v>22-3-EW-SmartFIX – 1 Year Renewal (Level 2)</v>
      </c>
      <c r="B1870" t="s">
        <v>13</v>
      </c>
      <c r="C1870">
        <v>22</v>
      </c>
      <c r="D1870" s="100" t="s">
        <v>31</v>
      </c>
      <c r="E1870" t="s">
        <v>19</v>
      </c>
      <c r="F1870" t="s">
        <v>16</v>
      </c>
      <c r="G1870" t="s">
        <v>734</v>
      </c>
      <c r="H1870" s="128">
        <v>0.37709999999999999</v>
      </c>
      <c r="I1870" s="110">
        <v>0.17100000000000001</v>
      </c>
      <c r="K1870" s="110">
        <v>0.1502</v>
      </c>
      <c r="L1870">
        <v>5000</v>
      </c>
      <c r="M1870">
        <v>500000</v>
      </c>
      <c r="N1870" s="105">
        <v>44378</v>
      </c>
      <c r="O1870" s="105">
        <v>44561</v>
      </c>
      <c r="P1870" t="s">
        <v>718</v>
      </c>
    </row>
    <row r="1871" spans="1:16" ht="15" customHeight="1" x14ac:dyDescent="0.3">
      <c r="A1871" t="str">
        <f t="shared" si="30"/>
        <v>22-4-3RATE-SmartFIX – 1 Year Renewal (Level 2)</v>
      </c>
      <c r="B1871" t="s">
        <v>13</v>
      </c>
      <c r="C1871">
        <v>22</v>
      </c>
      <c r="D1871" s="100" t="s">
        <v>31</v>
      </c>
      <c r="E1871" t="s">
        <v>719</v>
      </c>
      <c r="F1871" t="s">
        <v>18</v>
      </c>
      <c r="G1871" t="s">
        <v>734</v>
      </c>
      <c r="H1871" s="128">
        <v>0.37709999999999999</v>
      </c>
      <c r="I1871" s="110">
        <v>0.17880000000000001</v>
      </c>
      <c r="J1871" s="110">
        <v>0.12429999999999999</v>
      </c>
      <c r="K1871" s="110">
        <v>0.1651</v>
      </c>
      <c r="L1871">
        <v>5000</v>
      </c>
      <c r="M1871">
        <v>500000</v>
      </c>
      <c r="N1871" s="105">
        <v>44378</v>
      </c>
      <c r="O1871" s="105">
        <v>44561</v>
      </c>
      <c r="P1871" t="s">
        <v>718</v>
      </c>
    </row>
    <row r="1872" spans="1:16" ht="15" customHeight="1" x14ac:dyDescent="0.3">
      <c r="A1872" t="str">
        <f t="shared" si="30"/>
        <v/>
      </c>
      <c r="B1872" t="s">
        <v>13</v>
      </c>
      <c r="C1872">
        <v>22</v>
      </c>
      <c r="D1872" s="100" t="s">
        <v>31</v>
      </c>
      <c r="E1872" t="s">
        <v>720</v>
      </c>
      <c r="F1872" t="s">
        <v>18</v>
      </c>
      <c r="G1872" t="s">
        <v>734</v>
      </c>
      <c r="H1872" s="128">
        <v>0.37709999999999999</v>
      </c>
      <c r="J1872" s="110">
        <v>0.1502</v>
      </c>
      <c r="L1872">
        <v>5000</v>
      </c>
      <c r="M1872">
        <v>500000</v>
      </c>
      <c r="N1872" s="105">
        <v>44378</v>
      </c>
      <c r="O1872" s="105">
        <v>44561</v>
      </c>
      <c r="P1872" t="s">
        <v>718</v>
      </c>
    </row>
    <row r="1873" spans="1:16" ht="15" customHeight="1" x14ac:dyDescent="0.3">
      <c r="A1873" t="str">
        <f t="shared" si="30"/>
        <v>23-3-U-SmartFIX – 1 Year Renewal (Level 2)</v>
      </c>
      <c r="B1873" t="s">
        <v>13</v>
      </c>
      <c r="C1873">
        <v>23</v>
      </c>
      <c r="D1873" s="100" t="s">
        <v>32</v>
      </c>
      <c r="E1873" t="s">
        <v>716</v>
      </c>
      <c r="F1873" t="s">
        <v>16</v>
      </c>
      <c r="G1873" t="s">
        <v>734</v>
      </c>
      <c r="H1873" s="128">
        <v>0.33129999999999998</v>
      </c>
      <c r="I1873" s="110">
        <v>0.15510000000000002</v>
      </c>
      <c r="L1873">
        <v>5000</v>
      </c>
      <c r="M1873">
        <v>500000</v>
      </c>
      <c r="N1873" s="105">
        <v>44378</v>
      </c>
      <c r="O1873" s="105">
        <v>44561</v>
      </c>
      <c r="P1873" t="s">
        <v>718</v>
      </c>
    </row>
    <row r="1874" spans="1:16" ht="15" customHeight="1" x14ac:dyDescent="0.3">
      <c r="A1874" t="str">
        <f t="shared" si="30"/>
        <v>23-4-E7-SmartFIX – 1 Year Renewal (Level 2)</v>
      </c>
      <c r="B1874" t="s">
        <v>13</v>
      </c>
      <c r="C1874">
        <v>23</v>
      </c>
      <c r="D1874" s="100" t="s">
        <v>32</v>
      </c>
      <c r="E1874" t="s">
        <v>17</v>
      </c>
      <c r="F1874" t="s">
        <v>18</v>
      </c>
      <c r="G1874" t="s">
        <v>734</v>
      </c>
      <c r="H1874" s="128">
        <v>0.33129999999999998</v>
      </c>
      <c r="I1874" s="110">
        <v>0.16110000000000002</v>
      </c>
      <c r="J1874" s="110">
        <v>0.11979999999999999</v>
      </c>
      <c r="L1874">
        <v>5000</v>
      </c>
      <c r="M1874">
        <v>500000</v>
      </c>
      <c r="N1874" s="105">
        <v>44378</v>
      </c>
      <c r="O1874" s="105">
        <v>44561</v>
      </c>
      <c r="P1874" t="s">
        <v>718</v>
      </c>
    </row>
    <row r="1875" spans="1:16" ht="15" customHeight="1" x14ac:dyDescent="0.3">
      <c r="A1875" t="str">
        <f t="shared" si="30"/>
        <v>23-3-EW-SmartFIX – 1 Year Renewal (Level 2)</v>
      </c>
      <c r="B1875" t="s">
        <v>13</v>
      </c>
      <c r="C1875">
        <v>23</v>
      </c>
      <c r="D1875" s="100" t="s">
        <v>32</v>
      </c>
      <c r="E1875" t="s">
        <v>19</v>
      </c>
      <c r="F1875" t="s">
        <v>16</v>
      </c>
      <c r="G1875" t="s">
        <v>734</v>
      </c>
      <c r="H1875" s="128">
        <v>0.33129999999999998</v>
      </c>
      <c r="I1875" s="110">
        <v>0.1638</v>
      </c>
      <c r="K1875" s="110">
        <v>0.14330000000000001</v>
      </c>
      <c r="L1875">
        <v>5000</v>
      </c>
      <c r="M1875">
        <v>500000</v>
      </c>
      <c r="N1875" s="105">
        <v>44378</v>
      </c>
      <c r="O1875" s="105">
        <v>44561</v>
      </c>
      <c r="P1875" t="s">
        <v>718</v>
      </c>
    </row>
    <row r="1876" spans="1:16" ht="15" customHeight="1" x14ac:dyDescent="0.3">
      <c r="A1876" t="str">
        <f t="shared" si="30"/>
        <v>23-4-3RATE-SmartFIX – 1 Year Renewal (Level 2)</v>
      </c>
      <c r="B1876" t="s">
        <v>13</v>
      </c>
      <c r="C1876">
        <v>23</v>
      </c>
      <c r="D1876" s="100" t="s">
        <v>32</v>
      </c>
      <c r="E1876" t="s">
        <v>719</v>
      </c>
      <c r="F1876" t="s">
        <v>18</v>
      </c>
      <c r="G1876" t="s">
        <v>734</v>
      </c>
      <c r="H1876" s="128">
        <v>0.33129999999999998</v>
      </c>
      <c r="I1876" s="110">
        <v>0.1729</v>
      </c>
      <c r="J1876" s="110">
        <v>0.12259999999999999</v>
      </c>
      <c r="K1876" s="110">
        <v>0.15410000000000001</v>
      </c>
      <c r="L1876">
        <v>5000</v>
      </c>
      <c r="M1876">
        <v>500000</v>
      </c>
      <c r="N1876" s="105">
        <v>44378</v>
      </c>
      <c r="O1876" s="105">
        <v>44561</v>
      </c>
      <c r="P1876" t="s">
        <v>718</v>
      </c>
    </row>
    <row r="1877" spans="1:16" ht="15" customHeight="1" x14ac:dyDescent="0.3">
      <c r="A1877" t="str">
        <f t="shared" si="30"/>
        <v/>
      </c>
      <c r="B1877" t="s">
        <v>13</v>
      </c>
      <c r="C1877">
        <v>23</v>
      </c>
      <c r="D1877" s="100" t="s">
        <v>32</v>
      </c>
      <c r="E1877" t="s">
        <v>720</v>
      </c>
      <c r="F1877" t="s">
        <v>18</v>
      </c>
      <c r="G1877" t="s">
        <v>734</v>
      </c>
      <c r="H1877" s="128">
        <v>0.33129999999999998</v>
      </c>
      <c r="J1877" s="110">
        <v>0.14330000000000001</v>
      </c>
      <c r="L1877">
        <v>5000</v>
      </c>
      <c r="M1877">
        <v>500000</v>
      </c>
      <c r="N1877" s="105">
        <v>44378</v>
      </c>
      <c r="O1877" s="105">
        <v>44561</v>
      </c>
      <c r="P1877" t="s">
        <v>718</v>
      </c>
    </row>
    <row r="1878" spans="1:16" ht="15" customHeight="1" x14ac:dyDescent="0.3">
      <c r="A1878" t="str">
        <f t="shared" si="30"/>
        <v>10-3-U-SmartFIX – 2 Year Renewal (Level 2)</v>
      </c>
      <c r="B1878" t="s">
        <v>13</v>
      </c>
      <c r="C1878">
        <v>10</v>
      </c>
      <c r="D1878" s="100" t="s">
        <v>14</v>
      </c>
      <c r="E1878" t="s">
        <v>716</v>
      </c>
      <c r="F1878" t="s">
        <v>16</v>
      </c>
      <c r="G1878" t="s">
        <v>735</v>
      </c>
      <c r="H1878" s="128">
        <v>0.33560000000000001</v>
      </c>
      <c r="I1878" s="110">
        <v>0.1555</v>
      </c>
      <c r="L1878">
        <v>5000</v>
      </c>
      <c r="M1878">
        <v>500000</v>
      </c>
      <c r="N1878" s="105">
        <v>44378</v>
      </c>
      <c r="O1878" s="105">
        <v>44561</v>
      </c>
      <c r="P1878" t="s">
        <v>718</v>
      </c>
    </row>
    <row r="1879" spans="1:16" ht="15" customHeight="1" x14ac:dyDescent="0.3">
      <c r="A1879" t="str">
        <f t="shared" si="30"/>
        <v>10-4-E7-SmartFIX – 2 Year Renewal (Level 2)</v>
      </c>
      <c r="B1879" t="s">
        <v>13</v>
      </c>
      <c r="C1879">
        <v>10</v>
      </c>
      <c r="D1879" s="100" t="s">
        <v>14</v>
      </c>
      <c r="E1879" t="s">
        <v>17</v>
      </c>
      <c r="F1879" t="s">
        <v>18</v>
      </c>
      <c r="G1879" t="s">
        <v>735</v>
      </c>
      <c r="H1879" s="128">
        <v>0.33560000000000001</v>
      </c>
      <c r="I1879" s="110">
        <v>0.1646</v>
      </c>
      <c r="J1879" s="110">
        <v>0.1157</v>
      </c>
      <c r="L1879">
        <v>5000</v>
      </c>
      <c r="M1879">
        <v>500000</v>
      </c>
      <c r="N1879" s="105">
        <v>44378</v>
      </c>
      <c r="O1879" s="105">
        <v>44561</v>
      </c>
      <c r="P1879" t="s">
        <v>718</v>
      </c>
    </row>
    <row r="1880" spans="1:16" ht="15" customHeight="1" x14ac:dyDescent="0.3">
      <c r="A1880" t="str">
        <f t="shared" si="30"/>
        <v>10-3-EW-SmartFIX – 2 Year Renewal (Level 2)</v>
      </c>
      <c r="B1880" t="s">
        <v>13</v>
      </c>
      <c r="C1880">
        <v>10</v>
      </c>
      <c r="D1880" s="100" t="s">
        <v>14</v>
      </c>
      <c r="E1880" t="s">
        <v>19</v>
      </c>
      <c r="F1880" t="s">
        <v>16</v>
      </c>
      <c r="G1880" t="s">
        <v>735</v>
      </c>
      <c r="H1880" s="128">
        <v>0.33560000000000001</v>
      </c>
      <c r="I1880" s="110">
        <v>0.1643</v>
      </c>
      <c r="K1880" s="110">
        <v>0.14220000000000002</v>
      </c>
      <c r="L1880">
        <v>5000</v>
      </c>
      <c r="M1880">
        <v>500000</v>
      </c>
      <c r="N1880" s="105">
        <v>44378</v>
      </c>
      <c r="O1880" s="105">
        <v>44561</v>
      </c>
      <c r="P1880" t="s">
        <v>718</v>
      </c>
    </row>
    <row r="1881" spans="1:16" ht="15" customHeight="1" x14ac:dyDescent="0.3">
      <c r="A1881" t="str">
        <f t="shared" si="30"/>
        <v>10-4-3RATE-SmartFIX – 2 Year Renewal (Level 2)</v>
      </c>
      <c r="B1881" t="s">
        <v>13</v>
      </c>
      <c r="C1881">
        <v>10</v>
      </c>
      <c r="D1881" s="100" t="s">
        <v>14</v>
      </c>
      <c r="E1881" t="s">
        <v>719</v>
      </c>
      <c r="F1881" t="s">
        <v>18</v>
      </c>
      <c r="G1881" t="s">
        <v>735</v>
      </c>
      <c r="H1881" s="128">
        <v>0.33560000000000001</v>
      </c>
      <c r="I1881" s="110">
        <v>0.17480000000000001</v>
      </c>
      <c r="J1881" s="110">
        <v>0.1159</v>
      </c>
      <c r="K1881" s="110">
        <v>0.158</v>
      </c>
      <c r="L1881">
        <v>5000</v>
      </c>
      <c r="M1881">
        <v>500000</v>
      </c>
      <c r="N1881" s="105">
        <v>44378</v>
      </c>
      <c r="O1881" s="105">
        <v>44561</v>
      </c>
      <c r="P1881" t="s">
        <v>718</v>
      </c>
    </row>
    <row r="1882" spans="1:16" ht="15" customHeight="1" x14ac:dyDescent="0.3">
      <c r="A1882" t="str">
        <f t="shared" si="30"/>
        <v/>
      </c>
      <c r="B1882" t="s">
        <v>13</v>
      </c>
      <c r="C1882">
        <v>10</v>
      </c>
      <c r="D1882" s="100" t="s">
        <v>14</v>
      </c>
      <c r="E1882" t="s">
        <v>720</v>
      </c>
      <c r="F1882" t="s">
        <v>18</v>
      </c>
      <c r="G1882" t="s">
        <v>735</v>
      </c>
      <c r="H1882" s="128">
        <v>0.33560000000000001</v>
      </c>
      <c r="J1882" s="110">
        <v>0.14220000000000002</v>
      </c>
      <c r="L1882">
        <v>5000</v>
      </c>
      <c r="M1882">
        <v>500000</v>
      </c>
      <c r="N1882" s="105">
        <v>44378</v>
      </c>
      <c r="O1882" s="105">
        <v>44561</v>
      </c>
      <c r="P1882" t="s">
        <v>718</v>
      </c>
    </row>
    <row r="1883" spans="1:16" ht="15" customHeight="1" x14ac:dyDescent="0.3">
      <c r="A1883" t="str">
        <f t="shared" si="30"/>
        <v>11-3-U-SmartFIX – 2 Year Renewal (Level 2)</v>
      </c>
      <c r="B1883" t="s">
        <v>13</v>
      </c>
      <c r="C1883">
        <v>11</v>
      </c>
      <c r="D1883" s="100" t="s">
        <v>20</v>
      </c>
      <c r="E1883" t="s">
        <v>716</v>
      </c>
      <c r="F1883" t="s">
        <v>16</v>
      </c>
      <c r="G1883" t="s">
        <v>735</v>
      </c>
      <c r="H1883" s="128">
        <v>0.3458</v>
      </c>
      <c r="I1883" s="110">
        <v>0.15579999999999999</v>
      </c>
      <c r="L1883">
        <v>5000</v>
      </c>
      <c r="M1883">
        <v>500000</v>
      </c>
      <c r="N1883" s="105">
        <v>44378</v>
      </c>
      <c r="O1883" s="105">
        <v>44561</v>
      </c>
      <c r="P1883" t="s">
        <v>718</v>
      </c>
    </row>
    <row r="1884" spans="1:16" ht="15" customHeight="1" x14ac:dyDescent="0.3">
      <c r="A1884" t="str">
        <f t="shared" si="30"/>
        <v>11-4-E7-SmartFIX – 2 Year Renewal (Level 2)</v>
      </c>
      <c r="B1884" t="s">
        <v>13</v>
      </c>
      <c r="C1884">
        <v>11</v>
      </c>
      <c r="D1884" s="100" t="s">
        <v>20</v>
      </c>
      <c r="E1884" t="s">
        <v>17</v>
      </c>
      <c r="F1884" t="s">
        <v>18</v>
      </c>
      <c r="G1884" t="s">
        <v>735</v>
      </c>
      <c r="H1884" s="128">
        <v>0.3458</v>
      </c>
      <c r="I1884" s="110">
        <v>0.16190000000000002</v>
      </c>
      <c r="J1884" s="110">
        <v>0.11910000000000001</v>
      </c>
      <c r="L1884">
        <v>5000</v>
      </c>
      <c r="M1884">
        <v>500000</v>
      </c>
      <c r="N1884" s="105">
        <v>44378</v>
      </c>
      <c r="O1884" s="105">
        <v>44561</v>
      </c>
      <c r="P1884" t="s">
        <v>718</v>
      </c>
    </row>
    <row r="1885" spans="1:16" ht="15" customHeight="1" x14ac:dyDescent="0.3">
      <c r="A1885" t="str">
        <f t="shared" si="30"/>
        <v>11-3-EW-SmartFIX – 2 Year Renewal (Level 2)</v>
      </c>
      <c r="B1885" t="s">
        <v>13</v>
      </c>
      <c r="C1885">
        <v>11</v>
      </c>
      <c r="D1885" s="100" t="s">
        <v>20</v>
      </c>
      <c r="E1885" t="s">
        <v>19</v>
      </c>
      <c r="F1885" t="s">
        <v>16</v>
      </c>
      <c r="G1885" t="s">
        <v>735</v>
      </c>
      <c r="H1885" s="128">
        <v>0.3458</v>
      </c>
      <c r="I1885" s="110">
        <v>0.1641</v>
      </c>
      <c r="K1885" s="110">
        <v>0.1429</v>
      </c>
      <c r="L1885">
        <v>5000</v>
      </c>
      <c r="M1885">
        <v>500000</v>
      </c>
      <c r="N1885" s="105">
        <v>44378</v>
      </c>
      <c r="O1885" s="105">
        <v>44561</v>
      </c>
      <c r="P1885" t="s">
        <v>718</v>
      </c>
    </row>
    <row r="1886" spans="1:16" ht="15" customHeight="1" x14ac:dyDescent="0.3">
      <c r="A1886" t="str">
        <f t="shared" si="30"/>
        <v>11-4-3RATE-SmartFIX – 2 Year Renewal (Level 2)</v>
      </c>
      <c r="B1886" t="s">
        <v>13</v>
      </c>
      <c r="C1886">
        <v>11</v>
      </c>
      <c r="D1886" s="100" t="s">
        <v>20</v>
      </c>
      <c r="E1886" t="s">
        <v>719</v>
      </c>
      <c r="F1886" t="s">
        <v>18</v>
      </c>
      <c r="G1886" t="s">
        <v>735</v>
      </c>
      <c r="H1886" s="128">
        <v>0.3458</v>
      </c>
      <c r="I1886" s="110">
        <v>0.1714</v>
      </c>
      <c r="J1886" s="110">
        <v>0.1174</v>
      </c>
      <c r="K1886" s="110">
        <v>0.15110000000000001</v>
      </c>
      <c r="L1886">
        <v>5000</v>
      </c>
      <c r="M1886">
        <v>500000</v>
      </c>
      <c r="N1886" s="105">
        <v>44378</v>
      </c>
      <c r="O1886" s="105">
        <v>44561</v>
      </c>
      <c r="P1886" t="s">
        <v>718</v>
      </c>
    </row>
    <row r="1887" spans="1:16" ht="15" customHeight="1" x14ac:dyDescent="0.3">
      <c r="A1887" t="str">
        <f t="shared" si="30"/>
        <v/>
      </c>
      <c r="B1887" t="s">
        <v>13</v>
      </c>
      <c r="C1887">
        <v>11</v>
      </c>
      <c r="D1887" s="100" t="s">
        <v>20</v>
      </c>
      <c r="E1887" t="s">
        <v>720</v>
      </c>
      <c r="F1887" t="s">
        <v>18</v>
      </c>
      <c r="G1887" t="s">
        <v>735</v>
      </c>
      <c r="H1887" s="128">
        <v>0.3458</v>
      </c>
      <c r="J1887" s="110">
        <v>0.1429</v>
      </c>
      <c r="L1887">
        <v>5000</v>
      </c>
      <c r="M1887">
        <v>500000</v>
      </c>
      <c r="N1887" s="105">
        <v>44378</v>
      </c>
      <c r="O1887" s="105">
        <v>44561</v>
      </c>
      <c r="P1887" t="s">
        <v>718</v>
      </c>
    </row>
    <row r="1888" spans="1:16" ht="15" customHeight="1" x14ac:dyDescent="0.3">
      <c r="A1888" t="str">
        <f t="shared" si="30"/>
        <v>12-3-U-SmartFIX – 2 Year Renewal (Level 2)</v>
      </c>
      <c r="B1888" t="s">
        <v>13</v>
      </c>
      <c r="C1888">
        <v>12</v>
      </c>
      <c r="D1888" s="100" t="s">
        <v>21</v>
      </c>
      <c r="E1888" t="s">
        <v>716</v>
      </c>
      <c r="F1888" t="s">
        <v>16</v>
      </c>
      <c r="G1888" t="s">
        <v>735</v>
      </c>
      <c r="H1888" s="128">
        <v>0.26090000000000002</v>
      </c>
      <c r="I1888" s="110">
        <v>0.1497</v>
      </c>
      <c r="L1888">
        <v>5000</v>
      </c>
      <c r="M1888">
        <v>500000</v>
      </c>
      <c r="N1888" s="105">
        <v>44378</v>
      </c>
      <c r="O1888" s="105">
        <v>44561</v>
      </c>
      <c r="P1888" t="s">
        <v>718</v>
      </c>
    </row>
    <row r="1889" spans="1:16" ht="15" customHeight="1" x14ac:dyDescent="0.3">
      <c r="A1889" t="str">
        <f t="shared" si="30"/>
        <v>12-4-E7-SmartFIX – 2 Year Renewal (Level 2)</v>
      </c>
      <c r="B1889" t="s">
        <v>13</v>
      </c>
      <c r="C1889">
        <v>12</v>
      </c>
      <c r="D1889" s="100" t="s">
        <v>21</v>
      </c>
      <c r="E1889" t="s">
        <v>17</v>
      </c>
      <c r="F1889" t="s">
        <v>18</v>
      </c>
      <c r="G1889" t="s">
        <v>735</v>
      </c>
      <c r="H1889" s="128">
        <v>0.26090000000000002</v>
      </c>
      <c r="I1889" s="110">
        <v>0.16110000000000002</v>
      </c>
      <c r="J1889" s="110">
        <v>0.11729999999999999</v>
      </c>
      <c r="L1889">
        <v>5000</v>
      </c>
      <c r="M1889">
        <v>500000</v>
      </c>
      <c r="N1889" s="105">
        <v>44378</v>
      </c>
      <c r="O1889" s="105">
        <v>44561</v>
      </c>
      <c r="P1889" t="s">
        <v>718</v>
      </c>
    </row>
    <row r="1890" spans="1:16" ht="15" customHeight="1" x14ac:dyDescent="0.3">
      <c r="A1890" t="str">
        <f t="shared" si="30"/>
        <v>12-3-EW-SmartFIX – 2 Year Renewal (Level 2)</v>
      </c>
      <c r="B1890" t="s">
        <v>13</v>
      </c>
      <c r="C1890">
        <v>12</v>
      </c>
      <c r="D1890" s="100" t="s">
        <v>21</v>
      </c>
      <c r="E1890" t="s">
        <v>19</v>
      </c>
      <c r="F1890" t="s">
        <v>16</v>
      </c>
      <c r="G1890" t="s">
        <v>735</v>
      </c>
      <c r="H1890" s="128">
        <v>0.26090000000000002</v>
      </c>
      <c r="I1890" s="110">
        <v>0.158</v>
      </c>
      <c r="K1890" s="110">
        <v>0.1381</v>
      </c>
      <c r="L1890">
        <v>5000</v>
      </c>
      <c r="M1890">
        <v>500000</v>
      </c>
      <c r="N1890" s="105">
        <v>44378</v>
      </c>
      <c r="O1890" s="105">
        <v>44561</v>
      </c>
      <c r="P1890" t="s">
        <v>718</v>
      </c>
    </row>
    <row r="1891" spans="1:16" ht="15" customHeight="1" x14ac:dyDescent="0.3">
      <c r="A1891" t="str">
        <f t="shared" si="30"/>
        <v>12-4-3RATE-SmartFIX – 2 Year Renewal (Level 2)</v>
      </c>
      <c r="B1891" t="s">
        <v>13</v>
      </c>
      <c r="C1891">
        <v>12</v>
      </c>
      <c r="D1891" s="100" t="s">
        <v>21</v>
      </c>
      <c r="E1891" t="s">
        <v>719</v>
      </c>
      <c r="F1891" t="s">
        <v>18</v>
      </c>
      <c r="G1891" t="s">
        <v>735</v>
      </c>
      <c r="H1891" s="128">
        <v>0.26090000000000002</v>
      </c>
      <c r="I1891" s="110">
        <v>0.252</v>
      </c>
      <c r="J1891" s="110">
        <v>0.252</v>
      </c>
      <c r="K1891" s="110">
        <v>0.252</v>
      </c>
      <c r="L1891">
        <v>5000</v>
      </c>
      <c r="M1891">
        <v>500000</v>
      </c>
      <c r="N1891" s="105">
        <v>44378</v>
      </c>
      <c r="O1891" s="105">
        <v>44561</v>
      </c>
      <c r="P1891" t="s">
        <v>718</v>
      </c>
    </row>
    <row r="1892" spans="1:16" ht="15" customHeight="1" x14ac:dyDescent="0.3">
      <c r="A1892" t="str">
        <f t="shared" si="30"/>
        <v/>
      </c>
      <c r="B1892" t="s">
        <v>13</v>
      </c>
      <c r="C1892">
        <v>12</v>
      </c>
      <c r="D1892" s="100" t="s">
        <v>21</v>
      </c>
      <c r="E1892" t="s">
        <v>720</v>
      </c>
      <c r="F1892" t="s">
        <v>18</v>
      </c>
      <c r="G1892" t="s">
        <v>735</v>
      </c>
      <c r="H1892" s="128">
        <v>0.26090000000000002</v>
      </c>
      <c r="J1892" s="110">
        <v>0.1381</v>
      </c>
      <c r="L1892">
        <v>5000</v>
      </c>
      <c r="M1892">
        <v>500000</v>
      </c>
      <c r="N1892" s="105">
        <v>44378</v>
      </c>
      <c r="O1892" s="105">
        <v>44561</v>
      </c>
      <c r="P1892" t="s">
        <v>718</v>
      </c>
    </row>
    <row r="1893" spans="1:16" ht="15" customHeight="1" x14ac:dyDescent="0.3">
      <c r="A1893" t="str">
        <f t="shared" si="30"/>
        <v>13-3-U-SmartFIX – 2 Year Renewal (Level 2)</v>
      </c>
      <c r="B1893" t="s">
        <v>13</v>
      </c>
      <c r="C1893">
        <v>13</v>
      </c>
      <c r="D1893" s="100" t="s">
        <v>22</v>
      </c>
      <c r="E1893" t="s">
        <v>716</v>
      </c>
      <c r="F1893" t="s">
        <v>16</v>
      </c>
      <c r="G1893" t="s">
        <v>735</v>
      </c>
      <c r="H1893" s="128">
        <v>0.30709999999999998</v>
      </c>
      <c r="I1893" s="110">
        <v>0.17530000000000001</v>
      </c>
      <c r="L1893">
        <v>5000</v>
      </c>
      <c r="M1893">
        <v>500000</v>
      </c>
      <c r="N1893" s="105">
        <v>44378</v>
      </c>
      <c r="O1893" s="105">
        <v>44561</v>
      </c>
      <c r="P1893" t="s">
        <v>718</v>
      </c>
    </row>
    <row r="1894" spans="1:16" ht="15" customHeight="1" x14ac:dyDescent="0.3">
      <c r="A1894" t="str">
        <f t="shared" si="30"/>
        <v>13-4-E7-SmartFIX – 2 Year Renewal (Level 2)</v>
      </c>
      <c r="B1894" t="s">
        <v>13</v>
      </c>
      <c r="C1894">
        <v>13</v>
      </c>
      <c r="D1894" s="100" t="s">
        <v>22</v>
      </c>
      <c r="E1894" t="s">
        <v>17</v>
      </c>
      <c r="F1894" t="s">
        <v>18</v>
      </c>
      <c r="G1894" t="s">
        <v>735</v>
      </c>
      <c r="H1894" s="128">
        <v>0.30709999999999998</v>
      </c>
      <c r="I1894" s="110">
        <v>0.18140000000000001</v>
      </c>
      <c r="J1894" s="110">
        <v>0.13390000000000002</v>
      </c>
      <c r="L1894">
        <v>5000</v>
      </c>
      <c r="M1894">
        <v>500000</v>
      </c>
      <c r="N1894" s="105">
        <v>44378</v>
      </c>
      <c r="O1894" s="105">
        <v>44561</v>
      </c>
      <c r="P1894" t="s">
        <v>718</v>
      </c>
    </row>
    <row r="1895" spans="1:16" ht="15" customHeight="1" x14ac:dyDescent="0.3">
      <c r="A1895" t="str">
        <f t="shared" si="30"/>
        <v>13-3-EW-SmartFIX – 2 Year Renewal (Level 2)</v>
      </c>
      <c r="B1895" t="s">
        <v>13</v>
      </c>
      <c r="C1895">
        <v>13</v>
      </c>
      <c r="D1895" s="100" t="s">
        <v>22</v>
      </c>
      <c r="E1895" t="s">
        <v>19</v>
      </c>
      <c r="F1895" t="s">
        <v>16</v>
      </c>
      <c r="G1895" t="s">
        <v>735</v>
      </c>
      <c r="H1895" s="128">
        <v>0.30709999999999998</v>
      </c>
      <c r="I1895" s="110">
        <v>0.252</v>
      </c>
      <c r="K1895" s="110">
        <v>0.252</v>
      </c>
      <c r="L1895">
        <v>5000</v>
      </c>
      <c r="M1895">
        <v>500000</v>
      </c>
      <c r="N1895" s="105">
        <v>44378</v>
      </c>
      <c r="O1895" s="105">
        <v>44561</v>
      </c>
      <c r="P1895" t="s">
        <v>718</v>
      </c>
    </row>
    <row r="1896" spans="1:16" ht="15" customHeight="1" x14ac:dyDescent="0.3">
      <c r="A1896" t="str">
        <f t="shared" si="30"/>
        <v>13-4-3RATE-SmartFIX – 2 Year Renewal (Level 2)</v>
      </c>
      <c r="B1896" t="s">
        <v>13</v>
      </c>
      <c r="C1896">
        <v>13</v>
      </c>
      <c r="D1896" s="100" t="s">
        <v>22</v>
      </c>
      <c r="E1896" t="s">
        <v>719</v>
      </c>
      <c r="F1896" t="s">
        <v>18</v>
      </c>
      <c r="G1896" t="s">
        <v>735</v>
      </c>
      <c r="H1896" s="128">
        <v>0.30709999999999998</v>
      </c>
      <c r="I1896" s="110">
        <v>0.18910000000000002</v>
      </c>
      <c r="J1896" s="110">
        <v>0.13159999999999999</v>
      </c>
      <c r="K1896" s="110">
        <v>0.17510000000000001</v>
      </c>
      <c r="L1896">
        <v>5000</v>
      </c>
      <c r="M1896">
        <v>500000</v>
      </c>
      <c r="N1896" s="105">
        <v>44378</v>
      </c>
      <c r="O1896" s="105">
        <v>44561</v>
      </c>
      <c r="P1896" t="s">
        <v>718</v>
      </c>
    </row>
    <row r="1897" spans="1:16" ht="15" customHeight="1" x14ac:dyDescent="0.3">
      <c r="A1897" t="str">
        <f t="shared" si="30"/>
        <v/>
      </c>
      <c r="B1897" t="s">
        <v>13</v>
      </c>
      <c r="C1897">
        <v>13</v>
      </c>
      <c r="D1897" s="100" t="s">
        <v>22</v>
      </c>
      <c r="E1897" t="s">
        <v>720</v>
      </c>
      <c r="F1897" t="s">
        <v>18</v>
      </c>
      <c r="G1897" t="s">
        <v>735</v>
      </c>
      <c r="H1897" s="128">
        <v>0.30709999999999998</v>
      </c>
      <c r="J1897" s="110">
        <v>0.13390000000000002</v>
      </c>
      <c r="L1897">
        <v>5000</v>
      </c>
      <c r="M1897">
        <v>500000</v>
      </c>
      <c r="N1897" s="105">
        <v>44378</v>
      </c>
      <c r="O1897" s="105">
        <v>44561</v>
      </c>
      <c r="P1897" t="s">
        <v>718</v>
      </c>
    </row>
    <row r="1898" spans="1:16" ht="15" customHeight="1" x14ac:dyDescent="0.3">
      <c r="A1898" t="str">
        <f t="shared" si="30"/>
        <v>14-3-U-SmartFIX – 2 Year Renewal (Level 2)</v>
      </c>
      <c r="B1898" t="s">
        <v>13</v>
      </c>
      <c r="C1898">
        <v>14</v>
      </c>
      <c r="D1898" s="100" t="s">
        <v>23</v>
      </c>
      <c r="E1898" t="s">
        <v>716</v>
      </c>
      <c r="F1898" t="s">
        <v>16</v>
      </c>
      <c r="G1898" t="s">
        <v>735</v>
      </c>
      <c r="H1898" s="128">
        <v>0.379</v>
      </c>
      <c r="I1898" s="110">
        <v>0.159</v>
      </c>
      <c r="L1898">
        <v>5000</v>
      </c>
      <c r="M1898">
        <v>500000</v>
      </c>
      <c r="N1898" s="105">
        <v>44378</v>
      </c>
      <c r="O1898" s="105">
        <v>44561</v>
      </c>
      <c r="P1898" t="s">
        <v>718</v>
      </c>
    </row>
    <row r="1899" spans="1:16" ht="15" customHeight="1" x14ac:dyDescent="0.3">
      <c r="A1899" t="str">
        <f t="shared" si="30"/>
        <v>14-4-E7-SmartFIX – 2 Year Renewal (Level 2)</v>
      </c>
      <c r="B1899" t="s">
        <v>13</v>
      </c>
      <c r="C1899">
        <v>14</v>
      </c>
      <c r="D1899" s="100" t="s">
        <v>23</v>
      </c>
      <c r="E1899" t="s">
        <v>17</v>
      </c>
      <c r="F1899" t="s">
        <v>18</v>
      </c>
      <c r="G1899" t="s">
        <v>735</v>
      </c>
      <c r="H1899" s="128">
        <v>0.379</v>
      </c>
      <c r="I1899" s="110">
        <v>0.16570000000000001</v>
      </c>
      <c r="J1899" s="110">
        <v>0.12190000000000001</v>
      </c>
      <c r="L1899">
        <v>5000</v>
      </c>
      <c r="M1899">
        <v>500000</v>
      </c>
      <c r="N1899" s="105">
        <v>44378</v>
      </c>
      <c r="O1899" s="105">
        <v>44561</v>
      </c>
      <c r="P1899" t="s">
        <v>718</v>
      </c>
    </row>
    <row r="1900" spans="1:16" ht="15" customHeight="1" x14ac:dyDescent="0.3">
      <c r="A1900" t="str">
        <f t="shared" si="30"/>
        <v>14-3-EW-SmartFIX – 2 Year Renewal (Level 2)</v>
      </c>
      <c r="B1900" t="s">
        <v>13</v>
      </c>
      <c r="C1900">
        <v>14</v>
      </c>
      <c r="D1900" s="100" t="s">
        <v>23</v>
      </c>
      <c r="E1900" t="s">
        <v>19</v>
      </c>
      <c r="F1900" t="s">
        <v>16</v>
      </c>
      <c r="G1900" t="s">
        <v>735</v>
      </c>
      <c r="H1900" s="128">
        <v>0.379</v>
      </c>
      <c r="I1900" s="110">
        <v>0.1663</v>
      </c>
      <c r="K1900" s="110">
        <v>0.14830000000000002</v>
      </c>
      <c r="L1900">
        <v>5000</v>
      </c>
      <c r="M1900">
        <v>500000</v>
      </c>
      <c r="N1900" s="105">
        <v>44378</v>
      </c>
      <c r="O1900" s="105">
        <v>44561</v>
      </c>
      <c r="P1900" t="s">
        <v>718</v>
      </c>
    </row>
    <row r="1901" spans="1:16" ht="15" customHeight="1" x14ac:dyDescent="0.3">
      <c r="A1901" t="str">
        <f t="shared" si="30"/>
        <v>14-4-3RATE-SmartFIX – 2 Year Renewal (Level 2)</v>
      </c>
      <c r="B1901" t="s">
        <v>13</v>
      </c>
      <c r="C1901">
        <v>14</v>
      </c>
      <c r="D1901" s="100" t="s">
        <v>23</v>
      </c>
      <c r="E1901" t="s">
        <v>719</v>
      </c>
      <c r="F1901" t="s">
        <v>18</v>
      </c>
      <c r="G1901" t="s">
        <v>735</v>
      </c>
      <c r="H1901" s="128">
        <v>0.379</v>
      </c>
      <c r="I1901" s="110">
        <v>0.252</v>
      </c>
      <c r="J1901" s="110">
        <v>0.252</v>
      </c>
      <c r="K1901" s="110">
        <v>0.252</v>
      </c>
      <c r="L1901">
        <v>5000</v>
      </c>
      <c r="M1901">
        <v>500000</v>
      </c>
      <c r="N1901" s="105">
        <v>44378</v>
      </c>
      <c r="O1901" s="105">
        <v>44561</v>
      </c>
      <c r="P1901" t="s">
        <v>718</v>
      </c>
    </row>
    <row r="1902" spans="1:16" ht="15" customHeight="1" x14ac:dyDescent="0.3">
      <c r="A1902" t="str">
        <f t="shared" si="30"/>
        <v/>
      </c>
      <c r="B1902" t="s">
        <v>13</v>
      </c>
      <c r="C1902">
        <v>14</v>
      </c>
      <c r="D1902" s="100" t="s">
        <v>23</v>
      </c>
      <c r="E1902" t="s">
        <v>720</v>
      </c>
      <c r="F1902" t="s">
        <v>18</v>
      </c>
      <c r="G1902" t="s">
        <v>735</v>
      </c>
      <c r="H1902" s="128">
        <v>0.379</v>
      </c>
      <c r="J1902" s="110">
        <v>0.14830000000000002</v>
      </c>
      <c r="L1902">
        <v>5000</v>
      </c>
      <c r="M1902">
        <v>500000</v>
      </c>
      <c r="N1902" s="105">
        <v>44378</v>
      </c>
      <c r="O1902" s="105">
        <v>44561</v>
      </c>
      <c r="P1902" t="s">
        <v>718</v>
      </c>
    </row>
    <row r="1903" spans="1:16" ht="15" customHeight="1" x14ac:dyDescent="0.3">
      <c r="A1903" t="str">
        <f t="shared" si="30"/>
        <v>15-3-U-SmartFIX – 2 Year Renewal (Level 2)</v>
      </c>
      <c r="B1903" t="s">
        <v>13</v>
      </c>
      <c r="C1903">
        <v>15</v>
      </c>
      <c r="D1903" s="100" t="s">
        <v>24</v>
      </c>
      <c r="E1903" t="s">
        <v>716</v>
      </c>
      <c r="F1903" t="s">
        <v>16</v>
      </c>
      <c r="G1903" t="s">
        <v>735</v>
      </c>
      <c r="H1903" s="128">
        <v>0.3518</v>
      </c>
      <c r="I1903" s="110">
        <v>0.15870000000000001</v>
      </c>
      <c r="L1903">
        <v>5000</v>
      </c>
      <c r="M1903">
        <v>500000</v>
      </c>
      <c r="N1903" s="105">
        <v>44378</v>
      </c>
      <c r="O1903" s="105">
        <v>44561</v>
      </c>
      <c r="P1903" t="s">
        <v>718</v>
      </c>
    </row>
    <row r="1904" spans="1:16" ht="15" customHeight="1" x14ac:dyDescent="0.3">
      <c r="A1904" t="str">
        <f t="shared" si="30"/>
        <v>15-4-E7-SmartFIX – 2 Year Renewal (Level 2)</v>
      </c>
      <c r="B1904" t="s">
        <v>13</v>
      </c>
      <c r="C1904">
        <v>15</v>
      </c>
      <c r="D1904" s="100" t="s">
        <v>24</v>
      </c>
      <c r="E1904" t="s">
        <v>17</v>
      </c>
      <c r="F1904" t="s">
        <v>18</v>
      </c>
      <c r="G1904" t="s">
        <v>735</v>
      </c>
      <c r="H1904" s="128">
        <v>0.3518</v>
      </c>
      <c r="I1904" s="110">
        <v>0.16440000000000002</v>
      </c>
      <c r="J1904" s="110">
        <v>0.122</v>
      </c>
      <c r="L1904">
        <v>5000</v>
      </c>
      <c r="M1904">
        <v>500000</v>
      </c>
      <c r="N1904" s="105">
        <v>44378</v>
      </c>
      <c r="O1904" s="105">
        <v>44561</v>
      </c>
      <c r="P1904" t="s">
        <v>718</v>
      </c>
    </row>
    <row r="1905" spans="1:16" ht="15" customHeight="1" x14ac:dyDescent="0.3">
      <c r="A1905" t="str">
        <f t="shared" si="30"/>
        <v>15-3-EW-SmartFIX – 2 Year Renewal (Level 2)</v>
      </c>
      <c r="B1905" t="s">
        <v>13</v>
      </c>
      <c r="C1905">
        <v>15</v>
      </c>
      <c r="D1905" s="100" t="s">
        <v>24</v>
      </c>
      <c r="E1905" t="s">
        <v>19</v>
      </c>
      <c r="F1905" t="s">
        <v>16</v>
      </c>
      <c r="G1905" t="s">
        <v>735</v>
      </c>
      <c r="H1905" s="128">
        <v>0.3518</v>
      </c>
      <c r="I1905" s="110">
        <v>0.16880000000000001</v>
      </c>
      <c r="K1905" s="110">
        <v>0.1474</v>
      </c>
      <c r="L1905">
        <v>5000</v>
      </c>
      <c r="M1905">
        <v>500000</v>
      </c>
      <c r="N1905" s="105">
        <v>44378</v>
      </c>
      <c r="O1905" s="105">
        <v>44561</v>
      </c>
      <c r="P1905" t="s">
        <v>718</v>
      </c>
    </row>
    <row r="1906" spans="1:16" ht="15" customHeight="1" x14ac:dyDescent="0.3">
      <c r="A1906" t="str">
        <f t="shared" si="30"/>
        <v>15-4-3RATE-SmartFIX – 2 Year Renewal (Level 2)</v>
      </c>
      <c r="B1906" t="s">
        <v>13</v>
      </c>
      <c r="C1906">
        <v>15</v>
      </c>
      <c r="D1906" s="100" t="s">
        <v>24</v>
      </c>
      <c r="E1906" t="s">
        <v>719</v>
      </c>
      <c r="F1906" t="s">
        <v>18</v>
      </c>
      <c r="G1906" t="s">
        <v>735</v>
      </c>
      <c r="H1906" s="128">
        <v>0.3518</v>
      </c>
      <c r="I1906" s="110">
        <v>0.252</v>
      </c>
      <c r="J1906" s="110">
        <v>0.252</v>
      </c>
      <c r="K1906" s="110">
        <v>0.252</v>
      </c>
      <c r="L1906">
        <v>5000</v>
      </c>
      <c r="M1906">
        <v>500000</v>
      </c>
      <c r="N1906" s="105">
        <v>44378</v>
      </c>
      <c r="O1906" s="105">
        <v>44561</v>
      </c>
      <c r="P1906" t="s">
        <v>718</v>
      </c>
    </row>
    <row r="1907" spans="1:16" ht="15" customHeight="1" x14ac:dyDescent="0.3">
      <c r="A1907" t="str">
        <f t="shared" si="30"/>
        <v/>
      </c>
      <c r="B1907" t="s">
        <v>13</v>
      </c>
      <c r="C1907">
        <v>15</v>
      </c>
      <c r="D1907" s="100" t="s">
        <v>24</v>
      </c>
      <c r="E1907" t="s">
        <v>720</v>
      </c>
      <c r="F1907" t="s">
        <v>18</v>
      </c>
      <c r="G1907" t="s">
        <v>735</v>
      </c>
      <c r="H1907" s="128">
        <v>0.3518</v>
      </c>
      <c r="J1907" s="110">
        <v>0.1474</v>
      </c>
      <c r="L1907">
        <v>5000</v>
      </c>
      <c r="M1907">
        <v>500000</v>
      </c>
      <c r="N1907" s="105">
        <v>44378</v>
      </c>
      <c r="O1907" s="105">
        <v>44561</v>
      </c>
      <c r="P1907" t="s">
        <v>718</v>
      </c>
    </row>
    <row r="1908" spans="1:16" ht="15" customHeight="1" x14ac:dyDescent="0.3">
      <c r="A1908" t="str">
        <f t="shared" si="30"/>
        <v>16-3-U-SmartFIX – 2 Year Renewal (Level 2)</v>
      </c>
      <c r="B1908" t="s">
        <v>13</v>
      </c>
      <c r="C1908">
        <v>16</v>
      </c>
      <c r="D1908" s="100" t="s">
        <v>25</v>
      </c>
      <c r="E1908" t="s">
        <v>716</v>
      </c>
      <c r="F1908" t="s">
        <v>16</v>
      </c>
      <c r="G1908" t="s">
        <v>735</v>
      </c>
      <c r="H1908" s="128">
        <v>0.29780000000000001</v>
      </c>
      <c r="I1908" s="110">
        <v>0.16090000000000002</v>
      </c>
      <c r="L1908">
        <v>5000</v>
      </c>
      <c r="M1908">
        <v>500000</v>
      </c>
      <c r="N1908" s="105">
        <v>44378</v>
      </c>
      <c r="O1908" s="105">
        <v>44561</v>
      </c>
      <c r="P1908" t="s">
        <v>718</v>
      </c>
    </row>
    <row r="1909" spans="1:16" ht="15" customHeight="1" x14ac:dyDescent="0.3">
      <c r="A1909" t="str">
        <f t="shared" si="30"/>
        <v>16-4-E7-SmartFIX – 2 Year Renewal (Level 2)</v>
      </c>
      <c r="B1909" t="s">
        <v>13</v>
      </c>
      <c r="C1909">
        <v>16</v>
      </c>
      <c r="D1909" s="100" t="s">
        <v>25</v>
      </c>
      <c r="E1909" t="s">
        <v>17</v>
      </c>
      <c r="F1909" t="s">
        <v>18</v>
      </c>
      <c r="G1909" t="s">
        <v>735</v>
      </c>
      <c r="H1909" s="128">
        <v>0.29780000000000001</v>
      </c>
      <c r="I1909" s="110">
        <v>0.16640000000000002</v>
      </c>
      <c r="J1909" s="110">
        <v>0.1227</v>
      </c>
      <c r="L1909">
        <v>5000</v>
      </c>
      <c r="M1909">
        <v>500000</v>
      </c>
      <c r="N1909" s="105">
        <v>44378</v>
      </c>
      <c r="O1909" s="105">
        <v>44561</v>
      </c>
      <c r="P1909" t="s">
        <v>718</v>
      </c>
    </row>
    <row r="1910" spans="1:16" ht="15" customHeight="1" x14ac:dyDescent="0.3">
      <c r="A1910" t="str">
        <f t="shared" si="30"/>
        <v>16-3-EW-SmartFIX – 2 Year Renewal (Level 2)</v>
      </c>
      <c r="B1910" t="s">
        <v>13</v>
      </c>
      <c r="C1910">
        <v>16</v>
      </c>
      <c r="D1910" s="100" t="s">
        <v>25</v>
      </c>
      <c r="E1910" t="s">
        <v>19</v>
      </c>
      <c r="F1910" t="s">
        <v>16</v>
      </c>
      <c r="G1910" t="s">
        <v>735</v>
      </c>
      <c r="H1910" s="128">
        <v>0.29780000000000001</v>
      </c>
      <c r="I1910" s="110">
        <v>0.1709</v>
      </c>
      <c r="K1910" s="110">
        <v>0.1489</v>
      </c>
      <c r="L1910">
        <v>5000</v>
      </c>
      <c r="M1910">
        <v>500000</v>
      </c>
      <c r="N1910" s="105">
        <v>44378</v>
      </c>
      <c r="O1910" s="105">
        <v>44561</v>
      </c>
      <c r="P1910" t="s">
        <v>718</v>
      </c>
    </row>
    <row r="1911" spans="1:16" ht="15" customHeight="1" x14ac:dyDescent="0.3">
      <c r="A1911" t="str">
        <f t="shared" si="30"/>
        <v>16-4-3RATE-SmartFIX – 2 Year Renewal (Level 2)</v>
      </c>
      <c r="B1911" t="s">
        <v>13</v>
      </c>
      <c r="C1911">
        <v>16</v>
      </c>
      <c r="D1911" s="100" t="s">
        <v>25</v>
      </c>
      <c r="E1911" t="s">
        <v>719</v>
      </c>
      <c r="F1911" t="s">
        <v>18</v>
      </c>
      <c r="G1911" t="s">
        <v>735</v>
      </c>
      <c r="H1911" s="128">
        <v>0.29780000000000001</v>
      </c>
      <c r="I1911" s="110">
        <v>0.17650000000000002</v>
      </c>
      <c r="J1911" s="110">
        <v>0.12160000000000001</v>
      </c>
      <c r="K1911" s="110">
        <v>0.1512</v>
      </c>
      <c r="L1911">
        <v>5000</v>
      </c>
      <c r="M1911">
        <v>500000</v>
      </c>
      <c r="N1911" s="105">
        <v>44378</v>
      </c>
      <c r="O1911" s="105">
        <v>44561</v>
      </c>
      <c r="P1911" t="s">
        <v>718</v>
      </c>
    </row>
    <row r="1912" spans="1:16" ht="15" customHeight="1" x14ac:dyDescent="0.3">
      <c r="A1912" t="str">
        <f t="shared" si="30"/>
        <v/>
      </c>
      <c r="B1912" t="s">
        <v>13</v>
      </c>
      <c r="C1912">
        <v>16</v>
      </c>
      <c r="D1912" s="100" t="s">
        <v>25</v>
      </c>
      <c r="E1912" t="s">
        <v>720</v>
      </c>
      <c r="F1912" t="s">
        <v>18</v>
      </c>
      <c r="G1912" t="s">
        <v>735</v>
      </c>
      <c r="H1912" s="128">
        <v>0.29780000000000001</v>
      </c>
      <c r="J1912" s="110">
        <v>0.1489</v>
      </c>
      <c r="L1912">
        <v>5000</v>
      </c>
      <c r="M1912">
        <v>500000</v>
      </c>
      <c r="N1912" s="105">
        <v>44378</v>
      </c>
      <c r="O1912" s="105">
        <v>44561</v>
      </c>
      <c r="P1912" t="s">
        <v>718</v>
      </c>
    </row>
    <row r="1913" spans="1:16" ht="15" customHeight="1" x14ac:dyDescent="0.3">
      <c r="A1913" t="str">
        <f t="shared" si="30"/>
        <v>17-3-U-SmartFIX – 2 Year Renewal (Level 2)</v>
      </c>
      <c r="B1913" t="s">
        <v>13</v>
      </c>
      <c r="C1913">
        <v>17</v>
      </c>
      <c r="D1913" s="100" t="s">
        <v>26</v>
      </c>
      <c r="E1913" t="s">
        <v>716</v>
      </c>
      <c r="F1913" t="s">
        <v>16</v>
      </c>
      <c r="G1913" t="s">
        <v>735</v>
      </c>
      <c r="H1913" s="128">
        <v>0.39229999999999998</v>
      </c>
      <c r="I1913" s="110">
        <v>0.1638</v>
      </c>
      <c r="L1913">
        <v>5000</v>
      </c>
      <c r="M1913">
        <v>500000</v>
      </c>
      <c r="N1913" s="105">
        <v>44378</v>
      </c>
      <c r="O1913" s="105">
        <v>44561</v>
      </c>
      <c r="P1913" t="s">
        <v>718</v>
      </c>
    </row>
    <row r="1914" spans="1:16" ht="15" customHeight="1" x14ac:dyDescent="0.3">
      <c r="A1914" t="str">
        <f t="shared" si="30"/>
        <v>17-4-E7-SmartFIX – 2 Year Renewal (Level 2)</v>
      </c>
      <c r="B1914" t="s">
        <v>13</v>
      </c>
      <c r="C1914">
        <v>17</v>
      </c>
      <c r="D1914" s="100" t="s">
        <v>26</v>
      </c>
      <c r="E1914" t="s">
        <v>17</v>
      </c>
      <c r="F1914" t="s">
        <v>18</v>
      </c>
      <c r="G1914" t="s">
        <v>735</v>
      </c>
      <c r="H1914" s="128">
        <v>0.39229999999999998</v>
      </c>
      <c r="I1914" s="110">
        <v>0.1749</v>
      </c>
      <c r="J1914" s="110">
        <v>0.1313</v>
      </c>
      <c r="L1914">
        <v>5000</v>
      </c>
      <c r="M1914">
        <v>500000</v>
      </c>
      <c r="N1914" s="105">
        <v>44378</v>
      </c>
      <c r="O1914" s="105">
        <v>44561</v>
      </c>
      <c r="P1914" t="s">
        <v>718</v>
      </c>
    </row>
    <row r="1915" spans="1:16" ht="15" customHeight="1" x14ac:dyDescent="0.3">
      <c r="A1915" t="str">
        <f t="shared" si="30"/>
        <v>17-3-EW-SmartFIX – 2 Year Renewal (Level 2)</v>
      </c>
      <c r="B1915" t="s">
        <v>13</v>
      </c>
      <c r="C1915">
        <v>17</v>
      </c>
      <c r="D1915" s="100" t="s">
        <v>26</v>
      </c>
      <c r="E1915" t="s">
        <v>19</v>
      </c>
      <c r="F1915" t="s">
        <v>16</v>
      </c>
      <c r="G1915" t="s">
        <v>735</v>
      </c>
      <c r="H1915" s="128">
        <v>0.39229999999999998</v>
      </c>
      <c r="I1915" s="110">
        <v>0.17130000000000001</v>
      </c>
      <c r="K1915" s="110">
        <v>0.154</v>
      </c>
      <c r="L1915">
        <v>5000</v>
      </c>
      <c r="M1915">
        <v>500000</v>
      </c>
      <c r="N1915" s="105">
        <v>44378</v>
      </c>
      <c r="O1915" s="105">
        <v>44561</v>
      </c>
      <c r="P1915" t="s">
        <v>718</v>
      </c>
    </row>
    <row r="1916" spans="1:16" ht="15" customHeight="1" x14ac:dyDescent="0.3">
      <c r="A1916" t="str">
        <f t="shared" si="30"/>
        <v>17-4-3RATE-SmartFIX – 2 Year Renewal (Level 2)</v>
      </c>
      <c r="B1916" t="s">
        <v>13</v>
      </c>
      <c r="C1916">
        <v>17</v>
      </c>
      <c r="D1916" s="100" t="s">
        <v>26</v>
      </c>
      <c r="E1916" t="s">
        <v>719</v>
      </c>
      <c r="F1916" t="s">
        <v>18</v>
      </c>
      <c r="G1916" t="s">
        <v>735</v>
      </c>
      <c r="H1916" s="128">
        <v>0.39229999999999998</v>
      </c>
      <c r="I1916" s="110">
        <v>0.252</v>
      </c>
      <c r="J1916" s="110">
        <v>0.252</v>
      </c>
      <c r="K1916" s="110">
        <v>0.252</v>
      </c>
      <c r="L1916">
        <v>5000</v>
      </c>
      <c r="M1916">
        <v>500000</v>
      </c>
      <c r="N1916" s="105">
        <v>44378</v>
      </c>
      <c r="O1916" s="105">
        <v>44561</v>
      </c>
      <c r="P1916" t="s">
        <v>718</v>
      </c>
    </row>
    <row r="1917" spans="1:16" ht="15" customHeight="1" x14ac:dyDescent="0.3">
      <c r="A1917" t="str">
        <f t="shared" si="30"/>
        <v/>
      </c>
      <c r="B1917" t="s">
        <v>13</v>
      </c>
      <c r="C1917">
        <v>17</v>
      </c>
      <c r="D1917" s="100" t="s">
        <v>26</v>
      </c>
      <c r="E1917" t="s">
        <v>720</v>
      </c>
      <c r="F1917" t="s">
        <v>18</v>
      </c>
      <c r="G1917" t="s">
        <v>735</v>
      </c>
      <c r="H1917" s="128">
        <v>0.39229999999999998</v>
      </c>
      <c r="J1917" s="110">
        <v>0.154</v>
      </c>
      <c r="L1917">
        <v>5000</v>
      </c>
      <c r="M1917">
        <v>500000</v>
      </c>
      <c r="N1917" s="105">
        <v>44378</v>
      </c>
      <c r="O1917" s="105">
        <v>44561</v>
      </c>
      <c r="P1917" t="s">
        <v>718</v>
      </c>
    </row>
    <row r="1918" spans="1:16" ht="15" customHeight="1" x14ac:dyDescent="0.3">
      <c r="A1918" t="str">
        <f t="shared" si="30"/>
        <v>18-3-U-SmartFIX – 2 Year Renewal (Level 2)</v>
      </c>
      <c r="B1918" t="s">
        <v>13</v>
      </c>
      <c r="C1918">
        <v>18</v>
      </c>
      <c r="D1918" s="100" t="s">
        <v>27</v>
      </c>
      <c r="E1918" t="s">
        <v>716</v>
      </c>
      <c r="F1918" t="s">
        <v>16</v>
      </c>
      <c r="G1918" t="s">
        <v>735</v>
      </c>
      <c r="H1918" s="128">
        <v>0.3422</v>
      </c>
      <c r="I1918" s="110">
        <v>0.1603</v>
      </c>
      <c r="L1918">
        <v>5000</v>
      </c>
      <c r="M1918">
        <v>500000</v>
      </c>
      <c r="N1918" s="105">
        <v>44378</v>
      </c>
      <c r="O1918" s="105">
        <v>44561</v>
      </c>
      <c r="P1918" t="s">
        <v>718</v>
      </c>
    </row>
    <row r="1919" spans="1:16" ht="15" customHeight="1" x14ac:dyDescent="0.3">
      <c r="A1919" t="str">
        <f t="shared" si="30"/>
        <v>18-4-E7-SmartFIX – 2 Year Renewal (Level 2)</v>
      </c>
      <c r="B1919" t="s">
        <v>13</v>
      </c>
      <c r="C1919">
        <v>18</v>
      </c>
      <c r="D1919" s="100" t="s">
        <v>27</v>
      </c>
      <c r="E1919" t="s">
        <v>17</v>
      </c>
      <c r="F1919" t="s">
        <v>18</v>
      </c>
      <c r="G1919" t="s">
        <v>735</v>
      </c>
      <c r="H1919" s="128">
        <v>0.3422</v>
      </c>
      <c r="I1919" s="110">
        <v>0.1706</v>
      </c>
      <c r="J1919" s="110">
        <v>0.12809999999999999</v>
      </c>
      <c r="L1919">
        <v>5000</v>
      </c>
      <c r="M1919">
        <v>500000</v>
      </c>
      <c r="N1919" s="105">
        <v>44378</v>
      </c>
      <c r="O1919" s="105">
        <v>44561</v>
      </c>
      <c r="P1919" t="s">
        <v>718</v>
      </c>
    </row>
    <row r="1920" spans="1:16" ht="15" customHeight="1" x14ac:dyDescent="0.3">
      <c r="A1920" t="str">
        <f t="shared" si="30"/>
        <v>18-3-EW-SmartFIX – 2 Year Renewal (Level 2)</v>
      </c>
      <c r="B1920" t="s">
        <v>13</v>
      </c>
      <c r="C1920">
        <v>18</v>
      </c>
      <c r="D1920" s="100" t="s">
        <v>27</v>
      </c>
      <c r="E1920" t="s">
        <v>19</v>
      </c>
      <c r="F1920" t="s">
        <v>16</v>
      </c>
      <c r="G1920" t="s">
        <v>735</v>
      </c>
      <c r="H1920" s="128">
        <v>0.3422</v>
      </c>
      <c r="I1920" s="110">
        <v>0.16800000000000001</v>
      </c>
      <c r="K1920" s="110">
        <v>0.1492</v>
      </c>
      <c r="L1920">
        <v>5000</v>
      </c>
      <c r="M1920">
        <v>500000</v>
      </c>
      <c r="N1920" s="105">
        <v>44378</v>
      </c>
      <c r="O1920" s="105">
        <v>44561</v>
      </c>
      <c r="P1920" t="s">
        <v>718</v>
      </c>
    </row>
    <row r="1921" spans="1:16" ht="15" customHeight="1" x14ac:dyDescent="0.3">
      <c r="A1921" t="str">
        <f t="shared" si="30"/>
        <v>18-4-3RATE-SmartFIX – 2 Year Renewal (Level 2)</v>
      </c>
      <c r="B1921" t="s">
        <v>13</v>
      </c>
      <c r="C1921">
        <v>18</v>
      </c>
      <c r="D1921" s="100" t="s">
        <v>27</v>
      </c>
      <c r="E1921" t="s">
        <v>719</v>
      </c>
      <c r="F1921" t="s">
        <v>18</v>
      </c>
      <c r="G1921" t="s">
        <v>735</v>
      </c>
      <c r="H1921" s="128">
        <v>0.3422</v>
      </c>
      <c r="I1921" s="110">
        <v>0.252</v>
      </c>
      <c r="J1921" s="110">
        <v>0.252</v>
      </c>
      <c r="K1921" s="110">
        <v>0.252</v>
      </c>
      <c r="L1921">
        <v>5000</v>
      </c>
      <c r="M1921">
        <v>500000</v>
      </c>
      <c r="N1921" s="105">
        <v>44378</v>
      </c>
      <c r="O1921" s="105">
        <v>44561</v>
      </c>
      <c r="P1921" t="s">
        <v>718</v>
      </c>
    </row>
    <row r="1922" spans="1:16" ht="15" customHeight="1" x14ac:dyDescent="0.3">
      <c r="A1922" t="str">
        <f t="shared" si="30"/>
        <v/>
      </c>
      <c r="B1922" t="s">
        <v>13</v>
      </c>
      <c r="C1922">
        <v>18</v>
      </c>
      <c r="D1922" s="100" t="s">
        <v>27</v>
      </c>
      <c r="E1922" t="s">
        <v>720</v>
      </c>
      <c r="F1922" t="s">
        <v>18</v>
      </c>
      <c r="G1922" t="s">
        <v>735</v>
      </c>
      <c r="H1922" s="128">
        <v>0.3422</v>
      </c>
      <c r="J1922" s="110">
        <v>0.1492</v>
      </c>
      <c r="L1922">
        <v>5000</v>
      </c>
      <c r="M1922">
        <v>500000</v>
      </c>
      <c r="N1922" s="105">
        <v>44378</v>
      </c>
      <c r="O1922" s="105">
        <v>44561</v>
      </c>
      <c r="P1922" t="s">
        <v>718</v>
      </c>
    </row>
    <row r="1923" spans="1:16" ht="15" customHeight="1" x14ac:dyDescent="0.3">
      <c r="A1923" t="str">
        <f t="shared" si="30"/>
        <v>19-3-U-SmartFIX – 2 Year Renewal (Level 2)</v>
      </c>
      <c r="B1923" t="s">
        <v>13</v>
      </c>
      <c r="C1923">
        <v>19</v>
      </c>
      <c r="D1923" s="100" t="s">
        <v>28</v>
      </c>
      <c r="E1923" t="s">
        <v>716</v>
      </c>
      <c r="F1923" t="s">
        <v>16</v>
      </c>
      <c r="G1923" t="s">
        <v>735</v>
      </c>
      <c r="H1923" s="128">
        <v>0.32529999999999998</v>
      </c>
      <c r="I1923" s="110">
        <v>0.15810000000000002</v>
      </c>
      <c r="L1923">
        <v>5000</v>
      </c>
      <c r="M1923">
        <v>500000</v>
      </c>
      <c r="N1923" s="105">
        <v>44378</v>
      </c>
      <c r="O1923" s="105">
        <v>44561</v>
      </c>
      <c r="P1923" t="s">
        <v>718</v>
      </c>
    </row>
    <row r="1924" spans="1:16" ht="15" customHeight="1" x14ac:dyDescent="0.3">
      <c r="A1924" t="str">
        <f t="shared" si="30"/>
        <v>19-4-E7-SmartFIX – 2 Year Renewal (Level 2)</v>
      </c>
      <c r="B1924" t="s">
        <v>13</v>
      </c>
      <c r="C1924">
        <v>19</v>
      </c>
      <c r="D1924" s="100" t="s">
        <v>28</v>
      </c>
      <c r="E1924" t="s">
        <v>17</v>
      </c>
      <c r="F1924" t="s">
        <v>18</v>
      </c>
      <c r="G1924" t="s">
        <v>735</v>
      </c>
      <c r="H1924" s="128">
        <v>0.32529999999999998</v>
      </c>
      <c r="I1924" s="110">
        <v>0.16690000000000002</v>
      </c>
      <c r="J1924" s="110">
        <v>0.11890000000000001</v>
      </c>
      <c r="L1924">
        <v>5000</v>
      </c>
      <c r="M1924">
        <v>500000</v>
      </c>
      <c r="N1924" s="105">
        <v>44378</v>
      </c>
      <c r="O1924" s="105">
        <v>44561</v>
      </c>
      <c r="P1924" t="s">
        <v>718</v>
      </c>
    </row>
    <row r="1925" spans="1:16" ht="15" customHeight="1" x14ac:dyDescent="0.3">
      <c r="A1925" t="str">
        <f t="shared" si="30"/>
        <v>19-3-EW-SmartFIX – 2 Year Renewal (Level 2)</v>
      </c>
      <c r="B1925" t="s">
        <v>13</v>
      </c>
      <c r="C1925">
        <v>19</v>
      </c>
      <c r="D1925" s="100" t="s">
        <v>28</v>
      </c>
      <c r="E1925" t="s">
        <v>19</v>
      </c>
      <c r="F1925" t="s">
        <v>16</v>
      </c>
      <c r="G1925" t="s">
        <v>735</v>
      </c>
      <c r="H1925" s="128">
        <v>0.32529999999999998</v>
      </c>
      <c r="I1925" s="110">
        <v>0.252</v>
      </c>
      <c r="K1925" s="110">
        <v>0.252</v>
      </c>
      <c r="L1925">
        <v>5000</v>
      </c>
      <c r="M1925">
        <v>500000</v>
      </c>
      <c r="N1925" s="105">
        <v>44378</v>
      </c>
      <c r="O1925" s="105">
        <v>44561</v>
      </c>
      <c r="P1925" t="s">
        <v>718</v>
      </c>
    </row>
    <row r="1926" spans="1:16" ht="15" customHeight="1" x14ac:dyDescent="0.3">
      <c r="A1926" t="str">
        <f t="shared" si="30"/>
        <v>19-4-3RATE-SmartFIX – 2 Year Renewal (Level 2)</v>
      </c>
      <c r="B1926" t="s">
        <v>13</v>
      </c>
      <c r="C1926">
        <v>19</v>
      </c>
      <c r="D1926" s="100" t="s">
        <v>28</v>
      </c>
      <c r="E1926" t="s">
        <v>719</v>
      </c>
      <c r="F1926" t="s">
        <v>18</v>
      </c>
      <c r="G1926" t="s">
        <v>735</v>
      </c>
      <c r="H1926" s="128">
        <v>0.32529999999999998</v>
      </c>
      <c r="I1926" s="110">
        <v>0.17650000000000002</v>
      </c>
      <c r="J1926" s="110">
        <v>0.12079999999999999</v>
      </c>
      <c r="K1926" s="110">
        <v>0.16450000000000001</v>
      </c>
      <c r="L1926">
        <v>5000</v>
      </c>
      <c r="M1926">
        <v>500000</v>
      </c>
      <c r="N1926" s="105">
        <v>44378</v>
      </c>
      <c r="O1926" s="105">
        <v>44561</v>
      </c>
      <c r="P1926" t="s">
        <v>718</v>
      </c>
    </row>
    <row r="1927" spans="1:16" ht="15" customHeight="1" x14ac:dyDescent="0.3">
      <c r="A1927" t="str">
        <f t="shared" si="30"/>
        <v/>
      </c>
      <c r="B1927" t="s">
        <v>13</v>
      </c>
      <c r="C1927">
        <v>19</v>
      </c>
      <c r="D1927" s="100" t="s">
        <v>28</v>
      </c>
      <c r="E1927" t="s">
        <v>720</v>
      </c>
      <c r="F1927" t="s">
        <v>18</v>
      </c>
      <c r="G1927" t="s">
        <v>735</v>
      </c>
      <c r="H1927" s="128">
        <v>0.32529999999999998</v>
      </c>
      <c r="J1927" s="110">
        <v>0.11890000000000001</v>
      </c>
      <c r="L1927">
        <v>5000</v>
      </c>
      <c r="M1927">
        <v>500000</v>
      </c>
      <c r="N1927" s="105">
        <v>44378</v>
      </c>
      <c r="O1927" s="105">
        <v>44561</v>
      </c>
      <c r="P1927" t="s">
        <v>718</v>
      </c>
    </row>
    <row r="1928" spans="1:16" ht="15" customHeight="1" x14ac:dyDescent="0.3">
      <c r="A1928" t="str">
        <f t="shared" si="30"/>
        <v>20-3-U-SmartFIX – 2 Year Renewal (Level 2)</v>
      </c>
      <c r="B1928" t="s">
        <v>13</v>
      </c>
      <c r="C1928">
        <v>20</v>
      </c>
      <c r="D1928" s="100" t="s">
        <v>29</v>
      </c>
      <c r="E1928" t="s">
        <v>716</v>
      </c>
      <c r="F1928" t="s">
        <v>16</v>
      </c>
      <c r="G1928" t="s">
        <v>735</v>
      </c>
      <c r="H1928" s="128">
        <v>0.32229999999999998</v>
      </c>
      <c r="I1928" s="110">
        <v>0.15590000000000001</v>
      </c>
      <c r="L1928">
        <v>5000</v>
      </c>
      <c r="M1928">
        <v>500000</v>
      </c>
      <c r="N1928" s="105">
        <v>44378</v>
      </c>
      <c r="O1928" s="105">
        <v>44561</v>
      </c>
      <c r="P1928" t="s">
        <v>718</v>
      </c>
    </row>
    <row r="1929" spans="1:16" ht="15" customHeight="1" x14ac:dyDescent="0.3">
      <c r="A1929" t="str">
        <f t="shared" si="30"/>
        <v>20-4-E7-SmartFIX – 2 Year Renewal (Level 2)</v>
      </c>
      <c r="B1929" t="s">
        <v>13</v>
      </c>
      <c r="C1929">
        <v>20</v>
      </c>
      <c r="D1929" s="100" t="s">
        <v>29</v>
      </c>
      <c r="E1929" t="s">
        <v>17</v>
      </c>
      <c r="F1929" t="s">
        <v>18</v>
      </c>
      <c r="G1929" t="s">
        <v>735</v>
      </c>
      <c r="H1929" s="128">
        <v>0.32229999999999998</v>
      </c>
      <c r="I1929" s="110">
        <v>0.1651</v>
      </c>
      <c r="J1929" s="110">
        <v>0.11990000000000001</v>
      </c>
      <c r="L1929">
        <v>5000</v>
      </c>
      <c r="M1929">
        <v>500000</v>
      </c>
      <c r="N1929" s="105">
        <v>44378</v>
      </c>
      <c r="O1929" s="105">
        <v>44561</v>
      </c>
      <c r="P1929" t="s">
        <v>718</v>
      </c>
    </row>
    <row r="1930" spans="1:16" ht="15" customHeight="1" x14ac:dyDescent="0.3">
      <c r="A1930" t="str">
        <f t="shared" si="30"/>
        <v>20-3-EW-SmartFIX – 2 Year Renewal (Level 2)</v>
      </c>
      <c r="B1930" t="s">
        <v>13</v>
      </c>
      <c r="C1930">
        <v>20</v>
      </c>
      <c r="D1930" s="100" t="s">
        <v>29</v>
      </c>
      <c r="E1930" t="s">
        <v>19</v>
      </c>
      <c r="F1930" t="s">
        <v>16</v>
      </c>
      <c r="G1930" t="s">
        <v>735</v>
      </c>
      <c r="H1930" s="128">
        <v>0.32229999999999998</v>
      </c>
      <c r="I1930" s="110">
        <v>0.1651</v>
      </c>
      <c r="K1930" s="110">
        <v>0.14350000000000002</v>
      </c>
      <c r="L1930">
        <v>5000</v>
      </c>
      <c r="M1930">
        <v>500000</v>
      </c>
      <c r="N1930" s="105">
        <v>44378</v>
      </c>
      <c r="O1930" s="105">
        <v>44561</v>
      </c>
      <c r="P1930" t="s">
        <v>718</v>
      </c>
    </row>
    <row r="1931" spans="1:16" ht="15" customHeight="1" x14ac:dyDescent="0.3">
      <c r="A1931" t="str">
        <f t="shared" si="30"/>
        <v>20-4-3RATE-SmartFIX – 2 Year Renewal (Level 2)</v>
      </c>
      <c r="B1931" t="s">
        <v>13</v>
      </c>
      <c r="C1931">
        <v>20</v>
      </c>
      <c r="D1931" s="100" t="s">
        <v>29</v>
      </c>
      <c r="E1931" t="s">
        <v>719</v>
      </c>
      <c r="F1931" t="s">
        <v>18</v>
      </c>
      <c r="G1931" t="s">
        <v>735</v>
      </c>
      <c r="H1931" s="128">
        <v>0.32229999999999998</v>
      </c>
      <c r="I1931" s="110">
        <v>0.1762</v>
      </c>
      <c r="J1931" s="110">
        <v>0.1242</v>
      </c>
      <c r="K1931" s="110">
        <v>0.15740000000000001</v>
      </c>
      <c r="L1931">
        <v>5000</v>
      </c>
      <c r="M1931">
        <v>500000</v>
      </c>
      <c r="N1931" s="105">
        <v>44378</v>
      </c>
      <c r="O1931" s="105">
        <v>44561</v>
      </c>
      <c r="P1931" t="s">
        <v>718</v>
      </c>
    </row>
    <row r="1932" spans="1:16" ht="15" customHeight="1" x14ac:dyDescent="0.3">
      <c r="A1932" t="str">
        <f t="shared" ref="A1932:A1995" si="31">IF(E1932="OP","",CONCATENATE(C1932,"-",RIGHT(F1932,1),"-",IF(OR(E1932="1 Rate MD",E1932="DAY"),"U",IF(OR(E1932="2 Rate MD",E1932="E7"),"E7",IF(OR(E1932="3 Rate MD (EW)",E1932="EW"),"EW",IF(OR(E1932="3 Rate MD",E1932="EWN"),"3RATE",IF(E1932="HH 2RATE (CT)","HH 2RATE (CT)",IF(E1932="HH 2RATE (WC)","HH 2RATE (WC)",IF(E1932="HH 1RATE (CT)","HH 1RATE (CT)",IF(E1932="HH 1RATE (WC)","HH 1RATE (WC)")))))))),"-",G1932))</f>
        <v/>
      </c>
      <c r="B1932" t="s">
        <v>13</v>
      </c>
      <c r="C1932">
        <v>20</v>
      </c>
      <c r="D1932" s="100" t="s">
        <v>29</v>
      </c>
      <c r="E1932" t="s">
        <v>720</v>
      </c>
      <c r="F1932" t="s">
        <v>18</v>
      </c>
      <c r="G1932" t="s">
        <v>735</v>
      </c>
      <c r="H1932" s="128">
        <v>0.32229999999999998</v>
      </c>
      <c r="J1932" s="110">
        <v>0.14350000000000002</v>
      </c>
      <c r="L1932">
        <v>5000</v>
      </c>
      <c r="M1932">
        <v>500000</v>
      </c>
      <c r="N1932" s="105">
        <v>44378</v>
      </c>
      <c r="O1932" s="105">
        <v>44561</v>
      </c>
      <c r="P1932" t="s">
        <v>718</v>
      </c>
    </row>
    <row r="1933" spans="1:16" ht="15" customHeight="1" x14ac:dyDescent="0.3">
      <c r="A1933" t="str">
        <f t="shared" si="31"/>
        <v>21-3-U-SmartFIX – 2 Year Renewal (Level 2)</v>
      </c>
      <c r="B1933" t="s">
        <v>13</v>
      </c>
      <c r="C1933">
        <v>21</v>
      </c>
      <c r="D1933" s="100" t="s">
        <v>30</v>
      </c>
      <c r="E1933" t="s">
        <v>716</v>
      </c>
      <c r="F1933" t="s">
        <v>16</v>
      </c>
      <c r="G1933" t="s">
        <v>735</v>
      </c>
      <c r="H1933" s="128">
        <v>0.4461</v>
      </c>
      <c r="I1933" s="110">
        <v>0.158</v>
      </c>
      <c r="L1933">
        <v>5000</v>
      </c>
      <c r="M1933">
        <v>500000</v>
      </c>
      <c r="N1933" s="105">
        <v>44378</v>
      </c>
      <c r="O1933" s="105">
        <v>44561</v>
      </c>
      <c r="P1933" t="s">
        <v>718</v>
      </c>
    </row>
    <row r="1934" spans="1:16" ht="15" customHeight="1" x14ac:dyDescent="0.3">
      <c r="A1934" t="str">
        <f t="shared" si="31"/>
        <v>21-4-E7-SmartFIX – 2 Year Renewal (Level 2)</v>
      </c>
      <c r="B1934" t="s">
        <v>13</v>
      </c>
      <c r="C1934">
        <v>21</v>
      </c>
      <c r="D1934" s="100" t="s">
        <v>30</v>
      </c>
      <c r="E1934" t="s">
        <v>17</v>
      </c>
      <c r="F1934" t="s">
        <v>18</v>
      </c>
      <c r="G1934" t="s">
        <v>735</v>
      </c>
      <c r="H1934" s="128">
        <v>0.4461</v>
      </c>
      <c r="I1934" s="110">
        <v>0.16520000000000001</v>
      </c>
      <c r="J1934" s="110">
        <v>0.1245</v>
      </c>
      <c r="L1934">
        <v>5000</v>
      </c>
      <c r="M1934">
        <v>500000</v>
      </c>
      <c r="N1934" s="105">
        <v>44378</v>
      </c>
      <c r="O1934" s="105">
        <v>44561</v>
      </c>
      <c r="P1934" t="s">
        <v>718</v>
      </c>
    </row>
    <row r="1935" spans="1:16" ht="15" customHeight="1" x14ac:dyDescent="0.3">
      <c r="A1935" t="str">
        <f t="shared" si="31"/>
        <v>21-3-EW-SmartFIX – 2 Year Renewal (Level 2)</v>
      </c>
      <c r="B1935" t="s">
        <v>13</v>
      </c>
      <c r="C1935">
        <v>21</v>
      </c>
      <c r="D1935" s="100" t="s">
        <v>30</v>
      </c>
      <c r="E1935" t="s">
        <v>19</v>
      </c>
      <c r="F1935" t="s">
        <v>16</v>
      </c>
      <c r="G1935" t="s">
        <v>735</v>
      </c>
      <c r="H1935" s="128">
        <v>0.4461</v>
      </c>
      <c r="I1935" s="110">
        <v>0.16570000000000001</v>
      </c>
      <c r="K1935" s="110">
        <v>0.1474</v>
      </c>
      <c r="L1935">
        <v>5000</v>
      </c>
      <c r="M1935">
        <v>500000</v>
      </c>
      <c r="N1935" s="105">
        <v>44378</v>
      </c>
      <c r="O1935" s="105">
        <v>44561</v>
      </c>
      <c r="P1935" t="s">
        <v>718</v>
      </c>
    </row>
    <row r="1936" spans="1:16" ht="15" customHeight="1" x14ac:dyDescent="0.3">
      <c r="A1936" t="str">
        <f t="shared" si="31"/>
        <v>21-4-3RATE-SmartFIX – 2 Year Renewal (Level 2)</v>
      </c>
      <c r="B1936" t="s">
        <v>13</v>
      </c>
      <c r="C1936">
        <v>21</v>
      </c>
      <c r="D1936" s="100" t="s">
        <v>30</v>
      </c>
      <c r="E1936" t="s">
        <v>719</v>
      </c>
      <c r="F1936" t="s">
        <v>18</v>
      </c>
      <c r="G1936" t="s">
        <v>735</v>
      </c>
      <c r="H1936" s="128">
        <v>0.4461</v>
      </c>
      <c r="I1936" s="110">
        <v>0.1772</v>
      </c>
      <c r="J1936" s="110">
        <v>0.1255</v>
      </c>
      <c r="K1936" s="110">
        <v>0.16140000000000002</v>
      </c>
      <c r="L1936">
        <v>5000</v>
      </c>
      <c r="M1936">
        <v>500000</v>
      </c>
      <c r="N1936" s="105">
        <v>44378</v>
      </c>
      <c r="O1936" s="105">
        <v>44561</v>
      </c>
      <c r="P1936" t="s">
        <v>718</v>
      </c>
    </row>
    <row r="1937" spans="1:16" ht="15" customHeight="1" x14ac:dyDescent="0.3">
      <c r="A1937" t="str">
        <f t="shared" si="31"/>
        <v/>
      </c>
      <c r="B1937" t="s">
        <v>13</v>
      </c>
      <c r="C1937">
        <v>21</v>
      </c>
      <c r="D1937" s="100" t="s">
        <v>30</v>
      </c>
      <c r="E1937" t="s">
        <v>720</v>
      </c>
      <c r="F1937" t="s">
        <v>18</v>
      </c>
      <c r="G1937" t="s">
        <v>735</v>
      </c>
      <c r="H1937" s="128">
        <v>0.4461</v>
      </c>
      <c r="J1937" s="110">
        <v>0.1474</v>
      </c>
      <c r="L1937">
        <v>5000</v>
      </c>
      <c r="M1937">
        <v>500000</v>
      </c>
      <c r="N1937" s="105">
        <v>44378</v>
      </c>
      <c r="O1937" s="105">
        <v>44561</v>
      </c>
      <c r="P1937" t="s">
        <v>718</v>
      </c>
    </row>
    <row r="1938" spans="1:16" ht="15" customHeight="1" x14ac:dyDescent="0.3">
      <c r="A1938" t="str">
        <f t="shared" si="31"/>
        <v>22-3-U-SmartFIX – 2 Year Renewal (Level 2)</v>
      </c>
      <c r="B1938" t="s">
        <v>13</v>
      </c>
      <c r="C1938">
        <v>22</v>
      </c>
      <c r="D1938" s="100" t="s">
        <v>31</v>
      </c>
      <c r="E1938" t="s">
        <v>716</v>
      </c>
      <c r="F1938" t="s">
        <v>16</v>
      </c>
      <c r="G1938" t="s">
        <v>735</v>
      </c>
      <c r="H1938" s="128">
        <v>0.38469999999999999</v>
      </c>
      <c r="I1938" s="110">
        <v>0.1613</v>
      </c>
      <c r="L1938">
        <v>5000</v>
      </c>
      <c r="M1938">
        <v>500000</v>
      </c>
      <c r="N1938" s="105">
        <v>44378</v>
      </c>
      <c r="O1938" s="105">
        <v>44561</v>
      </c>
      <c r="P1938" t="s">
        <v>718</v>
      </c>
    </row>
    <row r="1939" spans="1:16" ht="15" customHeight="1" x14ac:dyDescent="0.3">
      <c r="A1939" t="str">
        <f t="shared" si="31"/>
        <v>22-4-E7-SmartFIX – 2 Year Renewal (Level 2)</v>
      </c>
      <c r="B1939" t="s">
        <v>13</v>
      </c>
      <c r="C1939">
        <v>22</v>
      </c>
      <c r="D1939" s="100" t="s">
        <v>31</v>
      </c>
      <c r="E1939" t="s">
        <v>17</v>
      </c>
      <c r="F1939" t="s">
        <v>18</v>
      </c>
      <c r="G1939" t="s">
        <v>735</v>
      </c>
      <c r="H1939" s="128">
        <v>0.38469999999999999</v>
      </c>
      <c r="I1939" s="110">
        <v>0.1701</v>
      </c>
      <c r="J1939" s="110">
        <v>0.13159999999999999</v>
      </c>
      <c r="L1939">
        <v>5000</v>
      </c>
      <c r="M1939">
        <v>500000</v>
      </c>
      <c r="N1939" s="105">
        <v>44378</v>
      </c>
      <c r="O1939" s="105">
        <v>44561</v>
      </c>
      <c r="P1939" t="s">
        <v>718</v>
      </c>
    </row>
    <row r="1940" spans="1:16" ht="15" customHeight="1" x14ac:dyDescent="0.3">
      <c r="A1940" t="str">
        <f t="shared" si="31"/>
        <v>22-3-EW-SmartFIX – 2 Year Renewal (Level 2)</v>
      </c>
      <c r="B1940" t="s">
        <v>13</v>
      </c>
      <c r="C1940">
        <v>22</v>
      </c>
      <c r="D1940" s="100" t="s">
        <v>31</v>
      </c>
      <c r="E1940" t="s">
        <v>19</v>
      </c>
      <c r="F1940" t="s">
        <v>16</v>
      </c>
      <c r="G1940" t="s">
        <v>735</v>
      </c>
      <c r="H1940" s="128">
        <v>0.38469999999999999</v>
      </c>
      <c r="I1940" s="110">
        <v>0.17050000000000001</v>
      </c>
      <c r="K1940" s="110">
        <v>0.14990000000000001</v>
      </c>
      <c r="L1940">
        <v>5000</v>
      </c>
      <c r="M1940">
        <v>500000</v>
      </c>
      <c r="N1940" s="105">
        <v>44378</v>
      </c>
      <c r="O1940" s="105">
        <v>44561</v>
      </c>
      <c r="P1940" t="s">
        <v>718</v>
      </c>
    </row>
    <row r="1941" spans="1:16" ht="15" customHeight="1" x14ac:dyDescent="0.3">
      <c r="A1941" t="str">
        <f t="shared" si="31"/>
        <v>22-4-3RATE-SmartFIX – 2 Year Renewal (Level 2)</v>
      </c>
      <c r="B1941" t="s">
        <v>13</v>
      </c>
      <c r="C1941">
        <v>22</v>
      </c>
      <c r="D1941" s="100" t="s">
        <v>31</v>
      </c>
      <c r="E1941" t="s">
        <v>719</v>
      </c>
      <c r="F1941" t="s">
        <v>18</v>
      </c>
      <c r="G1941" t="s">
        <v>735</v>
      </c>
      <c r="H1941" s="128">
        <v>0.38469999999999999</v>
      </c>
      <c r="I1941" s="110">
        <v>0.17810000000000001</v>
      </c>
      <c r="J1941" s="110">
        <v>0.1245</v>
      </c>
      <c r="K1941" s="110">
        <v>0.16470000000000001</v>
      </c>
      <c r="L1941">
        <v>5000</v>
      </c>
      <c r="M1941">
        <v>500000</v>
      </c>
      <c r="N1941" s="105">
        <v>44378</v>
      </c>
      <c r="O1941" s="105">
        <v>44561</v>
      </c>
      <c r="P1941" t="s">
        <v>718</v>
      </c>
    </row>
    <row r="1942" spans="1:16" ht="15" customHeight="1" x14ac:dyDescent="0.3">
      <c r="A1942" t="str">
        <f t="shared" si="31"/>
        <v/>
      </c>
      <c r="B1942" t="s">
        <v>13</v>
      </c>
      <c r="C1942">
        <v>22</v>
      </c>
      <c r="D1942" s="100" t="s">
        <v>31</v>
      </c>
      <c r="E1942" t="s">
        <v>720</v>
      </c>
      <c r="F1942" t="s">
        <v>18</v>
      </c>
      <c r="G1942" t="s">
        <v>735</v>
      </c>
      <c r="H1942" s="128">
        <v>0.38469999999999999</v>
      </c>
      <c r="J1942" s="110">
        <v>0.14990000000000001</v>
      </c>
      <c r="L1942">
        <v>5000</v>
      </c>
      <c r="M1942">
        <v>500000</v>
      </c>
      <c r="N1942" s="105">
        <v>44378</v>
      </c>
      <c r="O1942" s="105">
        <v>44561</v>
      </c>
      <c r="P1942" t="s">
        <v>718</v>
      </c>
    </row>
    <row r="1943" spans="1:16" ht="15" customHeight="1" x14ac:dyDescent="0.3">
      <c r="A1943" t="str">
        <f t="shared" si="31"/>
        <v>23-3-U-SmartFIX – 2 Year Renewal (Level 2)</v>
      </c>
      <c r="B1943" t="s">
        <v>13</v>
      </c>
      <c r="C1943">
        <v>23</v>
      </c>
      <c r="D1943" s="100" t="s">
        <v>32</v>
      </c>
      <c r="E1943" t="s">
        <v>716</v>
      </c>
      <c r="F1943" t="s">
        <v>16</v>
      </c>
      <c r="G1943" t="s">
        <v>735</v>
      </c>
      <c r="H1943" s="128">
        <v>0.33789999999999998</v>
      </c>
      <c r="I1943" s="110">
        <v>0.15679999999999999</v>
      </c>
      <c r="L1943">
        <v>5000</v>
      </c>
      <c r="M1943">
        <v>500000</v>
      </c>
      <c r="N1943" s="105">
        <v>44378</v>
      </c>
      <c r="O1943" s="105">
        <v>44561</v>
      </c>
      <c r="P1943" t="s">
        <v>718</v>
      </c>
    </row>
    <row r="1944" spans="1:16" ht="15" customHeight="1" x14ac:dyDescent="0.3">
      <c r="A1944" t="str">
        <f t="shared" si="31"/>
        <v>23-4-E7-SmartFIX – 2 Year Renewal (Level 2)</v>
      </c>
      <c r="B1944" t="s">
        <v>13</v>
      </c>
      <c r="C1944">
        <v>23</v>
      </c>
      <c r="D1944" s="100" t="s">
        <v>32</v>
      </c>
      <c r="E1944" t="s">
        <v>17</v>
      </c>
      <c r="F1944" t="s">
        <v>18</v>
      </c>
      <c r="G1944" t="s">
        <v>735</v>
      </c>
      <c r="H1944" s="128">
        <v>0.33789999999999998</v>
      </c>
      <c r="I1944" s="110">
        <v>0.16250000000000001</v>
      </c>
      <c r="J1944" s="110">
        <v>0.1212</v>
      </c>
      <c r="L1944">
        <v>5000</v>
      </c>
      <c r="M1944">
        <v>500000</v>
      </c>
      <c r="N1944" s="105">
        <v>44378</v>
      </c>
      <c r="O1944" s="105">
        <v>44561</v>
      </c>
      <c r="P1944" t="s">
        <v>718</v>
      </c>
    </row>
    <row r="1945" spans="1:16" ht="15" customHeight="1" x14ac:dyDescent="0.3">
      <c r="A1945" t="str">
        <f t="shared" si="31"/>
        <v>23-3-EW-SmartFIX – 2 Year Renewal (Level 2)</v>
      </c>
      <c r="B1945" t="s">
        <v>13</v>
      </c>
      <c r="C1945">
        <v>23</v>
      </c>
      <c r="D1945" s="100" t="s">
        <v>32</v>
      </c>
      <c r="E1945" t="s">
        <v>19</v>
      </c>
      <c r="F1945" t="s">
        <v>16</v>
      </c>
      <c r="G1945" t="s">
        <v>735</v>
      </c>
      <c r="H1945" s="128">
        <v>0.33789999999999998</v>
      </c>
      <c r="I1945" s="110">
        <v>0.16550000000000001</v>
      </c>
      <c r="K1945" s="110">
        <v>0.14500000000000002</v>
      </c>
      <c r="L1945">
        <v>5000</v>
      </c>
      <c r="M1945">
        <v>500000</v>
      </c>
      <c r="N1945" s="105">
        <v>44378</v>
      </c>
      <c r="O1945" s="105">
        <v>44561</v>
      </c>
      <c r="P1945" t="s">
        <v>718</v>
      </c>
    </row>
    <row r="1946" spans="1:16" ht="15" customHeight="1" x14ac:dyDescent="0.3">
      <c r="A1946" t="str">
        <f t="shared" si="31"/>
        <v>23-4-3RATE-SmartFIX – 2 Year Renewal (Level 2)</v>
      </c>
      <c r="B1946" t="s">
        <v>13</v>
      </c>
      <c r="C1946">
        <v>23</v>
      </c>
      <c r="D1946" s="100" t="s">
        <v>32</v>
      </c>
      <c r="E1946" t="s">
        <v>719</v>
      </c>
      <c r="F1946" t="s">
        <v>18</v>
      </c>
      <c r="G1946" t="s">
        <v>735</v>
      </c>
      <c r="H1946" s="128">
        <v>0.33789999999999998</v>
      </c>
      <c r="I1946" s="110">
        <v>0.17460000000000001</v>
      </c>
      <c r="J1946" s="110">
        <v>0.12440000000000001</v>
      </c>
      <c r="K1946" s="110">
        <v>0.15579999999999999</v>
      </c>
      <c r="L1946">
        <v>5000</v>
      </c>
      <c r="M1946">
        <v>500000</v>
      </c>
      <c r="N1946" s="105">
        <v>44378</v>
      </c>
      <c r="O1946" s="105">
        <v>44561</v>
      </c>
      <c r="P1946" t="s">
        <v>718</v>
      </c>
    </row>
    <row r="1947" spans="1:16" ht="15" customHeight="1" x14ac:dyDescent="0.3">
      <c r="A1947" t="str">
        <f t="shared" si="31"/>
        <v/>
      </c>
      <c r="B1947" t="s">
        <v>13</v>
      </c>
      <c r="C1947">
        <v>23</v>
      </c>
      <c r="D1947" s="100" t="s">
        <v>32</v>
      </c>
      <c r="E1947" t="s">
        <v>720</v>
      </c>
      <c r="F1947" t="s">
        <v>18</v>
      </c>
      <c r="G1947" t="s">
        <v>735</v>
      </c>
      <c r="H1947" s="128">
        <v>0.33789999999999998</v>
      </c>
      <c r="J1947" s="110">
        <v>0.14500000000000002</v>
      </c>
      <c r="L1947">
        <v>5000</v>
      </c>
      <c r="M1947">
        <v>500000</v>
      </c>
      <c r="N1947" s="105">
        <v>44378</v>
      </c>
      <c r="O1947" s="105">
        <v>44561</v>
      </c>
      <c r="P1947" t="s">
        <v>718</v>
      </c>
    </row>
    <row r="1948" spans="1:16" ht="15" customHeight="1" x14ac:dyDescent="0.3">
      <c r="A1948" t="str">
        <f t="shared" si="31"/>
        <v>10-3-U-SmartFIX – 3 Year Renewal (Level 2)</v>
      </c>
      <c r="B1948" t="s">
        <v>13</v>
      </c>
      <c r="C1948">
        <v>10</v>
      </c>
      <c r="D1948" s="100" t="s">
        <v>14</v>
      </c>
      <c r="E1948" t="s">
        <v>716</v>
      </c>
      <c r="F1948" t="s">
        <v>16</v>
      </c>
      <c r="G1948" t="s">
        <v>736</v>
      </c>
      <c r="H1948" s="128">
        <v>0.34229999999999999</v>
      </c>
      <c r="I1948" s="110">
        <v>0.158</v>
      </c>
      <c r="L1948">
        <v>5000</v>
      </c>
      <c r="M1948">
        <v>500000</v>
      </c>
      <c r="N1948" s="105">
        <v>44378</v>
      </c>
      <c r="O1948" s="105">
        <v>44561</v>
      </c>
      <c r="P1948" t="s">
        <v>718</v>
      </c>
    </row>
    <row r="1949" spans="1:16" ht="15" customHeight="1" x14ac:dyDescent="0.3">
      <c r="A1949" t="str">
        <f t="shared" si="31"/>
        <v>10-4-E7-SmartFIX – 3 Year Renewal (Level 2)</v>
      </c>
      <c r="B1949" t="s">
        <v>13</v>
      </c>
      <c r="C1949">
        <v>10</v>
      </c>
      <c r="D1949" s="100" t="s">
        <v>14</v>
      </c>
      <c r="E1949" t="s">
        <v>17</v>
      </c>
      <c r="F1949" t="s">
        <v>18</v>
      </c>
      <c r="G1949" t="s">
        <v>736</v>
      </c>
      <c r="H1949" s="128">
        <v>0.34229999999999999</v>
      </c>
      <c r="I1949" s="110">
        <v>0.16800000000000001</v>
      </c>
      <c r="J1949" s="110">
        <v>0.1177</v>
      </c>
      <c r="L1949">
        <v>5000</v>
      </c>
      <c r="M1949">
        <v>500000</v>
      </c>
      <c r="N1949" s="105">
        <v>44378</v>
      </c>
      <c r="O1949" s="105">
        <v>44561</v>
      </c>
      <c r="P1949" t="s">
        <v>718</v>
      </c>
    </row>
    <row r="1950" spans="1:16" ht="15" customHeight="1" x14ac:dyDescent="0.3">
      <c r="A1950" t="str">
        <f t="shared" si="31"/>
        <v>10-3-EW-SmartFIX – 3 Year Renewal (Level 2)</v>
      </c>
      <c r="B1950" t="s">
        <v>13</v>
      </c>
      <c r="C1950">
        <v>10</v>
      </c>
      <c r="D1950" s="100" t="s">
        <v>14</v>
      </c>
      <c r="E1950" t="s">
        <v>19</v>
      </c>
      <c r="F1950" t="s">
        <v>16</v>
      </c>
      <c r="G1950" t="s">
        <v>736</v>
      </c>
      <c r="H1950" s="128">
        <v>0.34229999999999999</v>
      </c>
      <c r="I1950" s="110">
        <v>0.16700000000000001</v>
      </c>
      <c r="K1950" s="110">
        <v>0.1444</v>
      </c>
      <c r="L1950">
        <v>5000</v>
      </c>
      <c r="M1950">
        <v>500000</v>
      </c>
      <c r="N1950" s="105">
        <v>44378</v>
      </c>
      <c r="O1950" s="105">
        <v>44561</v>
      </c>
      <c r="P1950" t="s">
        <v>718</v>
      </c>
    </row>
    <row r="1951" spans="1:16" ht="15" customHeight="1" x14ac:dyDescent="0.3">
      <c r="A1951" t="str">
        <f t="shared" si="31"/>
        <v>10-4-3RATE-SmartFIX – 3 Year Renewal (Level 2)</v>
      </c>
      <c r="B1951" t="s">
        <v>13</v>
      </c>
      <c r="C1951">
        <v>10</v>
      </c>
      <c r="D1951" s="100" t="s">
        <v>14</v>
      </c>
      <c r="E1951" t="s">
        <v>719</v>
      </c>
      <c r="F1951" t="s">
        <v>18</v>
      </c>
      <c r="G1951" t="s">
        <v>736</v>
      </c>
      <c r="H1951" s="128">
        <v>0.34229999999999999</v>
      </c>
      <c r="I1951" s="110">
        <v>0.17760000000000001</v>
      </c>
      <c r="J1951" s="110">
        <v>0.1177</v>
      </c>
      <c r="K1951" s="110">
        <v>0.1605</v>
      </c>
      <c r="L1951">
        <v>5000</v>
      </c>
      <c r="M1951">
        <v>500000</v>
      </c>
      <c r="N1951" s="105">
        <v>44378</v>
      </c>
      <c r="O1951" s="105">
        <v>44561</v>
      </c>
      <c r="P1951" t="s">
        <v>718</v>
      </c>
    </row>
    <row r="1952" spans="1:16" ht="15" customHeight="1" x14ac:dyDescent="0.3">
      <c r="A1952" t="str">
        <f t="shared" si="31"/>
        <v/>
      </c>
      <c r="B1952" t="s">
        <v>13</v>
      </c>
      <c r="C1952">
        <v>10</v>
      </c>
      <c r="D1952" s="100" t="s">
        <v>14</v>
      </c>
      <c r="E1952" t="s">
        <v>720</v>
      </c>
      <c r="F1952" t="s">
        <v>18</v>
      </c>
      <c r="G1952" t="s">
        <v>736</v>
      </c>
      <c r="H1952" s="128">
        <v>0.34229999999999999</v>
      </c>
      <c r="J1952" s="110">
        <v>0.1444</v>
      </c>
      <c r="L1952">
        <v>5000</v>
      </c>
      <c r="M1952">
        <v>500000</v>
      </c>
      <c r="N1952" s="105">
        <v>44378</v>
      </c>
      <c r="O1952" s="105">
        <v>44561</v>
      </c>
      <c r="P1952" t="s">
        <v>718</v>
      </c>
    </row>
    <row r="1953" spans="1:16" ht="15" customHeight="1" x14ac:dyDescent="0.3">
      <c r="A1953" t="str">
        <f t="shared" si="31"/>
        <v>11-3-U-SmartFIX – 3 Year Renewal (Level 2)</v>
      </c>
      <c r="B1953" t="s">
        <v>13</v>
      </c>
      <c r="C1953">
        <v>11</v>
      </c>
      <c r="D1953" s="100" t="s">
        <v>20</v>
      </c>
      <c r="E1953" t="s">
        <v>716</v>
      </c>
      <c r="F1953" t="s">
        <v>16</v>
      </c>
      <c r="G1953" t="s">
        <v>736</v>
      </c>
      <c r="H1953" s="128">
        <v>0.3528</v>
      </c>
      <c r="I1953" s="110">
        <v>0.1583</v>
      </c>
      <c r="L1953">
        <v>5000</v>
      </c>
      <c r="M1953">
        <v>500000</v>
      </c>
      <c r="N1953" s="105">
        <v>44378</v>
      </c>
      <c r="O1953" s="105">
        <v>44561</v>
      </c>
      <c r="P1953" t="s">
        <v>718</v>
      </c>
    </row>
    <row r="1954" spans="1:16" ht="15" customHeight="1" x14ac:dyDescent="0.3">
      <c r="A1954" t="str">
        <f t="shared" si="31"/>
        <v>11-4-E7-SmartFIX – 3 Year Renewal (Level 2)</v>
      </c>
      <c r="B1954" t="s">
        <v>13</v>
      </c>
      <c r="C1954">
        <v>11</v>
      </c>
      <c r="D1954" s="100" t="s">
        <v>20</v>
      </c>
      <c r="E1954" t="s">
        <v>17</v>
      </c>
      <c r="F1954" t="s">
        <v>18</v>
      </c>
      <c r="G1954" t="s">
        <v>736</v>
      </c>
      <c r="H1954" s="128">
        <v>0.3528</v>
      </c>
      <c r="I1954" s="110">
        <v>0.1658</v>
      </c>
      <c r="J1954" s="110">
        <v>0.12160000000000001</v>
      </c>
      <c r="L1954">
        <v>5000</v>
      </c>
      <c r="M1954">
        <v>500000</v>
      </c>
      <c r="N1954" s="105">
        <v>44378</v>
      </c>
      <c r="O1954" s="105">
        <v>44561</v>
      </c>
      <c r="P1954" t="s">
        <v>718</v>
      </c>
    </row>
    <row r="1955" spans="1:16" ht="15" customHeight="1" x14ac:dyDescent="0.3">
      <c r="A1955" t="str">
        <f t="shared" si="31"/>
        <v>11-3-EW-SmartFIX – 3 Year Renewal (Level 2)</v>
      </c>
      <c r="B1955" t="s">
        <v>13</v>
      </c>
      <c r="C1955">
        <v>11</v>
      </c>
      <c r="D1955" s="100" t="s">
        <v>20</v>
      </c>
      <c r="E1955" t="s">
        <v>19</v>
      </c>
      <c r="F1955" t="s">
        <v>16</v>
      </c>
      <c r="G1955" t="s">
        <v>736</v>
      </c>
      <c r="H1955" s="128">
        <v>0.3528</v>
      </c>
      <c r="I1955" s="110">
        <v>0.1668</v>
      </c>
      <c r="K1955" s="110">
        <v>0.14510000000000001</v>
      </c>
      <c r="L1955">
        <v>5000</v>
      </c>
      <c r="M1955">
        <v>500000</v>
      </c>
      <c r="N1955" s="105">
        <v>44378</v>
      </c>
      <c r="O1955" s="105">
        <v>44561</v>
      </c>
      <c r="P1955" t="s">
        <v>718</v>
      </c>
    </row>
    <row r="1956" spans="1:16" ht="15" customHeight="1" x14ac:dyDescent="0.3">
      <c r="A1956" t="str">
        <f t="shared" si="31"/>
        <v>11-4-3RATE-SmartFIX – 3 Year Renewal (Level 2)</v>
      </c>
      <c r="B1956" t="s">
        <v>13</v>
      </c>
      <c r="C1956">
        <v>11</v>
      </c>
      <c r="D1956" s="100" t="s">
        <v>20</v>
      </c>
      <c r="E1956" t="s">
        <v>719</v>
      </c>
      <c r="F1956" t="s">
        <v>18</v>
      </c>
      <c r="G1956" t="s">
        <v>736</v>
      </c>
      <c r="H1956" s="128">
        <v>0.3528</v>
      </c>
      <c r="I1956" s="110">
        <v>0.1741</v>
      </c>
      <c r="J1956" s="110">
        <v>0.1192</v>
      </c>
      <c r="K1956" s="110">
        <v>0.1535</v>
      </c>
      <c r="L1956">
        <v>5000</v>
      </c>
      <c r="M1956">
        <v>500000</v>
      </c>
      <c r="N1956" s="105">
        <v>44378</v>
      </c>
      <c r="O1956" s="105">
        <v>44561</v>
      </c>
      <c r="P1956" t="s">
        <v>718</v>
      </c>
    </row>
    <row r="1957" spans="1:16" ht="15" customHeight="1" x14ac:dyDescent="0.3">
      <c r="A1957" t="str">
        <f t="shared" si="31"/>
        <v/>
      </c>
      <c r="B1957" t="s">
        <v>13</v>
      </c>
      <c r="C1957">
        <v>11</v>
      </c>
      <c r="D1957" s="100" t="s">
        <v>20</v>
      </c>
      <c r="E1957" t="s">
        <v>720</v>
      </c>
      <c r="F1957" t="s">
        <v>18</v>
      </c>
      <c r="G1957" t="s">
        <v>736</v>
      </c>
      <c r="H1957" s="128">
        <v>0.3528</v>
      </c>
      <c r="J1957" s="110">
        <v>0.14510000000000001</v>
      </c>
      <c r="L1957">
        <v>5000</v>
      </c>
      <c r="M1957">
        <v>500000</v>
      </c>
      <c r="N1957" s="105">
        <v>44378</v>
      </c>
      <c r="O1957" s="105">
        <v>44561</v>
      </c>
      <c r="P1957" t="s">
        <v>718</v>
      </c>
    </row>
    <row r="1958" spans="1:16" ht="15" customHeight="1" x14ac:dyDescent="0.3">
      <c r="A1958" t="str">
        <f t="shared" si="31"/>
        <v>12-3-U-SmartFIX – 3 Year Renewal (Level 2)</v>
      </c>
      <c r="B1958" t="s">
        <v>13</v>
      </c>
      <c r="C1958">
        <v>12</v>
      </c>
      <c r="D1958" s="100" t="s">
        <v>21</v>
      </c>
      <c r="E1958" t="s">
        <v>716</v>
      </c>
      <c r="F1958" t="s">
        <v>16</v>
      </c>
      <c r="G1958" t="s">
        <v>736</v>
      </c>
      <c r="H1958" s="128">
        <v>0.26619999999999999</v>
      </c>
      <c r="I1958" s="110">
        <v>0.1522</v>
      </c>
      <c r="L1958">
        <v>5000</v>
      </c>
      <c r="M1958">
        <v>500000</v>
      </c>
      <c r="N1958" s="105">
        <v>44378</v>
      </c>
      <c r="O1958" s="105">
        <v>44561</v>
      </c>
      <c r="P1958" t="s">
        <v>718</v>
      </c>
    </row>
    <row r="1959" spans="1:16" ht="15" customHeight="1" x14ac:dyDescent="0.3">
      <c r="A1959" t="str">
        <f t="shared" si="31"/>
        <v>12-4-E7-SmartFIX – 3 Year Renewal (Level 2)</v>
      </c>
      <c r="B1959" t="s">
        <v>13</v>
      </c>
      <c r="C1959">
        <v>12</v>
      </c>
      <c r="D1959" s="100" t="s">
        <v>21</v>
      </c>
      <c r="E1959" t="s">
        <v>17</v>
      </c>
      <c r="F1959" t="s">
        <v>18</v>
      </c>
      <c r="G1959" t="s">
        <v>736</v>
      </c>
      <c r="H1959" s="128">
        <v>0.26619999999999999</v>
      </c>
      <c r="I1959" s="110">
        <v>0.16390000000000002</v>
      </c>
      <c r="J1959" s="110">
        <v>0.11929999999999999</v>
      </c>
      <c r="L1959">
        <v>5000</v>
      </c>
      <c r="M1959">
        <v>500000</v>
      </c>
      <c r="N1959" s="105">
        <v>44378</v>
      </c>
      <c r="O1959" s="105">
        <v>44561</v>
      </c>
      <c r="P1959" t="s">
        <v>718</v>
      </c>
    </row>
    <row r="1960" spans="1:16" ht="15" customHeight="1" x14ac:dyDescent="0.3">
      <c r="A1960" t="str">
        <f t="shared" si="31"/>
        <v>12-3-EW-SmartFIX – 3 Year Renewal (Level 2)</v>
      </c>
      <c r="B1960" t="s">
        <v>13</v>
      </c>
      <c r="C1960">
        <v>12</v>
      </c>
      <c r="D1960" s="100" t="s">
        <v>21</v>
      </c>
      <c r="E1960" t="s">
        <v>19</v>
      </c>
      <c r="F1960" t="s">
        <v>16</v>
      </c>
      <c r="G1960" t="s">
        <v>736</v>
      </c>
      <c r="H1960" s="128">
        <v>0.26619999999999999</v>
      </c>
      <c r="I1960" s="110">
        <v>0.16060000000000002</v>
      </c>
      <c r="K1960" s="110">
        <v>0.1404</v>
      </c>
      <c r="L1960">
        <v>5000</v>
      </c>
      <c r="M1960">
        <v>500000</v>
      </c>
      <c r="N1960" s="105">
        <v>44378</v>
      </c>
      <c r="O1960" s="105">
        <v>44561</v>
      </c>
      <c r="P1960" t="s">
        <v>718</v>
      </c>
    </row>
    <row r="1961" spans="1:16" ht="15" customHeight="1" x14ac:dyDescent="0.3">
      <c r="A1961" t="str">
        <f t="shared" si="31"/>
        <v>12-4-3RATE-SmartFIX – 3 Year Renewal (Level 2)</v>
      </c>
      <c r="B1961" t="s">
        <v>13</v>
      </c>
      <c r="C1961">
        <v>12</v>
      </c>
      <c r="D1961" s="100" t="s">
        <v>21</v>
      </c>
      <c r="E1961" t="s">
        <v>719</v>
      </c>
      <c r="F1961" t="s">
        <v>18</v>
      </c>
      <c r="G1961" t="s">
        <v>736</v>
      </c>
      <c r="H1961" s="128">
        <v>0.26619999999999999</v>
      </c>
      <c r="I1961" s="110">
        <v>0.252</v>
      </c>
      <c r="J1961" s="110">
        <v>0.252</v>
      </c>
      <c r="K1961" s="110">
        <v>0.252</v>
      </c>
      <c r="L1961">
        <v>5000</v>
      </c>
      <c r="M1961">
        <v>500000</v>
      </c>
      <c r="N1961" s="105">
        <v>44378</v>
      </c>
      <c r="O1961" s="105">
        <v>44561</v>
      </c>
      <c r="P1961" t="s">
        <v>718</v>
      </c>
    </row>
    <row r="1962" spans="1:16" ht="15" customHeight="1" x14ac:dyDescent="0.3">
      <c r="A1962" t="str">
        <f t="shared" si="31"/>
        <v/>
      </c>
      <c r="B1962" t="s">
        <v>13</v>
      </c>
      <c r="C1962">
        <v>12</v>
      </c>
      <c r="D1962" s="100" t="s">
        <v>21</v>
      </c>
      <c r="E1962" t="s">
        <v>720</v>
      </c>
      <c r="F1962" t="s">
        <v>18</v>
      </c>
      <c r="G1962" t="s">
        <v>736</v>
      </c>
      <c r="H1962" s="128">
        <v>0.26619999999999999</v>
      </c>
      <c r="J1962" s="110">
        <v>0.1404</v>
      </c>
      <c r="L1962">
        <v>5000</v>
      </c>
      <c r="M1962">
        <v>500000</v>
      </c>
      <c r="N1962" s="105">
        <v>44378</v>
      </c>
      <c r="O1962" s="105">
        <v>44561</v>
      </c>
      <c r="P1962" t="s">
        <v>718</v>
      </c>
    </row>
    <row r="1963" spans="1:16" ht="15" customHeight="1" x14ac:dyDescent="0.3">
      <c r="A1963" t="str">
        <f t="shared" si="31"/>
        <v>13-3-U-SmartFIX – 3 Year Renewal (Level 2)</v>
      </c>
      <c r="B1963" t="s">
        <v>13</v>
      </c>
      <c r="C1963">
        <v>13</v>
      </c>
      <c r="D1963" s="100" t="s">
        <v>22</v>
      </c>
      <c r="E1963" t="s">
        <v>716</v>
      </c>
      <c r="F1963" t="s">
        <v>16</v>
      </c>
      <c r="G1963" t="s">
        <v>736</v>
      </c>
      <c r="H1963" s="128">
        <v>0.31340000000000001</v>
      </c>
      <c r="I1963" s="110">
        <v>0.17750000000000002</v>
      </c>
      <c r="L1963">
        <v>5000</v>
      </c>
      <c r="M1963">
        <v>500000</v>
      </c>
      <c r="N1963" s="105">
        <v>44378</v>
      </c>
      <c r="O1963" s="105">
        <v>44561</v>
      </c>
      <c r="P1963" t="s">
        <v>718</v>
      </c>
    </row>
    <row r="1964" spans="1:16" ht="15" customHeight="1" x14ac:dyDescent="0.3">
      <c r="A1964" t="str">
        <f t="shared" si="31"/>
        <v>13-4-E7-SmartFIX – 3 Year Renewal (Level 2)</v>
      </c>
      <c r="B1964" t="s">
        <v>13</v>
      </c>
      <c r="C1964">
        <v>13</v>
      </c>
      <c r="D1964" s="100" t="s">
        <v>22</v>
      </c>
      <c r="E1964" t="s">
        <v>17</v>
      </c>
      <c r="F1964" t="s">
        <v>18</v>
      </c>
      <c r="G1964" t="s">
        <v>736</v>
      </c>
      <c r="H1964" s="128">
        <v>0.31340000000000001</v>
      </c>
      <c r="I1964" s="110">
        <v>0.1797</v>
      </c>
      <c r="J1964" s="110">
        <v>0.13350000000000001</v>
      </c>
      <c r="L1964">
        <v>5000</v>
      </c>
      <c r="M1964">
        <v>500000</v>
      </c>
      <c r="N1964" s="105">
        <v>44378</v>
      </c>
      <c r="O1964" s="105">
        <v>44561</v>
      </c>
      <c r="P1964" t="s">
        <v>718</v>
      </c>
    </row>
    <row r="1965" spans="1:16" ht="15" customHeight="1" x14ac:dyDescent="0.3">
      <c r="A1965" t="str">
        <f t="shared" si="31"/>
        <v>13-3-EW-SmartFIX – 3 Year Renewal (Level 2)</v>
      </c>
      <c r="B1965" t="s">
        <v>13</v>
      </c>
      <c r="C1965">
        <v>13</v>
      </c>
      <c r="D1965" s="100" t="s">
        <v>22</v>
      </c>
      <c r="E1965" t="s">
        <v>19</v>
      </c>
      <c r="F1965" t="s">
        <v>16</v>
      </c>
      <c r="G1965" t="s">
        <v>736</v>
      </c>
      <c r="H1965" s="128">
        <v>0.31340000000000001</v>
      </c>
      <c r="I1965" s="110">
        <v>0.252</v>
      </c>
      <c r="K1965" s="110">
        <v>0.252</v>
      </c>
      <c r="L1965">
        <v>5000</v>
      </c>
      <c r="M1965">
        <v>500000</v>
      </c>
      <c r="N1965" s="105">
        <v>44378</v>
      </c>
      <c r="O1965" s="105">
        <v>44561</v>
      </c>
      <c r="P1965" t="s">
        <v>718</v>
      </c>
    </row>
    <row r="1966" spans="1:16" ht="15" customHeight="1" x14ac:dyDescent="0.3">
      <c r="A1966" t="str">
        <f t="shared" si="31"/>
        <v>13-4-3RATE-SmartFIX – 3 Year Renewal (Level 2)</v>
      </c>
      <c r="B1966" t="s">
        <v>13</v>
      </c>
      <c r="C1966">
        <v>13</v>
      </c>
      <c r="D1966" s="100" t="s">
        <v>22</v>
      </c>
      <c r="E1966" t="s">
        <v>719</v>
      </c>
      <c r="F1966" t="s">
        <v>18</v>
      </c>
      <c r="G1966" t="s">
        <v>736</v>
      </c>
      <c r="H1966" s="128">
        <v>0.31340000000000001</v>
      </c>
      <c r="I1966" s="110">
        <v>0.1915</v>
      </c>
      <c r="J1966" s="110">
        <v>0.13320000000000001</v>
      </c>
      <c r="K1966" s="110">
        <v>0.17730000000000001</v>
      </c>
      <c r="L1966">
        <v>5000</v>
      </c>
      <c r="M1966">
        <v>500000</v>
      </c>
      <c r="N1966" s="105">
        <v>44378</v>
      </c>
      <c r="O1966" s="105">
        <v>44561</v>
      </c>
      <c r="P1966" t="s">
        <v>718</v>
      </c>
    </row>
    <row r="1967" spans="1:16" ht="15" customHeight="1" x14ac:dyDescent="0.3">
      <c r="A1967" t="str">
        <f t="shared" si="31"/>
        <v/>
      </c>
      <c r="B1967" t="s">
        <v>13</v>
      </c>
      <c r="C1967">
        <v>13</v>
      </c>
      <c r="D1967" s="100" t="s">
        <v>22</v>
      </c>
      <c r="E1967" t="s">
        <v>720</v>
      </c>
      <c r="F1967" t="s">
        <v>18</v>
      </c>
      <c r="G1967" t="s">
        <v>736</v>
      </c>
      <c r="H1967" s="128">
        <v>0.31340000000000001</v>
      </c>
      <c r="J1967" s="110">
        <v>0.13350000000000001</v>
      </c>
      <c r="L1967">
        <v>5000</v>
      </c>
      <c r="M1967">
        <v>500000</v>
      </c>
      <c r="N1967" s="105">
        <v>44378</v>
      </c>
      <c r="O1967" s="105">
        <v>44561</v>
      </c>
      <c r="P1967" t="s">
        <v>718</v>
      </c>
    </row>
    <row r="1968" spans="1:16" ht="15" customHeight="1" x14ac:dyDescent="0.3">
      <c r="A1968" t="str">
        <f t="shared" si="31"/>
        <v>14-3-U-SmartFIX – 3 Year Renewal (Level 2)</v>
      </c>
      <c r="B1968" t="s">
        <v>13</v>
      </c>
      <c r="C1968">
        <v>14</v>
      </c>
      <c r="D1968" s="100" t="s">
        <v>23</v>
      </c>
      <c r="E1968" t="s">
        <v>716</v>
      </c>
      <c r="F1968" t="s">
        <v>16</v>
      </c>
      <c r="G1968" t="s">
        <v>736</v>
      </c>
      <c r="H1968" s="128">
        <v>0.38650000000000001</v>
      </c>
      <c r="I1968" s="110">
        <v>0.16220000000000001</v>
      </c>
      <c r="L1968">
        <v>5000</v>
      </c>
      <c r="M1968">
        <v>500000</v>
      </c>
      <c r="N1968" s="105">
        <v>44378</v>
      </c>
      <c r="O1968" s="105">
        <v>44561</v>
      </c>
      <c r="P1968" t="s">
        <v>718</v>
      </c>
    </row>
    <row r="1969" spans="1:16" ht="15" customHeight="1" x14ac:dyDescent="0.3">
      <c r="A1969" t="str">
        <f t="shared" si="31"/>
        <v>14-4-E7-SmartFIX – 3 Year Renewal (Level 2)</v>
      </c>
      <c r="B1969" t="s">
        <v>13</v>
      </c>
      <c r="C1969">
        <v>14</v>
      </c>
      <c r="D1969" s="100" t="s">
        <v>23</v>
      </c>
      <c r="E1969" t="s">
        <v>17</v>
      </c>
      <c r="F1969" t="s">
        <v>18</v>
      </c>
      <c r="G1969" t="s">
        <v>736</v>
      </c>
      <c r="H1969" s="128">
        <v>0.38650000000000001</v>
      </c>
      <c r="I1969" s="110">
        <v>0.1691</v>
      </c>
      <c r="J1969" s="110">
        <v>0.12479999999999999</v>
      </c>
      <c r="L1969">
        <v>5000</v>
      </c>
      <c r="M1969">
        <v>500000</v>
      </c>
      <c r="N1969" s="105">
        <v>44378</v>
      </c>
      <c r="O1969" s="105">
        <v>44561</v>
      </c>
      <c r="P1969" t="s">
        <v>718</v>
      </c>
    </row>
    <row r="1970" spans="1:16" ht="15" customHeight="1" x14ac:dyDescent="0.3">
      <c r="A1970" t="str">
        <f t="shared" si="31"/>
        <v>14-3-EW-SmartFIX – 3 Year Renewal (Level 2)</v>
      </c>
      <c r="B1970" t="s">
        <v>13</v>
      </c>
      <c r="C1970">
        <v>14</v>
      </c>
      <c r="D1970" s="100" t="s">
        <v>23</v>
      </c>
      <c r="E1970" t="s">
        <v>19</v>
      </c>
      <c r="F1970" t="s">
        <v>16</v>
      </c>
      <c r="G1970" t="s">
        <v>736</v>
      </c>
      <c r="H1970" s="128">
        <v>0.38650000000000001</v>
      </c>
      <c r="I1970" s="110">
        <v>0.1696</v>
      </c>
      <c r="K1970" s="110">
        <v>0.1512</v>
      </c>
      <c r="L1970">
        <v>5000</v>
      </c>
      <c r="M1970">
        <v>500000</v>
      </c>
      <c r="N1970" s="105">
        <v>44378</v>
      </c>
      <c r="O1970" s="105">
        <v>44561</v>
      </c>
      <c r="P1970" t="s">
        <v>718</v>
      </c>
    </row>
    <row r="1971" spans="1:16" ht="15" customHeight="1" x14ac:dyDescent="0.3">
      <c r="A1971" t="str">
        <f t="shared" si="31"/>
        <v>14-4-3RATE-SmartFIX – 3 Year Renewal (Level 2)</v>
      </c>
      <c r="B1971" t="s">
        <v>13</v>
      </c>
      <c r="C1971">
        <v>14</v>
      </c>
      <c r="D1971" s="100" t="s">
        <v>23</v>
      </c>
      <c r="E1971" t="s">
        <v>719</v>
      </c>
      <c r="F1971" t="s">
        <v>18</v>
      </c>
      <c r="G1971" t="s">
        <v>736</v>
      </c>
      <c r="H1971" s="128">
        <v>0.38650000000000001</v>
      </c>
      <c r="I1971" s="110">
        <v>0.252</v>
      </c>
      <c r="J1971" s="110">
        <v>0.252</v>
      </c>
      <c r="K1971" s="110">
        <v>0.252</v>
      </c>
      <c r="L1971">
        <v>5000</v>
      </c>
      <c r="M1971">
        <v>500000</v>
      </c>
      <c r="N1971" s="105">
        <v>44378</v>
      </c>
      <c r="O1971" s="105">
        <v>44561</v>
      </c>
      <c r="P1971" t="s">
        <v>718</v>
      </c>
    </row>
    <row r="1972" spans="1:16" ht="15" customHeight="1" x14ac:dyDescent="0.3">
      <c r="A1972" t="str">
        <f t="shared" si="31"/>
        <v/>
      </c>
      <c r="B1972" t="s">
        <v>13</v>
      </c>
      <c r="C1972">
        <v>14</v>
      </c>
      <c r="D1972" s="100" t="s">
        <v>23</v>
      </c>
      <c r="E1972" t="s">
        <v>720</v>
      </c>
      <c r="F1972" t="s">
        <v>18</v>
      </c>
      <c r="G1972" t="s">
        <v>736</v>
      </c>
      <c r="H1972" s="128">
        <v>0.38650000000000001</v>
      </c>
      <c r="J1972" s="110">
        <v>0.1512</v>
      </c>
      <c r="L1972">
        <v>5000</v>
      </c>
      <c r="M1972">
        <v>500000</v>
      </c>
      <c r="N1972" s="105">
        <v>44378</v>
      </c>
      <c r="O1972" s="105">
        <v>44561</v>
      </c>
      <c r="P1972" t="s">
        <v>718</v>
      </c>
    </row>
    <row r="1973" spans="1:16" ht="15" customHeight="1" x14ac:dyDescent="0.3">
      <c r="A1973" t="str">
        <f t="shared" si="31"/>
        <v>15-3-U-SmartFIX – 3 Year Renewal (Level 2)</v>
      </c>
      <c r="B1973" t="s">
        <v>13</v>
      </c>
      <c r="C1973">
        <v>15</v>
      </c>
      <c r="D1973" s="100" t="s">
        <v>24</v>
      </c>
      <c r="E1973" t="s">
        <v>716</v>
      </c>
      <c r="F1973" t="s">
        <v>16</v>
      </c>
      <c r="G1973" t="s">
        <v>736</v>
      </c>
      <c r="H1973" s="128">
        <v>0.3589</v>
      </c>
      <c r="I1973" s="110">
        <v>0.1608</v>
      </c>
      <c r="L1973">
        <v>5000</v>
      </c>
      <c r="M1973">
        <v>500000</v>
      </c>
      <c r="N1973" s="105">
        <v>44378</v>
      </c>
      <c r="O1973" s="105">
        <v>44561</v>
      </c>
      <c r="P1973" t="s">
        <v>718</v>
      </c>
    </row>
    <row r="1974" spans="1:16" ht="15" customHeight="1" x14ac:dyDescent="0.3">
      <c r="A1974" t="str">
        <f t="shared" si="31"/>
        <v>15-4-E7-SmartFIX – 3 Year Renewal (Level 2)</v>
      </c>
      <c r="B1974" t="s">
        <v>13</v>
      </c>
      <c r="C1974">
        <v>15</v>
      </c>
      <c r="D1974" s="100" t="s">
        <v>24</v>
      </c>
      <c r="E1974" t="s">
        <v>17</v>
      </c>
      <c r="F1974" t="s">
        <v>18</v>
      </c>
      <c r="G1974" t="s">
        <v>736</v>
      </c>
      <c r="H1974" s="128">
        <v>0.3589</v>
      </c>
      <c r="I1974" s="110">
        <v>0.1681</v>
      </c>
      <c r="J1974" s="110">
        <v>0.12440000000000001</v>
      </c>
      <c r="L1974">
        <v>5000</v>
      </c>
      <c r="M1974">
        <v>500000</v>
      </c>
      <c r="N1974" s="105">
        <v>44378</v>
      </c>
      <c r="O1974" s="105">
        <v>44561</v>
      </c>
      <c r="P1974" t="s">
        <v>718</v>
      </c>
    </row>
    <row r="1975" spans="1:16" ht="15" customHeight="1" x14ac:dyDescent="0.3">
      <c r="A1975" t="str">
        <f t="shared" si="31"/>
        <v>15-3-EW-SmartFIX – 3 Year Renewal (Level 2)</v>
      </c>
      <c r="B1975" t="s">
        <v>13</v>
      </c>
      <c r="C1975">
        <v>15</v>
      </c>
      <c r="D1975" s="100" t="s">
        <v>24</v>
      </c>
      <c r="E1975" t="s">
        <v>19</v>
      </c>
      <c r="F1975" t="s">
        <v>16</v>
      </c>
      <c r="G1975" t="s">
        <v>736</v>
      </c>
      <c r="H1975" s="128">
        <v>0.3589</v>
      </c>
      <c r="I1975" s="110">
        <v>0.1711</v>
      </c>
      <c r="K1975" s="110">
        <v>0.14940000000000001</v>
      </c>
      <c r="L1975">
        <v>5000</v>
      </c>
      <c r="M1975">
        <v>500000</v>
      </c>
      <c r="N1975" s="105">
        <v>44378</v>
      </c>
      <c r="O1975" s="105">
        <v>44561</v>
      </c>
      <c r="P1975" t="s">
        <v>718</v>
      </c>
    </row>
    <row r="1976" spans="1:16" ht="15" customHeight="1" x14ac:dyDescent="0.3">
      <c r="A1976" t="str">
        <f t="shared" si="31"/>
        <v>15-4-3RATE-SmartFIX – 3 Year Renewal (Level 2)</v>
      </c>
      <c r="B1976" t="s">
        <v>13</v>
      </c>
      <c r="C1976">
        <v>15</v>
      </c>
      <c r="D1976" s="100" t="s">
        <v>24</v>
      </c>
      <c r="E1976" t="s">
        <v>719</v>
      </c>
      <c r="F1976" t="s">
        <v>18</v>
      </c>
      <c r="G1976" t="s">
        <v>736</v>
      </c>
      <c r="H1976" s="128">
        <v>0.3589</v>
      </c>
      <c r="I1976" s="110">
        <v>0.252</v>
      </c>
      <c r="J1976" s="110">
        <v>0.252</v>
      </c>
      <c r="K1976" s="110">
        <v>0.252</v>
      </c>
      <c r="L1976">
        <v>5000</v>
      </c>
      <c r="M1976">
        <v>500000</v>
      </c>
      <c r="N1976" s="105">
        <v>44378</v>
      </c>
      <c r="O1976" s="105">
        <v>44561</v>
      </c>
      <c r="P1976" t="s">
        <v>718</v>
      </c>
    </row>
    <row r="1977" spans="1:16" ht="15" customHeight="1" x14ac:dyDescent="0.3">
      <c r="A1977" t="str">
        <f t="shared" si="31"/>
        <v/>
      </c>
      <c r="B1977" t="s">
        <v>13</v>
      </c>
      <c r="C1977">
        <v>15</v>
      </c>
      <c r="D1977" s="100" t="s">
        <v>24</v>
      </c>
      <c r="E1977" t="s">
        <v>720</v>
      </c>
      <c r="F1977" t="s">
        <v>18</v>
      </c>
      <c r="G1977" t="s">
        <v>736</v>
      </c>
      <c r="H1977" s="128">
        <v>0.3589</v>
      </c>
      <c r="J1977" s="110">
        <v>0.14940000000000001</v>
      </c>
      <c r="L1977">
        <v>5000</v>
      </c>
      <c r="M1977">
        <v>500000</v>
      </c>
      <c r="N1977" s="105">
        <v>44378</v>
      </c>
      <c r="O1977" s="105">
        <v>44561</v>
      </c>
      <c r="P1977" t="s">
        <v>718</v>
      </c>
    </row>
    <row r="1978" spans="1:16" ht="15" customHeight="1" x14ac:dyDescent="0.3">
      <c r="A1978" t="str">
        <f t="shared" si="31"/>
        <v>16-3-U-SmartFIX – 3 Year Renewal (Level 2)</v>
      </c>
      <c r="B1978" t="s">
        <v>13</v>
      </c>
      <c r="C1978">
        <v>16</v>
      </c>
      <c r="D1978" s="100" t="s">
        <v>25</v>
      </c>
      <c r="E1978" t="s">
        <v>716</v>
      </c>
      <c r="F1978" t="s">
        <v>16</v>
      </c>
      <c r="G1978" t="s">
        <v>736</v>
      </c>
      <c r="H1978" s="128">
        <v>0.30370000000000003</v>
      </c>
      <c r="I1978" s="110">
        <v>0.16220000000000001</v>
      </c>
      <c r="L1978">
        <v>5000</v>
      </c>
      <c r="M1978">
        <v>500000</v>
      </c>
      <c r="N1978" s="105">
        <v>44378</v>
      </c>
      <c r="O1978" s="105">
        <v>44561</v>
      </c>
      <c r="P1978" t="s">
        <v>718</v>
      </c>
    </row>
    <row r="1979" spans="1:16" ht="15" customHeight="1" x14ac:dyDescent="0.3">
      <c r="A1979" t="str">
        <f t="shared" si="31"/>
        <v>16-4-E7-SmartFIX – 3 Year Renewal (Level 2)</v>
      </c>
      <c r="B1979" t="s">
        <v>13</v>
      </c>
      <c r="C1979">
        <v>16</v>
      </c>
      <c r="D1979" s="100" t="s">
        <v>25</v>
      </c>
      <c r="E1979" t="s">
        <v>17</v>
      </c>
      <c r="F1979" t="s">
        <v>18</v>
      </c>
      <c r="G1979" t="s">
        <v>736</v>
      </c>
      <c r="H1979" s="128">
        <v>0.30370000000000003</v>
      </c>
      <c r="I1979" s="110">
        <v>0.16870000000000002</v>
      </c>
      <c r="J1979" s="110">
        <v>0.123</v>
      </c>
      <c r="L1979">
        <v>5000</v>
      </c>
      <c r="M1979">
        <v>500000</v>
      </c>
      <c r="N1979" s="105">
        <v>44378</v>
      </c>
      <c r="O1979" s="105">
        <v>44561</v>
      </c>
      <c r="P1979" t="s">
        <v>718</v>
      </c>
    </row>
    <row r="1980" spans="1:16" ht="15" customHeight="1" x14ac:dyDescent="0.3">
      <c r="A1980" t="str">
        <f t="shared" si="31"/>
        <v>16-3-EW-SmartFIX – 3 Year Renewal (Level 2)</v>
      </c>
      <c r="B1980" t="s">
        <v>13</v>
      </c>
      <c r="C1980">
        <v>16</v>
      </c>
      <c r="D1980" s="100" t="s">
        <v>25</v>
      </c>
      <c r="E1980" t="s">
        <v>19</v>
      </c>
      <c r="F1980" t="s">
        <v>16</v>
      </c>
      <c r="G1980" t="s">
        <v>736</v>
      </c>
      <c r="H1980" s="128">
        <v>0.30370000000000003</v>
      </c>
      <c r="I1980" s="110">
        <v>0.17220000000000002</v>
      </c>
      <c r="K1980" s="110">
        <v>0.15010000000000001</v>
      </c>
      <c r="L1980">
        <v>5000</v>
      </c>
      <c r="M1980">
        <v>500000</v>
      </c>
      <c r="N1980" s="105">
        <v>44378</v>
      </c>
      <c r="O1980" s="105">
        <v>44561</v>
      </c>
      <c r="P1980" t="s">
        <v>718</v>
      </c>
    </row>
    <row r="1981" spans="1:16" ht="15" customHeight="1" x14ac:dyDescent="0.3">
      <c r="A1981" t="str">
        <f t="shared" si="31"/>
        <v>16-4-3RATE-SmartFIX – 3 Year Renewal (Level 2)</v>
      </c>
      <c r="B1981" t="s">
        <v>13</v>
      </c>
      <c r="C1981">
        <v>16</v>
      </c>
      <c r="D1981" s="100" t="s">
        <v>25</v>
      </c>
      <c r="E1981" t="s">
        <v>719</v>
      </c>
      <c r="F1981" t="s">
        <v>18</v>
      </c>
      <c r="G1981" t="s">
        <v>736</v>
      </c>
      <c r="H1981" s="128">
        <v>0.30370000000000003</v>
      </c>
      <c r="I1981" s="110">
        <v>0.1779</v>
      </c>
      <c r="J1981" s="110">
        <v>0.1225</v>
      </c>
      <c r="K1981" s="110">
        <v>0.15240000000000001</v>
      </c>
      <c r="L1981">
        <v>5000</v>
      </c>
      <c r="M1981">
        <v>500000</v>
      </c>
      <c r="N1981" s="105">
        <v>44378</v>
      </c>
      <c r="O1981" s="105">
        <v>44561</v>
      </c>
      <c r="P1981" t="s">
        <v>718</v>
      </c>
    </row>
    <row r="1982" spans="1:16" ht="15" customHeight="1" x14ac:dyDescent="0.3">
      <c r="A1982" t="str">
        <f t="shared" si="31"/>
        <v/>
      </c>
      <c r="B1982" t="s">
        <v>13</v>
      </c>
      <c r="C1982">
        <v>16</v>
      </c>
      <c r="D1982" s="100" t="s">
        <v>25</v>
      </c>
      <c r="E1982" t="s">
        <v>720</v>
      </c>
      <c r="F1982" t="s">
        <v>18</v>
      </c>
      <c r="G1982" t="s">
        <v>736</v>
      </c>
      <c r="H1982" s="128">
        <v>0.30370000000000003</v>
      </c>
      <c r="J1982" s="110">
        <v>0.15010000000000001</v>
      </c>
      <c r="L1982">
        <v>5000</v>
      </c>
      <c r="M1982">
        <v>500000</v>
      </c>
      <c r="N1982" s="105">
        <v>44378</v>
      </c>
      <c r="O1982" s="105">
        <v>44561</v>
      </c>
      <c r="P1982" t="s">
        <v>718</v>
      </c>
    </row>
    <row r="1983" spans="1:16" ht="15" customHeight="1" x14ac:dyDescent="0.3">
      <c r="A1983" t="str">
        <f t="shared" si="31"/>
        <v>17-3-U-SmartFIX – 3 Year Renewal (Level 2)</v>
      </c>
      <c r="B1983" t="s">
        <v>13</v>
      </c>
      <c r="C1983">
        <v>17</v>
      </c>
      <c r="D1983" s="100" t="s">
        <v>26</v>
      </c>
      <c r="E1983" t="s">
        <v>716</v>
      </c>
      <c r="F1983" t="s">
        <v>16</v>
      </c>
      <c r="G1983" t="s">
        <v>736</v>
      </c>
      <c r="H1983" s="128">
        <v>0.40010000000000001</v>
      </c>
      <c r="I1983" s="110">
        <v>0.16889999999999999</v>
      </c>
      <c r="L1983">
        <v>5000</v>
      </c>
      <c r="M1983">
        <v>500000</v>
      </c>
      <c r="N1983" s="105">
        <v>44378</v>
      </c>
      <c r="O1983" s="105">
        <v>44561</v>
      </c>
      <c r="P1983" t="s">
        <v>718</v>
      </c>
    </row>
    <row r="1984" spans="1:16" ht="15" customHeight="1" x14ac:dyDescent="0.3">
      <c r="A1984" t="str">
        <f t="shared" si="31"/>
        <v>17-4-E7-SmartFIX – 3 Year Renewal (Level 2)</v>
      </c>
      <c r="B1984" t="s">
        <v>13</v>
      </c>
      <c r="C1984">
        <v>17</v>
      </c>
      <c r="D1984" s="100" t="s">
        <v>26</v>
      </c>
      <c r="E1984" t="s">
        <v>17</v>
      </c>
      <c r="F1984" t="s">
        <v>18</v>
      </c>
      <c r="G1984" t="s">
        <v>736</v>
      </c>
      <c r="H1984" s="128">
        <v>0.40010000000000001</v>
      </c>
      <c r="I1984" s="110">
        <v>0.17780000000000001</v>
      </c>
      <c r="J1984" s="110">
        <v>0.1328</v>
      </c>
      <c r="L1984">
        <v>5000</v>
      </c>
      <c r="M1984">
        <v>500000</v>
      </c>
      <c r="N1984" s="105">
        <v>44378</v>
      </c>
      <c r="O1984" s="105">
        <v>44561</v>
      </c>
      <c r="P1984" t="s">
        <v>718</v>
      </c>
    </row>
    <row r="1985" spans="1:16" ht="15" customHeight="1" x14ac:dyDescent="0.3">
      <c r="A1985" t="str">
        <f t="shared" si="31"/>
        <v>17-3-EW-SmartFIX – 3 Year Renewal (Level 2)</v>
      </c>
      <c r="B1985" t="s">
        <v>13</v>
      </c>
      <c r="C1985">
        <v>17</v>
      </c>
      <c r="D1985" s="100" t="s">
        <v>26</v>
      </c>
      <c r="E1985" t="s">
        <v>19</v>
      </c>
      <c r="F1985" t="s">
        <v>16</v>
      </c>
      <c r="G1985" t="s">
        <v>736</v>
      </c>
      <c r="H1985" s="128">
        <v>0.40010000000000001</v>
      </c>
      <c r="I1985" s="110">
        <v>0.17660000000000001</v>
      </c>
      <c r="K1985" s="110">
        <v>0.1588</v>
      </c>
      <c r="L1985">
        <v>5000</v>
      </c>
      <c r="M1985">
        <v>500000</v>
      </c>
      <c r="N1985" s="105">
        <v>44378</v>
      </c>
      <c r="O1985" s="105">
        <v>44561</v>
      </c>
      <c r="P1985" t="s">
        <v>718</v>
      </c>
    </row>
    <row r="1986" spans="1:16" ht="15" customHeight="1" x14ac:dyDescent="0.3">
      <c r="A1986" t="str">
        <f t="shared" si="31"/>
        <v>17-4-3RATE-SmartFIX – 3 Year Renewal (Level 2)</v>
      </c>
      <c r="B1986" t="s">
        <v>13</v>
      </c>
      <c r="C1986">
        <v>17</v>
      </c>
      <c r="D1986" s="100" t="s">
        <v>26</v>
      </c>
      <c r="E1986" t="s">
        <v>719</v>
      </c>
      <c r="F1986" t="s">
        <v>18</v>
      </c>
      <c r="G1986" t="s">
        <v>736</v>
      </c>
      <c r="H1986" s="128">
        <v>0.40010000000000001</v>
      </c>
      <c r="I1986" s="110">
        <v>0.252</v>
      </c>
      <c r="J1986" s="110">
        <v>0.252</v>
      </c>
      <c r="K1986" s="110">
        <v>0.252</v>
      </c>
      <c r="L1986">
        <v>5000</v>
      </c>
      <c r="M1986">
        <v>500000</v>
      </c>
      <c r="N1986" s="105">
        <v>44378</v>
      </c>
      <c r="O1986" s="105">
        <v>44561</v>
      </c>
      <c r="P1986" t="s">
        <v>718</v>
      </c>
    </row>
    <row r="1987" spans="1:16" ht="15" customHeight="1" x14ac:dyDescent="0.3">
      <c r="A1987" t="str">
        <f t="shared" si="31"/>
        <v/>
      </c>
      <c r="B1987" t="s">
        <v>13</v>
      </c>
      <c r="C1987">
        <v>17</v>
      </c>
      <c r="D1987" s="100" t="s">
        <v>26</v>
      </c>
      <c r="E1987" t="s">
        <v>720</v>
      </c>
      <c r="F1987" t="s">
        <v>18</v>
      </c>
      <c r="G1987" t="s">
        <v>736</v>
      </c>
      <c r="H1987" s="128">
        <v>0.40010000000000001</v>
      </c>
      <c r="J1987" s="110">
        <v>0.1588</v>
      </c>
      <c r="L1987">
        <v>5000</v>
      </c>
      <c r="M1987">
        <v>500000</v>
      </c>
      <c r="N1987" s="105">
        <v>44378</v>
      </c>
      <c r="O1987" s="105">
        <v>44561</v>
      </c>
      <c r="P1987" t="s">
        <v>718</v>
      </c>
    </row>
    <row r="1988" spans="1:16" ht="15" customHeight="1" x14ac:dyDescent="0.3">
      <c r="A1988" t="str">
        <f t="shared" si="31"/>
        <v>18-3-U-SmartFIX – 3 Year Renewal (Level 2)</v>
      </c>
      <c r="B1988" t="s">
        <v>13</v>
      </c>
      <c r="C1988">
        <v>18</v>
      </c>
      <c r="D1988" s="100" t="s">
        <v>27</v>
      </c>
      <c r="E1988" t="s">
        <v>716</v>
      </c>
      <c r="F1988" t="s">
        <v>16</v>
      </c>
      <c r="G1988" t="s">
        <v>736</v>
      </c>
      <c r="H1988" s="128">
        <v>0.34899999999999998</v>
      </c>
      <c r="I1988" s="110">
        <v>0.1618</v>
      </c>
      <c r="L1988">
        <v>5000</v>
      </c>
      <c r="M1988">
        <v>500000</v>
      </c>
      <c r="N1988" s="105">
        <v>44378</v>
      </c>
      <c r="O1988" s="105">
        <v>44561</v>
      </c>
      <c r="P1988" t="s">
        <v>718</v>
      </c>
    </row>
    <row r="1989" spans="1:16" ht="15" customHeight="1" x14ac:dyDescent="0.3">
      <c r="A1989" t="str">
        <f t="shared" si="31"/>
        <v>18-4-E7-SmartFIX – 3 Year Renewal (Level 2)</v>
      </c>
      <c r="B1989" t="s">
        <v>13</v>
      </c>
      <c r="C1989">
        <v>18</v>
      </c>
      <c r="D1989" s="100" t="s">
        <v>27</v>
      </c>
      <c r="E1989" t="s">
        <v>17</v>
      </c>
      <c r="F1989" t="s">
        <v>18</v>
      </c>
      <c r="G1989" t="s">
        <v>736</v>
      </c>
      <c r="H1989" s="128">
        <v>0.34899999999999998</v>
      </c>
      <c r="I1989" s="110">
        <v>0.17530000000000001</v>
      </c>
      <c r="J1989" s="110">
        <v>0.1308</v>
      </c>
      <c r="L1989">
        <v>5000</v>
      </c>
      <c r="M1989">
        <v>500000</v>
      </c>
      <c r="N1989" s="105">
        <v>44378</v>
      </c>
      <c r="O1989" s="105">
        <v>44561</v>
      </c>
      <c r="P1989" t="s">
        <v>718</v>
      </c>
    </row>
    <row r="1990" spans="1:16" ht="15" customHeight="1" x14ac:dyDescent="0.3">
      <c r="A1990" t="str">
        <f t="shared" si="31"/>
        <v>18-3-EW-SmartFIX – 3 Year Renewal (Level 2)</v>
      </c>
      <c r="B1990" t="s">
        <v>13</v>
      </c>
      <c r="C1990">
        <v>18</v>
      </c>
      <c r="D1990" s="100" t="s">
        <v>27</v>
      </c>
      <c r="E1990" t="s">
        <v>19</v>
      </c>
      <c r="F1990" t="s">
        <v>16</v>
      </c>
      <c r="G1990" t="s">
        <v>736</v>
      </c>
      <c r="H1990" s="128">
        <v>0.34899999999999998</v>
      </c>
      <c r="I1990" s="110">
        <v>0.1696</v>
      </c>
      <c r="K1990" s="110">
        <v>0.15060000000000001</v>
      </c>
      <c r="L1990">
        <v>5000</v>
      </c>
      <c r="M1990">
        <v>500000</v>
      </c>
      <c r="N1990" s="105">
        <v>44378</v>
      </c>
      <c r="O1990" s="105">
        <v>44561</v>
      </c>
      <c r="P1990" t="s">
        <v>718</v>
      </c>
    </row>
    <row r="1991" spans="1:16" ht="15" customHeight="1" x14ac:dyDescent="0.3">
      <c r="A1991" t="str">
        <f t="shared" si="31"/>
        <v>18-4-3RATE-SmartFIX – 3 Year Renewal (Level 2)</v>
      </c>
      <c r="B1991" t="s">
        <v>13</v>
      </c>
      <c r="C1991">
        <v>18</v>
      </c>
      <c r="D1991" s="100" t="s">
        <v>27</v>
      </c>
      <c r="E1991" t="s">
        <v>719</v>
      </c>
      <c r="F1991" t="s">
        <v>18</v>
      </c>
      <c r="G1991" t="s">
        <v>736</v>
      </c>
      <c r="H1991" s="128">
        <v>0.34899999999999998</v>
      </c>
      <c r="I1991" s="110">
        <v>0.252</v>
      </c>
      <c r="J1991" s="110">
        <v>0.252</v>
      </c>
      <c r="K1991" s="110">
        <v>0.252</v>
      </c>
      <c r="L1991">
        <v>5000</v>
      </c>
      <c r="M1991">
        <v>500000</v>
      </c>
      <c r="N1991" s="105">
        <v>44378</v>
      </c>
      <c r="O1991" s="105">
        <v>44561</v>
      </c>
      <c r="P1991" t="s">
        <v>718</v>
      </c>
    </row>
    <row r="1992" spans="1:16" ht="15" customHeight="1" x14ac:dyDescent="0.3">
      <c r="A1992" t="str">
        <f t="shared" si="31"/>
        <v/>
      </c>
      <c r="B1992" t="s">
        <v>13</v>
      </c>
      <c r="C1992">
        <v>18</v>
      </c>
      <c r="D1992" s="100" t="s">
        <v>27</v>
      </c>
      <c r="E1992" t="s">
        <v>720</v>
      </c>
      <c r="F1992" t="s">
        <v>18</v>
      </c>
      <c r="G1992" t="s">
        <v>736</v>
      </c>
      <c r="H1992" s="128">
        <v>0.34899999999999998</v>
      </c>
      <c r="J1992" s="110">
        <v>0.15060000000000001</v>
      </c>
      <c r="L1992">
        <v>5000</v>
      </c>
      <c r="M1992">
        <v>500000</v>
      </c>
      <c r="N1992" s="105">
        <v>44378</v>
      </c>
      <c r="O1992" s="105">
        <v>44561</v>
      </c>
      <c r="P1992" t="s">
        <v>718</v>
      </c>
    </row>
    <row r="1993" spans="1:16" ht="15" customHeight="1" x14ac:dyDescent="0.3">
      <c r="A1993" t="str">
        <f t="shared" si="31"/>
        <v>19-3-U-SmartFIX – 3 Year Renewal (Level 2)</v>
      </c>
      <c r="B1993" t="s">
        <v>13</v>
      </c>
      <c r="C1993">
        <v>19</v>
      </c>
      <c r="D1993" s="100" t="s">
        <v>28</v>
      </c>
      <c r="E1993" t="s">
        <v>716</v>
      </c>
      <c r="F1993" t="s">
        <v>16</v>
      </c>
      <c r="G1993" t="s">
        <v>736</v>
      </c>
      <c r="H1993" s="128">
        <v>0.33169999999999999</v>
      </c>
      <c r="I1993" s="110">
        <v>0.15920000000000001</v>
      </c>
      <c r="L1993">
        <v>5000</v>
      </c>
      <c r="M1993">
        <v>500000</v>
      </c>
      <c r="N1993" s="105">
        <v>44378</v>
      </c>
      <c r="O1993" s="105">
        <v>44561</v>
      </c>
      <c r="P1993" t="s">
        <v>718</v>
      </c>
    </row>
    <row r="1994" spans="1:16" ht="15" customHeight="1" x14ac:dyDescent="0.3">
      <c r="A1994" t="str">
        <f t="shared" si="31"/>
        <v>19-4-E7-SmartFIX – 3 Year Renewal (Level 2)</v>
      </c>
      <c r="B1994" t="s">
        <v>13</v>
      </c>
      <c r="C1994">
        <v>19</v>
      </c>
      <c r="D1994" s="100" t="s">
        <v>28</v>
      </c>
      <c r="E1994" t="s">
        <v>17</v>
      </c>
      <c r="F1994" t="s">
        <v>18</v>
      </c>
      <c r="G1994" t="s">
        <v>736</v>
      </c>
      <c r="H1994" s="128">
        <v>0.33169999999999999</v>
      </c>
      <c r="I1994" s="110">
        <v>0.1721</v>
      </c>
      <c r="J1994" s="110">
        <v>0.12240000000000001</v>
      </c>
      <c r="L1994">
        <v>5000</v>
      </c>
      <c r="M1994">
        <v>500000</v>
      </c>
      <c r="N1994" s="105">
        <v>44378</v>
      </c>
      <c r="O1994" s="105">
        <v>44561</v>
      </c>
      <c r="P1994" t="s">
        <v>718</v>
      </c>
    </row>
    <row r="1995" spans="1:16" ht="15" customHeight="1" x14ac:dyDescent="0.3">
      <c r="A1995" t="str">
        <f t="shared" si="31"/>
        <v>19-3-EW-SmartFIX – 3 Year Renewal (Level 2)</v>
      </c>
      <c r="B1995" t="s">
        <v>13</v>
      </c>
      <c r="C1995">
        <v>19</v>
      </c>
      <c r="D1995" s="100" t="s">
        <v>28</v>
      </c>
      <c r="E1995" t="s">
        <v>19</v>
      </c>
      <c r="F1995" t="s">
        <v>16</v>
      </c>
      <c r="G1995" t="s">
        <v>736</v>
      </c>
      <c r="H1995" s="128">
        <v>0.33169999999999999</v>
      </c>
      <c r="I1995" s="110">
        <v>0.252</v>
      </c>
      <c r="K1995" s="110">
        <v>0.252</v>
      </c>
      <c r="L1995">
        <v>5000</v>
      </c>
      <c r="M1995">
        <v>500000</v>
      </c>
      <c r="N1995" s="105">
        <v>44378</v>
      </c>
      <c r="O1995" s="105">
        <v>44561</v>
      </c>
      <c r="P1995" t="s">
        <v>718</v>
      </c>
    </row>
    <row r="1996" spans="1:16" ht="15" customHeight="1" x14ac:dyDescent="0.3">
      <c r="A1996" t="str">
        <f t="shared" ref="A1996:A2059" si="32">IF(E1996="OP","",CONCATENATE(C1996,"-",RIGHT(F1996,1),"-",IF(OR(E1996="1 Rate MD",E1996="DAY"),"U",IF(OR(E1996="2 Rate MD",E1996="E7"),"E7",IF(OR(E1996="3 Rate MD (EW)",E1996="EW"),"EW",IF(OR(E1996="3 Rate MD",E1996="EWN"),"3RATE",IF(E1996="HH 2RATE (CT)","HH 2RATE (CT)",IF(E1996="HH 2RATE (WC)","HH 2RATE (WC)",IF(E1996="HH 1RATE (CT)","HH 1RATE (CT)",IF(E1996="HH 1RATE (WC)","HH 1RATE (WC)")))))))),"-",G1996))</f>
        <v>19-4-3RATE-SmartFIX – 3 Year Renewal (Level 2)</v>
      </c>
      <c r="B1996" t="s">
        <v>13</v>
      </c>
      <c r="C1996">
        <v>19</v>
      </c>
      <c r="D1996" s="100" t="s">
        <v>28</v>
      </c>
      <c r="E1996" t="s">
        <v>719</v>
      </c>
      <c r="F1996" t="s">
        <v>18</v>
      </c>
      <c r="G1996" t="s">
        <v>736</v>
      </c>
      <c r="H1996" s="128">
        <v>0.33169999999999999</v>
      </c>
      <c r="I1996" s="110">
        <v>0.17780000000000001</v>
      </c>
      <c r="J1996" s="110">
        <v>0.12160000000000001</v>
      </c>
      <c r="K1996" s="110">
        <v>0.1656</v>
      </c>
      <c r="L1996">
        <v>5000</v>
      </c>
      <c r="M1996">
        <v>500000</v>
      </c>
      <c r="N1996" s="105">
        <v>44378</v>
      </c>
      <c r="O1996" s="105">
        <v>44561</v>
      </c>
      <c r="P1996" t="s">
        <v>718</v>
      </c>
    </row>
    <row r="1997" spans="1:16" ht="15" customHeight="1" x14ac:dyDescent="0.3">
      <c r="A1997" t="str">
        <f t="shared" si="32"/>
        <v/>
      </c>
      <c r="B1997" t="s">
        <v>13</v>
      </c>
      <c r="C1997">
        <v>19</v>
      </c>
      <c r="D1997" s="100" t="s">
        <v>28</v>
      </c>
      <c r="E1997" t="s">
        <v>720</v>
      </c>
      <c r="F1997" t="s">
        <v>18</v>
      </c>
      <c r="G1997" t="s">
        <v>736</v>
      </c>
      <c r="H1997" s="128">
        <v>0.33169999999999999</v>
      </c>
      <c r="J1997" s="110">
        <v>0.12240000000000001</v>
      </c>
      <c r="L1997">
        <v>5000</v>
      </c>
      <c r="M1997">
        <v>500000</v>
      </c>
      <c r="N1997" s="105">
        <v>44378</v>
      </c>
      <c r="O1997" s="105">
        <v>44561</v>
      </c>
      <c r="P1997" t="s">
        <v>718</v>
      </c>
    </row>
    <row r="1998" spans="1:16" ht="15" customHeight="1" x14ac:dyDescent="0.3">
      <c r="A1998" t="str">
        <f t="shared" si="32"/>
        <v>20-3-U-SmartFIX – 3 Year Renewal (Level 2)</v>
      </c>
      <c r="B1998" t="s">
        <v>13</v>
      </c>
      <c r="C1998">
        <v>20</v>
      </c>
      <c r="D1998" s="100" t="s">
        <v>29</v>
      </c>
      <c r="E1998" t="s">
        <v>716</v>
      </c>
      <c r="F1998" t="s">
        <v>16</v>
      </c>
      <c r="G1998" t="s">
        <v>736</v>
      </c>
      <c r="H1998" s="128">
        <v>0.32879999999999998</v>
      </c>
      <c r="I1998" s="110">
        <v>0.1583</v>
      </c>
      <c r="L1998">
        <v>5000</v>
      </c>
      <c r="M1998">
        <v>500000</v>
      </c>
      <c r="N1998" s="105">
        <v>44378</v>
      </c>
      <c r="O1998" s="105">
        <v>44561</v>
      </c>
      <c r="P1998" t="s">
        <v>718</v>
      </c>
    </row>
    <row r="1999" spans="1:16" ht="15" customHeight="1" x14ac:dyDescent="0.3">
      <c r="A1999" t="str">
        <f t="shared" si="32"/>
        <v>20-4-E7-SmartFIX – 3 Year Renewal (Level 2)</v>
      </c>
      <c r="B1999" t="s">
        <v>13</v>
      </c>
      <c r="C1999">
        <v>20</v>
      </c>
      <c r="D1999" s="100" t="s">
        <v>29</v>
      </c>
      <c r="E1999" t="s">
        <v>17</v>
      </c>
      <c r="F1999" t="s">
        <v>18</v>
      </c>
      <c r="G1999" t="s">
        <v>736</v>
      </c>
      <c r="H1999" s="128">
        <v>0.32879999999999998</v>
      </c>
      <c r="I1999" s="110">
        <v>0.1736</v>
      </c>
      <c r="J1999" s="110">
        <v>0.12590000000000001</v>
      </c>
      <c r="L1999">
        <v>5000</v>
      </c>
      <c r="M1999">
        <v>500000</v>
      </c>
      <c r="N1999" s="105">
        <v>44378</v>
      </c>
      <c r="O1999" s="105">
        <v>44561</v>
      </c>
      <c r="P1999" t="s">
        <v>718</v>
      </c>
    </row>
    <row r="2000" spans="1:16" ht="15" customHeight="1" x14ac:dyDescent="0.3">
      <c r="A2000" t="str">
        <f t="shared" si="32"/>
        <v>20-3-EW-SmartFIX – 3 Year Renewal (Level 2)</v>
      </c>
      <c r="B2000" t="s">
        <v>13</v>
      </c>
      <c r="C2000">
        <v>20</v>
      </c>
      <c r="D2000" s="100" t="s">
        <v>29</v>
      </c>
      <c r="E2000" t="s">
        <v>19</v>
      </c>
      <c r="F2000" t="s">
        <v>16</v>
      </c>
      <c r="G2000" t="s">
        <v>736</v>
      </c>
      <c r="H2000" s="128">
        <v>0.32879999999999998</v>
      </c>
      <c r="I2000" s="110">
        <v>0.1676</v>
      </c>
      <c r="K2000" s="110">
        <v>0.1457</v>
      </c>
      <c r="L2000">
        <v>5000</v>
      </c>
      <c r="M2000">
        <v>500000</v>
      </c>
      <c r="N2000" s="105">
        <v>44378</v>
      </c>
      <c r="O2000" s="105">
        <v>44561</v>
      </c>
      <c r="P2000" t="s">
        <v>718</v>
      </c>
    </row>
    <row r="2001" spans="1:16" ht="15" customHeight="1" x14ac:dyDescent="0.3">
      <c r="A2001" t="str">
        <f t="shared" si="32"/>
        <v>20-4-3RATE-SmartFIX – 3 Year Renewal (Level 2)</v>
      </c>
      <c r="B2001" t="s">
        <v>13</v>
      </c>
      <c r="C2001">
        <v>20</v>
      </c>
      <c r="D2001" s="100" t="s">
        <v>29</v>
      </c>
      <c r="E2001" t="s">
        <v>719</v>
      </c>
      <c r="F2001" t="s">
        <v>18</v>
      </c>
      <c r="G2001" t="s">
        <v>736</v>
      </c>
      <c r="H2001" s="128">
        <v>0.32879999999999998</v>
      </c>
      <c r="I2001" s="110">
        <v>0.1789</v>
      </c>
      <c r="J2001" s="110">
        <v>0.12609999999999999</v>
      </c>
      <c r="K2001" s="110">
        <v>0.1598</v>
      </c>
      <c r="L2001">
        <v>5000</v>
      </c>
      <c r="M2001">
        <v>500000</v>
      </c>
      <c r="N2001" s="105">
        <v>44378</v>
      </c>
      <c r="O2001" s="105">
        <v>44561</v>
      </c>
      <c r="P2001" t="s">
        <v>718</v>
      </c>
    </row>
    <row r="2002" spans="1:16" ht="15" customHeight="1" x14ac:dyDescent="0.3">
      <c r="A2002" t="str">
        <f t="shared" si="32"/>
        <v/>
      </c>
      <c r="B2002" t="s">
        <v>13</v>
      </c>
      <c r="C2002">
        <v>20</v>
      </c>
      <c r="D2002" s="100" t="s">
        <v>29</v>
      </c>
      <c r="E2002" t="s">
        <v>720</v>
      </c>
      <c r="F2002" t="s">
        <v>18</v>
      </c>
      <c r="G2002" t="s">
        <v>736</v>
      </c>
      <c r="H2002" s="128">
        <v>0.32879999999999998</v>
      </c>
      <c r="J2002" s="110">
        <v>0.1457</v>
      </c>
      <c r="L2002">
        <v>5000</v>
      </c>
      <c r="M2002">
        <v>500000</v>
      </c>
      <c r="N2002" s="105">
        <v>44378</v>
      </c>
      <c r="O2002" s="105">
        <v>44561</v>
      </c>
      <c r="P2002" t="s">
        <v>718</v>
      </c>
    </row>
    <row r="2003" spans="1:16" ht="15" customHeight="1" x14ac:dyDescent="0.3">
      <c r="A2003" t="str">
        <f t="shared" si="32"/>
        <v>21-3-U-SmartFIX – 3 Year Renewal (Level 2)</v>
      </c>
      <c r="B2003" t="s">
        <v>13</v>
      </c>
      <c r="C2003">
        <v>21</v>
      </c>
      <c r="D2003" s="100" t="s">
        <v>30</v>
      </c>
      <c r="E2003" t="s">
        <v>716</v>
      </c>
      <c r="F2003" t="s">
        <v>16</v>
      </c>
      <c r="G2003" t="s">
        <v>736</v>
      </c>
      <c r="H2003" s="128">
        <v>0.4551</v>
      </c>
      <c r="I2003" s="110">
        <v>0.1593</v>
      </c>
      <c r="L2003">
        <v>5000</v>
      </c>
      <c r="M2003">
        <v>500000</v>
      </c>
      <c r="N2003" s="105">
        <v>44378</v>
      </c>
      <c r="O2003" s="105">
        <v>44561</v>
      </c>
      <c r="P2003" t="s">
        <v>718</v>
      </c>
    </row>
    <row r="2004" spans="1:16" ht="15" customHeight="1" x14ac:dyDescent="0.3">
      <c r="A2004" t="str">
        <f t="shared" si="32"/>
        <v>21-4-E7-SmartFIX – 3 Year Renewal (Level 2)</v>
      </c>
      <c r="B2004" t="s">
        <v>13</v>
      </c>
      <c r="C2004">
        <v>21</v>
      </c>
      <c r="D2004" s="100" t="s">
        <v>30</v>
      </c>
      <c r="E2004" t="s">
        <v>17</v>
      </c>
      <c r="F2004" t="s">
        <v>18</v>
      </c>
      <c r="G2004" t="s">
        <v>736</v>
      </c>
      <c r="H2004" s="128">
        <v>0.4551</v>
      </c>
      <c r="I2004" s="110">
        <v>0.16920000000000002</v>
      </c>
      <c r="J2004" s="110">
        <v>0.12690000000000001</v>
      </c>
      <c r="L2004">
        <v>5000</v>
      </c>
      <c r="M2004">
        <v>500000</v>
      </c>
      <c r="N2004" s="105">
        <v>44378</v>
      </c>
      <c r="O2004" s="105">
        <v>44561</v>
      </c>
      <c r="P2004" t="s">
        <v>718</v>
      </c>
    </row>
    <row r="2005" spans="1:16" ht="15" customHeight="1" x14ac:dyDescent="0.3">
      <c r="A2005" t="str">
        <f t="shared" si="32"/>
        <v>21-3-EW-SmartFIX – 3 Year Renewal (Level 2)</v>
      </c>
      <c r="B2005" t="s">
        <v>13</v>
      </c>
      <c r="C2005">
        <v>21</v>
      </c>
      <c r="D2005" s="100" t="s">
        <v>30</v>
      </c>
      <c r="E2005" t="s">
        <v>19</v>
      </c>
      <c r="F2005" t="s">
        <v>16</v>
      </c>
      <c r="G2005" t="s">
        <v>736</v>
      </c>
      <c r="H2005" s="128">
        <v>0.4551</v>
      </c>
      <c r="I2005" s="110">
        <v>0.16700000000000001</v>
      </c>
      <c r="K2005" s="110">
        <v>0.14860000000000001</v>
      </c>
      <c r="L2005">
        <v>5000</v>
      </c>
      <c r="M2005">
        <v>500000</v>
      </c>
      <c r="N2005" s="105">
        <v>44378</v>
      </c>
      <c r="O2005" s="105">
        <v>44561</v>
      </c>
      <c r="P2005" t="s">
        <v>718</v>
      </c>
    </row>
    <row r="2006" spans="1:16" ht="15" customHeight="1" x14ac:dyDescent="0.3">
      <c r="A2006" t="str">
        <f t="shared" si="32"/>
        <v>21-4-3RATE-SmartFIX – 3 Year Renewal (Level 2)</v>
      </c>
      <c r="B2006" t="s">
        <v>13</v>
      </c>
      <c r="C2006">
        <v>21</v>
      </c>
      <c r="D2006" s="100" t="s">
        <v>30</v>
      </c>
      <c r="E2006" t="s">
        <v>719</v>
      </c>
      <c r="F2006" t="s">
        <v>18</v>
      </c>
      <c r="G2006" t="s">
        <v>736</v>
      </c>
      <c r="H2006" s="128">
        <v>0.4551</v>
      </c>
      <c r="I2006" s="110">
        <v>0.1787</v>
      </c>
      <c r="J2006" s="110">
        <v>0.1265</v>
      </c>
      <c r="K2006" s="110">
        <v>0.16270000000000001</v>
      </c>
      <c r="L2006">
        <v>5000</v>
      </c>
      <c r="M2006">
        <v>500000</v>
      </c>
      <c r="N2006" s="105">
        <v>44378</v>
      </c>
      <c r="O2006" s="105">
        <v>44561</v>
      </c>
      <c r="P2006" t="s">
        <v>718</v>
      </c>
    </row>
    <row r="2007" spans="1:16" ht="15" customHeight="1" x14ac:dyDescent="0.3">
      <c r="A2007" t="str">
        <f t="shared" si="32"/>
        <v/>
      </c>
      <c r="B2007" t="s">
        <v>13</v>
      </c>
      <c r="C2007">
        <v>21</v>
      </c>
      <c r="D2007" s="100" t="s">
        <v>30</v>
      </c>
      <c r="E2007" t="s">
        <v>720</v>
      </c>
      <c r="F2007" t="s">
        <v>18</v>
      </c>
      <c r="G2007" t="s">
        <v>736</v>
      </c>
      <c r="H2007" s="128">
        <v>0.4551</v>
      </c>
      <c r="J2007" s="110">
        <v>0.14860000000000001</v>
      </c>
      <c r="L2007">
        <v>5000</v>
      </c>
      <c r="M2007">
        <v>500000</v>
      </c>
      <c r="N2007" s="105">
        <v>44378</v>
      </c>
      <c r="O2007" s="105">
        <v>44561</v>
      </c>
      <c r="P2007" t="s">
        <v>718</v>
      </c>
    </row>
    <row r="2008" spans="1:16" ht="15" customHeight="1" x14ac:dyDescent="0.3">
      <c r="A2008" t="str">
        <f t="shared" si="32"/>
        <v>22-3-U-SmartFIX – 3 Year Renewal (Level 2)</v>
      </c>
      <c r="B2008" t="s">
        <v>13</v>
      </c>
      <c r="C2008">
        <v>22</v>
      </c>
      <c r="D2008" s="100" t="s">
        <v>31</v>
      </c>
      <c r="E2008" t="s">
        <v>716</v>
      </c>
      <c r="F2008" t="s">
        <v>16</v>
      </c>
      <c r="G2008" t="s">
        <v>736</v>
      </c>
      <c r="H2008" s="128">
        <v>0.39240000000000003</v>
      </c>
      <c r="I2008" s="110">
        <v>0.16490000000000002</v>
      </c>
      <c r="L2008">
        <v>5000</v>
      </c>
      <c r="M2008">
        <v>500000</v>
      </c>
      <c r="N2008" s="105">
        <v>44378</v>
      </c>
      <c r="O2008" s="105">
        <v>44561</v>
      </c>
      <c r="P2008" t="s">
        <v>718</v>
      </c>
    </row>
    <row r="2009" spans="1:16" ht="15" customHeight="1" x14ac:dyDescent="0.3">
      <c r="A2009" t="str">
        <f t="shared" si="32"/>
        <v>22-4-E7-SmartFIX – 3 Year Renewal (Level 2)</v>
      </c>
      <c r="B2009" t="s">
        <v>13</v>
      </c>
      <c r="C2009">
        <v>22</v>
      </c>
      <c r="D2009" s="100" t="s">
        <v>31</v>
      </c>
      <c r="E2009" t="s">
        <v>17</v>
      </c>
      <c r="F2009" t="s">
        <v>18</v>
      </c>
      <c r="G2009" t="s">
        <v>736</v>
      </c>
      <c r="H2009" s="128">
        <v>0.39240000000000003</v>
      </c>
      <c r="I2009" s="110">
        <v>0.17220000000000002</v>
      </c>
      <c r="J2009" s="110">
        <v>0.13420000000000001</v>
      </c>
      <c r="L2009">
        <v>5000</v>
      </c>
      <c r="M2009">
        <v>500000</v>
      </c>
      <c r="N2009" s="105">
        <v>44378</v>
      </c>
      <c r="O2009" s="105">
        <v>44561</v>
      </c>
      <c r="P2009" t="s">
        <v>718</v>
      </c>
    </row>
    <row r="2010" spans="1:16" ht="15" customHeight="1" x14ac:dyDescent="0.3">
      <c r="A2010" t="str">
        <f t="shared" si="32"/>
        <v>22-3-EW-SmartFIX – 3 Year Renewal (Level 2)</v>
      </c>
      <c r="B2010" t="s">
        <v>13</v>
      </c>
      <c r="C2010">
        <v>22</v>
      </c>
      <c r="D2010" s="100" t="s">
        <v>31</v>
      </c>
      <c r="E2010" t="s">
        <v>19</v>
      </c>
      <c r="F2010" t="s">
        <v>16</v>
      </c>
      <c r="G2010" t="s">
        <v>736</v>
      </c>
      <c r="H2010" s="128">
        <v>0.39240000000000003</v>
      </c>
      <c r="I2010" s="110">
        <v>0.17430000000000001</v>
      </c>
      <c r="K2010" s="110">
        <v>0.15330000000000002</v>
      </c>
      <c r="L2010">
        <v>5000</v>
      </c>
      <c r="M2010">
        <v>500000</v>
      </c>
      <c r="N2010" s="105">
        <v>44378</v>
      </c>
      <c r="O2010" s="105">
        <v>44561</v>
      </c>
      <c r="P2010" t="s">
        <v>718</v>
      </c>
    </row>
    <row r="2011" spans="1:16" ht="15" customHeight="1" x14ac:dyDescent="0.3">
      <c r="A2011" t="str">
        <f t="shared" si="32"/>
        <v>22-4-3RATE-SmartFIX – 3 Year Renewal (Level 2)</v>
      </c>
      <c r="B2011" t="s">
        <v>13</v>
      </c>
      <c r="C2011">
        <v>22</v>
      </c>
      <c r="D2011" s="100" t="s">
        <v>31</v>
      </c>
      <c r="E2011" t="s">
        <v>719</v>
      </c>
      <c r="F2011" t="s">
        <v>18</v>
      </c>
      <c r="G2011" t="s">
        <v>736</v>
      </c>
      <c r="H2011" s="128">
        <v>0.39240000000000003</v>
      </c>
      <c r="I2011" s="110">
        <v>0.1822</v>
      </c>
      <c r="J2011" s="110">
        <v>0.12720000000000001</v>
      </c>
      <c r="K2011" s="110">
        <v>0.16839999999999999</v>
      </c>
      <c r="L2011">
        <v>5000</v>
      </c>
      <c r="M2011">
        <v>500000</v>
      </c>
      <c r="N2011" s="105">
        <v>44378</v>
      </c>
      <c r="O2011" s="105">
        <v>44561</v>
      </c>
      <c r="P2011" t="s">
        <v>718</v>
      </c>
    </row>
    <row r="2012" spans="1:16" ht="15" customHeight="1" x14ac:dyDescent="0.3">
      <c r="A2012" t="str">
        <f t="shared" si="32"/>
        <v/>
      </c>
      <c r="B2012" t="s">
        <v>13</v>
      </c>
      <c r="C2012">
        <v>22</v>
      </c>
      <c r="D2012" s="100" t="s">
        <v>31</v>
      </c>
      <c r="E2012" t="s">
        <v>720</v>
      </c>
      <c r="F2012" t="s">
        <v>18</v>
      </c>
      <c r="G2012" t="s">
        <v>736</v>
      </c>
      <c r="H2012" s="128">
        <v>0.39240000000000003</v>
      </c>
      <c r="J2012" s="110">
        <v>0.15330000000000002</v>
      </c>
      <c r="L2012">
        <v>5000</v>
      </c>
      <c r="M2012">
        <v>500000</v>
      </c>
      <c r="N2012" s="105">
        <v>44378</v>
      </c>
      <c r="O2012" s="105">
        <v>44561</v>
      </c>
      <c r="P2012" t="s">
        <v>718</v>
      </c>
    </row>
    <row r="2013" spans="1:16" ht="15" customHeight="1" x14ac:dyDescent="0.3">
      <c r="A2013" t="str">
        <f t="shared" si="32"/>
        <v>23-3-U-SmartFIX – 3 Year Renewal (Level 2)</v>
      </c>
      <c r="B2013" t="s">
        <v>13</v>
      </c>
      <c r="C2013">
        <v>23</v>
      </c>
      <c r="D2013" s="100" t="s">
        <v>32</v>
      </c>
      <c r="E2013" t="s">
        <v>716</v>
      </c>
      <c r="F2013" t="s">
        <v>16</v>
      </c>
      <c r="G2013" t="s">
        <v>736</v>
      </c>
      <c r="H2013" s="128">
        <v>0.34460000000000002</v>
      </c>
      <c r="I2013" s="110">
        <v>0.1593</v>
      </c>
      <c r="L2013">
        <v>5000</v>
      </c>
      <c r="M2013">
        <v>500000</v>
      </c>
      <c r="N2013" s="105">
        <v>44378</v>
      </c>
      <c r="O2013" s="105">
        <v>44561</v>
      </c>
      <c r="P2013" t="s">
        <v>718</v>
      </c>
    </row>
    <row r="2014" spans="1:16" ht="15" customHeight="1" x14ac:dyDescent="0.3">
      <c r="A2014" t="str">
        <f t="shared" si="32"/>
        <v>23-4-E7-SmartFIX – 3 Year Renewal (Level 2)</v>
      </c>
      <c r="B2014" t="s">
        <v>13</v>
      </c>
      <c r="C2014">
        <v>23</v>
      </c>
      <c r="D2014" s="100" t="s">
        <v>32</v>
      </c>
      <c r="E2014" t="s">
        <v>17</v>
      </c>
      <c r="F2014" t="s">
        <v>18</v>
      </c>
      <c r="G2014" t="s">
        <v>736</v>
      </c>
      <c r="H2014" s="128">
        <v>0.34460000000000002</v>
      </c>
      <c r="I2014" s="110">
        <v>0.1676</v>
      </c>
      <c r="J2014" s="110">
        <v>0.12479999999999999</v>
      </c>
      <c r="L2014">
        <v>5000</v>
      </c>
      <c r="M2014">
        <v>500000</v>
      </c>
      <c r="N2014" s="105">
        <v>44378</v>
      </c>
      <c r="O2014" s="105">
        <v>44561</v>
      </c>
      <c r="P2014" t="s">
        <v>718</v>
      </c>
    </row>
    <row r="2015" spans="1:16" ht="15" customHeight="1" x14ac:dyDescent="0.3">
      <c r="A2015" t="str">
        <f t="shared" si="32"/>
        <v>23-3-EW-SmartFIX – 3 Year Renewal (Level 2)</v>
      </c>
      <c r="B2015" t="s">
        <v>13</v>
      </c>
      <c r="C2015">
        <v>23</v>
      </c>
      <c r="D2015" s="100" t="s">
        <v>32</v>
      </c>
      <c r="E2015" t="s">
        <v>19</v>
      </c>
      <c r="F2015" t="s">
        <v>16</v>
      </c>
      <c r="G2015" t="s">
        <v>736</v>
      </c>
      <c r="H2015" s="128">
        <v>0.34460000000000002</v>
      </c>
      <c r="I2015" s="110">
        <v>0.1681</v>
      </c>
      <c r="K2015" s="110">
        <v>0.14730000000000001</v>
      </c>
      <c r="L2015">
        <v>5000</v>
      </c>
      <c r="M2015">
        <v>500000</v>
      </c>
      <c r="N2015" s="105">
        <v>44378</v>
      </c>
      <c r="O2015" s="105">
        <v>44561</v>
      </c>
      <c r="P2015" t="s">
        <v>718</v>
      </c>
    </row>
    <row r="2016" spans="1:16" ht="15" customHeight="1" x14ac:dyDescent="0.3">
      <c r="A2016" t="str">
        <f t="shared" si="32"/>
        <v>23-4-3RATE-SmartFIX – 3 Year Renewal (Level 2)</v>
      </c>
      <c r="B2016" t="s">
        <v>13</v>
      </c>
      <c r="C2016">
        <v>23</v>
      </c>
      <c r="D2016" s="100" t="s">
        <v>32</v>
      </c>
      <c r="E2016" t="s">
        <v>719</v>
      </c>
      <c r="F2016" t="s">
        <v>18</v>
      </c>
      <c r="G2016" t="s">
        <v>736</v>
      </c>
      <c r="H2016" s="128">
        <v>0.34460000000000002</v>
      </c>
      <c r="I2016" s="110">
        <v>0.1774</v>
      </c>
      <c r="J2016" s="110">
        <v>0.1263</v>
      </c>
      <c r="K2016" s="110">
        <v>0.1583</v>
      </c>
      <c r="L2016">
        <v>5000</v>
      </c>
      <c r="M2016">
        <v>500000</v>
      </c>
      <c r="N2016" s="105">
        <v>44378</v>
      </c>
      <c r="O2016" s="105">
        <v>44561</v>
      </c>
      <c r="P2016" t="s">
        <v>718</v>
      </c>
    </row>
    <row r="2017" spans="1:21" ht="15" customHeight="1" x14ac:dyDescent="0.3">
      <c r="A2017" t="str">
        <f t="shared" si="32"/>
        <v/>
      </c>
      <c r="B2017" t="s">
        <v>13</v>
      </c>
      <c r="C2017">
        <v>23</v>
      </c>
      <c r="D2017" s="100" t="s">
        <v>32</v>
      </c>
      <c r="E2017" t="s">
        <v>720</v>
      </c>
      <c r="F2017" t="s">
        <v>18</v>
      </c>
      <c r="G2017" t="s">
        <v>736</v>
      </c>
      <c r="H2017" s="128">
        <v>0.34460000000000002</v>
      </c>
      <c r="J2017" s="110">
        <v>0.14730000000000001</v>
      </c>
      <c r="L2017">
        <v>5000</v>
      </c>
      <c r="M2017">
        <v>500000</v>
      </c>
      <c r="N2017" s="105">
        <v>44378</v>
      </c>
      <c r="O2017" s="105">
        <v>44561</v>
      </c>
      <c r="P2017" t="s">
        <v>718</v>
      </c>
    </row>
    <row r="2018" spans="1:21" ht="15" customHeight="1" x14ac:dyDescent="0.3">
      <c r="A2018" t="str">
        <f t="shared" si="32"/>
        <v>10-3-U-SmartFIX – 5 Year</v>
      </c>
      <c r="B2018" t="s">
        <v>13</v>
      </c>
      <c r="C2018">
        <v>10</v>
      </c>
      <c r="D2018" s="100" t="s">
        <v>14</v>
      </c>
      <c r="E2018" t="s">
        <v>716</v>
      </c>
      <c r="F2018" t="s">
        <v>16</v>
      </c>
      <c r="G2018" t="s">
        <v>737</v>
      </c>
      <c r="H2018" s="128">
        <v>0.31119999999999998</v>
      </c>
      <c r="I2018" s="110">
        <v>0.1651</v>
      </c>
      <c r="J2018" s="110" t="s">
        <v>717</v>
      </c>
      <c r="K2018" s="110" t="s">
        <v>717</v>
      </c>
      <c r="L2018">
        <v>5000</v>
      </c>
      <c r="M2018">
        <v>500000</v>
      </c>
      <c r="N2018" s="105">
        <v>44197</v>
      </c>
      <c r="O2018" s="105">
        <v>44377</v>
      </c>
      <c r="P2018" t="s">
        <v>718</v>
      </c>
      <c r="R2018" s="154"/>
      <c r="S2018" s="154"/>
      <c r="T2018" s="154"/>
      <c r="U2018" s="154"/>
    </row>
    <row r="2019" spans="1:21" ht="15" customHeight="1" x14ac:dyDescent="0.3">
      <c r="A2019" t="str">
        <f t="shared" si="32"/>
        <v>10-4-E7-SmartFIX – 5 Year</v>
      </c>
      <c r="B2019" t="s">
        <v>13</v>
      </c>
      <c r="C2019">
        <v>10</v>
      </c>
      <c r="D2019" s="100" t="s">
        <v>14</v>
      </c>
      <c r="E2019" t="s">
        <v>17</v>
      </c>
      <c r="F2019" t="s">
        <v>18</v>
      </c>
      <c r="G2019" t="s">
        <v>737</v>
      </c>
      <c r="H2019" s="128">
        <v>0.31119999999999998</v>
      </c>
      <c r="I2019" s="110">
        <v>0.17399999999999999</v>
      </c>
      <c r="J2019" s="110">
        <v>0.1265</v>
      </c>
      <c r="K2019" s="110" t="s">
        <v>717</v>
      </c>
      <c r="L2019">
        <v>5000</v>
      </c>
      <c r="M2019">
        <v>500000</v>
      </c>
      <c r="N2019" s="105">
        <v>44197</v>
      </c>
      <c r="O2019" s="105">
        <v>44377</v>
      </c>
      <c r="P2019" t="s">
        <v>718</v>
      </c>
      <c r="R2019" s="154"/>
      <c r="S2019" s="154"/>
      <c r="T2019" s="154"/>
      <c r="U2019" s="154"/>
    </row>
    <row r="2020" spans="1:21" ht="15" customHeight="1" x14ac:dyDescent="0.3">
      <c r="A2020" t="str">
        <f t="shared" si="32"/>
        <v>10-3-EW-SmartFIX – 5 Year</v>
      </c>
      <c r="B2020" t="s">
        <v>13</v>
      </c>
      <c r="C2020">
        <v>10</v>
      </c>
      <c r="D2020" s="100" t="s">
        <v>14</v>
      </c>
      <c r="E2020" t="s">
        <v>19</v>
      </c>
      <c r="F2020" t="s">
        <v>16</v>
      </c>
      <c r="G2020" t="s">
        <v>737</v>
      </c>
      <c r="H2020" s="128">
        <v>0.31119999999999998</v>
      </c>
      <c r="I2020" s="110">
        <v>0.17530000000000001</v>
      </c>
      <c r="J2020" s="110" t="s">
        <v>717</v>
      </c>
      <c r="K2020" s="110">
        <v>0.1497</v>
      </c>
      <c r="L2020">
        <v>5000</v>
      </c>
      <c r="M2020">
        <v>500000</v>
      </c>
      <c r="N2020" s="105">
        <v>44197</v>
      </c>
      <c r="O2020" s="105">
        <v>44377</v>
      </c>
      <c r="P2020" t="s">
        <v>718</v>
      </c>
      <c r="R2020" s="154"/>
      <c r="S2020" s="154"/>
      <c r="T2020" s="154"/>
      <c r="U2020" s="154"/>
    </row>
    <row r="2021" spans="1:21" ht="15" customHeight="1" x14ac:dyDescent="0.3">
      <c r="A2021" t="str">
        <f t="shared" si="32"/>
        <v>10-4-3RATE-SmartFIX – 5 Year</v>
      </c>
      <c r="B2021" t="s">
        <v>13</v>
      </c>
      <c r="C2021">
        <v>10</v>
      </c>
      <c r="D2021" s="100" t="s">
        <v>14</v>
      </c>
      <c r="E2021" t="s">
        <v>719</v>
      </c>
      <c r="F2021" t="s">
        <v>18</v>
      </c>
      <c r="G2021" t="s">
        <v>737</v>
      </c>
      <c r="H2021" s="128">
        <v>0.31119999999999998</v>
      </c>
      <c r="I2021" s="110">
        <v>0.18740000000000001</v>
      </c>
      <c r="J2021" s="110">
        <v>0.1193</v>
      </c>
      <c r="K2021" s="110">
        <v>0.16800000000000001</v>
      </c>
      <c r="L2021">
        <v>5000</v>
      </c>
      <c r="M2021">
        <v>500000</v>
      </c>
      <c r="N2021" s="105">
        <v>44197</v>
      </c>
      <c r="O2021" s="105">
        <v>44377</v>
      </c>
      <c r="P2021" t="s">
        <v>718</v>
      </c>
      <c r="R2021" s="154"/>
      <c r="S2021" s="154"/>
      <c r="T2021" s="154"/>
      <c r="U2021" s="154"/>
    </row>
    <row r="2022" spans="1:21" ht="15" customHeight="1" x14ac:dyDescent="0.3">
      <c r="A2022" t="str">
        <f t="shared" si="32"/>
        <v/>
      </c>
      <c r="B2022" t="s">
        <v>13</v>
      </c>
      <c r="C2022">
        <v>10</v>
      </c>
      <c r="D2022" s="100" t="s">
        <v>14</v>
      </c>
      <c r="E2022" t="s">
        <v>720</v>
      </c>
      <c r="F2022" t="s">
        <v>18</v>
      </c>
      <c r="G2022" t="s">
        <v>737</v>
      </c>
      <c r="H2022" s="128">
        <v>0.31119999999999998</v>
      </c>
      <c r="I2022" s="110" t="s">
        <v>717</v>
      </c>
      <c r="J2022" s="110">
        <v>0.1497</v>
      </c>
      <c r="K2022" s="110" t="s">
        <v>717</v>
      </c>
      <c r="L2022">
        <v>5000</v>
      </c>
      <c r="M2022">
        <v>500000</v>
      </c>
      <c r="N2022" s="105">
        <v>44197</v>
      </c>
      <c r="O2022" s="105">
        <v>44377</v>
      </c>
      <c r="P2022" t="s">
        <v>718</v>
      </c>
      <c r="R2022" s="154"/>
      <c r="S2022" s="154"/>
      <c r="T2022" s="154"/>
      <c r="U2022" s="154"/>
    </row>
    <row r="2023" spans="1:21" ht="15" customHeight="1" x14ac:dyDescent="0.3">
      <c r="A2023" t="str">
        <f t="shared" si="32"/>
        <v>11-3-U-SmartFIX – 5 Year</v>
      </c>
      <c r="B2023" t="s">
        <v>13</v>
      </c>
      <c r="C2023">
        <v>11</v>
      </c>
      <c r="D2023" s="100" t="s">
        <v>20</v>
      </c>
      <c r="E2023" t="s">
        <v>716</v>
      </c>
      <c r="F2023" t="s">
        <v>16</v>
      </c>
      <c r="G2023" t="s">
        <v>737</v>
      </c>
      <c r="H2023" s="128">
        <v>0.32069999999999999</v>
      </c>
      <c r="I2023" s="110">
        <v>0.1653</v>
      </c>
      <c r="J2023" s="110" t="s">
        <v>717</v>
      </c>
      <c r="K2023" s="110" t="s">
        <v>717</v>
      </c>
      <c r="L2023">
        <v>5000</v>
      </c>
      <c r="M2023">
        <v>500000</v>
      </c>
      <c r="N2023" s="105">
        <v>44197</v>
      </c>
      <c r="O2023" s="105">
        <v>44377</v>
      </c>
      <c r="P2023" t="s">
        <v>718</v>
      </c>
      <c r="R2023" s="154"/>
      <c r="S2023" s="154"/>
      <c r="T2023" s="154"/>
      <c r="U2023" s="154"/>
    </row>
    <row r="2024" spans="1:21" ht="15" customHeight="1" x14ac:dyDescent="0.3">
      <c r="A2024" t="str">
        <f t="shared" si="32"/>
        <v>11-4-E7-SmartFIX – 5 Year</v>
      </c>
      <c r="B2024" t="s">
        <v>13</v>
      </c>
      <c r="C2024">
        <v>11</v>
      </c>
      <c r="D2024" s="100" t="s">
        <v>20</v>
      </c>
      <c r="E2024" t="s">
        <v>17</v>
      </c>
      <c r="F2024" t="s">
        <v>18</v>
      </c>
      <c r="G2024" t="s">
        <v>737</v>
      </c>
      <c r="H2024" s="128">
        <v>0.32069999999999999</v>
      </c>
      <c r="I2024" s="110">
        <v>0.17</v>
      </c>
      <c r="J2024" s="110">
        <v>0.12520000000000001</v>
      </c>
      <c r="K2024" s="110" t="s">
        <v>717</v>
      </c>
      <c r="L2024">
        <v>5000</v>
      </c>
      <c r="M2024">
        <v>500000</v>
      </c>
      <c r="N2024" s="105">
        <v>44197</v>
      </c>
      <c r="O2024" s="105">
        <v>44377</v>
      </c>
      <c r="P2024" t="s">
        <v>718</v>
      </c>
      <c r="R2024" s="154"/>
      <c r="S2024" s="154"/>
      <c r="T2024" s="154"/>
      <c r="U2024" s="154"/>
    </row>
    <row r="2025" spans="1:21" ht="15" customHeight="1" x14ac:dyDescent="0.3">
      <c r="A2025" t="str">
        <f t="shared" si="32"/>
        <v>11-3-EW-SmartFIX – 5 Year</v>
      </c>
      <c r="B2025" t="s">
        <v>13</v>
      </c>
      <c r="C2025">
        <v>11</v>
      </c>
      <c r="D2025" s="100" t="s">
        <v>20</v>
      </c>
      <c r="E2025" t="s">
        <v>19</v>
      </c>
      <c r="F2025" t="s">
        <v>16</v>
      </c>
      <c r="G2025" t="s">
        <v>737</v>
      </c>
      <c r="H2025" s="128">
        <v>0.32069999999999999</v>
      </c>
      <c r="I2025" s="110">
        <v>0.17499999999999999</v>
      </c>
      <c r="J2025" s="110" t="s">
        <v>717</v>
      </c>
      <c r="K2025" s="110">
        <v>0.15029999999999999</v>
      </c>
      <c r="L2025">
        <v>5000</v>
      </c>
      <c r="M2025">
        <v>500000</v>
      </c>
      <c r="N2025" s="105">
        <v>44197</v>
      </c>
      <c r="O2025" s="105">
        <v>44377</v>
      </c>
      <c r="P2025" t="s">
        <v>718</v>
      </c>
      <c r="R2025" s="154"/>
      <c r="S2025" s="154"/>
      <c r="T2025" s="154"/>
      <c r="U2025" s="154"/>
    </row>
    <row r="2026" spans="1:21" ht="15" customHeight="1" x14ac:dyDescent="0.3">
      <c r="A2026" t="str">
        <f t="shared" si="32"/>
        <v>11-4-3RATE-SmartFIX – 5 Year</v>
      </c>
      <c r="B2026" t="s">
        <v>13</v>
      </c>
      <c r="C2026">
        <v>11</v>
      </c>
      <c r="D2026" s="100" t="s">
        <v>20</v>
      </c>
      <c r="E2026" t="s">
        <v>719</v>
      </c>
      <c r="F2026" t="s">
        <v>18</v>
      </c>
      <c r="G2026" t="s">
        <v>737</v>
      </c>
      <c r="H2026" s="128">
        <v>0.32069999999999999</v>
      </c>
      <c r="I2026" s="110">
        <v>0.18329999999999999</v>
      </c>
      <c r="J2026" s="110">
        <v>0.1208</v>
      </c>
      <c r="K2026" s="110">
        <v>0.1598</v>
      </c>
      <c r="L2026">
        <v>5000</v>
      </c>
      <c r="M2026">
        <v>500000</v>
      </c>
      <c r="N2026" s="105">
        <v>44197</v>
      </c>
      <c r="O2026" s="105">
        <v>44377</v>
      </c>
      <c r="P2026" t="s">
        <v>718</v>
      </c>
      <c r="R2026" s="154"/>
      <c r="S2026" s="154"/>
      <c r="T2026" s="154"/>
      <c r="U2026" s="154"/>
    </row>
    <row r="2027" spans="1:21" ht="15" customHeight="1" x14ac:dyDescent="0.3">
      <c r="A2027" t="str">
        <f t="shared" si="32"/>
        <v/>
      </c>
      <c r="B2027" t="s">
        <v>13</v>
      </c>
      <c r="C2027">
        <v>11</v>
      </c>
      <c r="D2027" s="100" t="s">
        <v>20</v>
      </c>
      <c r="E2027" t="s">
        <v>720</v>
      </c>
      <c r="F2027" t="s">
        <v>18</v>
      </c>
      <c r="G2027" t="s">
        <v>737</v>
      </c>
      <c r="H2027" s="128">
        <v>0.32069999999999999</v>
      </c>
      <c r="I2027" s="110" t="s">
        <v>717</v>
      </c>
      <c r="J2027" s="110">
        <v>0.15029999999999999</v>
      </c>
      <c r="K2027" s="110" t="s">
        <v>717</v>
      </c>
      <c r="L2027">
        <v>5000</v>
      </c>
      <c r="M2027">
        <v>500000</v>
      </c>
      <c r="N2027" s="105">
        <v>44197</v>
      </c>
      <c r="O2027" s="105">
        <v>44377</v>
      </c>
      <c r="P2027" t="s">
        <v>718</v>
      </c>
      <c r="R2027" s="154"/>
      <c r="S2027" s="154"/>
      <c r="T2027" s="154"/>
      <c r="U2027" s="154"/>
    </row>
    <row r="2028" spans="1:21" ht="15" customHeight="1" x14ac:dyDescent="0.3">
      <c r="A2028" t="str">
        <f t="shared" si="32"/>
        <v>12-3-U-SmartFIX – 5 Year</v>
      </c>
      <c r="B2028" t="s">
        <v>13</v>
      </c>
      <c r="C2028">
        <v>12</v>
      </c>
      <c r="D2028" s="100" t="s">
        <v>21</v>
      </c>
      <c r="E2028" t="s">
        <v>716</v>
      </c>
      <c r="F2028" t="s">
        <v>16</v>
      </c>
      <c r="G2028" t="s">
        <v>737</v>
      </c>
      <c r="H2028" s="128">
        <v>0.24199999999999999</v>
      </c>
      <c r="I2028" s="110">
        <v>0.1593</v>
      </c>
      <c r="J2028" s="110" t="s">
        <v>717</v>
      </c>
      <c r="K2028" s="110" t="s">
        <v>717</v>
      </c>
      <c r="L2028">
        <v>5000</v>
      </c>
      <c r="M2028">
        <v>500000</v>
      </c>
      <c r="N2028" s="105">
        <v>44197</v>
      </c>
      <c r="O2028" s="105">
        <v>44377</v>
      </c>
      <c r="P2028" t="s">
        <v>718</v>
      </c>
      <c r="R2028" s="154"/>
      <c r="S2028" s="154"/>
      <c r="T2028" s="154"/>
      <c r="U2028" s="154"/>
    </row>
    <row r="2029" spans="1:21" ht="15" customHeight="1" x14ac:dyDescent="0.3">
      <c r="A2029" t="str">
        <f t="shared" si="32"/>
        <v>12-4-E7-SmartFIX – 5 Year</v>
      </c>
      <c r="B2029" t="s">
        <v>13</v>
      </c>
      <c r="C2029">
        <v>12</v>
      </c>
      <c r="D2029" s="100" t="s">
        <v>21</v>
      </c>
      <c r="E2029" t="s">
        <v>17</v>
      </c>
      <c r="F2029" t="s">
        <v>18</v>
      </c>
      <c r="G2029" t="s">
        <v>737</v>
      </c>
      <c r="H2029" s="128">
        <v>0.24199999999999999</v>
      </c>
      <c r="I2029" s="110">
        <v>0.1686</v>
      </c>
      <c r="J2029" s="110">
        <v>0.13009999999999999</v>
      </c>
      <c r="K2029" s="110" t="s">
        <v>717</v>
      </c>
      <c r="L2029">
        <v>5000</v>
      </c>
      <c r="M2029">
        <v>500000</v>
      </c>
      <c r="N2029" s="105">
        <v>44197</v>
      </c>
      <c r="O2029" s="105">
        <v>44377</v>
      </c>
      <c r="P2029" t="s">
        <v>718</v>
      </c>
      <c r="R2029" s="154"/>
      <c r="S2029" s="154"/>
      <c r="T2029" s="154"/>
      <c r="U2029" s="154"/>
    </row>
    <row r="2030" spans="1:21" ht="15" customHeight="1" x14ac:dyDescent="0.3">
      <c r="A2030" t="str">
        <f t="shared" si="32"/>
        <v>12-3-EW-SmartFIX – 5 Year</v>
      </c>
      <c r="B2030" t="s">
        <v>13</v>
      </c>
      <c r="C2030">
        <v>12</v>
      </c>
      <c r="D2030" s="100" t="s">
        <v>21</v>
      </c>
      <c r="E2030" t="s">
        <v>19</v>
      </c>
      <c r="F2030" t="s">
        <v>16</v>
      </c>
      <c r="G2030" t="s">
        <v>737</v>
      </c>
      <c r="H2030" s="128">
        <v>0.24199999999999999</v>
      </c>
      <c r="I2030" s="110">
        <v>0.16900000000000001</v>
      </c>
      <c r="J2030" s="110" t="s">
        <v>717</v>
      </c>
      <c r="K2030" s="110">
        <v>0.14580000000000001</v>
      </c>
      <c r="L2030">
        <v>5000</v>
      </c>
      <c r="M2030">
        <v>500000</v>
      </c>
      <c r="N2030" s="105">
        <v>44197</v>
      </c>
      <c r="O2030" s="105">
        <v>44377</v>
      </c>
      <c r="P2030" t="s">
        <v>718</v>
      </c>
      <c r="R2030" s="154"/>
      <c r="S2030" s="154"/>
      <c r="T2030" s="154"/>
      <c r="U2030" s="154"/>
    </row>
    <row r="2031" spans="1:21" ht="15" customHeight="1" x14ac:dyDescent="0.3">
      <c r="A2031" t="str">
        <f t="shared" si="32"/>
        <v>12-4-3RATE-SmartFIX – 5 Year</v>
      </c>
      <c r="B2031" t="s">
        <v>13</v>
      </c>
      <c r="C2031">
        <v>12</v>
      </c>
      <c r="D2031" s="100" t="s">
        <v>21</v>
      </c>
      <c r="E2031" t="s">
        <v>719</v>
      </c>
      <c r="F2031" t="s">
        <v>18</v>
      </c>
      <c r="G2031" t="s">
        <v>737</v>
      </c>
      <c r="H2031" s="128">
        <v>0.24199999999999999</v>
      </c>
      <c r="I2031" s="110">
        <v>0.24399999999999999</v>
      </c>
      <c r="J2031" s="110">
        <v>0.24399999999999999</v>
      </c>
      <c r="K2031" s="110">
        <v>0.24399999999999999</v>
      </c>
      <c r="L2031">
        <v>5000</v>
      </c>
      <c r="M2031">
        <v>500000</v>
      </c>
      <c r="N2031" s="105">
        <v>44197</v>
      </c>
      <c r="O2031" s="105">
        <v>44377</v>
      </c>
      <c r="P2031" t="s">
        <v>718</v>
      </c>
      <c r="R2031" s="154"/>
      <c r="S2031" s="154"/>
      <c r="T2031" s="154"/>
      <c r="U2031" s="154"/>
    </row>
    <row r="2032" spans="1:21" ht="15" customHeight="1" x14ac:dyDescent="0.3">
      <c r="A2032" t="str">
        <f t="shared" si="32"/>
        <v/>
      </c>
      <c r="B2032" t="s">
        <v>13</v>
      </c>
      <c r="C2032">
        <v>12</v>
      </c>
      <c r="D2032" s="100" t="s">
        <v>21</v>
      </c>
      <c r="E2032" t="s">
        <v>720</v>
      </c>
      <c r="F2032" t="s">
        <v>18</v>
      </c>
      <c r="G2032" t="s">
        <v>737</v>
      </c>
      <c r="H2032" s="128">
        <v>0.24199999999999999</v>
      </c>
      <c r="I2032" s="110" t="s">
        <v>717</v>
      </c>
      <c r="J2032" s="110">
        <v>0.14580000000000001</v>
      </c>
      <c r="K2032" s="110" t="s">
        <v>717</v>
      </c>
      <c r="L2032">
        <v>5000</v>
      </c>
      <c r="M2032">
        <v>500000</v>
      </c>
      <c r="N2032" s="105">
        <v>44197</v>
      </c>
      <c r="O2032" s="105">
        <v>44377</v>
      </c>
      <c r="P2032" t="s">
        <v>718</v>
      </c>
      <c r="R2032" s="154"/>
      <c r="S2032" s="154"/>
      <c r="T2032" s="154"/>
      <c r="U2032" s="154"/>
    </row>
    <row r="2033" spans="1:21" ht="15" customHeight="1" x14ac:dyDescent="0.3">
      <c r="A2033" t="str">
        <f t="shared" si="32"/>
        <v>13-3-U-SmartFIX – 5 Year</v>
      </c>
      <c r="B2033" t="s">
        <v>13</v>
      </c>
      <c r="C2033">
        <v>13</v>
      </c>
      <c r="D2033" s="100" t="s">
        <v>22</v>
      </c>
      <c r="E2033" t="s">
        <v>716</v>
      </c>
      <c r="F2033" t="s">
        <v>16</v>
      </c>
      <c r="G2033" t="s">
        <v>737</v>
      </c>
      <c r="H2033" s="128">
        <v>0.28489999999999999</v>
      </c>
      <c r="I2033" s="110">
        <v>0.1827</v>
      </c>
      <c r="J2033" s="110" t="s">
        <v>717</v>
      </c>
      <c r="K2033" s="110" t="s">
        <v>717</v>
      </c>
      <c r="L2033">
        <v>5000</v>
      </c>
      <c r="M2033">
        <v>500000</v>
      </c>
      <c r="N2033" s="105">
        <v>44197</v>
      </c>
      <c r="O2033" s="105">
        <v>44377</v>
      </c>
      <c r="P2033" t="s">
        <v>718</v>
      </c>
      <c r="R2033" s="154"/>
      <c r="S2033" s="154"/>
      <c r="T2033" s="154"/>
      <c r="U2033" s="154"/>
    </row>
    <row r="2034" spans="1:21" ht="15" customHeight="1" x14ac:dyDescent="0.3">
      <c r="A2034" t="str">
        <f t="shared" si="32"/>
        <v>13-4-E7-SmartFIX – 5 Year</v>
      </c>
      <c r="B2034" t="s">
        <v>13</v>
      </c>
      <c r="C2034">
        <v>13</v>
      </c>
      <c r="D2034" s="100" t="s">
        <v>22</v>
      </c>
      <c r="E2034" t="s">
        <v>17</v>
      </c>
      <c r="F2034" t="s">
        <v>18</v>
      </c>
      <c r="G2034" t="s">
        <v>737</v>
      </c>
      <c r="H2034" s="128">
        <v>0.28489999999999999</v>
      </c>
      <c r="I2034" s="110">
        <v>0.1822</v>
      </c>
      <c r="J2034" s="110">
        <v>0.13489999999999999</v>
      </c>
      <c r="K2034" s="110" t="s">
        <v>717</v>
      </c>
      <c r="L2034">
        <v>5000</v>
      </c>
      <c r="M2034">
        <v>500000</v>
      </c>
      <c r="N2034" s="105">
        <v>44197</v>
      </c>
      <c r="O2034" s="105">
        <v>44377</v>
      </c>
      <c r="P2034" t="s">
        <v>718</v>
      </c>
      <c r="R2034" s="154"/>
      <c r="S2034" s="154"/>
      <c r="T2034" s="154"/>
      <c r="U2034" s="154"/>
    </row>
    <row r="2035" spans="1:21" ht="15" customHeight="1" x14ac:dyDescent="0.3">
      <c r="A2035" t="str">
        <f t="shared" si="32"/>
        <v>13-3-EW-SmartFIX – 5 Year</v>
      </c>
      <c r="B2035" t="s">
        <v>13</v>
      </c>
      <c r="C2035">
        <v>13</v>
      </c>
      <c r="D2035" s="100" t="s">
        <v>22</v>
      </c>
      <c r="E2035" t="s">
        <v>19</v>
      </c>
      <c r="F2035" t="s">
        <v>16</v>
      </c>
      <c r="G2035" t="s">
        <v>737</v>
      </c>
      <c r="H2035" s="128">
        <v>0.28489999999999999</v>
      </c>
      <c r="I2035" s="110">
        <v>0.24399999999999999</v>
      </c>
      <c r="J2035" s="110" t="s">
        <v>717</v>
      </c>
      <c r="K2035" s="110">
        <v>0.24399999999999999</v>
      </c>
      <c r="L2035">
        <v>5000</v>
      </c>
      <c r="M2035">
        <v>500000</v>
      </c>
      <c r="N2035" s="105">
        <v>44197</v>
      </c>
      <c r="O2035" s="105">
        <v>44377</v>
      </c>
      <c r="P2035" t="s">
        <v>718</v>
      </c>
      <c r="R2035" s="154"/>
      <c r="S2035" s="154"/>
      <c r="T2035" s="154"/>
      <c r="U2035" s="154"/>
    </row>
    <row r="2036" spans="1:21" ht="15" customHeight="1" x14ac:dyDescent="0.3">
      <c r="A2036" t="str">
        <f t="shared" si="32"/>
        <v>13-4-3RATE-SmartFIX – 5 Year</v>
      </c>
      <c r="B2036" t="s">
        <v>13</v>
      </c>
      <c r="C2036">
        <v>13</v>
      </c>
      <c r="D2036" s="100" t="s">
        <v>22</v>
      </c>
      <c r="E2036" t="s">
        <v>719</v>
      </c>
      <c r="F2036" t="s">
        <v>18</v>
      </c>
      <c r="G2036" t="s">
        <v>737</v>
      </c>
      <c r="H2036" s="128">
        <v>0.28489999999999999</v>
      </c>
      <c r="I2036" s="110">
        <v>0.19819999999999999</v>
      </c>
      <c r="J2036" s="110">
        <v>0.1336</v>
      </c>
      <c r="K2036" s="110">
        <v>0.1825</v>
      </c>
      <c r="L2036">
        <v>5000</v>
      </c>
      <c r="M2036">
        <v>500000</v>
      </c>
      <c r="N2036" s="105">
        <v>44197</v>
      </c>
      <c r="O2036" s="105">
        <v>44377</v>
      </c>
      <c r="P2036" t="s">
        <v>718</v>
      </c>
      <c r="R2036" s="154"/>
      <c r="S2036" s="154"/>
      <c r="T2036" s="154"/>
      <c r="U2036" s="154"/>
    </row>
    <row r="2037" spans="1:21" ht="15" customHeight="1" x14ac:dyDescent="0.3">
      <c r="A2037" t="str">
        <f t="shared" si="32"/>
        <v/>
      </c>
      <c r="B2037" t="s">
        <v>13</v>
      </c>
      <c r="C2037">
        <v>13</v>
      </c>
      <c r="D2037" s="100" t="s">
        <v>22</v>
      </c>
      <c r="E2037" t="s">
        <v>720</v>
      </c>
      <c r="F2037" t="s">
        <v>18</v>
      </c>
      <c r="G2037" t="s">
        <v>737</v>
      </c>
      <c r="H2037" s="128">
        <v>0.28489999999999999</v>
      </c>
      <c r="I2037" s="110" t="s">
        <v>717</v>
      </c>
      <c r="J2037" s="110">
        <v>0.13489999999999999</v>
      </c>
      <c r="K2037" s="110" t="s">
        <v>717</v>
      </c>
      <c r="L2037">
        <v>5000</v>
      </c>
      <c r="M2037">
        <v>500000</v>
      </c>
      <c r="N2037" s="105">
        <v>44197</v>
      </c>
      <c r="O2037" s="105">
        <v>44377</v>
      </c>
      <c r="P2037" t="s">
        <v>718</v>
      </c>
      <c r="R2037" s="154"/>
      <c r="S2037" s="154"/>
      <c r="T2037" s="154"/>
      <c r="U2037" s="154"/>
    </row>
    <row r="2038" spans="1:21" ht="15" customHeight="1" x14ac:dyDescent="0.3">
      <c r="A2038" t="str">
        <f t="shared" si="32"/>
        <v>14-3-U-SmartFIX – 5 Year</v>
      </c>
      <c r="B2038" t="s">
        <v>13</v>
      </c>
      <c r="C2038">
        <v>14</v>
      </c>
      <c r="D2038" s="100" t="s">
        <v>23</v>
      </c>
      <c r="E2038" t="s">
        <v>716</v>
      </c>
      <c r="F2038" t="s">
        <v>16</v>
      </c>
      <c r="G2038" t="s">
        <v>737</v>
      </c>
      <c r="H2038" s="128">
        <v>0.35139999999999999</v>
      </c>
      <c r="I2038" s="110">
        <v>0.16930000000000001</v>
      </c>
      <c r="J2038" s="110" t="s">
        <v>717</v>
      </c>
      <c r="K2038" s="110" t="s">
        <v>717</v>
      </c>
      <c r="L2038">
        <v>5000</v>
      </c>
      <c r="M2038">
        <v>500000</v>
      </c>
      <c r="N2038" s="105">
        <v>44197</v>
      </c>
      <c r="O2038" s="105">
        <v>44377</v>
      </c>
      <c r="P2038" t="s">
        <v>718</v>
      </c>
      <c r="R2038" s="154"/>
      <c r="S2038" s="154"/>
      <c r="T2038" s="154"/>
      <c r="U2038" s="154"/>
    </row>
    <row r="2039" spans="1:21" ht="15" customHeight="1" x14ac:dyDescent="0.3">
      <c r="A2039" t="str">
        <f t="shared" si="32"/>
        <v>14-4-E7-SmartFIX – 5 Year</v>
      </c>
      <c r="B2039" t="s">
        <v>13</v>
      </c>
      <c r="C2039">
        <v>14</v>
      </c>
      <c r="D2039" s="100" t="s">
        <v>23</v>
      </c>
      <c r="E2039" t="s">
        <v>17</v>
      </c>
      <c r="F2039" t="s">
        <v>18</v>
      </c>
      <c r="G2039" t="s">
        <v>737</v>
      </c>
      <c r="H2039" s="128">
        <v>0.35139999999999999</v>
      </c>
      <c r="I2039" s="110">
        <v>0.17269999999999999</v>
      </c>
      <c r="J2039" s="110">
        <v>0.12970000000000001</v>
      </c>
      <c r="K2039" s="110" t="s">
        <v>717</v>
      </c>
      <c r="L2039">
        <v>5000</v>
      </c>
      <c r="M2039">
        <v>500000</v>
      </c>
      <c r="N2039" s="105">
        <v>44197</v>
      </c>
      <c r="O2039" s="105">
        <v>44377</v>
      </c>
      <c r="P2039" t="s">
        <v>718</v>
      </c>
      <c r="R2039" s="154"/>
      <c r="S2039" s="154"/>
      <c r="T2039" s="154"/>
      <c r="U2039" s="154"/>
    </row>
    <row r="2040" spans="1:21" ht="15" customHeight="1" x14ac:dyDescent="0.3">
      <c r="A2040" t="str">
        <f t="shared" si="32"/>
        <v>14-3-EW-SmartFIX – 5 Year</v>
      </c>
      <c r="B2040" t="s">
        <v>13</v>
      </c>
      <c r="C2040">
        <v>14</v>
      </c>
      <c r="D2040" s="100" t="s">
        <v>23</v>
      </c>
      <c r="E2040" t="s">
        <v>19</v>
      </c>
      <c r="F2040" t="s">
        <v>16</v>
      </c>
      <c r="G2040" t="s">
        <v>737</v>
      </c>
      <c r="H2040" s="128">
        <v>0.35139999999999999</v>
      </c>
      <c r="I2040" s="110">
        <v>0.1777</v>
      </c>
      <c r="J2040" s="110" t="s">
        <v>717</v>
      </c>
      <c r="K2040" s="110">
        <v>0.15690000000000001</v>
      </c>
      <c r="L2040">
        <v>5000</v>
      </c>
      <c r="M2040">
        <v>500000</v>
      </c>
      <c r="N2040" s="105">
        <v>44197</v>
      </c>
      <c r="O2040" s="105">
        <v>44377</v>
      </c>
      <c r="P2040" t="s">
        <v>718</v>
      </c>
      <c r="R2040" s="154"/>
      <c r="S2040" s="154"/>
      <c r="T2040" s="154"/>
      <c r="U2040" s="154"/>
    </row>
    <row r="2041" spans="1:21" ht="15" customHeight="1" x14ac:dyDescent="0.3">
      <c r="A2041" t="str">
        <f t="shared" si="32"/>
        <v>14-4-3RATE-SmartFIX – 5 Year</v>
      </c>
      <c r="B2041" t="s">
        <v>13</v>
      </c>
      <c r="C2041">
        <v>14</v>
      </c>
      <c r="D2041" s="100" t="s">
        <v>23</v>
      </c>
      <c r="E2041" t="s">
        <v>719</v>
      </c>
      <c r="F2041" t="s">
        <v>18</v>
      </c>
      <c r="G2041" t="s">
        <v>737</v>
      </c>
      <c r="H2041" s="128">
        <v>0.35139999999999999</v>
      </c>
      <c r="I2041" s="110">
        <v>0.24399999999999999</v>
      </c>
      <c r="J2041" s="110">
        <v>0.24399999999999999</v>
      </c>
      <c r="K2041" s="110">
        <v>0.24399999999999999</v>
      </c>
      <c r="L2041">
        <v>5000</v>
      </c>
      <c r="M2041">
        <v>500000</v>
      </c>
      <c r="N2041" s="105">
        <v>44197</v>
      </c>
      <c r="O2041" s="105">
        <v>44377</v>
      </c>
      <c r="P2041" t="s">
        <v>718</v>
      </c>
      <c r="R2041" s="154"/>
      <c r="S2041" s="154"/>
      <c r="T2041" s="154"/>
      <c r="U2041" s="154"/>
    </row>
    <row r="2042" spans="1:21" ht="15" customHeight="1" x14ac:dyDescent="0.3">
      <c r="A2042" t="str">
        <f t="shared" si="32"/>
        <v/>
      </c>
      <c r="B2042" t="s">
        <v>13</v>
      </c>
      <c r="C2042">
        <v>14</v>
      </c>
      <c r="D2042" s="100" t="s">
        <v>23</v>
      </c>
      <c r="E2042" t="s">
        <v>720</v>
      </c>
      <c r="F2042" t="s">
        <v>18</v>
      </c>
      <c r="G2042" t="s">
        <v>737</v>
      </c>
      <c r="H2042" s="128">
        <v>0.35139999999999999</v>
      </c>
      <c r="I2042" s="110" t="s">
        <v>717</v>
      </c>
      <c r="J2042" s="110">
        <v>0.15690000000000001</v>
      </c>
      <c r="K2042" s="110" t="s">
        <v>717</v>
      </c>
      <c r="L2042">
        <v>5000</v>
      </c>
      <c r="M2042">
        <v>500000</v>
      </c>
      <c r="N2042" s="105">
        <v>44197</v>
      </c>
      <c r="O2042" s="105">
        <v>44377</v>
      </c>
      <c r="P2042" t="s">
        <v>718</v>
      </c>
      <c r="R2042" s="154"/>
      <c r="S2042" s="154"/>
      <c r="T2042" s="154"/>
      <c r="U2042" s="154"/>
    </row>
    <row r="2043" spans="1:21" ht="15" customHeight="1" x14ac:dyDescent="0.3">
      <c r="A2043" t="str">
        <f t="shared" si="32"/>
        <v>15-3-U-SmartFIX – 5 Year</v>
      </c>
      <c r="B2043" t="s">
        <v>13</v>
      </c>
      <c r="C2043">
        <v>15</v>
      </c>
      <c r="D2043" s="100" t="s">
        <v>24</v>
      </c>
      <c r="E2043" t="s">
        <v>716</v>
      </c>
      <c r="F2043" t="s">
        <v>16</v>
      </c>
      <c r="G2043" t="s">
        <v>737</v>
      </c>
      <c r="H2043" s="128">
        <v>0.32629999999999998</v>
      </c>
      <c r="I2043" s="110">
        <v>0.1676</v>
      </c>
      <c r="J2043" s="110" t="s">
        <v>717</v>
      </c>
      <c r="K2043" s="110" t="s">
        <v>717</v>
      </c>
      <c r="L2043">
        <v>5000</v>
      </c>
      <c r="M2043">
        <v>500000</v>
      </c>
      <c r="N2043" s="105">
        <v>44197</v>
      </c>
      <c r="O2043" s="105">
        <v>44377</v>
      </c>
      <c r="P2043" t="s">
        <v>718</v>
      </c>
      <c r="R2043" s="154"/>
      <c r="S2043" s="154"/>
      <c r="T2043" s="154"/>
      <c r="U2043" s="154"/>
    </row>
    <row r="2044" spans="1:21" ht="15" customHeight="1" x14ac:dyDescent="0.3">
      <c r="A2044" t="str">
        <f t="shared" si="32"/>
        <v>15-4-E7-SmartFIX – 5 Year</v>
      </c>
      <c r="B2044" t="s">
        <v>13</v>
      </c>
      <c r="C2044">
        <v>15</v>
      </c>
      <c r="D2044" s="100" t="s">
        <v>24</v>
      </c>
      <c r="E2044" t="s">
        <v>17</v>
      </c>
      <c r="F2044" t="s">
        <v>18</v>
      </c>
      <c r="G2044" t="s">
        <v>737</v>
      </c>
      <c r="H2044" s="128">
        <v>0.32629999999999998</v>
      </c>
      <c r="I2044" s="110">
        <v>0.1729</v>
      </c>
      <c r="J2044" s="110">
        <v>0.12820000000000001</v>
      </c>
      <c r="K2044" s="110" t="s">
        <v>717</v>
      </c>
      <c r="L2044">
        <v>5000</v>
      </c>
      <c r="M2044">
        <v>500000</v>
      </c>
      <c r="N2044" s="105">
        <v>44197</v>
      </c>
      <c r="O2044" s="105">
        <v>44377</v>
      </c>
      <c r="P2044" t="s">
        <v>718</v>
      </c>
      <c r="R2044" s="154"/>
      <c r="S2044" s="154"/>
      <c r="T2044" s="154"/>
      <c r="U2044" s="154"/>
    </row>
    <row r="2045" spans="1:21" ht="15" customHeight="1" x14ac:dyDescent="0.3">
      <c r="A2045" t="str">
        <f t="shared" si="32"/>
        <v>15-3-EW-SmartFIX – 5 Year</v>
      </c>
      <c r="B2045" t="s">
        <v>13</v>
      </c>
      <c r="C2045">
        <v>15</v>
      </c>
      <c r="D2045" s="100" t="s">
        <v>24</v>
      </c>
      <c r="E2045" t="s">
        <v>19</v>
      </c>
      <c r="F2045" t="s">
        <v>16</v>
      </c>
      <c r="G2045" t="s">
        <v>737</v>
      </c>
      <c r="H2045" s="128">
        <v>0.32629999999999998</v>
      </c>
      <c r="I2045" s="110">
        <v>0.1792</v>
      </c>
      <c r="J2045" s="110" t="s">
        <v>717</v>
      </c>
      <c r="K2045" s="110">
        <v>0.15459999999999999</v>
      </c>
      <c r="L2045">
        <v>5000</v>
      </c>
      <c r="M2045">
        <v>500000</v>
      </c>
      <c r="N2045" s="105">
        <v>44197</v>
      </c>
      <c r="O2045" s="105">
        <v>44377</v>
      </c>
      <c r="P2045" t="s">
        <v>718</v>
      </c>
      <c r="R2045" s="154"/>
      <c r="S2045" s="154"/>
      <c r="T2045" s="154"/>
      <c r="U2045" s="154"/>
    </row>
    <row r="2046" spans="1:21" ht="15" customHeight="1" x14ac:dyDescent="0.3">
      <c r="A2046" t="str">
        <f t="shared" si="32"/>
        <v>15-4-3RATE-SmartFIX – 5 Year</v>
      </c>
      <c r="B2046" t="s">
        <v>13</v>
      </c>
      <c r="C2046">
        <v>15</v>
      </c>
      <c r="D2046" s="100" t="s">
        <v>24</v>
      </c>
      <c r="E2046" t="s">
        <v>719</v>
      </c>
      <c r="F2046" t="s">
        <v>18</v>
      </c>
      <c r="G2046" t="s">
        <v>737</v>
      </c>
      <c r="H2046" s="128">
        <v>0.32629999999999998</v>
      </c>
      <c r="I2046" s="110">
        <v>0.24399999999999999</v>
      </c>
      <c r="J2046" s="110">
        <v>0.24399999999999999</v>
      </c>
      <c r="K2046" s="110">
        <v>0.24399999999999999</v>
      </c>
      <c r="L2046">
        <v>5000</v>
      </c>
      <c r="M2046">
        <v>500000</v>
      </c>
      <c r="N2046" s="105">
        <v>44197</v>
      </c>
      <c r="O2046" s="105">
        <v>44377</v>
      </c>
      <c r="P2046" t="s">
        <v>718</v>
      </c>
      <c r="R2046" s="154"/>
      <c r="S2046" s="154"/>
      <c r="T2046" s="154"/>
      <c r="U2046" s="154"/>
    </row>
    <row r="2047" spans="1:21" ht="15" customHeight="1" x14ac:dyDescent="0.3">
      <c r="A2047" t="str">
        <f t="shared" si="32"/>
        <v/>
      </c>
      <c r="B2047" t="s">
        <v>13</v>
      </c>
      <c r="C2047">
        <v>15</v>
      </c>
      <c r="D2047" s="100" t="s">
        <v>24</v>
      </c>
      <c r="E2047" t="s">
        <v>720</v>
      </c>
      <c r="F2047" t="s">
        <v>18</v>
      </c>
      <c r="G2047" t="s">
        <v>737</v>
      </c>
      <c r="H2047" s="128">
        <v>0.32629999999999998</v>
      </c>
      <c r="I2047" s="110" t="s">
        <v>717</v>
      </c>
      <c r="J2047" s="110">
        <v>0.15459999999999999</v>
      </c>
      <c r="K2047" s="110" t="s">
        <v>717</v>
      </c>
      <c r="L2047">
        <v>5000</v>
      </c>
      <c r="M2047">
        <v>500000</v>
      </c>
      <c r="N2047" s="105">
        <v>44197</v>
      </c>
      <c r="O2047" s="105">
        <v>44377</v>
      </c>
      <c r="P2047" t="s">
        <v>718</v>
      </c>
      <c r="R2047" s="154"/>
      <c r="S2047" s="154"/>
      <c r="T2047" s="154"/>
      <c r="U2047" s="154"/>
    </row>
    <row r="2048" spans="1:21" ht="15" customHeight="1" x14ac:dyDescent="0.3">
      <c r="A2048" t="str">
        <f t="shared" si="32"/>
        <v>16-3-U-SmartFIX – 5 Year</v>
      </c>
      <c r="B2048" t="s">
        <v>13</v>
      </c>
      <c r="C2048">
        <v>16</v>
      </c>
      <c r="D2048" s="100" t="s">
        <v>25</v>
      </c>
      <c r="E2048" t="s">
        <v>716</v>
      </c>
      <c r="F2048" t="s">
        <v>16</v>
      </c>
      <c r="G2048" t="s">
        <v>737</v>
      </c>
      <c r="H2048" s="128">
        <v>0.27610000000000001</v>
      </c>
      <c r="I2048" s="110">
        <v>0.17130000000000001</v>
      </c>
      <c r="J2048" s="110" t="s">
        <v>717</v>
      </c>
      <c r="K2048" s="110" t="s">
        <v>717</v>
      </c>
      <c r="L2048">
        <v>5000</v>
      </c>
      <c r="M2048">
        <v>500000</v>
      </c>
      <c r="N2048" s="105">
        <v>44197</v>
      </c>
      <c r="O2048" s="105">
        <v>44377</v>
      </c>
      <c r="P2048" t="s">
        <v>718</v>
      </c>
      <c r="R2048" s="154"/>
      <c r="S2048" s="154"/>
      <c r="T2048" s="154"/>
      <c r="U2048" s="154"/>
    </row>
    <row r="2049" spans="1:21" ht="15" customHeight="1" x14ac:dyDescent="0.3">
      <c r="A2049" t="str">
        <f t="shared" si="32"/>
        <v>16-4-E7-SmartFIX – 5 Year</v>
      </c>
      <c r="B2049" t="s">
        <v>13</v>
      </c>
      <c r="C2049">
        <v>16</v>
      </c>
      <c r="D2049" s="100" t="s">
        <v>25</v>
      </c>
      <c r="E2049" t="s">
        <v>17</v>
      </c>
      <c r="F2049" t="s">
        <v>18</v>
      </c>
      <c r="G2049" t="s">
        <v>737</v>
      </c>
      <c r="H2049" s="128">
        <v>0.27610000000000001</v>
      </c>
      <c r="I2049" s="110">
        <v>0.17349999999999999</v>
      </c>
      <c r="J2049" s="110">
        <v>0.12609999999999999</v>
      </c>
      <c r="K2049" s="110" t="s">
        <v>717</v>
      </c>
      <c r="L2049">
        <v>5000</v>
      </c>
      <c r="M2049">
        <v>500000</v>
      </c>
      <c r="N2049" s="105">
        <v>44197</v>
      </c>
      <c r="O2049" s="105">
        <v>44377</v>
      </c>
      <c r="P2049" t="s">
        <v>718</v>
      </c>
      <c r="R2049" s="154"/>
      <c r="S2049" s="154"/>
      <c r="T2049" s="154"/>
      <c r="U2049" s="154"/>
    </row>
    <row r="2050" spans="1:21" ht="15" customHeight="1" x14ac:dyDescent="0.3">
      <c r="A2050" t="str">
        <f t="shared" si="32"/>
        <v>16-3-EW-SmartFIX – 5 Year</v>
      </c>
      <c r="B2050" t="s">
        <v>13</v>
      </c>
      <c r="C2050">
        <v>16</v>
      </c>
      <c r="D2050" s="100" t="s">
        <v>25</v>
      </c>
      <c r="E2050" t="s">
        <v>19</v>
      </c>
      <c r="F2050" t="s">
        <v>16</v>
      </c>
      <c r="G2050" t="s">
        <v>737</v>
      </c>
      <c r="H2050" s="128">
        <v>0.27610000000000001</v>
      </c>
      <c r="I2050" s="110">
        <v>0.18279999999999999</v>
      </c>
      <c r="J2050" s="110" t="s">
        <v>717</v>
      </c>
      <c r="K2050" s="110">
        <v>0.15740000000000001</v>
      </c>
      <c r="L2050">
        <v>5000</v>
      </c>
      <c r="M2050">
        <v>500000</v>
      </c>
      <c r="N2050" s="105">
        <v>44197</v>
      </c>
      <c r="O2050" s="105">
        <v>44377</v>
      </c>
      <c r="P2050" t="s">
        <v>718</v>
      </c>
      <c r="R2050" s="154"/>
      <c r="S2050" s="154"/>
      <c r="T2050" s="154"/>
      <c r="U2050" s="154"/>
    </row>
    <row r="2051" spans="1:21" ht="15" customHeight="1" x14ac:dyDescent="0.3">
      <c r="A2051" t="str">
        <f t="shared" si="32"/>
        <v>16-4-3RATE-SmartFIX – 5 Year</v>
      </c>
      <c r="B2051" t="s">
        <v>13</v>
      </c>
      <c r="C2051">
        <v>16</v>
      </c>
      <c r="D2051" s="100" t="s">
        <v>25</v>
      </c>
      <c r="E2051" t="s">
        <v>719</v>
      </c>
      <c r="F2051" t="s">
        <v>18</v>
      </c>
      <c r="G2051" t="s">
        <v>737</v>
      </c>
      <c r="H2051" s="128">
        <v>0.27610000000000001</v>
      </c>
      <c r="I2051" s="110">
        <v>0.1893</v>
      </c>
      <c r="J2051" s="110">
        <v>0.1258</v>
      </c>
      <c r="K2051" s="110">
        <v>0.16009999999999999</v>
      </c>
      <c r="L2051">
        <v>5000</v>
      </c>
      <c r="M2051">
        <v>500000</v>
      </c>
      <c r="N2051" s="105">
        <v>44197</v>
      </c>
      <c r="O2051" s="105">
        <v>44377</v>
      </c>
      <c r="P2051" t="s">
        <v>718</v>
      </c>
      <c r="R2051" s="154"/>
      <c r="S2051" s="154"/>
      <c r="T2051" s="154"/>
      <c r="U2051" s="154"/>
    </row>
    <row r="2052" spans="1:21" ht="15" customHeight="1" x14ac:dyDescent="0.3">
      <c r="A2052" t="str">
        <f t="shared" si="32"/>
        <v/>
      </c>
      <c r="B2052" t="s">
        <v>13</v>
      </c>
      <c r="C2052">
        <v>16</v>
      </c>
      <c r="D2052" s="100" t="s">
        <v>25</v>
      </c>
      <c r="E2052" t="s">
        <v>720</v>
      </c>
      <c r="F2052" t="s">
        <v>18</v>
      </c>
      <c r="G2052" t="s">
        <v>737</v>
      </c>
      <c r="H2052" s="128">
        <v>0.27610000000000001</v>
      </c>
      <c r="I2052" s="110" t="s">
        <v>717</v>
      </c>
      <c r="J2052" s="110">
        <v>0.15740000000000001</v>
      </c>
      <c r="K2052" s="110" t="s">
        <v>717</v>
      </c>
      <c r="L2052">
        <v>5000</v>
      </c>
      <c r="M2052">
        <v>500000</v>
      </c>
      <c r="N2052" s="105">
        <v>44197</v>
      </c>
      <c r="O2052" s="105">
        <v>44377</v>
      </c>
      <c r="P2052" t="s">
        <v>718</v>
      </c>
      <c r="R2052" s="154"/>
      <c r="S2052" s="154"/>
      <c r="T2052" s="154"/>
      <c r="U2052" s="154"/>
    </row>
    <row r="2053" spans="1:21" ht="15" customHeight="1" x14ac:dyDescent="0.3">
      <c r="A2053" t="str">
        <f t="shared" si="32"/>
        <v>17-3-U-SmartFIX – 5 Year</v>
      </c>
      <c r="B2053" t="s">
        <v>13</v>
      </c>
      <c r="C2053">
        <v>17</v>
      </c>
      <c r="D2053" s="100" t="s">
        <v>26</v>
      </c>
      <c r="E2053" t="s">
        <v>716</v>
      </c>
      <c r="F2053" t="s">
        <v>16</v>
      </c>
      <c r="G2053" t="s">
        <v>737</v>
      </c>
      <c r="H2053" s="128">
        <v>0.36370000000000002</v>
      </c>
      <c r="I2053" s="110">
        <v>0.17879999999999999</v>
      </c>
      <c r="J2053" s="110" t="s">
        <v>717</v>
      </c>
      <c r="K2053" s="110" t="s">
        <v>717</v>
      </c>
      <c r="L2053">
        <v>5000</v>
      </c>
      <c r="M2053">
        <v>500000</v>
      </c>
      <c r="N2053" s="105">
        <v>44197</v>
      </c>
      <c r="O2053" s="105">
        <v>44377</v>
      </c>
      <c r="P2053" t="s">
        <v>718</v>
      </c>
      <c r="R2053" s="154"/>
      <c r="S2053" s="154"/>
      <c r="T2053" s="154"/>
      <c r="U2053" s="154"/>
    </row>
    <row r="2054" spans="1:21" ht="15" customHeight="1" x14ac:dyDescent="0.3">
      <c r="A2054" t="str">
        <f t="shared" si="32"/>
        <v>17-4-E7-SmartFIX – 5 Year</v>
      </c>
      <c r="B2054" t="s">
        <v>13</v>
      </c>
      <c r="C2054">
        <v>17</v>
      </c>
      <c r="D2054" s="100" t="s">
        <v>26</v>
      </c>
      <c r="E2054" t="s">
        <v>17</v>
      </c>
      <c r="F2054" t="s">
        <v>18</v>
      </c>
      <c r="G2054" t="s">
        <v>737</v>
      </c>
      <c r="H2054" s="128">
        <v>0.36370000000000002</v>
      </c>
      <c r="I2054" s="110">
        <v>0.18479999999999999</v>
      </c>
      <c r="J2054" s="110">
        <v>0.13239999999999999</v>
      </c>
      <c r="K2054" s="110" t="s">
        <v>717</v>
      </c>
      <c r="L2054">
        <v>5000</v>
      </c>
      <c r="M2054">
        <v>500000</v>
      </c>
      <c r="N2054" s="105">
        <v>44197</v>
      </c>
      <c r="O2054" s="105">
        <v>44377</v>
      </c>
      <c r="P2054" t="s">
        <v>718</v>
      </c>
      <c r="R2054" s="154"/>
      <c r="S2054" s="154"/>
      <c r="T2054" s="154"/>
      <c r="U2054" s="154"/>
    </row>
    <row r="2055" spans="1:21" ht="15" customHeight="1" x14ac:dyDescent="0.3">
      <c r="A2055" t="str">
        <f t="shared" si="32"/>
        <v>17-3-EW-SmartFIX – 5 Year</v>
      </c>
      <c r="B2055" t="s">
        <v>13</v>
      </c>
      <c r="C2055">
        <v>17</v>
      </c>
      <c r="D2055" s="100" t="s">
        <v>26</v>
      </c>
      <c r="E2055" t="s">
        <v>19</v>
      </c>
      <c r="F2055" t="s">
        <v>16</v>
      </c>
      <c r="G2055" t="s">
        <v>737</v>
      </c>
      <c r="H2055" s="128">
        <v>0.36370000000000002</v>
      </c>
      <c r="I2055" s="110">
        <v>0.18770000000000001</v>
      </c>
      <c r="J2055" s="110" t="s">
        <v>717</v>
      </c>
      <c r="K2055" s="110">
        <v>0.16719999999999999</v>
      </c>
      <c r="L2055">
        <v>5000</v>
      </c>
      <c r="M2055">
        <v>500000</v>
      </c>
      <c r="N2055" s="105">
        <v>44197</v>
      </c>
      <c r="O2055" s="105">
        <v>44377</v>
      </c>
      <c r="P2055" t="s">
        <v>718</v>
      </c>
      <c r="R2055" s="154"/>
      <c r="S2055" s="154"/>
      <c r="T2055" s="154"/>
      <c r="U2055" s="154"/>
    </row>
    <row r="2056" spans="1:21" ht="15" customHeight="1" x14ac:dyDescent="0.3">
      <c r="A2056" t="str">
        <f t="shared" si="32"/>
        <v>17-4-3RATE-SmartFIX – 5 Year</v>
      </c>
      <c r="B2056" t="s">
        <v>13</v>
      </c>
      <c r="C2056">
        <v>17</v>
      </c>
      <c r="D2056" s="100" t="s">
        <v>26</v>
      </c>
      <c r="E2056" t="s">
        <v>719</v>
      </c>
      <c r="F2056" t="s">
        <v>18</v>
      </c>
      <c r="G2056" t="s">
        <v>737</v>
      </c>
      <c r="H2056" s="128">
        <v>0.36370000000000002</v>
      </c>
      <c r="I2056" s="110">
        <v>0.24399999999999999</v>
      </c>
      <c r="J2056" s="110">
        <v>0.24399999999999999</v>
      </c>
      <c r="K2056" s="110">
        <v>0.24399999999999999</v>
      </c>
      <c r="L2056">
        <v>5000</v>
      </c>
      <c r="M2056">
        <v>500000</v>
      </c>
      <c r="N2056" s="105">
        <v>44197</v>
      </c>
      <c r="O2056" s="105">
        <v>44377</v>
      </c>
      <c r="P2056" t="s">
        <v>718</v>
      </c>
      <c r="R2056" s="154"/>
      <c r="S2056" s="154"/>
      <c r="T2056" s="154"/>
      <c r="U2056" s="154"/>
    </row>
    <row r="2057" spans="1:21" ht="15" customHeight="1" x14ac:dyDescent="0.3">
      <c r="A2057" t="str">
        <f t="shared" si="32"/>
        <v/>
      </c>
      <c r="B2057" t="s">
        <v>13</v>
      </c>
      <c r="C2057">
        <v>17</v>
      </c>
      <c r="D2057" s="100" t="s">
        <v>26</v>
      </c>
      <c r="E2057" t="s">
        <v>720</v>
      </c>
      <c r="F2057" t="s">
        <v>18</v>
      </c>
      <c r="G2057" t="s">
        <v>737</v>
      </c>
      <c r="H2057" s="128">
        <v>0.36370000000000002</v>
      </c>
      <c r="I2057" s="110" t="s">
        <v>717</v>
      </c>
      <c r="J2057" s="110">
        <v>0.16719999999999999</v>
      </c>
      <c r="K2057" s="110" t="s">
        <v>717</v>
      </c>
      <c r="L2057">
        <v>5000</v>
      </c>
      <c r="M2057">
        <v>500000</v>
      </c>
      <c r="N2057" s="105">
        <v>44197</v>
      </c>
      <c r="O2057" s="105">
        <v>44377</v>
      </c>
      <c r="P2057" t="s">
        <v>718</v>
      </c>
      <c r="R2057" s="154"/>
      <c r="S2057" s="154"/>
      <c r="T2057" s="154"/>
      <c r="U2057" s="154"/>
    </row>
    <row r="2058" spans="1:21" ht="15" customHeight="1" x14ac:dyDescent="0.3">
      <c r="A2058" t="str">
        <f t="shared" si="32"/>
        <v>18-3-U-SmartFIX – 5 Year</v>
      </c>
      <c r="B2058" t="s">
        <v>13</v>
      </c>
      <c r="C2058">
        <v>18</v>
      </c>
      <c r="D2058" s="100" t="s">
        <v>27</v>
      </c>
      <c r="E2058" t="s">
        <v>716</v>
      </c>
      <c r="F2058" t="s">
        <v>16</v>
      </c>
      <c r="G2058" t="s">
        <v>737</v>
      </c>
      <c r="H2058" s="128">
        <v>0.31730000000000003</v>
      </c>
      <c r="I2058" s="110">
        <v>0.1696</v>
      </c>
      <c r="J2058" s="110" t="s">
        <v>717</v>
      </c>
      <c r="K2058" s="110" t="s">
        <v>717</v>
      </c>
      <c r="L2058">
        <v>5000</v>
      </c>
      <c r="M2058">
        <v>500000</v>
      </c>
      <c r="N2058" s="105">
        <v>44197</v>
      </c>
      <c r="O2058" s="105">
        <v>44377</v>
      </c>
      <c r="P2058" t="s">
        <v>718</v>
      </c>
      <c r="R2058" s="154"/>
      <c r="S2058" s="154"/>
      <c r="T2058" s="154"/>
      <c r="U2058" s="154"/>
    </row>
    <row r="2059" spans="1:21" ht="15" customHeight="1" x14ac:dyDescent="0.3">
      <c r="A2059" t="str">
        <f t="shared" si="32"/>
        <v>18-4-E7-SmartFIX – 5 Year</v>
      </c>
      <c r="B2059" t="s">
        <v>13</v>
      </c>
      <c r="C2059">
        <v>18</v>
      </c>
      <c r="D2059" s="100" t="s">
        <v>27</v>
      </c>
      <c r="E2059" t="s">
        <v>17</v>
      </c>
      <c r="F2059" t="s">
        <v>18</v>
      </c>
      <c r="G2059" t="s">
        <v>737</v>
      </c>
      <c r="H2059" s="128">
        <v>0.31730000000000003</v>
      </c>
      <c r="I2059" s="110">
        <v>0.1807</v>
      </c>
      <c r="J2059" s="110">
        <v>0.1358</v>
      </c>
      <c r="K2059" s="110" t="s">
        <v>717</v>
      </c>
      <c r="L2059">
        <v>5000</v>
      </c>
      <c r="M2059">
        <v>500000</v>
      </c>
      <c r="N2059" s="105">
        <v>44197</v>
      </c>
      <c r="O2059" s="105">
        <v>44377</v>
      </c>
      <c r="P2059" t="s">
        <v>718</v>
      </c>
      <c r="R2059" s="154"/>
      <c r="S2059" s="154"/>
      <c r="T2059" s="154"/>
      <c r="U2059" s="154"/>
    </row>
    <row r="2060" spans="1:21" ht="15" customHeight="1" x14ac:dyDescent="0.3">
      <c r="A2060" t="str">
        <f t="shared" ref="A2060:A2123" si="33">IF(E2060="OP","",CONCATENATE(C2060,"-",RIGHT(F2060,1),"-",IF(OR(E2060="1 Rate MD",E2060="DAY"),"U",IF(OR(E2060="2 Rate MD",E2060="E7"),"E7",IF(OR(E2060="3 Rate MD (EW)",E2060="EW"),"EW",IF(OR(E2060="3 Rate MD",E2060="EWN"),"3RATE",IF(E2060="HH 2RATE (CT)","HH 2RATE (CT)",IF(E2060="HH 2RATE (WC)","HH 2RATE (WC)",IF(E2060="HH 1RATE (CT)","HH 1RATE (CT)",IF(E2060="HH 1RATE (WC)","HH 1RATE (WC)")))))))),"-",G2060))</f>
        <v>18-3-EW-SmartFIX – 5 Year</v>
      </c>
      <c r="B2060" t="s">
        <v>13</v>
      </c>
      <c r="C2060">
        <v>18</v>
      </c>
      <c r="D2060" s="100" t="s">
        <v>27</v>
      </c>
      <c r="E2060" t="s">
        <v>19</v>
      </c>
      <c r="F2060" t="s">
        <v>16</v>
      </c>
      <c r="G2060" t="s">
        <v>737</v>
      </c>
      <c r="H2060" s="128">
        <v>0.31730000000000003</v>
      </c>
      <c r="I2060" s="110">
        <v>0.1784</v>
      </c>
      <c r="J2060" s="110" t="s">
        <v>717</v>
      </c>
      <c r="K2060" s="110">
        <v>0.15679999999999999</v>
      </c>
      <c r="L2060">
        <v>5000</v>
      </c>
      <c r="M2060">
        <v>500000</v>
      </c>
      <c r="N2060" s="105">
        <v>44197</v>
      </c>
      <c r="O2060" s="105">
        <v>44377</v>
      </c>
      <c r="P2060" t="s">
        <v>718</v>
      </c>
      <c r="R2060" s="154"/>
      <c r="S2060" s="154"/>
      <c r="T2060" s="154"/>
      <c r="U2060" s="154"/>
    </row>
    <row r="2061" spans="1:21" ht="15" customHeight="1" x14ac:dyDescent="0.3">
      <c r="A2061" t="str">
        <f t="shared" si="33"/>
        <v>18-4-3RATE-SmartFIX – 5 Year</v>
      </c>
      <c r="B2061" t="s">
        <v>13</v>
      </c>
      <c r="C2061">
        <v>18</v>
      </c>
      <c r="D2061" s="100" t="s">
        <v>27</v>
      </c>
      <c r="E2061" t="s">
        <v>719</v>
      </c>
      <c r="F2061" t="s">
        <v>18</v>
      </c>
      <c r="G2061" t="s">
        <v>737</v>
      </c>
      <c r="H2061" s="128">
        <v>0.31730000000000003</v>
      </c>
      <c r="I2061" s="110">
        <v>0.24399999999999999</v>
      </c>
      <c r="J2061" s="110">
        <v>0.24399999999999999</v>
      </c>
      <c r="K2061" s="110">
        <v>0.24399999999999999</v>
      </c>
      <c r="L2061">
        <v>5000</v>
      </c>
      <c r="M2061">
        <v>500000</v>
      </c>
      <c r="N2061" s="105">
        <v>44197</v>
      </c>
      <c r="O2061" s="105">
        <v>44377</v>
      </c>
      <c r="P2061" t="s">
        <v>718</v>
      </c>
      <c r="R2061" s="154"/>
      <c r="S2061" s="154"/>
      <c r="T2061" s="154"/>
      <c r="U2061" s="154"/>
    </row>
    <row r="2062" spans="1:21" ht="15" customHeight="1" x14ac:dyDescent="0.3">
      <c r="A2062" t="str">
        <f t="shared" si="33"/>
        <v/>
      </c>
      <c r="B2062" t="s">
        <v>13</v>
      </c>
      <c r="C2062">
        <v>18</v>
      </c>
      <c r="D2062" s="100" t="s">
        <v>27</v>
      </c>
      <c r="E2062" t="s">
        <v>720</v>
      </c>
      <c r="F2062" t="s">
        <v>18</v>
      </c>
      <c r="G2062" t="s">
        <v>737</v>
      </c>
      <c r="H2062" s="128">
        <v>0.31730000000000003</v>
      </c>
      <c r="I2062" s="110" t="s">
        <v>717</v>
      </c>
      <c r="J2062" s="110">
        <v>0.15679999999999999</v>
      </c>
      <c r="K2062" s="110" t="s">
        <v>717</v>
      </c>
      <c r="L2062">
        <v>5000</v>
      </c>
      <c r="M2062">
        <v>500000</v>
      </c>
      <c r="N2062" s="105">
        <v>44197</v>
      </c>
      <c r="O2062" s="105">
        <v>44377</v>
      </c>
      <c r="P2062" t="s">
        <v>718</v>
      </c>
      <c r="R2062" s="154"/>
      <c r="S2062" s="154"/>
      <c r="T2062" s="154"/>
      <c r="U2062" s="154"/>
    </row>
    <row r="2063" spans="1:21" ht="15" customHeight="1" x14ac:dyDescent="0.3">
      <c r="A2063" t="str">
        <f t="shared" si="33"/>
        <v>19-3-U-SmartFIX – 5 Year</v>
      </c>
      <c r="B2063" t="s">
        <v>13</v>
      </c>
      <c r="C2063">
        <v>19</v>
      </c>
      <c r="D2063" s="100" t="s">
        <v>28</v>
      </c>
      <c r="E2063" t="s">
        <v>716</v>
      </c>
      <c r="F2063" t="s">
        <v>16</v>
      </c>
      <c r="G2063" t="s">
        <v>737</v>
      </c>
      <c r="H2063" s="128">
        <v>0.30149999999999999</v>
      </c>
      <c r="I2063" s="110">
        <v>0.16589999999999999</v>
      </c>
      <c r="J2063" s="110" t="s">
        <v>717</v>
      </c>
      <c r="K2063" s="110" t="s">
        <v>717</v>
      </c>
      <c r="L2063">
        <v>5000</v>
      </c>
      <c r="M2063">
        <v>500000</v>
      </c>
      <c r="N2063" s="105">
        <v>44197</v>
      </c>
      <c r="O2063" s="105">
        <v>44377</v>
      </c>
      <c r="P2063" t="s">
        <v>718</v>
      </c>
      <c r="R2063" s="154"/>
      <c r="S2063" s="154"/>
      <c r="T2063" s="154"/>
      <c r="U2063" s="154"/>
    </row>
    <row r="2064" spans="1:21" ht="15" customHeight="1" x14ac:dyDescent="0.3">
      <c r="A2064" t="str">
        <f t="shared" si="33"/>
        <v>19-4-E7-SmartFIX – 5 Year</v>
      </c>
      <c r="B2064" t="s">
        <v>13</v>
      </c>
      <c r="C2064">
        <v>19</v>
      </c>
      <c r="D2064" s="100" t="s">
        <v>28</v>
      </c>
      <c r="E2064" t="s">
        <v>17</v>
      </c>
      <c r="F2064" t="s">
        <v>18</v>
      </c>
      <c r="G2064" t="s">
        <v>737</v>
      </c>
      <c r="H2064" s="128">
        <v>0.30149999999999999</v>
      </c>
      <c r="I2064" s="110">
        <v>0.1769</v>
      </c>
      <c r="J2064" s="110">
        <v>0.12540000000000001</v>
      </c>
      <c r="K2064" s="110" t="s">
        <v>717</v>
      </c>
      <c r="L2064">
        <v>5000</v>
      </c>
      <c r="M2064">
        <v>500000</v>
      </c>
      <c r="N2064" s="105">
        <v>44197</v>
      </c>
      <c r="O2064" s="105">
        <v>44377</v>
      </c>
      <c r="P2064" t="s">
        <v>718</v>
      </c>
      <c r="R2064" s="154"/>
      <c r="S2064" s="154"/>
      <c r="T2064" s="154"/>
      <c r="U2064" s="154"/>
    </row>
    <row r="2065" spans="1:21" ht="15" customHeight="1" x14ac:dyDescent="0.3">
      <c r="A2065" t="str">
        <f t="shared" si="33"/>
        <v>19-3-EW-SmartFIX – 5 Year</v>
      </c>
      <c r="B2065" t="s">
        <v>13</v>
      </c>
      <c r="C2065">
        <v>19</v>
      </c>
      <c r="D2065" s="100" t="s">
        <v>28</v>
      </c>
      <c r="E2065" t="s">
        <v>19</v>
      </c>
      <c r="F2065" t="s">
        <v>16</v>
      </c>
      <c r="G2065" t="s">
        <v>737</v>
      </c>
      <c r="H2065" s="128">
        <v>0.30149999999999999</v>
      </c>
      <c r="I2065" s="110">
        <v>0.24399999999999999</v>
      </c>
      <c r="J2065" s="110" t="s">
        <v>717</v>
      </c>
      <c r="K2065" s="110">
        <v>0.24399999999999999</v>
      </c>
      <c r="L2065">
        <v>5000</v>
      </c>
      <c r="M2065">
        <v>500000</v>
      </c>
      <c r="N2065" s="105">
        <v>44197</v>
      </c>
      <c r="O2065" s="105">
        <v>44377</v>
      </c>
      <c r="P2065" t="s">
        <v>718</v>
      </c>
      <c r="R2065" s="154"/>
      <c r="S2065" s="154"/>
      <c r="T2065" s="154"/>
      <c r="U2065" s="154"/>
    </row>
    <row r="2066" spans="1:21" ht="15" customHeight="1" x14ac:dyDescent="0.3">
      <c r="A2066" t="str">
        <f t="shared" si="33"/>
        <v>19-4-3RATE-SmartFIX – 5 Year</v>
      </c>
      <c r="B2066" t="s">
        <v>13</v>
      </c>
      <c r="C2066">
        <v>19</v>
      </c>
      <c r="D2066" s="100" t="s">
        <v>28</v>
      </c>
      <c r="E2066" t="s">
        <v>719</v>
      </c>
      <c r="F2066" t="s">
        <v>18</v>
      </c>
      <c r="G2066" t="s">
        <v>737</v>
      </c>
      <c r="H2066" s="128">
        <v>0.30149999999999999</v>
      </c>
      <c r="I2066" s="110">
        <v>0.187</v>
      </c>
      <c r="J2066" s="110">
        <v>0.12330000000000001</v>
      </c>
      <c r="K2066" s="110">
        <v>0.17319999999999999</v>
      </c>
      <c r="L2066">
        <v>5000</v>
      </c>
      <c r="M2066">
        <v>500000</v>
      </c>
      <c r="N2066" s="105">
        <v>44197</v>
      </c>
      <c r="O2066" s="105">
        <v>44377</v>
      </c>
      <c r="P2066" t="s">
        <v>718</v>
      </c>
      <c r="R2066" s="154"/>
      <c r="S2066" s="154"/>
      <c r="T2066" s="154"/>
      <c r="U2066" s="154"/>
    </row>
    <row r="2067" spans="1:21" ht="15" customHeight="1" x14ac:dyDescent="0.3">
      <c r="A2067" t="str">
        <f t="shared" si="33"/>
        <v/>
      </c>
      <c r="B2067" t="s">
        <v>13</v>
      </c>
      <c r="C2067">
        <v>19</v>
      </c>
      <c r="D2067" s="100" t="s">
        <v>28</v>
      </c>
      <c r="E2067" t="s">
        <v>720</v>
      </c>
      <c r="F2067" t="s">
        <v>18</v>
      </c>
      <c r="G2067" t="s">
        <v>737</v>
      </c>
      <c r="H2067" s="128">
        <v>0.30149999999999999</v>
      </c>
      <c r="I2067" s="110" t="s">
        <v>717</v>
      </c>
      <c r="J2067" s="110">
        <v>0.12540000000000001</v>
      </c>
      <c r="K2067" s="110" t="s">
        <v>717</v>
      </c>
      <c r="L2067">
        <v>5000</v>
      </c>
      <c r="M2067">
        <v>500000</v>
      </c>
      <c r="N2067" s="105">
        <v>44197</v>
      </c>
      <c r="O2067" s="105">
        <v>44377</v>
      </c>
      <c r="P2067" t="s">
        <v>718</v>
      </c>
      <c r="R2067" s="154"/>
      <c r="S2067" s="154"/>
      <c r="T2067" s="154"/>
      <c r="U2067" s="154"/>
    </row>
    <row r="2068" spans="1:21" ht="15" customHeight="1" x14ac:dyDescent="0.3">
      <c r="A2068" t="str">
        <f t="shared" si="33"/>
        <v>20-3-U-SmartFIX – 5 Year</v>
      </c>
      <c r="B2068" t="s">
        <v>13</v>
      </c>
      <c r="C2068">
        <v>20</v>
      </c>
      <c r="D2068" s="100" t="s">
        <v>29</v>
      </c>
      <c r="E2068" t="s">
        <v>716</v>
      </c>
      <c r="F2068" t="s">
        <v>16</v>
      </c>
      <c r="G2068" t="s">
        <v>737</v>
      </c>
      <c r="H2068" s="128">
        <v>0.2989</v>
      </c>
      <c r="I2068" s="110">
        <v>0.16569999999999999</v>
      </c>
      <c r="J2068" s="110" t="s">
        <v>717</v>
      </c>
      <c r="K2068" s="110" t="s">
        <v>717</v>
      </c>
      <c r="L2068">
        <v>5000</v>
      </c>
      <c r="M2068">
        <v>500000</v>
      </c>
      <c r="N2068" s="105">
        <v>44197</v>
      </c>
      <c r="O2068" s="105">
        <v>44377</v>
      </c>
      <c r="P2068" t="s">
        <v>718</v>
      </c>
      <c r="R2068" s="154"/>
      <c r="S2068" s="154"/>
      <c r="T2068" s="154"/>
      <c r="U2068" s="154"/>
    </row>
    <row r="2069" spans="1:21" ht="15" customHeight="1" x14ac:dyDescent="0.3">
      <c r="A2069" t="str">
        <f t="shared" si="33"/>
        <v>20-4-E7-SmartFIX – 5 Year</v>
      </c>
      <c r="B2069" t="s">
        <v>13</v>
      </c>
      <c r="C2069">
        <v>20</v>
      </c>
      <c r="D2069" s="100" t="s">
        <v>29</v>
      </c>
      <c r="E2069" t="s">
        <v>17</v>
      </c>
      <c r="F2069" t="s">
        <v>18</v>
      </c>
      <c r="G2069" t="s">
        <v>737</v>
      </c>
      <c r="H2069" s="128">
        <v>0.2989</v>
      </c>
      <c r="I2069" s="110">
        <v>0.1777</v>
      </c>
      <c r="J2069" s="110">
        <v>0.13070000000000001</v>
      </c>
      <c r="K2069" s="110" t="s">
        <v>717</v>
      </c>
      <c r="L2069">
        <v>5000</v>
      </c>
      <c r="M2069">
        <v>500000</v>
      </c>
      <c r="N2069" s="105">
        <v>44197</v>
      </c>
      <c r="O2069" s="105">
        <v>44377</v>
      </c>
      <c r="P2069" t="s">
        <v>718</v>
      </c>
      <c r="R2069" s="154"/>
      <c r="S2069" s="154"/>
      <c r="T2069" s="154"/>
      <c r="U2069" s="154"/>
    </row>
    <row r="2070" spans="1:21" ht="15" customHeight="1" x14ac:dyDescent="0.3">
      <c r="A2070" t="str">
        <f t="shared" si="33"/>
        <v>20-3-EW-SmartFIX – 5 Year</v>
      </c>
      <c r="B2070" t="s">
        <v>13</v>
      </c>
      <c r="C2070">
        <v>20</v>
      </c>
      <c r="D2070" s="100" t="s">
        <v>29</v>
      </c>
      <c r="E2070" t="s">
        <v>19</v>
      </c>
      <c r="F2070" t="s">
        <v>16</v>
      </c>
      <c r="G2070" t="s">
        <v>737</v>
      </c>
      <c r="H2070" s="128">
        <v>0.2989</v>
      </c>
      <c r="I2070" s="110">
        <v>0.17630000000000001</v>
      </c>
      <c r="J2070" s="110" t="s">
        <v>717</v>
      </c>
      <c r="K2070" s="110">
        <v>0.15140000000000001</v>
      </c>
      <c r="L2070">
        <v>5000</v>
      </c>
      <c r="M2070">
        <v>500000</v>
      </c>
      <c r="N2070" s="105">
        <v>44197</v>
      </c>
      <c r="O2070" s="105">
        <v>44377</v>
      </c>
      <c r="P2070" t="s">
        <v>718</v>
      </c>
      <c r="R2070" s="154"/>
      <c r="S2070" s="154"/>
      <c r="T2070" s="154"/>
      <c r="U2070" s="154"/>
    </row>
    <row r="2071" spans="1:21" ht="15" customHeight="1" x14ac:dyDescent="0.3">
      <c r="A2071" t="str">
        <f t="shared" si="33"/>
        <v>20-4-3RATE-SmartFIX – 5 Year</v>
      </c>
      <c r="B2071" t="s">
        <v>13</v>
      </c>
      <c r="C2071">
        <v>20</v>
      </c>
      <c r="D2071" s="100" t="s">
        <v>29</v>
      </c>
      <c r="E2071" t="s">
        <v>719</v>
      </c>
      <c r="F2071" t="s">
        <v>18</v>
      </c>
      <c r="G2071" t="s">
        <v>737</v>
      </c>
      <c r="H2071" s="128">
        <v>0.2989</v>
      </c>
      <c r="I2071" s="110">
        <v>0.18920000000000001</v>
      </c>
      <c r="J2071" s="110">
        <v>0.12889999999999999</v>
      </c>
      <c r="K2071" s="110">
        <v>0.16739999999999999</v>
      </c>
      <c r="L2071">
        <v>5000</v>
      </c>
      <c r="M2071">
        <v>500000</v>
      </c>
      <c r="N2071" s="105">
        <v>44197</v>
      </c>
      <c r="O2071" s="105">
        <v>44377</v>
      </c>
      <c r="P2071" t="s">
        <v>718</v>
      </c>
      <c r="R2071" s="154"/>
      <c r="S2071" s="154"/>
      <c r="T2071" s="154"/>
      <c r="U2071" s="154"/>
    </row>
    <row r="2072" spans="1:21" ht="15" customHeight="1" x14ac:dyDescent="0.3">
      <c r="A2072" t="str">
        <f t="shared" si="33"/>
        <v/>
      </c>
      <c r="B2072" t="s">
        <v>13</v>
      </c>
      <c r="C2072">
        <v>20</v>
      </c>
      <c r="D2072" s="100" t="s">
        <v>29</v>
      </c>
      <c r="E2072" t="s">
        <v>720</v>
      </c>
      <c r="F2072" t="s">
        <v>18</v>
      </c>
      <c r="G2072" t="s">
        <v>737</v>
      </c>
      <c r="H2072" s="128">
        <v>0.2989</v>
      </c>
      <c r="I2072" s="110" t="s">
        <v>717</v>
      </c>
      <c r="J2072" s="110">
        <v>0.15140000000000001</v>
      </c>
      <c r="K2072" s="110" t="s">
        <v>717</v>
      </c>
      <c r="L2072">
        <v>5000</v>
      </c>
      <c r="M2072">
        <v>500000</v>
      </c>
      <c r="N2072" s="105">
        <v>44197</v>
      </c>
      <c r="O2072" s="105">
        <v>44377</v>
      </c>
      <c r="P2072" t="s">
        <v>718</v>
      </c>
      <c r="R2072" s="154"/>
      <c r="S2072" s="154"/>
      <c r="T2072" s="154"/>
      <c r="U2072" s="154"/>
    </row>
    <row r="2073" spans="1:21" ht="15" customHeight="1" x14ac:dyDescent="0.3">
      <c r="A2073" t="str">
        <f t="shared" si="33"/>
        <v>21-3-U-SmartFIX – 5 Year</v>
      </c>
      <c r="B2073" t="s">
        <v>13</v>
      </c>
      <c r="C2073">
        <v>21</v>
      </c>
      <c r="D2073" s="100" t="s">
        <v>30</v>
      </c>
      <c r="E2073" t="s">
        <v>716</v>
      </c>
      <c r="F2073" t="s">
        <v>16</v>
      </c>
      <c r="G2073" t="s">
        <v>737</v>
      </c>
      <c r="H2073" s="128">
        <v>0.41370000000000001</v>
      </c>
      <c r="I2073" s="110">
        <v>0.16520000000000001</v>
      </c>
      <c r="J2073" s="110" t="s">
        <v>717</v>
      </c>
      <c r="K2073" s="110" t="s">
        <v>717</v>
      </c>
      <c r="L2073">
        <v>5000</v>
      </c>
      <c r="M2073">
        <v>500000</v>
      </c>
      <c r="N2073" s="105">
        <v>44197</v>
      </c>
      <c r="O2073" s="105">
        <v>44377</v>
      </c>
      <c r="P2073" t="s">
        <v>718</v>
      </c>
      <c r="R2073" s="154"/>
      <c r="S2073" s="154"/>
      <c r="T2073" s="154"/>
      <c r="U2073" s="154"/>
    </row>
    <row r="2074" spans="1:21" ht="15" customHeight="1" x14ac:dyDescent="0.3">
      <c r="A2074" t="str">
        <f t="shared" si="33"/>
        <v>21-4-E7-SmartFIX – 5 Year</v>
      </c>
      <c r="B2074" t="s">
        <v>13</v>
      </c>
      <c r="C2074">
        <v>21</v>
      </c>
      <c r="D2074" s="100" t="s">
        <v>30</v>
      </c>
      <c r="E2074" t="s">
        <v>17</v>
      </c>
      <c r="F2074" t="s">
        <v>18</v>
      </c>
      <c r="G2074" t="s">
        <v>737</v>
      </c>
      <c r="H2074" s="128">
        <v>0.41370000000000001</v>
      </c>
      <c r="I2074" s="110">
        <v>0.1729</v>
      </c>
      <c r="J2074" s="110">
        <v>0.13059999999999999</v>
      </c>
      <c r="K2074" s="110" t="s">
        <v>717</v>
      </c>
      <c r="L2074">
        <v>5000</v>
      </c>
      <c r="M2074">
        <v>500000</v>
      </c>
      <c r="N2074" s="105">
        <v>44197</v>
      </c>
      <c r="O2074" s="105">
        <v>44377</v>
      </c>
      <c r="P2074" t="s">
        <v>718</v>
      </c>
      <c r="R2074" s="154"/>
      <c r="S2074" s="154"/>
      <c r="T2074" s="154"/>
      <c r="U2074" s="154"/>
    </row>
    <row r="2075" spans="1:21" ht="15" customHeight="1" x14ac:dyDescent="0.3">
      <c r="A2075" t="str">
        <f t="shared" si="33"/>
        <v>21-3-EW-SmartFIX – 5 Year</v>
      </c>
      <c r="B2075" t="s">
        <v>13</v>
      </c>
      <c r="C2075">
        <v>21</v>
      </c>
      <c r="D2075" s="100" t="s">
        <v>30</v>
      </c>
      <c r="E2075" t="s">
        <v>19</v>
      </c>
      <c r="F2075" t="s">
        <v>16</v>
      </c>
      <c r="G2075" t="s">
        <v>737</v>
      </c>
      <c r="H2075" s="128">
        <v>0.41370000000000001</v>
      </c>
      <c r="I2075" s="110">
        <v>0.1739</v>
      </c>
      <c r="J2075" s="110" t="s">
        <v>717</v>
      </c>
      <c r="K2075" s="110">
        <v>0.15310000000000001</v>
      </c>
      <c r="L2075">
        <v>5000</v>
      </c>
      <c r="M2075">
        <v>500000</v>
      </c>
      <c r="N2075" s="105">
        <v>44197</v>
      </c>
      <c r="O2075" s="105">
        <v>44377</v>
      </c>
      <c r="P2075" t="s">
        <v>718</v>
      </c>
      <c r="R2075" s="154"/>
      <c r="S2075" s="154"/>
      <c r="T2075" s="154"/>
      <c r="U2075" s="154"/>
    </row>
    <row r="2076" spans="1:21" ht="15" customHeight="1" x14ac:dyDescent="0.3">
      <c r="A2076" t="str">
        <f t="shared" si="33"/>
        <v>21-4-3RATE-SmartFIX – 5 Year</v>
      </c>
      <c r="B2076" t="s">
        <v>13</v>
      </c>
      <c r="C2076">
        <v>21</v>
      </c>
      <c r="D2076" s="100" t="s">
        <v>30</v>
      </c>
      <c r="E2076" t="s">
        <v>719</v>
      </c>
      <c r="F2076" t="s">
        <v>18</v>
      </c>
      <c r="G2076" t="s">
        <v>737</v>
      </c>
      <c r="H2076" s="128">
        <v>0.41370000000000001</v>
      </c>
      <c r="I2076" s="110">
        <v>0.18709999999999999</v>
      </c>
      <c r="J2076" s="110">
        <v>0.12820000000000001</v>
      </c>
      <c r="K2076" s="110">
        <v>0.16900000000000001</v>
      </c>
      <c r="L2076">
        <v>5000</v>
      </c>
      <c r="M2076">
        <v>500000</v>
      </c>
      <c r="N2076" s="105">
        <v>44197</v>
      </c>
      <c r="O2076" s="105">
        <v>44377</v>
      </c>
      <c r="P2076" t="s">
        <v>718</v>
      </c>
      <c r="R2076" s="154"/>
      <c r="S2076" s="154"/>
      <c r="T2076" s="154"/>
      <c r="U2076" s="154"/>
    </row>
    <row r="2077" spans="1:21" ht="15" customHeight="1" x14ac:dyDescent="0.3">
      <c r="A2077" t="str">
        <f t="shared" si="33"/>
        <v/>
      </c>
      <c r="B2077" t="s">
        <v>13</v>
      </c>
      <c r="C2077">
        <v>21</v>
      </c>
      <c r="D2077" s="100" t="s">
        <v>30</v>
      </c>
      <c r="E2077" t="s">
        <v>720</v>
      </c>
      <c r="F2077" t="s">
        <v>18</v>
      </c>
      <c r="G2077" t="s">
        <v>737</v>
      </c>
      <c r="H2077" s="128">
        <v>0.41370000000000001</v>
      </c>
      <c r="I2077" s="110" t="s">
        <v>717</v>
      </c>
      <c r="J2077" s="110">
        <v>0.15310000000000001</v>
      </c>
      <c r="K2077" s="110" t="s">
        <v>717</v>
      </c>
      <c r="L2077">
        <v>5000</v>
      </c>
      <c r="M2077">
        <v>500000</v>
      </c>
      <c r="N2077" s="105">
        <v>44197</v>
      </c>
      <c r="O2077" s="105">
        <v>44377</v>
      </c>
      <c r="P2077" t="s">
        <v>718</v>
      </c>
      <c r="R2077" s="154"/>
      <c r="S2077" s="154"/>
      <c r="T2077" s="154"/>
      <c r="U2077" s="154"/>
    </row>
    <row r="2078" spans="1:21" ht="15" customHeight="1" x14ac:dyDescent="0.3">
      <c r="A2078" t="str">
        <f t="shared" si="33"/>
        <v>22-3-U-SmartFIX – 5 Year</v>
      </c>
      <c r="B2078" t="s">
        <v>13</v>
      </c>
      <c r="C2078">
        <v>22</v>
      </c>
      <c r="D2078" s="100" t="s">
        <v>31</v>
      </c>
      <c r="E2078" t="s">
        <v>716</v>
      </c>
      <c r="F2078" t="s">
        <v>16</v>
      </c>
      <c r="G2078" t="s">
        <v>737</v>
      </c>
      <c r="H2078" s="128">
        <v>0.35670000000000002</v>
      </c>
      <c r="I2078" s="110">
        <v>0.16980000000000001</v>
      </c>
      <c r="J2078" s="110" t="s">
        <v>717</v>
      </c>
      <c r="K2078" s="110" t="s">
        <v>717</v>
      </c>
      <c r="L2078">
        <v>5000</v>
      </c>
      <c r="M2078">
        <v>500000</v>
      </c>
      <c r="N2078" s="105">
        <v>44197</v>
      </c>
      <c r="O2078" s="105">
        <v>44377</v>
      </c>
      <c r="P2078" t="s">
        <v>718</v>
      </c>
      <c r="R2078" s="154"/>
      <c r="S2078" s="154"/>
      <c r="T2078" s="154"/>
      <c r="U2078" s="154"/>
    </row>
    <row r="2079" spans="1:21" ht="15" customHeight="1" x14ac:dyDescent="0.3">
      <c r="A2079" t="str">
        <f t="shared" si="33"/>
        <v>22-4-E7-SmartFIX – 5 Year</v>
      </c>
      <c r="B2079" t="s">
        <v>13</v>
      </c>
      <c r="C2079">
        <v>22</v>
      </c>
      <c r="D2079" s="100" t="s">
        <v>31</v>
      </c>
      <c r="E2079" t="s">
        <v>17</v>
      </c>
      <c r="F2079" t="s">
        <v>18</v>
      </c>
      <c r="G2079" t="s">
        <v>737</v>
      </c>
      <c r="H2079" s="128">
        <v>0.35670000000000002</v>
      </c>
      <c r="I2079" s="110">
        <v>0.1762</v>
      </c>
      <c r="J2079" s="110">
        <v>0.13009999999999999</v>
      </c>
      <c r="K2079" s="110" t="s">
        <v>717</v>
      </c>
      <c r="L2079">
        <v>5000</v>
      </c>
      <c r="M2079">
        <v>500000</v>
      </c>
      <c r="N2079" s="105">
        <v>44197</v>
      </c>
      <c r="O2079" s="105">
        <v>44377</v>
      </c>
      <c r="P2079" t="s">
        <v>718</v>
      </c>
      <c r="R2079" s="154"/>
      <c r="S2079" s="154"/>
      <c r="T2079" s="154"/>
      <c r="U2079" s="154"/>
    </row>
    <row r="2080" spans="1:21" ht="15" customHeight="1" x14ac:dyDescent="0.3">
      <c r="A2080" t="str">
        <f t="shared" si="33"/>
        <v>22-3-EW-SmartFIX – 5 Year</v>
      </c>
      <c r="B2080" t="s">
        <v>13</v>
      </c>
      <c r="C2080">
        <v>22</v>
      </c>
      <c r="D2080" s="100" t="s">
        <v>31</v>
      </c>
      <c r="E2080" t="s">
        <v>19</v>
      </c>
      <c r="F2080" t="s">
        <v>16</v>
      </c>
      <c r="G2080" t="s">
        <v>737</v>
      </c>
      <c r="H2080" s="128">
        <v>0.35670000000000002</v>
      </c>
      <c r="I2080" s="110">
        <v>0.18029999999999999</v>
      </c>
      <c r="J2080" s="110" t="s">
        <v>717</v>
      </c>
      <c r="K2080" s="110">
        <v>0.15679999999999999</v>
      </c>
      <c r="L2080">
        <v>5000</v>
      </c>
      <c r="M2080">
        <v>500000</v>
      </c>
      <c r="N2080" s="105">
        <v>44197</v>
      </c>
      <c r="O2080" s="105">
        <v>44377</v>
      </c>
      <c r="P2080" t="s">
        <v>718</v>
      </c>
      <c r="R2080" s="154"/>
      <c r="S2080" s="154"/>
      <c r="T2080" s="154"/>
      <c r="U2080" s="154"/>
    </row>
    <row r="2081" spans="1:21" ht="15" customHeight="1" x14ac:dyDescent="0.3">
      <c r="A2081" t="str">
        <f t="shared" si="33"/>
        <v>22-4-3RATE-SmartFIX – 5 Year</v>
      </c>
      <c r="B2081" t="s">
        <v>13</v>
      </c>
      <c r="C2081">
        <v>22</v>
      </c>
      <c r="D2081" s="100" t="s">
        <v>31</v>
      </c>
      <c r="E2081" t="s">
        <v>719</v>
      </c>
      <c r="F2081" t="s">
        <v>18</v>
      </c>
      <c r="G2081" t="s">
        <v>737</v>
      </c>
      <c r="H2081" s="128">
        <v>0.35670000000000002</v>
      </c>
      <c r="I2081" s="110">
        <v>0.18909999999999999</v>
      </c>
      <c r="J2081" s="110">
        <v>0.12770000000000001</v>
      </c>
      <c r="K2081" s="110">
        <v>0.17369999999999999</v>
      </c>
      <c r="L2081">
        <v>5000</v>
      </c>
      <c r="M2081">
        <v>500000</v>
      </c>
      <c r="N2081" s="105">
        <v>44197</v>
      </c>
      <c r="O2081" s="105">
        <v>44377</v>
      </c>
      <c r="P2081" t="s">
        <v>718</v>
      </c>
      <c r="R2081" s="154"/>
      <c r="S2081" s="154"/>
      <c r="T2081" s="154"/>
      <c r="U2081" s="154"/>
    </row>
    <row r="2082" spans="1:21" ht="15" customHeight="1" x14ac:dyDescent="0.3">
      <c r="A2082" t="str">
        <f t="shared" si="33"/>
        <v/>
      </c>
      <c r="B2082" t="s">
        <v>13</v>
      </c>
      <c r="C2082">
        <v>22</v>
      </c>
      <c r="D2082" s="100" t="s">
        <v>31</v>
      </c>
      <c r="E2082" t="s">
        <v>720</v>
      </c>
      <c r="F2082" t="s">
        <v>18</v>
      </c>
      <c r="G2082" t="s">
        <v>737</v>
      </c>
      <c r="H2082" s="128">
        <v>0.35670000000000002</v>
      </c>
      <c r="I2082" s="110" t="s">
        <v>717</v>
      </c>
      <c r="J2082" s="110">
        <v>0.15679999999999999</v>
      </c>
      <c r="K2082" s="110" t="s">
        <v>717</v>
      </c>
      <c r="L2082">
        <v>5000</v>
      </c>
      <c r="M2082">
        <v>500000</v>
      </c>
      <c r="N2082" s="105">
        <v>44197</v>
      </c>
      <c r="O2082" s="105">
        <v>44377</v>
      </c>
      <c r="P2082" t="s">
        <v>718</v>
      </c>
      <c r="R2082" s="154"/>
      <c r="S2082" s="154"/>
      <c r="T2082" s="154"/>
      <c r="U2082" s="154"/>
    </row>
    <row r="2083" spans="1:21" ht="15" customHeight="1" x14ac:dyDescent="0.3">
      <c r="A2083" t="str">
        <f t="shared" si="33"/>
        <v>23-3-U-SmartFIX – 5 Year</v>
      </c>
      <c r="B2083" t="s">
        <v>13</v>
      </c>
      <c r="C2083">
        <v>23</v>
      </c>
      <c r="D2083" s="100" t="s">
        <v>32</v>
      </c>
      <c r="E2083" t="s">
        <v>716</v>
      </c>
      <c r="F2083" t="s">
        <v>16</v>
      </c>
      <c r="G2083" t="s">
        <v>737</v>
      </c>
      <c r="H2083" s="128">
        <v>0.31330000000000002</v>
      </c>
      <c r="I2083" s="110">
        <v>0.16639999999999999</v>
      </c>
      <c r="J2083" s="110" t="s">
        <v>717</v>
      </c>
      <c r="K2083" s="110" t="s">
        <v>717</v>
      </c>
      <c r="L2083">
        <v>5000</v>
      </c>
      <c r="M2083">
        <v>500000</v>
      </c>
      <c r="N2083" s="105">
        <v>44197</v>
      </c>
      <c r="O2083" s="105">
        <v>44377</v>
      </c>
      <c r="P2083" t="s">
        <v>718</v>
      </c>
      <c r="R2083" s="154"/>
      <c r="S2083" s="154"/>
      <c r="T2083" s="154"/>
      <c r="U2083" s="154"/>
    </row>
    <row r="2084" spans="1:21" ht="15" customHeight="1" x14ac:dyDescent="0.3">
      <c r="A2084" t="str">
        <f t="shared" si="33"/>
        <v>23-4-E7-SmartFIX – 5 Year</v>
      </c>
      <c r="B2084" t="s">
        <v>13</v>
      </c>
      <c r="C2084">
        <v>23</v>
      </c>
      <c r="D2084" s="100" t="s">
        <v>32</v>
      </c>
      <c r="E2084" t="s">
        <v>17</v>
      </c>
      <c r="F2084" t="s">
        <v>18</v>
      </c>
      <c r="G2084" t="s">
        <v>737</v>
      </c>
      <c r="H2084" s="128">
        <v>0.31330000000000002</v>
      </c>
      <c r="I2084" s="110">
        <v>0.17169999999999999</v>
      </c>
      <c r="J2084" s="110">
        <v>0.1308</v>
      </c>
      <c r="K2084" s="110" t="s">
        <v>717</v>
      </c>
      <c r="L2084">
        <v>5000</v>
      </c>
      <c r="M2084">
        <v>500000</v>
      </c>
      <c r="N2084" s="105">
        <v>44197</v>
      </c>
      <c r="O2084" s="105">
        <v>44377</v>
      </c>
      <c r="P2084" t="s">
        <v>718</v>
      </c>
      <c r="R2084" s="154"/>
      <c r="S2084" s="154"/>
      <c r="T2084" s="154"/>
      <c r="U2084" s="154"/>
    </row>
    <row r="2085" spans="1:21" ht="15" customHeight="1" x14ac:dyDescent="0.3">
      <c r="A2085" t="str">
        <f t="shared" si="33"/>
        <v>23-3-EW-SmartFIX – 5 Year</v>
      </c>
      <c r="B2085" t="s">
        <v>13</v>
      </c>
      <c r="C2085">
        <v>23</v>
      </c>
      <c r="D2085" s="100" t="s">
        <v>32</v>
      </c>
      <c r="E2085" t="s">
        <v>19</v>
      </c>
      <c r="F2085" t="s">
        <v>16</v>
      </c>
      <c r="G2085" t="s">
        <v>737</v>
      </c>
      <c r="H2085" s="128">
        <v>0.31330000000000002</v>
      </c>
      <c r="I2085" s="110">
        <v>0.1764</v>
      </c>
      <c r="J2085" s="110" t="s">
        <v>717</v>
      </c>
      <c r="K2085" s="110">
        <v>0.15279999999999999</v>
      </c>
      <c r="L2085">
        <v>5000</v>
      </c>
      <c r="M2085">
        <v>500000</v>
      </c>
      <c r="N2085" s="105">
        <v>44197</v>
      </c>
      <c r="O2085" s="105">
        <v>44377</v>
      </c>
      <c r="P2085" t="s">
        <v>718</v>
      </c>
      <c r="R2085" s="154"/>
      <c r="S2085" s="154"/>
      <c r="T2085" s="154"/>
      <c r="U2085" s="154"/>
    </row>
    <row r="2086" spans="1:21" ht="15" customHeight="1" x14ac:dyDescent="0.3">
      <c r="A2086" t="str">
        <f t="shared" si="33"/>
        <v>23-4-3RATE-SmartFIX – 5 Year</v>
      </c>
      <c r="B2086" t="s">
        <v>13</v>
      </c>
      <c r="C2086">
        <v>23</v>
      </c>
      <c r="D2086" s="100" t="s">
        <v>32</v>
      </c>
      <c r="E2086" t="s">
        <v>719</v>
      </c>
      <c r="F2086" t="s">
        <v>18</v>
      </c>
      <c r="G2086" t="s">
        <v>737</v>
      </c>
      <c r="H2086" s="128">
        <v>0.31330000000000002</v>
      </c>
      <c r="I2086" s="110">
        <v>0.187</v>
      </c>
      <c r="J2086" s="110">
        <v>0.12889999999999999</v>
      </c>
      <c r="K2086" s="110">
        <v>0.1653</v>
      </c>
      <c r="L2086">
        <v>5000</v>
      </c>
      <c r="M2086">
        <v>500000</v>
      </c>
      <c r="N2086" s="105">
        <v>44197</v>
      </c>
      <c r="O2086" s="105">
        <v>44377</v>
      </c>
      <c r="P2086" t="s">
        <v>718</v>
      </c>
      <c r="R2086" s="154"/>
      <c r="S2086" s="154"/>
      <c r="T2086" s="154"/>
      <c r="U2086" s="154"/>
    </row>
    <row r="2087" spans="1:21" ht="15" customHeight="1" x14ac:dyDescent="0.3">
      <c r="A2087" t="str">
        <f t="shared" si="33"/>
        <v/>
      </c>
      <c r="B2087" t="s">
        <v>13</v>
      </c>
      <c r="C2087">
        <v>23</v>
      </c>
      <c r="D2087" s="100" t="s">
        <v>32</v>
      </c>
      <c r="E2087" t="s">
        <v>720</v>
      </c>
      <c r="F2087" t="s">
        <v>18</v>
      </c>
      <c r="G2087" t="s">
        <v>737</v>
      </c>
      <c r="H2087" s="128">
        <v>0.31330000000000002</v>
      </c>
      <c r="I2087" s="110" t="s">
        <v>717</v>
      </c>
      <c r="J2087" s="110">
        <v>0.15279999999999999</v>
      </c>
      <c r="K2087" s="110" t="s">
        <v>717</v>
      </c>
      <c r="L2087">
        <v>5000</v>
      </c>
      <c r="M2087">
        <v>500000</v>
      </c>
      <c r="N2087" s="105">
        <v>44197</v>
      </c>
      <c r="O2087" s="105">
        <v>44377</v>
      </c>
      <c r="P2087" t="s">
        <v>718</v>
      </c>
      <c r="R2087" s="154"/>
      <c r="S2087" s="154"/>
      <c r="T2087" s="154"/>
      <c r="U2087" s="154"/>
    </row>
    <row r="2088" spans="1:21" ht="15" customHeight="1" x14ac:dyDescent="0.3">
      <c r="A2088" t="str">
        <f t="shared" si="33"/>
        <v>10-3-U-SmartFIX – 5 Year Renewal</v>
      </c>
      <c r="B2088" t="s">
        <v>13</v>
      </c>
      <c r="C2088">
        <v>10</v>
      </c>
      <c r="D2088" s="100" t="s">
        <v>14</v>
      </c>
      <c r="E2088" t="s">
        <v>716</v>
      </c>
      <c r="F2088" t="s">
        <v>16</v>
      </c>
      <c r="G2088" t="s">
        <v>738</v>
      </c>
      <c r="H2088" s="128">
        <v>0.34229999999999999</v>
      </c>
      <c r="I2088" s="110">
        <v>0.1731</v>
      </c>
      <c r="L2088">
        <v>5000</v>
      </c>
      <c r="M2088">
        <v>500000</v>
      </c>
      <c r="N2088" s="105">
        <v>44197</v>
      </c>
      <c r="O2088" s="105">
        <v>44377</v>
      </c>
      <c r="P2088" t="s">
        <v>718</v>
      </c>
      <c r="R2088" s="154"/>
      <c r="S2088" s="154"/>
      <c r="T2088" s="154"/>
      <c r="U2088" s="154"/>
    </row>
    <row r="2089" spans="1:21" ht="15" customHeight="1" x14ac:dyDescent="0.3">
      <c r="A2089" t="str">
        <f t="shared" si="33"/>
        <v>10-4-E7-SmartFIX – 5 Year Renewal</v>
      </c>
      <c r="B2089" t="s">
        <v>13</v>
      </c>
      <c r="C2089">
        <v>10</v>
      </c>
      <c r="D2089" s="100" t="s">
        <v>14</v>
      </c>
      <c r="E2089" t="s">
        <v>17</v>
      </c>
      <c r="F2089" t="s">
        <v>18</v>
      </c>
      <c r="G2089" t="s">
        <v>738</v>
      </c>
      <c r="H2089" s="128">
        <v>0.34229999999999999</v>
      </c>
      <c r="I2089" s="110">
        <v>0.182</v>
      </c>
      <c r="J2089" s="110">
        <v>0.13450000000000001</v>
      </c>
      <c r="L2089">
        <v>5000</v>
      </c>
      <c r="M2089">
        <v>500000</v>
      </c>
      <c r="N2089" s="105">
        <v>44197</v>
      </c>
      <c r="O2089" s="105">
        <v>44377</v>
      </c>
      <c r="P2089" t="s">
        <v>718</v>
      </c>
      <c r="R2089" s="154"/>
      <c r="S2089" s="154"/>
      <c r="T2089" s="154"/>
      <c r="U2089" s="154"/>
    </row>
    <row r="2090" spans="1:21" ht="15" customHeight="1" x14ac:dyDescent="0.3">
      <c r="A2090" t="str">
        <f t="shared" si="33"/>
        <v>10-3-EW-SmartFIX – 5 Year Renewal</v>
      </c>
      <c r="B2090" t="s">
        <v>13</v>
      </c>
      <c r="C2090">
        <v>10</v>
      </c>
      <c r="D2090" s="100" t="s">
        <v>14</v>
      </c>
      <c r="E2090" t="s">
        <v>19</v>
      </c>
      <c r="F2090" t="s">
        <v>16</v>
      </c>
      <c r="G2090" t="s">
        <v>738</v>
      </c>
      <c r="H2090" s="128">
        <v>0.34229999999999999</v>
      </c>
      <c r="I2090" s="110">
        <v>0.18330000000000002</v>
      </c>
      <c r="K2090" s="110">
        <v>0.15770000000000001</v>
      </c>
      <c r="L2090">
        <v>5000</v>
      </c>
      <c r="M2090">
        <v>500000</v>
      </c>
      <c r="N2090" s="105">
        <v>44197</v>
      </c>
      <c r="O2090" s="105">
        <v>44377</v>
      </c>
      <c r="P2090" t="s">
        <v>718</v>
      </c>
      <c r="R2090" s="154"/>
      <c r="S2090" s="154"/>
      <c r="T2090" s="154"/>
      <c r="U2090" s="154"/>
    </row>
    <row r="2091" spans="1:21" ht="15" customHeight="1" x14ac:dyDescent="0.3">
      <c r="A2091" t="str">
        <f t="shared" si="33"/>
        <v>10-4-3RATE-SmartFIX – 5 Year Renewal</v>
      </c>
      <c r="B2091" t="s">
        <v>13</v>
      </c>
      <c r="C2091">
        <v>10</v>
      </c>
      <c r="D2091" s="100" t="s">
        <v>14</v>
      </c>
      <c r="E2091" t="s">
        <v>719</v>
      </c>
      <c r="F2091" t="s">
        <v>18</v>
      </c>
      <c r="G2091" t="s">
        <v>738</v>
      </c>
      <c r="H2091" s="128">
        <v>0.34229999999999999</v>
      </c>
      <c r="I2091" s="110">
        <v>0.19540000000000002</v>
      </c>
      <c r="J2091" s="110">
        <v>0.1273</v>
      </c>
      <c r="K2091" s="110">
        <v>0.17600000000000002</v>
      </c>
      <c r="L2091">
        <v>5000</v>
      </c>
      <c r="M2091">
        <v>500000</v>
      </c>
      <c r="N2091" s="105">
        <v>44197</v>
      </c>
      <c r="O2091" s="105">
        <v>44377</v>
      </c>
      <c r="P2091" t="s">
        <v>718</v>
      </c>
      <c r="R2091" s="154"/>
      <c r="S2091" s="154"/>
      <c r="T2091" s="154"/>
      <c r="U2091" s="154"/>
    </row>
    <row r="2092" spans="1:21" ht="15" customHeight="1" x14ac:dyDescent="0.3">
      <c r="A2092" t="str">
        <f t="shared" si="33"/>
        <v/>
      </c>
      <c r="B2092" t="s">
        <v>13</v>
      </c>
      <c r="C2092">
        <v>10</v>
      </c>
      <c r="D2092" s="100" t="s">
        <v>14</v>
      </c>
      <c r="E2092" t="s">
        <v>720</v>
      </c>
      <c r="F2092" t="s">
        <v>18</v>
      </c>
      <c r="G2092" t="s">
        <v>738</v>
      </c>
      <c r="H2092" s="128">
        <v>0.34229999999999999</v>
      </c>
      <c r="J2092" s="110">
        <v>0.15770000000000001</v>
      </c>
      <c r="L2092">
        <v>5000</v>
      </c>
      <c r="M2092">
        <v>500000</v>
      </c>
      <c r="N2092" s="105">
        <v>44197</v>
      </c>
      <c r="O2092" s="105">
        <v>44377</v>
      </c>
      <c r="P2092" t="s">
        <v>718</v>
      </c>
      <c r="R2092" s="154"/>
      <c r="S2092" s="154"/>
      <c r="T2092" s="154"/>
      <c r="U2092" s="154"/>
    </row>
    <row r="2093" spans="1:21" ht="15" customHeight="1" x14ac:dyDescent="0.3">
      <c r="A2093" t="str">
        <f t="shared" si="33"/>
        <v>11-3-U-SmartFIX – 5 Year Renewal</v>
      </c>
      <c r="B2093" t="s">
        <v>13</v>
      </c>
      <c r="C2093">
        <v>11</v>
      </c>
      <c r="D2093" s="100" t="s">
        <v>20</v>
      </c>
      <c r="E2093" t="s">
        <v>716</v>
      </c>
      <c r="F2093" t="s">
        <v>16</v>
      </c>
      <c r="G2093" t="s">
        <v>738</v>
      </c>
      <c r="H2093" s="128">
        <v>0.3528</v>
      </c>
      <c r="I2093" s="110">
        <v>0.17330000000000001</v>
      </c>
      <c r="L2093">
        <v>5000</v>
      </c>
      <c r="M2093">
        <v>500000</v>
      </c>
      <c r="N2093" s="105">
        <v>44197</v>
      </c>
      <c r="O2093" s="105">
        <v>44377</v>
      </c>
      <c r="P2093" t="s">
        <v>718</v>
      </c>
      <c r="R2093" s="154"/>
      <c r="S2093" s="154"/>
      <c r="T2093" s="154"/>
      <c r="U2093" s="154"/>
    </row>
    <row r="2094" spans="1:21" ht="15" customHeight="1" x14ac:dyDescent="0.3">
      <c r="A2094" t="str">
        <f t="shared" si="33"/>
        <v>11-4-E7-SmartFIX – 5 Year Renewal</v>
      </c>
      <c r="B2094" t="s">
        <v>13</v>
      </c>
      <c r="C2094">
        <v>11</v>
      </c>
      <c r="D2094" s="100" t="s">
        <v>20</v>
      </c>
      <c r="E2094" t="s">
        <v>17</v>
      </c>
      <c r="F2094" t="s">
        <v>18</v>
      </c>
      <c r="G2094" t="s">
        <v>738</v>
      </c>
      <c r="H2094" s="128">
        <v>0.3528</v>
      </c>
      <c r="I2094" s="110">
        <v>0.17800000000000002</v>
      </c>
      <c r="J2094" s="110">
        <v>0.13320000000000001</v>
      </c>
      <c r="L2094">
        <v>5000</v>
      </c>
      <c r="M2094">
        <v>500000</v>
      </c>
      <c r="N2094" s="105">
        <v>44197</v>
      </c>
      <c r="O2094" s="105">
        <v>44377</v>
      </c>
      <c r="P2094" t="s">
        <v>718</v>
      </c>
      <c r="R2094" s="154"/>
      <c r="S2094" s="154"/>
      <c r="T2094" s="154"/>
      <c r="U2094" s="154"/>
    </row>
    <row r="2095" spans="1:21" ht="15" customHeight="1" x14ac:dyDescent="0.3">
      <c r="A2095" t="str">
        <f t="shared" si="33"/>
        <v>11-3-EW-SmartFIX – 5 Year Renewal</v>
      </c>
      <c r="B2095" t="s">
        <v>13</v>
      </c>
      <c r="C2095">
        <v>11</v>
      </c>
      <c r="D2095" s="100" t="s">
        <v>20</v>
      </c>
      <c r="E2095" t="s">
        <v>19</v>
      </c>
      <c r="F2095" t="s">
        <v>16</v>
      </c>
      <c r="G2095" t="s">
        <v>738</v>
      </c>
      <c r="H2095" s="128">
        <v>0.3528</v>
      </c>
      <c r="I2095" s="110">
        <v>0.183</v>
      </c>
      <c r="K2095" s="110">
        <v>0.1583</v>
      </c>
      <c r="L2095">
        <v>5000</v>
      </c>
      <c r="M2095">
        <v>500000</v>
      </c>
      <c r="N2095" s="105">
        <v>44197</v>
      </c>
      <c r="O2095" s="105">
        <v>44377</v>
      </c>
      <c r="P2095" t="s">
        <v>718</v>
      </c>
      <c r="R2095" s="154"/>
      <c r="S2095" s="154"/>
      <c r="T2095" s="154"/>
      <c r="U2095" s="154"/>
    </row>
    <row r="2096" spans="1:21" ht="15" customHeight="1" x14ac:dyDescent="0.3">
      <c r="A2096" t="str">
        <f t="shared" si="33"/>
        <v>11-4-3RATE-SmartFIX – 5 Year Renewal</v>
      </c>
      <c r="B2096" t="s">
        <v>13</v>
      </c>
      <c r="C2096">
        <v>11</v>
      </c>
      <c r="D2096" s="100" t="s">
        <v>20</v>
      </c>
      <c r="E2096" t="s">
        <v>719</v>
      </c>
      <c r="F2096" t="s">
        <v>18</v>
      </c>
      <c r="G2096" t="s">
        <v>738</v>
      </c>
      <c r="H2096" s="128">
        <v>0.3528</v>
      </c>
      <c r="I2096" s="110">
        <v>0.1913</v>
      </c>
      <c r="J2096" s="110">
        <v>0.1288</v>
      </c>
      <c r="K2096" s="110">
        <v>0.1678</v>
      </c>
      <c r="L2096">
        <v>5000</v>
      </c>
      <c r="M2096">
        <v>500000</v>
      </c>
      <c r="N2096" s="105">
        <v>44197</v>
      </c>
      <c r="O2096" s="105">
        <v>44377</v>
      </c>
      <c r="P2096" t="s">
        <v>718</v>
      </c>
      <c r="R2096" s="154"/>
      <c r="S2096" s="154"/>
      <c r="T2096" s="154"/>
      <c r="U2096" s="154"/>
    </row>
    <row r="2097" spans="1:21" ht="15" customHeight="1" x14ac:dyDescent="0.3">
      <c r="A2097" t="str">
        <f t="shared" si="33"/>
        <v/>
      </c>
      <c r="B2097" t="s">
        <v>13</v>
      </c>
      <c r="C2097">
        <v>11</v>
      </c>
      <c r="D2097" s="100" t="s">
        <v>20</v>
      </c>
      <c r="E2097" t="s">
        <v>720</v>
      </c>
      <c r="F2097" t="s">
        <v>18</v>
      </c>
      <c r="G2097" t="s">
        <v>738</v>
      </c>
      <c r="H2097" s="128">
        <v>0.3528</v>
      </c>
      <c r="J2097" s="110">
        <v>0.1583</v>
      </c>
      <c r="L2097">
        <v>5000</v>
      </c>
      <c r="M2097">
        <v>500000</v>
      </c>
      <c r="N2097" s="105">
        <v>44197</v>
      </c>
      <c r="O2097" s="105">
        <v>44377</v>
      </c>
      <c r="P2097" t="s">
        <v>718</v>
      </c>
      <c r="R2097" s="154"/>
      <c r="S2097" s="154"/>
      <c r="T2097" s="154"/>
      <c r="U2097" s="154"/>
    </row>
    <row r="2098" spans="1:21" ht="15" customHeight="1" x14ac:dyDescent="0.3">
      <c r="A2098" t="str">
        <f t="shared" si="33"/>
        <v>12-3-U-SmartFIX – 5 Year Renewal</v>
      </c>
      <c r="B2098" t="s">
        <v>13</v>
      </c>
      <c r="C2098">
        <v>12</v>
      </c>
      <c r="D2098" s="100" t="s">
        <v>21</v>
      </c>
      <c r="E2098" t="s">
        <v>716</v>
      </c>
      <c r="F2098" t="s">
        <v>16</v>
      </c>
      <c r="G2098" t="s">
        <v>738</v>
      </c>
      <c r="H2098" s="128">
        <v>0.26619999999999999</v>
      </c>
      <c r="I2098" s="110">
        <v>0.1673</v>
      </c>
      <c r="L2098">
        <v>5000</v>
      </c>
      <c r="M2098">
        <v>500000</v>
      </c>
      <c r="N2098" s="105">
        <v>44197</v>
      </c>
      <c r="O2098" s="105">
        <v>44377</v>
      </c>
      <c r="P2098" t="s">
        <v>718</v>
      </c>
      <c r="R2098" s="154"/>
      <c r="S2098" s="154"/>
      <c r="T2098" s="154"/>
      <c r="U2098" s="154"/>
    </row>
    <row r="2099" spans="1:21" ht="15" customHeight="1" x14ac:dyDescent="0.3">
      <c r="A2099" t="str">
        <f t="shared" si="33"/>
        <v>12-4-E7-SmartFIX – 5 Year Renewal</v>
      </c>
      <c r="B2099" t="s">
        <v>13</v>
      </c>
      <c r="C2099">
        <v>12</v>
      </c>
      <c r="D2099" s="100" t="s">
        <v>21</v>
      </c>
      <c r="E2099" t="s">
        <v>17</v>
      </c>
      <c r="F2099" t="s">
        <v>18</v>
      </c>
      <c r="G2099" t="s">
        <v>738</v>
      </c>
      <c r="H2099" s="128">
        <v>0.26619999999999999</v>
      </c>
      <c r="I2099" s="110">
        <v>0.17660000000000001</v>
      </c>
      <c r="J2099" s="110">
        <v>0.1381</v>
      </c>
      <c r="L2099">
        <v>5000</v>
      </c>
      <c r="M2099">
        <v>500000</v>
      </c>
      <c r="N2099" s="105">
        <v>44197</v>
      </c>
      <c r="O2099" s="105">
        <v>44377</v>
      </c>
      <c r="P2099" t="s">
        <v>718</v>
      </c>
      <c r="R2099" s="154"/>
      <c r="S2099" s="154"/>
      <c r="T2099" s="154"/>
      <c r="U2099" s="154"/>
    </row>
    <row r="2100" spans="1:21" ht="15" customHeight="1" x14ac:dyDescent="0.3">
      <c r="A2100" t="str">
        <f t="shared" si="33"/>
        <v>12-3-EW-SmartFIX – 5 Year Renewal</v>
      </c>
      <c r="B2100" t="s">
        <v>13</v>
      </c>
      <c r="C2100">
        <v>12</v>
      </c>
      <c r="D2100" s="100" t="s">
        <v>21</v>
      </c>
      <c r="E2100" t="s">
        <v>19</v>
      </c>
      <c r="F2100" t="s">
        <v>16</v>
      </c>
      <c r="G2100" t="s">
        <v>738</v>
      </c>
      <c r="H2100" s="128">
        <v>0.26619999999999999</v>
      </c>
      <c r="I2100" s="110">
        <v>0.17700000000000002</v>
      </c>
      <c r="K2100" s="110">
        <v>0.15380000000000002</v>
      </c>
      <c r="L2100">
        <v>5000</v>
      </c>
      <c r="M2100">
        <v>500000</v>
      </c>
      <c r="N2100" s="105">
        <v>44197</v>
      </c>
      <c r="O2100" s="105">
        <v>44377</v>
      </c>
      <c r="P2100" t="s">
        <v>718</v>
      </c>
      <c r="R2100" s="154"/>
      <c r="S2100" s="154"/>
      <c r="T2100" s="154"/>
      <c r="U2100" s="154"/>
    </row>
    <row r="2101" spans="1:21" ht="15" customHeight="1" x14ac:dyDescent="0.3">
      <c r="A2101" t="str">
        <f t="shared" si="33"/>
        <v>12-4-3RATE-SmartFIX – 5 Year Renewal</v>
      </c>
      <c r="B2101" t="s">
        <v>13</v>
      </c>
      <c r="C2101">
        <v>12</v>
      </c>
      <c r="D2101" s="100" t="s">
        <v>21</v>
      </c>
      <c r="E2101" t="s">
        <v>719</v>
      </c>
      <c r="F2101" t="s">
        <v>18</v>
      </c>
      <c r="G2101" t="s">
        <v>738</v>
      </c>
      <c r="H2101" s="128">
        <v>0.26619999999999999</v>
      </c>
      <c r="I2101" s="110">
        <v>0.252</v>
      </c>
      <c r="J2101" s="110">
        <v>0.252</v>
      </c>
      <c r="K2101" s="110">
        <v>0.252</v>
      </c>
      <c r="L2101">
        <v>5000</v>
      </c>
      <c r="M2101">
        <v>500000</v>
      </c>
      <c r="N2101" s="105">
        <v>44197</v>
      </c>
      <c r="O2101" s="105">
        <v>44377</v>
      </c>
      <c r="P2101" t="s">
        <v>718</v>
      </c>
      <c r="R2101" s="154"/>
      <c r="S2101" s="154"/>
      <c r="T2101" s="154"/>
      <c r="U2101" s="154"/>
    </row>
    <row r="2102" spans="1:21" ht="15" customHeight="1" x14ac:dyDescent="0.3">
      <c r="A2102" t="str">
        <f t="shared" si="33"/>
        <v/>
      </c>
      <c r="B2102" t="s">
        <v>13</v>
      </c>
      <c r="C2102">
        <v>12</v>
      </c>
      <c r="D2102" s="100" t="s">
        <v>21</v>
      </c>
      <c r="E2102" t="s">
        <v>720</v>
      </c>
      <c r="F2102" t="s">
        <v>18</v>
      </c>
      <c r="G2102" t="s">
        <v>738</v>
      </c>
      <c r="H2102" s="128">
        <v>0.26619999999999999</v>
      </c>
      <c r="J2102" s="110">
        <v>0.15380000000000002</v>
      </c>
      <c r="L2102">
        <v>5000</v>
      </c>
      <c r="M2102">
        <v>500000</v>
      </c>
      <c r="N2102" s="105">
        <v>44197</v>
      </c>
      <c r="O2102" s="105">
        <v>44377</v>
      </c>
      <c r="P2102" t="s">
        <v>718</v>
      </c>
      <c r="R2102" s="154"/>
      <c r="S2102" s="154"/>
      <c r="T2102" s="154"/>
      <c r="U2102" s="154"/>
    </row>
    <row r="2103" spans="1:21" ht="15" customHeight="1" x14ac:dyDescent="0.3">
      <c r="A2103" t="str">
        <f t="shared" si="33"/>
        <v>13-3-U-SmartFIX – 5 Year Renewal</v>
      </c>
      <c r="B2103" t="s">
        <v>13</v>
      </c>
      <c r="C2103">
        <v>13</v>
      </c>
      <c r="D2103" s="100" t="s">
        <v>22</v>
      </c>
      <c r="E2103" t="s">
        <v>716</v>
      </c>
      <c r="F2103" t="s">
        <v>16</v>
      </c>
      <c r="G2103" t="s">
        <v>738</v>
      </c>
      <c r="H2103" s="128">
        <v>0.31340000000000001</v>
      </c>
      <c r="I2103" s="110">
        <v>0.19070000000000001</v>
      </c>
      <c r="L2103">
        <v>5000</v>
      </c>
      <c r="M2103">
        <v>500000</v>
      </c>
      <c r="N2103" s="105">
        <v>44197</v>
      </c>
      <c r="O2103" s="105">
        <v>44377</v>
      </c>
      <c r="P2103" t="s">
        <v>718</v>
      </c>
      <c r="R2103" s="154"/>
      <c r="S2103" s="154"/>
      <c r="T2103" s="154"/>
      <c r="U2103" s="154"/>
    </row>
    <row r="2104" spans="1:21" ht="15" customHeight="1" x14ac:dyDescent="0.3">
      <c r="A2104" t="str">
        <f t="shared" si="33"/>
        <v>13-4-E7-SmartFIX – 5 Year Renewal</v>
      </c>
      <c r="B2104" t="s">
        <v>13</v>
      </c>
      <c r="C2104">
        <v>13</v>
      </c>
      <c r="D2104" s="100" t="s">
        <v>22</v>
      </c>
      <c r="E2104" t="s">
        <v>17</v>
      </c>
      <c r="F2104" t="s">
        <v>18</v>
      </c>
      <c r="G2104" t="s">
        <v>738</v>
      </c>
      <c r="H2104" s="128">
        <v>0.31340000000000001</v>
      </c>
      <c r="I2104" s="110">
        <v>0.19020000000000001</v>
      </c>
      <c r="J2104" s="110">
        <v>0.1429</v>
      </c>
      <c r="L2104">
        <v>5000</v>
      </c>
      <c r="M2104">
        <v>500000</v>
      </c>
      <c r="N2104" s="105">
        <v>44197</v>
      </c>
      <c r="O2104" s="105">
        <v>44377</v>
      </c>
      <c r="P2104" t="s">
        <v>718</v>
      </c>
      <c r="R2104" s="154"/>
      <c r="S2104" s="154"/>
      <c r="T2104" s="154"/>
      <c r="U2104" s="154"/>
    </row>
    <row r="2105" spans="1:21" ht="15" customHeight="1" x14ac:dyDescent="0.3">
      <c r="A2105" t="str">
        <f t="shared" si="33"/>
        <v>13-3-EW-SmartFIX – 5 Year Renewal</v>
      </c>
      <c r="B2105" t="s">
        <v>13</v>
      </c>
      <c r="C2105">
        <v>13</v>
      </c>
      <c r="D2105" s="100" t="s">
        <v>22</v>
      </c>
      <c r="E2105" t="s">
        <v>19</v>
      </c>
      <c r="F2105" t="s">
        <v>16</v>
      </c>
      <c r="G2105" t="s">
        <v>738</v>
      </c>
      <c r="H2105" s="128">
        <v>0.31340000000000001</v>
      </c>
      <c r="I2105" s="110">
        <v>0.252</v>
      </c>
      <c r="K2105" s="110">
        <v>0.252</v>
      </c>
      <c r="L2105">
        <v>5000</v>
      </c>
      <c r="M2105">
        <v>500000</v>
      </c>
      <c r="N2105" s="105">
        <v>44197</v>
      </c>
      <c r="O2105" s="105">
        <v>44377</v>
      </c>
      <c r="P2105" t="s">
        <v>718</v>
      </c>
      <c r="R2105" s="154"/>
      <c r="S2105" s="154"/>
      <c r="T2105" s="154"/>
      <c r="U2105" s="154"/>
    </row>
    <row r="2106" spans="1:21" ht="15" customHeight="1" x14ac:dyDescent="0.3">
      <c r="A2106" t="str">
        <f t="shared" si="33"/>
        <v>13-4-3RATE-SmartFIX – 5 Year Renewal</v>
      </c>
      <c r="B2106" t="s">
        <v>13</v>
      </c>
      <c r="C2106">
        <v>13</v>
      </c>
      <c r="D2106" s="100" t="s">
        <v>22</v>
      </c>
      <c r="E2106" t="s">
        <v>719</v>
      </c>
      <c r="F2106" t="s">
        <v>18</v>
      </c>
      <c r="G2106" t="s">
        <v>738</v>
      </c>
      <c r="H2106" s="128">
        <v>0.31340000000000001</v>
      </c>
      <c r="I2106" s="110">
        <v>0.20619999999999999</v>
      </c>
      <c r="J2106" s="110">
        <v>0.1416</v>
      </c>
      <c r="K2106" s="110">
        <v>0.1905</v>
      </c>
      <c r="L2106">
        <v>5000</v>
      </c>
      <c r="M2106">
        <v>500000</v>
      </c>
      <c r="N2106" s="105">
        <v>44197</v>
      </c>
      <c r="O2106" s="105">
        <v>44377</v>
      </c>
      <c r="P2106" t="s">
        <v>718</v>
      </c>
      <c r="R2106" s="154"/>
      <c r="S2106" s="154"/>
      <c r="T2106" s="154"/>
      <c r="U2106" s="154"/>
    </row>
    <row r="2107" spans="1:21" ht="15" customHeight="1" x14ac:dyDescent="0.3">
      <c r="A2107" t="str">
        <f t="shared" si="33"/>
        <v/>
      </c>
      <c r="B2107" t="s">
        <v>13</v>
      </c>
      <c r="C2107">
        <v>13</v>
      </c>
      <c r="D2107" s="100" t="s">
        <v>22</v>
      </c>
      <c r="E2107" t="s">
        <v>720</v>
      </c>
      <c r="F2107" t="s">
        <v>18</v>
      </c>
      <c r="G2107" t="s">
        <v>738</v>
      </c>
      <c r="H2107" s="128">
        <v>0.31340000000000001</v>
      </c>
      <c r="J2107" s="110">
        <v>0.1429</v>
      </c>
      <c r="L2107">
        <v>5000</v>
      </c>
      <c r="M2107">
        <v>500000</v>
      </c>
      <c r="N2107" s="105">
        <v>44197</v>
      </c>
      <c r="O2107" s="105">
        <v>44377</v>
      </c>
      <c r="P2107" t="s">
        <v>718</v>
      </c>
      <c r="R2107" s="154"/>
      <c r="S2107" s="154"/>
      <c r="T2107" s="154"/>
      <c r="U2107" s="154"/>
    </row>
    <row r="2108" spans="1:21" ht="15" customHeight="1" x14ac:dyDescent="0.3">
      <c r="A2108" t="str">
        <f t="shared" si="33"/>
        <v>14-3-U-SmartFIX – 5 Year Renewal</v>
      </c>
      <c r="B2108" t="s">
        <v>13</v>
      </c>
      <c r="C2108">
        <v>14</v>
      </c>
      <c r="D2108" s="100" t="s">
        <v>23</v>
      </c>
      <c r="E2108" t="s">
        <v>716</v>
      </c>
      <c r="F2108" t="s">
        <v>16</v>
      </c>
      <c r="G2108" t="s">
        <v>738</v>
      </c>
      <c r="H2108" s="128">
        <v>0.38650000000000001</v>
      </c>
      <c r="I2108" s="110">
        <v>0.17730000000000001</v>
      </c>
      <c r="L2108">
        <v>5000</v>
      </c>
      <c r="M2108">
        <v>500000</v>
      </c>
      <c r="N2108" s="105">
        <v>44197</v>
      </c>
      <c r="O2108" s="105">
        <v>44377</v>
      </c>
      <c r="P2108" t="s">
        <v>718</v>
      </c>
      <c r="R2108" s="154"/>
      <c r="S2108" s="154"/>
      <c r="T2108" s="154"/>
      <c r="U2108" s="154"/>
    </row>
    <row r="2109" spans="1:21" ht="15" customHeight="1" x14ac:dyDescent="0.3">
      <c r="A2109" t="str">
        <f t="shared" si="33"/>
        <v>14-4-E7-SmartFIX – 5 Year Renewal</v>
      </c>
      <c r="B2109" t="s">
        <v>13</v>
      </c>
      <c r="C2109">
        <v>14</v>
      </c>
      <c r="D2109" s="100" t="s">
        <v>23</v>
      </c>
      <c r="E2109" t="s">
        <v>17</v>
      </c>
      <c r="F2109" t="s">
        <v>18</v>
      </c>
      <c r="G2109" t="s">
        <v>738</v>
      </c>
      <c r="H2109" s="128">
        <v>0.38650000000000001</v>
      </c>
      <c r="I2109" s="110">
        <v>0.1807</v>
      </c>
      <c r="J2109" s="110">
        <v>0.13770000000000002</v>
      </c>
      <c r="L2109">
        <v>5000</v>
      </c>
      <c r="M2109">
        <v>500000</v>
      </c>
      <c r="N2109" s="105">
        <v>44197</v>
      </c>
      <c r="O2109" s="105">
        <v>44377</v>
      </c>
      <c r="P2109" t="s">
        <v>718</v>
      </c>
      <c r="R2109" s="154"/>
      <c r="S2109" s="154"/>
      <c r="T2109" s="154"/>
      <c r="U2109" s="154"/>
    </row>
    <row r="2110" spans="1:21" ht="15" customHeight="1" x14ac:dyDescent="0.3">
      <c r="A2110" t="str">
        <f t="shared" si="33"/>
        <v>14-3-EW-SmartFIX – 5 Year Renewal</v>
      </c>
      <c r="B2110" t="s">
        <v>13</v>
      </c>
      <c r="C2110">
        <v>14</v>
      </c>
      <c r="D2110" s="100" t="s">
        <v>23</v>
      </c>
      <c r="E2110" t="s">
        <v>19</v>
      </c>
      <c r="F2110" t="s">
        <v>16</v>
      </c>
      <c r="G2110" t="s">
        <v>738</v>
      </c>
      <c r="H2110" s="128">
        <v>0.38650000000000001</v>
      </c>
      <c r="I2110" s="110">
        <v>0.1857</v>
      </c>
      <c r="K2110" s="110">
        <v>0.16490000000000002</v>
      </c>
      <c r="L2110">
        <v>5000</v>
      </c>
      <c r="M2110">
        <v>500000</v>
      </c>
      <c r="N2110" s="105">
        <v>44197</v>
      </c>
      <c r="O2110" s="105">
        <v>44377</v>
      </c>
      <c r="P2110" t="s">
        <v>718</v>
      </c>
      <c r="R2110" s="154"/>
      <c r="S2110" s="154"/>
      <c r="T2110" s="154"/>
      <c r="U2110" s="154"/>
    </row>
    <row r="2111" spans="1:21" ht="15" customHeight="1" x14ac:dyDescent="0.3">
      <c r="A2111" t="str">
        <f t="shared" si="33"/>
        <v>14-4-3RATE-SmartFIX – 5 Year Renewal</v>
      </c>
      <c r="B2111" t="s">
        <v>13</v>
      </c>
      <c r="C2111">
        <v>14</v>
      </c>
      <c r="D2111" s="100" t="s">
        <v>23</v>
      </c>
      <c r="E2111" t="s">
        <v>719</v>
      </c>
      <c r="F2111" t="s">
        <v>18</v>
      </c>
      <c r="G2111" t="s">
        <v>738</v>
      </c>
      <c r="H2111" s="128">
        <v>0.38650000000000001</v>
      </c>
      <c r="I2111" s="110">
        <v>0.252</v>
      </c>
      <c r="J2111" s="110">
        <v>0.252</v>
      </c>
      <c r="K2111" s="110">
        <v>0.252</v>
      </c>
      <c r="L2111">
        <v>5000</v>
      </c>
      <c r="M2111">
        <v>500000</v>
      </c>
      <c r="N2111" s="105">
        <v>44197</v>
      </c>
      <c r="O2111" s="105">
        <v>44377</v>
      </c>
      <c r="P2111" t="s">
        <v>718</v>
      </c>
      <c r="R2111" s="154"/>
      <c r="S2111" s="154"/>
      <c r="T2111" s="154"/>
      <c r="U2111" s="154"/>
    </row>
    <row r="2112" spans="1:21" ht="15" customHeight="1" x14ac:dyDescent="0.3">
      <c r="A2112" t="str">
        <f t="shared" si="33"/>
        <v/>
      </c>
      <c r="B2112" t="s">
        <v>13</v>
      </c>
      <c r="C2112">
        <v>14</v>
      </c>
      <c r="D2112" s="100" t="s">
        <v>23</v>
      </c>
      <c r="E2112" t="s">
        <v>720</v>
      </c>
      <c r="F2112" t="s">
        <v>18</v>
      </c>
      <c r="G2112" t="s">
        <v>738</v>
      </c>
      <c r="H2112" s="128">
        <v>0.38650000000000001</v>
      </c>
      <c r="J2112" s="110">
        <v>0.16490000000000002</v>
      </c>
      <c r="L2112">
        <v>5000</v>
      </c>
      <c r="M2112">
        <v>500000</v>
      </c>
      <c r="N2112" s="105">
        <v>44197</v>
      </c>
      <c r="O2112" s="105">
        <v>44377</v>
      </c>
      <c r="P2112" t="s">
        <v>718</v>
      </c>
      <c r="R2112" s="154"/>
      <c r="S2112" s="154"/>
      <c r="T2112" s="154"/>
      <c r="U2112" s="154"/>
    </row>
    <row r="2113" spans="1:21" ht="15" customHeight="1" x14ac:dyDescent="0.3">
      <c r="A2113" t="str">
        <f t="shared" si="33"/>
        <v>15-3-U-SmartFIX – 5 Year Renewal</v>
      </c>
      <c r="B2113" t="s">
        <v>13</v>
      </c>
      <c r="C2113">
        <v>15</v>
      </c>
      <c r="D2113" s="100" t="s">
        <v>24</v>
      </c>
      <c r="E2113" t="s">
        <v>716</v>
      </c>
      <c r="F2113" t="s">
        <v>16</v>
      </c>
      <c r="G2113" t="s">
        <v>738</v>
      </c>
      <c r="H2113" s="128">
        <v>0.3589</v>
      </c>
      <c r="I2113" s="110">
        <v>0.17560000000000001</v>
      </c>
      <c r="L2113">
        <v>5000</v>
      </c>
      <c r="M2113">
        <v>500000</v>
      </c>
      <c r="N2113" s="105">
        <v>44197</v>
      </c>
      <c r="O2113" s="105">
        <v>44377</v>
      </c>
      <c r="P2113" t="s">
        <v>718</v>
      </c>
      <c r="R2113" s="154"/>
      <c r="S2113" s="154"/>
      <c r="T2113" s="154"/>
      <c r="U2113" s="154"/>
    </row>
    <row r="2114" spans="1:21" ht="15" customHeight="1" x14ac:dyDescent="0.3">
      <c r="A2114" t="str">
        <f t="shared" si="33"/>
        <v>15-4-E7-SmartFIX – 5 Year Renewal</v>
      </c>
      <c r="B2114" t="s">
        <v>13</v>
      </c>
      <c r="C2114">
        <v>15</v>
      </c>
      <c r="D2114" s="100" t="s">
        <v>24</v>
      </c>
      <c r="E2114" t="s">
        <v>17</v>
      </c>
      <c r="F2114" t="s">
        <v>18</v>
      </c>
      <c r="G2114" t="s">
        <v>738</v>
      </c>
      <c r="H2114" s="128">
        <v>0.3589</v>
      </c>
      <c r="I2114" s="110">
        <v>0.18090000000000001</v>
      </c>
      <c r="J2114" s="110">
        <v>0.13620000000000002</v>
      </c>
      <c r="L2114">
        <v>5000</v>
      </c>
      <c r="M2114">
        <v>500000</v>
      </c>
      <c r="N2114" s="105">
        <v>44197</v>
      </c>
      <c r="O2114" s="105">
        <v>44377</v>
      </c>
      <c r="P2114" t="s">
        <v>718</v>
      </c>
      <c r="R2114" s="154"/>
      <c r="S2114" s="154"/>
      <c r="T2114" s="154"/>
      <c r="U2114" s="154"/>
    </row>
    <row r="2115" spans="1:21" ht="15" customHeight="1" x14ac:dyDescent="0.3">
      <c r="A2115" t="str">
        <f t="shared" si="33"/>
        <v>15-3-EW-SmartFIX – 5 Year Renewal</v>
      </c>
      <c r="B2115" t="s">
        <v>13</v>
      </c>
      <c r="C2115">
        <v>15</v>
      </c>
      <c r="D2115" s="100" t="s">
        <v>24</v>
      </c>
      <c r="E2115" t="s">
        <v>19</v>
      </c>
      <c r="F2115" t="s">
        <v>16</v>
      </c>
      <c r="G2115" t="s">
        <v>738</v>
      </c>
      <c r="H2115" s="128">
        <v>0.3589</v>
      </c>
      <c r="I2115" s="110">
        <v>0.18720000000000001</v>
      </c>
      <c r="K2115" s="110">
        <v>0.16259999999999999</v>
      </c>
      <c r="L2115">
        <v>5000</v>
      </c>
      <c r="M2115">
        <v>500000</v>
      </c>
      <c r="N2115" s="105">
        <v>44197</v>
      </c>
      <c r="O2115" s="105">
        <v>44377</v>
      </c>
      <c r="P2115" t="s">
        <v>718</v>
      </c>
      <c r="R2115" s="154"/>
      <c r="S2115" s="154"/>
      <c r="T2115" s="154"/>
      <c r="U2115" s="154"/>
    </row>
    <row r="2116" spans="1:21" ht="15" customHeight="1" x14ac:dyDescent="0.3">
      <c r="A2116" t="str">
        <f t="shared" si="33"/>
        <v>15-4-3RATE-SmartFIX – 5 Year Renewal</v>
      </c>
      <c r="B2116" t="s">
        <v>13</v>
      </c>
      <c r="C2116">
        <v>15</v>
      </c>
      <c r="D2116" s="100" t="s">
        <v>24</v>
      </c>
      <c r="E2116" t="s">
        <v>719</v>
      </c>
      <c r="F2116" t="s">
        <v>18</v>
      </c>
      <c r="G2116" t="s">
        <v>738</v>
      </c>
      <c r="H2116" s="128">
        <v>0.3589</v>
      </c>
      <c r="I2116" s="110">
        <v>0.252</v>
      </c>
      <c r="J2116" s="110">
        <v>0.252</v>
      </c>
      <c r="K2116" s="110">
        <v>0.252</v>
      </c>
      <c r="L2116">
        <v>5000</v>
      </c>
      <c r="M2116">
        <v>500000</v>
      </c>
      <c r="N2116" s="105">
        <v>44197</v>
      </c>
      <c r="O2116" s="105">
        <v>44377</v>
      </c>
      <c r="P2116" t="s">
        <v>718</v>
      </c>
      <c r="R2116" s="154"/>
      <c r="S2116" s="154"/>
      <c r="T2116" s="154"/>
      <c r="U2116" s="154"/>
    </row>
    <row r="2117" spans="1:21" ht="15" customHeight="1" x14ac:dyDescent="0.3">
      <c r="A2117" t="str">
        <f t="shared" si="33"/>
        <v/>
      </c>
      <c r="B2117" t="s">
        <v>13</v>
      </c>
      <c r="C2117">
        <v>15</v>
      </c>
      <c r="D2117" s="100" t="s">
        <v>24</v>
      </c>
      <c r="E2117" t="s">
        <v>720</v>
      </c>
      <c r="F2117" t="s">
        <v>18</v>
      </c>
      <c r="G2117" t="s">
        <v>738</v>
      </c>
      <c r="H2117" s="128">
        <v>0.3589</v>
      </c>
      <c r="J2117" s="110">
        <v>0.16259999999999999</v>
      </c>
      <c r="L2117">
        <v>5000</v>
      </c>
      <c r="M2117">
        <v>500000</v>
      </c>
      <c r="N2117" s="105">
        <v>44197</v>
      </c>
      <c r="O2117" s="105">
        <v>44377</v>
      </c>
      <c r="P2117" t="s">
        <v>718</v>
      </c>
      <c r="R2117" s="154"/>
      <c r="S2117" s="154"/>
      <c r="T2117" s="154"/>
      <c r="U2117" s="154"/>
    </row>
    <row r="2118" spans="1:21" ht="15" customHeight="1" x14ac:dyDescent="0.3">
      <c r="A2118" t="str">
        <f t="shared" si="33"/>
        <v>16-3-U-SmartFIX – 5 Year Renewal</v>
      </c>
      <c r="B2118" t="s">
        <v>13</v>
      </c>
      <c r="C2118">
        <v>16</v>
      </c>
      <c r="D2118" s="100" t="s">
        <v>25</v>
      </c>
      <c r="E2118" t="s">
        <v>716</v>
      </c>
      <c r="F2118" t="s">
        <v>16</v>
      </c>
      <c r="G2118" t="s">
        <v>738</v>
      </c>
      <c r="H2118" s="128">
        <v>0.30370000000000003</v>
      </c>
      <c r="I2118" s="110">
        <v>0.17930000000000001</v>
      </c>
      <c r="L2118">
        <v>5000</v>
      </c>
      <c r="M2118">
        <v>500000</v>
      </c>
      <c r="N2118" s="105">
        <v>44197</v>
      </c>
      <c r="O2118" s="105">
        <v>44377</v>
      </c>
      <c r="P2118" t="s">
        <v>718</v>
      </c>
      <c r="R2118" s="154"/>
      <c r="S2118" s="154"/>
      <c r="T2118" s="154"/>
      <c r="U2118" s="154"/>
    </row>
    <row r="2119" spans="1:21" ht="15" customHeight="1" x14ac:dyDescent="0.3">
      <c r="A2119" t="str">
        <f t="shared" si="33"/>
        <v>16-4-E7-SmartFIX – 5 Year Renewal</v>
      </c>
      <c r="B2119" t="s">
        <v>13</v>
      </c>
      <c r="C2119">
        <v>16</v>
      </c>
      <c r="D2119" s="100" t="s">
        <v>25</v>
      </c>
      <c r="E2119" t="s">
        <v>17</v>
      </c>
      <c r="F2119" t="s">
        <v>18</v>
      </c>
      <c r="G2119" t="s">
        <v>738</v>
      </c>
      <c r="H2119" s="128">
        <v>0.30370000000000003</v>
      </c>
      <c r="I2119" s="110">
        <v>0.18149999999999999</v>
      </c>
      <c r="J2119" s="110">
        <v>0.1341</v>
      </c>
      <c r="L2119">
        <v>5000</v>
      </c>
      <c r="M2119">
        <v>500000</v>
      </c>
      <c r="N2119" s="105">
        <v>44197</v>
      </c>
      <c r="O2119" s="105">
        <v>44377</v>
      </c>
      <c r="P2119" t="s">
        <v>718</v>
      </c>
      <c r="R2119" s="154"/>
      <c r="S2119" s="154"/>
      <c r="T2119" s="154"/>
      <c r="U2119" s="154"/>
    </row>
    <row r="2120" spans="1:21" ht="15" customHeight="1" x14ac:dyDescent="0.3">
      <c r="A2120" t="str">
        <f t="shared" si="33"/>
        <v>16-3-EW-SmartFIX – 5 Year Renewal</v>
      </c>
      <c r="B2120" t="s">
        <v>13</v>
      </c>
      <c r="C2120">
        <v>16</v>
      </c>
      <c r="D2120" s="100" t="s">
        <v>25</v>
      </c>
      <c r="E2120" t="s">
        <v>19</v>
      </c>
      <c r="F2120" t="s">
        <v>16</v>
      </c>
      <c r="G2120" t="s">
        <v>738</v>
      </c>
      <c r="H2120" s="128">
        <v>0.30370000000000003</v>
      </c>
      <c r="I2120" s="110">
        <v>0.1908</v>
      </c>
      <c r="K2120" s="110">
        <v>0.16540000000000002</v>
      </c>
      <c r="L2120">
        <v>5000</v>
      </c>
      <c r="M2120">
        <v>500000</v>
      </c>
      <c r="N2120" s="105">
        <v>44197</v>
      </c>
      <c r="O2120" s="105">
        <v>44377</v>
      </c>
      <c r="P2120" t="s">
        <v>718</v>
      </c>
      <c r="R2120" s="154"/>
      <c r="S2120" s="154"/>
      <c r="T2120" s="154"/>
      <c r="U2120" s="154"/>
    </row>
    <row r="2121" spans="1:21" ht="15" customHeight="1" x14ac:dyDescent="0.3">
      <c r="A2121" t="str">
        <f t="shared" si="33"/>
        <v>16-4-3RATE-SmartFIX – 5 Year Renewal</v>
      </c>
      <c r="B2121" t="s">
        <v>13</v>
      </c>
      <c r="C2121">
        <v>16</v>
      </c>
      <c r="D2121" s="100" t="s">
        <v>25</v>
      </c>
      <c r="E2121" t="s">
        <v>719</v>
      </c>
      <c r="F2121" t="s">
        <v>18</v>
      </c>
      <c r="G2121" t="s">
        <v>738</v>
      </c>
      <c r="H2121" s="128">
        <v>0.30370000000000003</v>
      </c>
      <c r="I2121" s="110">
        <v>0.1973</v>
      </c>
      <c r="J2121" s="110">
        <v>0.1338</v>
      </c>
      <c r="K2121" s="110">
        <v>0.1681</v>
      </c>
      <c r="L2121">
        <v>5000</v>
      </c>
      <c r="M2121">
        <v>500000</v>
      </c>
      <c r="N2121" s="105">
        <v>44197</v>
      </c>
      <c r="O2121" s="105">
        <v>44377</v>
      </c>
      <c r="P2121" t="s">
        <v>718</v>
      </c>
      <c r="R2121" s="154"/>
      <c r="S2121" s="154"/>
      <c r="T2121" s="154"/>
      <c r="U2121" s="154"/>
    </row>
    <row r="2122" spans="1:21" ht="15" customHeight="1" x14ac:dyDescent="0.3">
      <c r="A2122" t="str">
        <f t="shared" si="33"/>
        <v/>
      </c>
      <c r="B2122" t="s">
        <v>13</v>
      </c>
      <c r="C2122">
        <v>16</v>
      </c>
      <c r="D2122" s="100" t="s">
        <v>25</v>
      </c>
      <c r="E2122" t="s">
        <v>720</v>
      </c>
      <c r="F2122" t="s">
        <v>18</v>
      </c>
      <c r="G2122" t="s">
        <v>738</v>
      </c>
      <c r="H2122" s="128">
        <v>0.30370000000000003</v>
      </c>
      <c r="J2122" s="110">
        <v>0.16540000000000002</v>
      </c>
      <c r="L2122">
        <v>5000</v>
      </c>
      <c r="M2122">
        <v>500000</v>
      </c>
      <c r="N2122" s="105">
        <v>44197</v>
      </c>
      <c r="O2122" s="105">
        <v>44377</v>
      </c>
      <c r="P2122" t="s">
        <v>718</v>
      </c>
      <c r="R2122" s="154"/>
      <c r="S2122" s="154"/>
      <c r="T2122" s="154"/>
      <c r="U2122" s="154"/>
    </row>
    <row r="2123" spans="1:21" ht="15" customHeight="1" x14ac:dyDescent="0.3">
      <c r="A2123" t="str">
        <f t="shared" si="33"/>
        <v>17-3-U-SmartFIX – 5 Year Renewal</v>
      </c>
      <c r="B2123" t="s">
        <v>13</v>
      </c>
      <c r="C2123">
        <v>17</v>
      </c>
      <c r="D2123" s="100" t="s">
        <v>26</v>
      </c>
      <c r="E2123" t="s">
        <v>716</v>
      </c>
      <c r="F2123" t="s">
        <v>16</v>
      </c>
      <c r="G2123" t="s">
        <v>738</v>
      </c>
      <c r="H2123" s="128">
        <v>0.40010000000000001</v>
      </c>
      <c r="I2123" s="110">
        <v>0.18679999999999999</v>
      </c>
      <c r="L2123">
        <v>5000</v>
      </c>
      <c r="M2123">
        <v>500000</v>
      </c>
      <c r="N2123" s="105">
        <v>44197</v>
      </c>
      <c r="O2123" s="105">
        <v>44377</v>
      </c>
      <c r="P2123" t="s">
        <v>718</v>
      </c>
      <c r="R2123" s="154"/>
      <c r="S2123" s="154"/>
      <c r="T2123" s="154"/>
      <c r="U2123" s="154"/>
    </row>
    <row r="2124" spans="1:21" ht="15" customHeight="1" x14ac:dyDescent="0.3">
      <c r="A2124" t="str">
        <f t="shared" ref="A2124:A2187" si="34">IF(E2124="OP","",CONCATENATE(C2124,"-",RIGHT(F2124,1),"-",IF(OR(E2124="1 Rate MD",E2124="DAY"),"U",IF(OR(E2124="2 Rate MD",E2124="E7"),"E7",IF(OR(E2124="3 Rate MD (EW)",E2124="EW"),"EW",IF(OR(E2124="3 Rate MD",E2124="EWN"),"3RATE",IF(E2124="HH 2RATE (CT)","HH 2RATE (CT)",IF(E2124="HH 2RATE (WC)","HH 2RATE (WC)",IF(E2124="HH 1RATE (CT)","HH 1RATE (CT)",IF(E2124="HH 1RATE (WC)","HH 1RATE (WC)")))))))),"-",G2124))</f>
        <v>17-4-E7-SmartFIX – 5 Year Renewal</v>
      </c>
      <c r="B2124" t="s">
        <v>13</v>
      </c>
      <c r="C2124">
        <v>17</v>
      </c>
      <c r="D2124" s="100" t="s">
        <v>26</v>
      </c>
      <c r="E2124" t="s">
        <v>17</v>
      </c>
      <c r="F2124" t="s">
        <v>18</v>
      </c>
      <c r="G2124" t="s">
        <v>738</v>
      </c>
      <c r="H2124" s="128">
        <v>0.40010000000000001</v>
      </c>
      <c r="I2124" s="110">
        <v>0.1928</v>
      </c>
      <c r="J2124" s="110">
        <v>0.1404</v>
      </c>
      <c r="L2124">
        <v>5000</v>
      </c>
      <c r="M2124">
        <v>500000</v>
      </c>
      <c r="N2124" s="105">
        <v>44197</v>
      </c>
      <c r="O2124" s="105">
        <v>44377</v>
      </c>
      <c r="P2124" t="s">
        <v>718</v>
      </c>
      <c r="R2124" s="154"/>
      <c r="S2124" s="154"/>
      <c r="T2124" s="154"/>
      <c r="U2124" s="154"/>
    </row>
    <row r="2125" spans="1:21" ht="15" customHeight="1" x14ac:dyDescent="0.3">
      <c r="A2125" t="str">
        <f t="shared" si="34"/>
        <v>17-3-EW-SmartFIX – 5 Year Renewal</v>
      </c>
      <c r="B2125" t="s">
        <v>13</v>
      </c>
      <c r="C2125">
        <v>17</v>
      </c>
      <c r="D2125" s="100" t="s">
        <v>26</v>
      </c>
      <c r="E2125" t="s">
        <v>19</v>
      </c>
      <c r="F2125" t="s">
        <v>16</v>
      </c>
      <c r="G2125" t="s">
        <v>738</v>
      </c>
      <c r="H2125" s="128">
        <v>0.40010000000000001</v>
      </c>
      <c r="I2125" s="110">
        <v>0.19570000000000001</v>
      </c>
      <c r="K2125" s="110">
        <v>0.17519999999999999</v>
      </c>
      <c r="L2125">
        <v>5000</v>
      </c>
      <c r="M2125">
        <v>500000</v>
      </c>
      <c r="N2125" s="105">
        <v>44197</v>
      </c>
      <c r="O2125" s="105">
        <v>44377</v>
      </c>
      <c r="P2125" t="s">
        <v>718</v>
      </c>
      <c r="R2125" s="154"/>
      <c r="S2125" s="154"/>
      <c r="T2125" s="154"/>
      <c r="U2125" s="154"/>
    </row>
    <row r="2126" spans="1:21" ht="15" customHeight="1" x14ac:dyDescent="0.3">
      <c r="A2126" t="str">
        <f t="shared" si="34"/>
        <v>17-4-3RATE-SmartFIX – 5 Year Renewal</v>
      </c>
      <c r="B2126" t="s">
        <v>13</v>
      </c>
      <c r="C2126">
        <v>17</v>
      </c>
      <c r="D2126" s="100" t="s">
        <v>26</v>
      </c>
      <c r="E2126" t="s">
        <v>719</v>
      </c>
      <c r="F2126" t="s">
        <v>18</v>
      </c>
      <c r="G2126" t="s">
        <v>738</v>
      </c>
      <c r="H2126" s="128">
        <v>0.40010000000000001</v>
      </c>
      <c r="I2126" s="110">
        <v>0.252</v>
      </c>
      <c r="J2126" s="110">
        <v>0.252</v>
      </c>
      <c r="K2126" s="110">
        <v>0.252</v>
      </c>
      <c r="L2126">
        <v>5000</v>
      </c>
      <c r="M2126">
        <v>500000</v>
      </c>
      <c r="N2126" s="105">
        <v>44197</v>
      </c>
      <c r="O2126" s="105">
        <v>44377</v>
      </c>
      <c r="P2126" t="s">
        <v>718</v>
      </c>
      <c r="R2126" s="154"/>
      <c r="S2126" s="154"/>
      <c r="T2126" s="154"/>
      <c r="U2126" s="154"/>
    </row>
    <row r="2127" spans="1:21" ht="15" customHeight="1" x14ac:dyDescent="0.3">
      <c r="A2127" t="str">
        <f t="shared" si="34"/>
        <v/>
      </c>
      <c r="B2127" t="s">
        <v>13</v>
      </c>
      <c r="C2127">
        <v>17</v>
      </c>
      <c r="D2127" s="100" t="s">
        <v>26</v>
      </c>
      <c r="E2127" t="s">
        <v>720</v>
      </c>
      <c r="F2127" t="s">
        <v>18</v>
      </c>
      <c r="G2127" t="s">
        <v>738</v>
      </c>
      <c r="H2127" s="128">
        <v>0.40010000000000001</v>
      </c>
      <c r="J2127" s="110">
        <v>0.17519999999999999</v>
      </c>
      <c r="L2127">
        <v>5000</v>
      </c>
      <c r="M2127">
        <v>500000</v>
      </c>
      <c r="N2127" s="105">
        <v>44197</v>
      </c>
      <c r="O2127" s="105">
        <v>44377</v>
      </c>
      <c r="P2127" t="s">
        <v>718</v>
      </c>
      <c r="R2127" s="154"/>
      <c r="S2127" s="154"/>
      <c r="T2127" s="154"/>
      <c r="U2127" s="154"/>
    </row>
    <row r="2128" spans="1:21" ht="15" customHeight="1" x14ac:dyDescent="0.3">
      <c r="A2128" t="str">
        <f t="shared" si="34"/>
        <v>18-3-U-SmartFIX – 5 Year Renewal</v>
      </c>
      <c r="B2128" t="s">
        <v>13</v>
      </c>
      <c r="C2128">
        <v>18</v>
      </c>
      <c r="D2128" s="100" t="s">
        <v>27</v>
      </c>
      <c r="E2128" t="s">
        <v>716</v>
      </c>
      <c r="F2128" t="s">
        <v>16</v>
      </c>
      <c r="G2128" t="s">
        <v>738</v>
      </c>
      <c r="H2128" s="128">
        <v>0.34899999999999998</v>
      </c>
      <c r="I2128" s="110">
        <v>0.17760000000000001</v>
      </c>
      <c r="L2128">
        <v>5000</v>
      </c>
      <c r="M2128">
        <v>500000</v>
      </c>
      <c r="N2128" s="105">
        <v>44197</v>
      </c>
      <c r="O2128" s="105">
        <v>44377</v>
      </c>
      <c r="P2128" t="s">
        <v>718</v>
      </c>
      <c r="R2128" s="154"/>
      <c r="S2128" s="154"/>
      <c r="T2128" s="154"/>
      <c r="U2128" s="154"/>
    </row>
    <row r="2129" spans="1:21" ht="15" customHeight="1" x14ac:dyDescent="0.3">
      <c r="A2129" t="str">
        <f t="shared" si="34"/>
        <v>18-4-E7-SmartFIX – 5 Year Renewal</v>
      </c>
      <c r="B2129" t="s">
        <v>13</v>
      </c>
      <c r="C2129">
        <v>18</v>
      </c>
      <c r="D2129" s="100" t="s">
        <v>27</v>
      </c>
      <c r="E2129" t="s">
        <v>17</v>
      </c>
      <c r="F2129" t="s">
        <v>18</v>
      </c>
      <c r="G2129" t="s">
        <v>738</v>
      </c>
      <c r="H2129" s="128">
        <v>0.34899999999999998</v>
      </c>
      <c r="I2129" s="110">
        <v>0.18870000000000001</v>
      </c>
      <c r="J2129" s="110">
        <v>0.14380000000000001</v>
      </c>
      <c r="L2129">
        <v>5000</v>
      </c>
      <c r="M2129">
        <v>500000</v>
      </c>
      <c r="N2129" s="105">
        <v>44197</v>
      </c>
      <c r="O2129" s="105">
        <v>44377</v>
      </c>
      <c r="P2129" t="s">
        <v>718</v>
      </c>
      <c r="R2129" s="154"/>
      <c r="S2129" s="154"/>
      <c r="T2129" s="154"/>
      <c r="U2129" s="154"/>
    </row>
    <row r="2130" spans="1:21" ht="15" customHeight="1" x14ac:dyDescent="0.3">
      <c r="A2130" t="str">
        <f t="shared" si="34"/>
        <v>18-3-EW-SmartFIX – 5 Year Renewal</v>
      </c>
      <c r="B2130" t="s">
        <v>13</v>
      </c>
      <c r="C2130">
        <v>18</v>
      </c>
      <c r="D2130" s="100" t="s">
        <v>27</v>
      </c>
      <c r="E2130" t="s">
        <v>19</v>
      </c>
      <c r="F2130" t="s">
        <v>16</v>
      </c>
      <c r="G2130" t="s">
        <v>738</v>
      </c>
      <c r="H2130" s="128">
        <v>0.34899999999999998</v>
      </c>
      <c r="I2130" s="110">
        <v>0.18640000000000001</v>
      </c>
      <c r="K2130" s="110">
        <v>0.1648</v>
      </c>
      <c r="L2130">
        <v>5000</v>
      </c>
      <c r="M2130">
        <v>500000</v>
      </c>
      <c r="N2130" s="105">
        <v>44197</v>
      </c>
      <c r="O2130" s="105">
        <v>44377</v>
      </c>
      <c r="P2130" t="s">
        <v>718</v>
      </c>
      <c r="R2130" s="154"/>
      <c r="S2130" s="154"/>
      <c r="T2130" s="154"/>
      <c r="U2130" s="154"/>
    </row>
    <row r="2131" spans="1:21" ht="15" customHeight="1" x14ac:dyDescent="0.3">
      <c r="A2131" t="str">
        <f t="shared" si="34"/>
        <v>18-4-3RATE-SmartFIX – 5 Year Renewal</v>
      </c>
      <c r="B2131" t="s">
        <v>13</v>
      </c>
      <c r="C2131">
        <v>18</v>
      </c>
      <c r="D2131" s="100" t="s">
        <v>27</v>
      </c>
      <c r="E2131" t="s">
        <v>719</v>
      </c>
      <c r="F2131" t="s">
        <v>18</v>
      </c>
      <c r="G2131" t="s">
        <v>738</v>
      </c>
      <c r="H2131" s="128">
        <v>0.34899999999999998</v>
      </c>
      <c r="I2131" s="110">
        <v>0.252</v>
      </c>
      <c r="J2131" s="110">
        <v>0.252</v>
      </c>
      <c r="K2131" s="110">
        <v>0.252</v>
      </c>
      <c r="L2131">
        <v>5000</v>
      </c>
      <c r="M2131">
        <v>500000</v>
      </c>
      <c r="N2131" s="105">
        <v>44197</v>
      </c>
      <c r="O2131" s="105">
        <v>44377</v>
      </c>
      <c r="P2131" t="s">
        <v>718</v>
      </c>
      <c r="R2131" s="154"/>
      <c r="S2131" s="154"/>
      <c r="T2131" s="154"/>
      <c r="U2131" s="154"/>
    </row>
    <row r="2132" spans="1:21" ht="15" customHeight="1" x14ac:dyDescent="0.3">
      <c r="A2132" t="str">
        <f t="shared" si="34"/>
        <v/>
      </c>
      <c r="B2132" t="s">
        <v>13</v>
      </c>
      <c r="C2132">
        <v>18</v>
      </c>
      <c r="D2132" s="100" t="s">
        <v>27</v>
      </c>
      <c r="E2132" t="s">
        <v>720</v>
      </c>
      <c r="F2132" t="s">
        <v>18</v>
      </c>
      <c r="G2132" t="s">
        <v>738</v>
      </c>
      <c r="H2132" s="128">
        <v>0.34899999999999998</v>
      </c>
      <c r="J2132" s="110">
        <v>0.1648</v>
      </c>
      <c r="L2132">
        <v>5000</v>
      </c>
      <c r="M2132">
        <v>500000</v>
      </c>
      <c r="N2132" s="105">
        <v>44197</v>
      </c>
      <c r="O2132" s="105">
        <v>44377</v>
      </c>
      <c r="P2132" t="s">
        <v>718</v>
      </c>
      <c r="R2132" s="154"/>
      <c r="S2132" s="154"/>
      <c r="T2132" s="154"/>
      <c r="U2132" s="154"/>
    </row>
    <row r="2133" spans="1:21" ht="15" customHeight="1" x14ac:dyDescent="0.3">
      <c r="A2133" t="str">
        <f t="shared" si="34"/>
        <v>19-3-U-SmartFIX – 5 Year Renewal</v>
      </c>
      <c r="B2133" t="s">
        <v>13</v>
      </c>
      <c r="C2133">
        <v>19</v>
      </c>
      <c r="D2133" s="100" t="s">
        <v>28</v>
      </c>
      <c r="E2133" t="s">
        <v>716</v>
      </c>
      <c r="F2133" t="s">
        <v>16</v>
      </c>
      <c r="G2133" t="s">
        <v>738</v>
      </c>
      <c r="H2133" s="128">
        <v>0.33169999999999999</v>
      </c>
      <c r="I2133" s="110">
        <v>0.1739</v>
      </c>
      <c r="L2133">
        <v>5000</v>
      </c>
      <c r="M2133">
        <v>500000</v>
      </c>
      <c r="N2133" s="105">
        <v>44197</v>
      </c>
      <c r="O2133" s="105">
        <v>44377</v>
      </c>
      <c r="P2133" t="s">
        <v>718</v>
      </c>
      <c r="R2133" s="154"/>
      <c r="S2133" s="154"/>
      <c r="T2133" s="154"/>
      <c r="U2133" s="154"/>
    </row>
    <row r="2134" spans="1:21" ht="15" customHeight="1" x14ac:dyDescent="0.3">
      <c r="A2134" t="str">
        <f t="shared" si="34"/>
        <v>19-4-E7-SmartFIX – 5 Year Renewal</v>
      </c>
      <c r="B2134" t="s">
        <v>13</v>
      </c>
      <c r="C2134">
        <v>19</v>
      </c>
      <c r="D2134" s="100" t="s">
        <v>28</v>
      </c>
      <c r="E2134" t="s">
        <v>17</v>
      </c>
      <c r="F2134" t="s">
        <v>18</v>
      </c>
      <c r="G2134" t="s">
        <v>738</v>
      </c>
      <c r="H2134" s="128">
        <v>0.33169999999999999</v>
      </c>
      <c r="I2134" s="110">
        <v>0.18490000000000001</v>
      </c>
      <c r="J2134" s="110">
        <v>0.13340000000000002</v>
      </c>
      <c r="L2134">
        <v>5000</v>
      </c>
      <c r="M2134">
        <v>500000</v>
      </c>
      <c r="N2134" s="105">
        <v>44197</v>
      </c>
      <c r="O2134" s="105">
        <v>44377</v>
      </c>
      <c r="P2134" t="s">
        <v>718</v>
      </c>
      <c r="R2134" s="154"/>
      <c r="S2134" s="154"/>
      <c r="T2134" s="154"/>
      <c r="U2134" s="154"/>
    </row>
    <row r="2135" spans="1:21" ht="15" customHeight="1" x14ac:dyDescent="0.3">
      <c r="A2135" t="str">
        <f t="shared" si="34"/>
        <v>19-3-EW-SmartFIX – 5 Year Renewal</v>
      </c>
      <c r="B2135" t="s">
        <v>13</v>
      </c>
      <c r="C2135">
        <v>19</v>
      </c>
      <c r="D2135" s="100" t="s">
        <v>28</v>
      </c>
      <c r="E2135" t="s">
        <v>19</v>
      </c>
      <c r="F2135" t="s">
        <v>16</v>
      </c>
      <c r="G2135" t="s">
        <v>738</v>
      </c>
      <c r="H2135" s="128">
        <v>0.33169999999999999</v>
      </c>
      <c r="I2135" s="110">
        <v>0.252</v>
      </c>
      <c r="K2135" s="110">
        <v>0.252</v>
      </c>
      <c r="L2135">
        <v>5000</v>
      </c>
      <c r="M2135">
        <v>500000</v>
      </c>
      <c r="N2135" s="105">
        <v>44197</v>
      </c>
      <c r="O2135" s="105">
        <v>44377</v>
      </c>
      <c r="P2135" t="s">
        <v>718</v>
      </c>
      <c r="R2135" s="154"/>
      <c r="S2135" s="154"/>
      <c r="T2135" s="154"/>
      <c r="U2135" s="154"/>
    </row>
    <row r="2136" spans="1:21" ht="15" customHeight="1" x14ac:dyDescent="0.3">
      <c r="A2136" t="str">
        <f t="shared" si="34"/>
        <v>19-4-3RATE-SmartFIX – 5 Year Renewal</v>
      </c>
      <c r="B2136" t="s">
        <v>13</v>
      </c>
      <c r="C2136">
        <v>19</v>
      </c>
      <c r="D2136" s="100" t="s">
        <v>28</v>
      </c>
      <c r="E2136" t="s">
        <v>719</v>
      </c>
      <c r="F2136" t="s">
        <v>18</v>
      </c>
      <c r="G2136" t="s">
        <v>738</v>
      </c>
      <c r="H2136" s="128">
        <v>0.33169999999999999</v>
      </c>
      <c r="I2136" s="110">
        <v>0.19500000000000001</v>
      </c>
      <c r="J2136" s="110">
        <v>0.1313</v>
      </c>
      <c r="K2136" s="110">
        <v>0.1812</v>
      </c>
      <c r="L2136">
        <v>5000</v>
      </c>
      <c r="M2136">
        <v>500000</v>
      </c>
      <c r="N2136" s="105">
        <v>44197</v>
      </c>
      <c r="O2136" s="105">
        <v>44377</v>
      </c>
      <c r="P2136" t="s">
        <v>718</v>
      </c>
      <c r="R2136" s="154"/>
      <c r="S2136" s="154"/>
      <c r="T2136" s="154"/>
      <c r="U2136" s="154"/>
    </row>
    <row r="2137" spans="1:21" ht="15" customHeight="1" x14ac:dyDescent="0.3">
      <c r="A2137" t="str">
        <f t="shared" si="34"/>
        <v/>
      </c>
      <c r="B2137" t="s">
        <v>13</v>
      </c>
      <c r="C2137">
        <v>19</v>
      </c>
      <c r="D2137" s="100" t="s">
        <v>28</v>
      </c>
      <c r="E2137" t="s">
        <v>720</v>
      </c>
      <c r="F2137" t="s">
        <v>18</v>
      </c>
      <c r="G2137" t="s">
        <v>738</v>
      </c>
      <c r="H2137" s="128">
        <v>0.33169999999999999</v>
      </c>
      <c r="J2137" s="110">
        <v>0.13340000000000002</v>
      </c>
      <c r="L2137">
        <v>5000</v>
      </c>
      <c r="M2137">
        <v>500000</v>
      </c>
      <c r="N2137" s="105">
        <v>44197</v>
      </c>
      <c r="O2137" s="105">
        <v>44377</v>
      </c>
      <c r="P2137" t="s">
        <v>718</v>
      </c>
      <c r="R2137" s="154"/>
      <c r="S2137" s="154"/>
      <c r="T2137" s="154"/>
      <c r="U2137" s="154"/>
    </row>
    <row r="2138" spans="1:21" ht="15" customHeight="1" x14ac:dyDescent="0.3">
      <c r="A2138" t="str">
        <f t="shared" si="34"/>
        <v>20-3-U-SmartFIX – 5 Year Renewal</v>
      </c>
      <c r="B2138" t="s">
        <v>13</v>
      </c>
      <c r="C2138">
        <v>20</v>
      </c>
      <c r="D2138" s="100" t="s">
        <v>29</v>
      </c>
      <c r="E2138" t="s">
        <v>716</v>
      </c>
      <c r="F2138" t="s">
        <v>16</v>
      </c>
      <c r="G2138" t="s">
        <v>738</v>
      </c>
      <c r="H2138" s="128">
        <v>0.32879999999999998</v>
      </c>
      <c r="I2138" s="110">
        <v>0.17369999999999999</v>
      </c>
      <c r="L2138">
        <v>5000</v>
      </c>
      <c r="M2138">
        <v>500000</v>
      </c>
      <c r="N2138" s="105">
        <v>44197</v>
      </c>
      <c r="O2138" s="105">
        <v>44377</v>
      </c>
      <c r="P2138" t="s">
        <v>718</v>
      </c>
      <c r="R2138" s="154"/>
      <c r="S2138" s="154"/>
      <c r="T2138" s="154"/>
      <c r="U2138" s="154"/>
    </row>
    <row r="2139" spans="1:21" ht="15" customHeight="1" x14ac:dyDescent="0.3">
      <c r="A2139" t="str">
        <f t="shared" si="34"/>
        <v>20-4-E7-SmartFIX – 5 Year Renewal</v>
      </c>
      <c r="B2139" t="s">
        <v>13</v>
      </c>
      <c r="C2139">
        <v>20</v>
      </c>
      <c r="D2139" s="100" t="s">
        <v>29</v>
      </c>
      <c r="E2139" t="s">
        <v>17</v>
      </c>
      <c r="F2139" t="s">
        <v>18</v>
      </c>
      <c r="G2139" t="s">
        <v>738</v>
      </c>
      <c r="H2139" s="128">
        <v>0.32879999999999998</v>
      </c>
      <c r="I2139" s="110">
        <v>0.1857</v>
      </c>
      <c r="J2139" s="110">
        <v>0.13870000000000002</v>
      </c>
      <c r="L2139">
        <v>5000</v>
      </c>
      <c r="M2139">
        <v>500000</v>
      </c>
      <c r="N2139" s="105">
        <v>44197</v>
      </c>
      <c r="O2139" s="105">
        <v>44377</v>
      </c>
      <c r="P2139" t="s">
        <v>718</v>
      </c>
      <c r="R2139" s="154"/>
      <c r="S2139" s="154"/>
      <c r="T2139" s="154"/>
      <c r="U2139" s="154"/>
    </row>
    <row r="2140" spans="1:21" ht="15" customHeight="1" x14ac:dyDescent="0.3">
      <c r="A2140" t="str">
        <f t="shared" si="34"/>
        <v>20-3-EW-SmartFIX – 5 Year Renewal</v>
      </c>
      <c r="B2140" t="s">
        <v>13</v>
      </c>
      <c r="C2140">
        <v>20</v>
      </c>
      <c r="D2140" s="100" t="s">
        <v>29</v>
      </c>
      <c r="E2140" t="s">
        <v>19</v>
      </c>
      <c r="F2140" t="s">
        <v>16</v>
      </c>
      <c r="G2140" t="s">
        <v>738</v>
      </c>
      <c r="H2140" s="128">
        <v>0.32879999999999998</v>
      </c>
      <c r="I2140" s="110">
        <v>0.18430000000000002</v>
      </c>
      <c r="K2140" s="110">
        <v>0.15940000000000001</v>
      </c>
      <c r="L2140">
        <v>5000</v>
      </c>
      <c r="M2140">
        <v>500000</v>
      </c>
      <c r="N2140" s="105">
        <v>44197</v>
      </c>
      <c r="O2140" s="105">
        <v>44377</v>
      </c>
      <c r="P2140" t="s">
        <v>718</v>
      </c>
      <c r="R2140" s="154"/>
      <c r="S2140" s="154"/>
      <c r="T2140" s="154"/>
      <c r="U2140" s="154"/>
    </row>
    <row r="2141" spans="1:21" ht="15" customHeight="1" x14ac:dyDescent="0.3">
      <c r="A2141" t="str">
        <f t="shared" si="34"/>
        <v>20-4-3RATE-SmartFIX – 5 Year Renewal</v>
      </c>
      <c r="B2141" t="s">
        <v>13</v>
      </c>
      <c r="C2141">
        <v>20</v>
      </c>
      <c r="D2141" s="100" t="s">
        <v>29</v>
      </c>
      <c r="E2141" t="s">
        <v>719</v>
      </c>
      <c r="F2141" t="s">
        <v>18</v>
      </c>
      <c r="G2141" t="s">
        <v>738</v>
      </c>
      <c r="H2141" s="128">
        <v>0.32879999999999998</v>
      </c>
      <c r="I2141" s="110">
        <v>0.19720000000000001</v>
      </c>
      <c r="J2141" s="110">
        <v>0.13689999999999999</v>
      </c>
      <c r="K2141" s="110">
        <v>0.1754</v>
      </c>
      <c r="L2141">
        <v>5000</v>
      </c>
      <c r="M2141">
        <v>500000</v>
      </c>
      <c r="N2141" s="105">
        <v>44197</v>
      </c>
      <c r="O2141" s="105">
        <v>44377</v>
      </c>
      <c r="P2141" t="s">
        <v>718</v>
      </c>
      <c r="R2141" s="154"/>
      <c r="S2141" s="154"/>
      <c r="T2141" s="154"/>
      <c r="U2141" s="154"/>
    </row>
    <row r="2142" spans="1:21" ht="15" customHeight="1" x14ac:dyDescent="0.3">
      <c r="A2142" t="str">
        <f t="shared" si="34"/>
        <v/>
      </c>
      <c r="B2142" t="s">
        <v>13</v>
      </c>
      <c r="C2142">
        <v>20</v>
      </c>
      <c r="D2142" s="100" t="s">
        <v>29</v>
      </c>
      <c r="E2142" t="s">
        <v>720</v>
      </c>
      <c r="F2142" t="s">
        <v>18</v>
      </c>
      <c r="G2142" t="s">
        <v>738</v>
      </c>
      <c r="H2142" s="128">
        <v>0.32879999999999998</v>
      </c>
      <c r="J2142" s="110">
        <v>0.15940000000000001</v>
      </c>
      <c r="L2142">
        <v>5000</v>
      </c>
      <c r="M2142">
        <v>500000</v>
      </c>
      <c r="N2142" s="105">
        <v>44197</v>
      </c>
      <c r="O2142" s="105">
        <v>44377</v>
      </c>
      <c r="P2142" t="s">
        <v>718</v>
      </c>
      <c r="R2142" s="154"/>
      <c r="S2142" s="154"/>
      <c r="T2142" s="154"/>
      <c r="U2142" s="154"/>
    </row>
    <row r="2143" spans="1:21" ht="15" customHeight="1" x14ac:dyDescent="0.3">
      <c r="A2143" t="str">
        <f t="shared" si="34"/>
        <v>21-3-U-SmartFIX – 5 Year Renewal</v>
      </c>
      <c r="B2143" t="s">
        <v>13</v>
      </c>
      <c r="C2143">
        <v>21</v>
      </c>
      <c r="D2143" s="100" t="s">
        <v>30</v>
      </c>
      <c r="E2143" t="s">
        <v>716</v>
      </c>
      <c r="F2143" t="s">
        <v>16</v>
      </c>
      <c r="G2143" t="s">
        <v>738</v>
      </c>
      <c r="H2143" s="128">
        <v>0.4551</v>
      </c>
      <c r="I2143" s="110">
        <v>0.17320000000000002</v>
      </c>
      <c r="L2143">
        <v>5000</v>
      </c>
      <c r="M2143">
        <v>500000</v>
      </c>
      <c r="N2143" s="105">
        <v>44197</v>
      </c>
      <c r="O2143" s="105">
        <v>44377</v>
      </c>
      <c r="P2143" t="s">
        <v>718</v>
      </c>
      <c r="R2143" s="154"/>
      <c r="S2143" s="154"/>
      <c r="T2143" s="154"/>
      <c r="U2143" s="154"/>
    </row>
    <row r="2144" spans="1:21" ht="15" customHeight="1" x14ac:dyDescent="0.3">
      <c r="A2144" t="str">
        <f t="shared" si="34"/>
        <v>21-4-E7-SmartFIX – 5 Year Renewal</v>
      </c>
      <c r="B2144" t="s">
        <v>13</v>
      </c>
      <c r="C2144">
        <v>21</v>
      </c>
      <c r="D2144" s="100" t="s">
        <v>30</v>
      </c>
      <c r="E2144" t="s">
        <v>17</v>
      </c>
      <c r="F2144" t="s">
        <v>18</v>
      </c>
      <c r="G2144" t="s">
        <v>738</v>
      </c>
      <c r="H2144" s="128">
        <v>0.4551</v>
      </c>
      <c r="I2144" s="110">
        <v>0.18090000000000001</v>
      </c>
      <c r="J2144" s="110">
        <v>0.1386</v>
      </c>
      <c r="L2144">
        <v>5000</v>
      </c>
      <c r="M2144">
        <v>500000</v>
      </c>
      <c r="N2144" s="105">
        <v>44197</v>
      </c>
      <c r="O2144" s="105">
        <v>44377</v>
      </c>
      <c r="P2144" t="s">
        <v>718</v>
      </c>
      <c r="R2144" s="154"/>
      <c r="S2144" s="154"/>
      <c r="T2144" s="154"/>
      <c r="U2144" s="154"/>
    </row>
    <row r="2145" spans="1:21" ht="15" customHeight="1" x14ac:dyDescent="0.3">
      <c r="A2145" t="str">
        <f t="shared" si="34"/>
        <v>21-3-EW-SmartFIX – 5 Year Renewal</v>
      </c>
      <c r="B2145" t="s">
        <v>13</v>
      </c>
      <c r="C2145">
        <v>21</v>
      </c>
      <c r="D2145" s="100" t="s">
        <v>30</v>
      </c>
      <c r="E2145" t="s">
        <v>19</v>
      </c>
      <c r="F2145" t="s">
        <v>16</v>
      </c>
      <c r="G2145" t="s">
        <v>738</v>
      </c>
      <c r="H2145" s="128">
        <v>0.4551</v>
      </c>
      <c r="I2145" s="110">
        <v>0.18190000000000001</v>
      </c>
      <c r="K2145" s="110">
        <v>0.16110000000000002</v>
      </c>
      <c r="L2145">
        <v>5000</v>
      </c>
      <c r="M2145">
        <v>500000</v>
      </c>
      <c r="N2145" s="105">
        <v>44197</v>
      </c>
      <c r="O2145" s="105">
        <v>44377</v>
      </c>
      <c r="P2145" t="s">
        <v>718</v>
      </c>
      <c r="R2145" s="154"/>
      <c r="S2145" s="154"/>
      <c r="T2145" s="154"/>
      <c r="U2145" s="154"/>
    </row>
    <row r="2146" spans="1:21" ht="15" customHeight="1" x14ac:dyDescent="0.3">
      <c r="A2146" t="str">
        <f t="shared" si="34"/>
        <v>21-4-3RATE-SmartFIX – 5 Year Renewal</v>
      </c>
      <c r="B2146" t="s">
        <v>13</v>
      </c>
      <c r="C2146">
        <v>21</v>
      </c>
      <c r="D2146" s="100" t="s">
        <v>30</v>
      </c>
      <c r="E2146" t="s">
        <v>719</v>
      </c>
      <c r="F2146" t="s">
        <v>18</v>
      </c>
      <c r="G2146" t="s">
        <v>738</v>
      </c>
      <c r="H2146" s="128">
        <v>0.4551</v>
      </c>
      <c r="I2146" s="110">
        <v>0.1951</v>
      </c>
      <c r="J2146" s="110">
        <v>0.13620000000000002</v>
      </c>
      <c r="K2146" s="110">
        <v>0.17700000000000002</v>
      </c>
      <c r="L2146">
        <v>5000</v>
      </c>
      <c r="M2146">
        <v>500000</v>
      </c>
      <c r="N2146" s="105">
        <v>44197</v>
      </c>
      <c r="O2146" s="105">
        <v>44377</v>
      </c>
      <c r="P2146" t="s">
        <v>718</v>
      </c>
      <c r="R2146" s="154"/>
      <c r="S2146" s="154"/>
      <c r="T2146" s="154"/>
      <c r="U2146" s="154"/>
    </row>
    <row r="2147" spans="1:21" ht="15" customHeight="1" x14ac:dyDescent="0.3">
      <c r="A2147" t="str">
        <f t="shared" si="34"/>
        <v/>
      </c>
      <c r="B2147" t="s">
        <v>13</v>
      </c>
      <c r="C2147">
        <v>21</v>
      </c>
      <c r="D2147" s="100" t="s">
        <v>30</v>
      </c>
      <c r="E2147" t="s">
        <v>720</v>
      </c>
      <c r="F2147" t="s">
        <v>18</v>
      </c>
      <c r="G2147" t="s">
        <v>738</v>
      </c>
      <c r="H2147" s="128">
        <v>0.4551</v>
      </c>
      <c r="J2147" s="110">
        <v>0.16110000000000002</v>
      </c>
      <c r="L2147">
        <v>5000</v>
      </c>
      <c r="M2147">
        <v>500000</v>
      </c>
      <c r="N2147" s="105">
        <v>44197</v>
      </c>
      <c r="O2147" s="105">
        <v>44377</v>
      </c>
      <c r="P2147" t="s">
        <v>718</v>
      </c>
      <c r="R2147" s="154"/>
      <c r="S2147" s="154"/>
      <c r="T2147" s="154"/>
      <c r="U2147" s="154"/>
    </row>
    <row r="2148" spans="1:21" ht="15" customHeight="1" x14ac:dyDescent="0.3">
      <c r="A2148" t="str">
        <f t="shared" si="34"/>
        <v>22-3-U-SmartFIX – 5 Year Renewal</v>
      </c>
      <c r="B2148" t="s">
        <v>13</v>
      </c>
      <c r="C2148">
        <v>22</v>
      </c>
      <c r="D2148" s="100" t="s">
        <v>31</v>
      </c>
      <c r="E2148" t="s">
        <v>716</v>
      </c>
      <c r="F2148" t="s">
        <v>16</v>
      </c>
      <c r="G2148" t="s">
        <v>738</v>
      </c>
      <c r="H2148" s="128">
        <v>0.39240000000000003</v>
      </c>
      <c r="I2148" s="110">
        <v>0.17780000000000001</v>
      </c>
      <c r="L2148">
        <v>5000</v>
      </c>
      <c r="M2148">
        <v>500000</v>
      </c>
      <c r="N2148" s="105">
        <v>44197</v>
      </c>
      <c r="O2148" s="105">
        <v>44377</v>
      </c>
      <c r="P2148" t="s">
        <v>718</v>
      </c>
      <c r="R2148" s="154"/>
      <c r="S2148" s="154"/>
      <c r="T2148" s="154"/>
      <c r="U2148" s="154"/>
    </row>
    <row r="2149" spans="1:21" ht="15" customHeight="1" x14ac:dyDescent="0.3">
      <c r="A2149" t="str">
        <f t="shared" si="34"/>
        <v>22-4-E7-SmartFIX – 5 Year Renewal</v>
      </c>
      <c r="B2149" t="s">
        <v>13</v>
      </c>
      <c r="C2149">
        <v>22</v>
      </c>
      <c r="D2149" s="100" t="s">
        <v>31</v>
      </c>
      <c r="E2149" t="s">
        <v>17</v>
      </c>
      <c r="F2149" t="s">
        <v>18</v>
      </c>
      <c r="G2149" t="s">
        <v>738</v>
      </c>
      <c r="H2149" s="128">
        <v>0.39240000000000003</v>
      </c>
      <c r="I2149" s="110">
        <v>0.1842</v>
      </c>
      <c r="J2149" s="110">
        <v>0.1381</v>
      </c>
      <c r="L2149">
        <v>5000</v>
      </c>
      <c r="M2149">
        <v>500000</v>
      </c>
      <c r="N2149" s="105">
        <v>44197</v>
      </c>
      <c r="O2149" s="105">
        <v>44377</v>
      </c>
      <c r="P2149" t="s">
        <v>718</v>
      </c>
      <c r="R2149" s="154"/>
      <c r="S2149" s="154"/>
      <c r="T2149" s="154"/>
      <c r="U2149" s="154"/>
    </row>
    <row r="2150" spans="1:21" ht="15" customHeight="1" x14ac:dyDescent="0.3">
      <c r="A2150" t="str">
        <f t="shared" si="34"/>
        <v>22-3-EW-SmartFIX – 5 Year Renewal</v>
      </c>
      <c r="B2150" t="s">
        <v>13</v>
      </c>
      <c r="C2150">
        <v>22</v>
      </c>
      <c r="D2150" s="100" t="s">
        <v>31</v>
      </c>
      <c r="E2150" t="s">
        <v>19</v>
      </c>
      <c r="F2150" t="s">
        <v>16</v>
      </c>
      <c r="G2150" t="s">
        <v>738</v>
      </c>
      <c r="H2150" s="128">
        <v>0.39240000000000003</v>
      </c>
      <c r="I2150" s="110">
        <v>0.1883</v>
      </c>
      <c r="K2150" s="110">
        <v>0.1648</v>
      </c>
      <c r="L2150">
        <v>5000</v>
      </c>
      <c r="M2150">
        <v>500000</v>
      </c>
      <c r="N2150" s="105">
        <v>44197</v>
      </c>
      <c r="O2150" s="105">
        <v>44377</v>
      </c>
      <c r="P2150" t="s">
        <v>718</v>
      </c>
      <c r="R2150" s="154"/>
      <c r="S2150" s="154"/>
      <c r="T2150" s="154"/>
      <c r="U2150" s="154"/>
    </row>
    <row r="2151" spans="1:21" ht="15" customHeight="1" x14ac:dyDescent="0.3">
      <c r="A2151" t="str">
        <f t="shared" si="34"/>
        <v>22-4-3RATE-SmartFIX – 5 Year Renewal</v>
      </c>
      <c r="B2151" t="s">
        <v>13</v>
      </c>
      <c r="C2151">
        <v>22</v>
      </c>
      <c r="D2151" s="100" t="s">
        <v>31</v>
      </c>
      <c r="E2151" t="s">
        <v>719</v>
      </c>
      <c r="F2151" t="s">
        <v>18</v>
      </c>
      <c r="G2151" t="s">
        <v>738</v>
      </c>
      <c r="H2151" s="128">
        <v>0.39240000000000003</v>
      </c>
      <c r="I2151" s="110">
        <v>0.1971</v>
      </c>
      <c r="J2151" s="110">
        <v>0.13570000000000002</v>
      </c>
      <c r="K2151" s="110">
        <v>0.1817</v>
      </c>
      <c r="L2151">
        <v>5000</v>
      </c>
      <c r="M2151">
        <v>500000</v>
      </c>
      <c r="N2151" s="105">
        <v>44197</v>
      </c>
      <c r="O2151" s="105">
        <v>44377</v>
      </c>
      <c r="P2151" t="s">
        <v>718</v>
      </c>
      <c r="R2151" s="154"/>
      <c r="S2151" s="154"/>
      <c r="T2151" s="154"/>
      <c r="U2151" s="154"/>
    </row>
    <row r="2152" spans="1:21" ht="15" customHeight="1" x14ac:dyDescent="0.3">
      <c r="A2152" t="str">
        <f t="shared" si="34"/>
        <v/>
      </c>
      <c r="B2152" t="s">
        <v>13</v>
      </c>
      <c r="C2152">
        <v>22</v>
      </c>
      <c r="D2152" s="100" t="s">
        <v>31</v>
      </c>
      <c r="E2152" t="s">
        <v>720</v>
      </c>
      <c r="F2152" t="s">
        <v>18</v>
      </c>
      <c r="G2152" t="s">
        <v>738</v>
      </c>
      <c r="H2152" s="128">
        <v>0.39240000000000003</v>
      </c>
      <c r="J2152" s="110">
        <v>0.1648</v>
      </c>
      <c r="L2152">
        <v>5000</v>
      </c>
      <c r="M2152">
        <v>500000</v>
      </c>
      <c r="N2152" s="105">
        <v>44197</v>
      </c>
      <c r="O2152" s="105">
        <v>44377</v>
      </c>
      <c r="P2152" t="s">
        <v>718</v>
      </c>
      <c r="R2152" s="154"/>
      <c r="S2152" s="154"/>
      <c r="T2152" s="154"/>
      <c r="U2152" s="154"/>
    </row>
    <row r="2153" spans="1:21" ht="15" customHeight="1" x14ac:dyDescent="0.3">
      <c r="A2153" t="str">
        <f t="shared" si="34"/>
        <v>23-3-U-SmartFIX – 5 Year Renewal</v>
      </c>
      <c r="B2153" t="s">
        <v>13</v>
      </c>
      <c r="C2153">
        <v>23</v>
      </c>
      <c r="D2153" s="100" t="s">
        <v>32</v>
      </c>
      <c r="E2153" t="s">
        <v>716</v>
      </c>
      <c r="F2153" t="s">
        <v>16</v>
      </c>
      <c r="G2153" t="s">
        <v>738</v>
      </c>
      <c r="H2153" s="128">
        <v>0.34460000000000002</v>
      </c>
      <c r="I2153" s="110">
        <v>0.1744</v>
      </c>
      <c r="L2153">
        <v>5000</v>
      </c>
      <c r="M2153">
        <v>500000</v>
      </c>
      <c r="N2153" s="105">
        <v>44197</v>
      </c>
      <c r="O2153" s="105">
        <v>44377</v>
      </c>
      <c r="P2153" t="s">
        <v>718</v>
      </c>
      <c r="R2153" s="154"/>
      <c r="S2153" s="154"/>
      <c r="T2153" s="154"/>
      <c r="U2153" s="154"/>
    </row>
    <row r="2154" spans="1:21" ht="15" customHeight="1" x14ac:dyDescent="0.3">
      <c r="A2154" t="str">
        <f t="shared" si="34"/>
        <v>23-4-E7-SmartFIX – 5 Year Renewal</v>
      </c>
      <c r="B2154" t="s">
        <v>13</v>
      </c>
      <c r="C2154">
        <v>23</v>
      </c>
      <c r="D2154" s="100" t="s">
        <v>32</v>
      </c>
      <c r="E2154" t="s">
        <v>17</v>
      </c>
      <c r="F2154" t="s">
        <v>18</v>
      </c>
      <c r="G2154" t="s">
        <v>738</v>
      </c>
      <c r="H2154" s="128">
        <v>0.34460000000000002</v>
      </c>
      <c r="I2154" s="110">
        <v>0.1797</v>
      </c>
      <c r="J2154" s="110">
        <v>0.13880000000000001</v>
      </c>
      <c r="L2154">
        <v>5000</v>
      </c>
      <c r="M2154">
        <v>500000</v>
      </c>
      <c r="N2154" s="105">
        <v>44197</v>
      </c>
      <c r="O2154" s="105">
        <v>44377</v>
      </c>
      <c r="P2154" t="s">
        <v>718</v>
      </c>
      <c r="R2154" s="154"/>
      <c r="S2154" s="154"/>
      <c r="T2154" s="154"/>
      <c r="U2154" s="154"/>
    </row>
    <row r="2155" spans="1:21" ht="15" customHeight="1" x14ac:dyDescent="0.3">
      <c r="A2155" t="str">
        <f t="shared" si="34"/>
        <v>23-3-EW-SmartFIX – 5 Year Renewal</v>
      </c>
      <c r="B2155" t="s">
        <v>13</v>
      </c>
      <c r="C2155">
        <v>23</v>
      </c>
      <c r="D2155" s="100" t="s">
        <v>32</v>
      </c>
      <c r="E2155" t="s">
        <v>19</v>
      </c>
      <c r="F2155" t="s">
        <v>16</v>
      </c>
      <c r="G2155" t="s">
        <v>738</v>
      </c>
      <c r="H2155" s="128">
        <v>0.34460000000000002</v>
      </c>
      <c r="I2155" s="110">
        <v>0.18440000000000001</v>
      </c>
      <c r="K2155" s="110">
        <v>0.1608</v>
      </c>
      <c r="L2155">
        <v>5000</v>
      </c>
      <c r="M2155">
        <v>500000</v>
      </c>
      <c r="N2155" s="105">
        <v>44197</v>
      </c>
      <c r="O2155" s="105">
        <v>44377</v>
      </c>
      <c r="P2155" t="s">
        <v>718</v>
      </c>
      <c r="R2155" s="154"/>
      <c r="S2155" s="154"/>
      <c r="T2155" s="154"/>
      <c r="U2155" s="154"/>
    </row>
    <row r="2156" spans="1:21" ht="15" customHeight="1" x14ac:dyDescent="0.3">
      <c r="A2156" t="str">
        <f t="shared" si="34"/>
        <v>23-4-3RATE-SmartFIX – 5 Year Renewal</v>
      </c>
      <c r="B2156" t="s">
        <v>13</v>
      </c>
      <c r="C2156">
        <v>23</v>
      </c>
      <c r="D2156" s="100" t="s">
        <v>32</v>
      </c>
      <c r="E2156" t="s">
        <v>719</v>
      </c>
      <c r="F2156" t="s">
        <v>18</v>
      </c>
      <c r="G2156" t="s">
        <v>738</v>
      </c>
      <c r="H2156" s="128">
        <v>0.34460000000000002</v>
      </c>
      <c r="I2156" s="110">
        <v>0.19500000000000001</v>
      </c>
      <c r="J2156" s="110">
        <v>0.13689999999999999</v>
      </c>
      <c r="K2156" s="110">
        <v>0.17330000000000001</v>
      </c>
      <c r="L2156">
        <v>5000</v>
      </c>
      <c r="M2156">
        <v>500000</v>
      </c>
      <c r="N2156" s="105">
        <v>44197</v>
      </c>
      <c r="O2156" s="105">
        <v>44377</v>
      </c>
      <c r="P2156" t="s">
        <v>718</v>
      </c>
      <c r="R2156" s="154"/>
      <c r="S2156" s="154"/>
      <c r="T2156" s="154"/>
      <c r="U2156" s="154"/>
    </row>
    <row r="2157" spans="1:21" ht="15" customHeight="1" x14ac:dyDescent="0.3">
      <c r="A2157" t="str">
        <f t="shared" si="34"/>
        <v/>
      </c>
      <c r="B2157" t="s">
        <v>13</v>
      </c>
      <c r="C2157">
        <v>23</v>
      </c>
      <c r="D2157" s="100" t="s">
        <v>32</v>
      </c>
      <c r="E2157" t="s">
        <v>720</v>
      </c>
      <c r="F2157" t="s">
        <v>18</v>
      </c>
      <c r="G2157" t="s">
        <v>738</v>
      </c>
      <c r="H2157" s="128">
        <v>0.34460000000000002</v>
      </c>
      <c r="J2157" s="110">
        <v>0.1608</v>
      </c>
      <c r="L2157">
        <v>5000</v>
      </c>
      <c r="M2157">
        <v>500000</v>
      </c>
      <c r="N2157" s="105">
        <v>44197</v>
      </c>
      <c r="O2157" s="105">
        <v>44377</v>
      </c>
      <c r="P2157" t="s">
        <v>718</v>
      </c>
      <c r="R2157" s="154"/>
      <c r="S2157" s="154"/>
      <c r="T2157" s="154"/>
      <c r="U2157" s="154"/>
    </row>
    <row r="2158" spans="1:21" ht="15" customHeight="1" x14ac:dyDescent="0.3">
      <c r="A2158" t="str">
        <f t="shared" si="34"/>
        <v>10-0-HH 1RATE (WC)-SmartFIX – 5 Year</v>
      </c>
      <c r="B2158" t="s">
        <v>13</v>
      </c>
      <c r="C2158">
        <v>10</v>
      </c>
      <c r="D2158" s="100" t="s">
        <v>14</v>
      </c>
      <c r="E2158" t="s">
        <v>732</v>
      </c>
      <c r="F2158" t="s">
        <v>88</v>
      </c>
      <c r="G2158" t="s">
        <v>737</v>
      </c>
      <c r="H2158" s="128">
        <v>0.41920000000000002</v>
      </c>
      <c r="I2158" s="110">
        <v>0.16819999999999999</v>
      </c>
      <c r="L2158">
        <v>5000</v>
      </c>
      <c r="M2158">
        <v>500000</v>
      </c>
      <c r="N2158" s="105">
        <v>44197</v>
      </c>
      <c r="O2158" s="105">
        <v>44377</v>
      </c>
      <c r="P2158" t="s">
        <v>718</v>
      </c>
      <c r="R2158" s="154"/>
      <c r="S2158" s="154"/>
      <c r="T2158" s="154"/>
      <c r="U2158" s="154"/>
    </row>
    <row r="2159" spans="1:21" ht="15" customHeight="1" x14ac:dyDescent="0.3">
      <c r="A2159" t="str">
        <f t="shared" si="34"/>
        <v>11-0-HH 1RATE (WC)-SmartFIX – 5 Year</v>
      </c>
      <c r="B2159" t="s">
        <v>13</v>
      </c>
      <c r="C2159">
        <v>11</v>
      </c>
      <c r="D2159" s="100" t="s">
        <v>20</v>
      </c>
      <c r="E2159" t="s">
        <v>732</v>
      </c>
      <c r="F2159" t="s">
        <v>88</v>
      </c>
      <c r="G2159" t="s">
        <v>737</v>
      </c>
      <c r="H2159" s="128">
        <v>0.42980000000000002</v>
      </c>
      <c r="I2159" s="110">
        <v>0.16120000000000001</v>
      </c>
      <c r="L2159">
        <v>5000</v>
      </c>
      <c r="M2159">
        <v>500000</v>
      </c>
      <c r="N2159" s="105">
        <v>44197</v>
      </c>
      <c r="O2159" s="105">
        <v>44377</v>
      </c>
      <c r="P2159" t="s">
        <v>718</v>
      </c>
      <c r="R2159" s="154"/>
      <c r="S2159" s="154"/>
      <c r="T2159" s="154"/>
      <c r="U2159" s="154"/>
    </row>
    <row r="2160" spans="1:21" ht="15" customHeight="1" x14ac:dyDescent="0.3">
      <c r="A2160" t="str">
        <f t="shared" si="34"/>
        <v>12-0-HH 1RATE (WC)-SmartFIX – 5 Year</v>
      </c>
      <c r="B2160" t="s">
        <v>13</v>
      </c>
      <c r="C2160">
        <v>12</v>
      </c>
      <c r="D2160" s="100" t="s">
        <v>21</v>
      </c>
      <c r="E2160" t="s">
        <v>732</v>
      </c>
      <c r="F2160" t="s">
        <v>88</v>
      </c>
      <c r="G2160" t="s">
        <v>737</v>
      </c>
      <c r="H2160" s="128">
        <v>0.35099999999999998</v>
      </c>
      <c r="I2160" s="110">
        <v>0.1618</v>
      </c>
      <c r="L2160">
        <v>5000</v>
      </c>
      <c r="M2160">
        <v>500000</v>
      </c>
      <c r="N2160" s="105">
        <v>44197</v>
      </c>
      <c r="O2160" s="105">
        <v>44377</v>
      </c>
      <c r="P2160" t="s">
        <v>718</v>
      </c>
      <c r="R2160" s="154"/>
      <c r="S2160" s="154"/>
      <c r="T2160" s="154"/>
      <c r="U2160" s="154"/>
    </row>
    <row r="2161" spans="1:21" ht="15" customHeight="1" x14ac:dyDescent="0.3">
      <c r="A2161" t="str">
        <f t="shared" si="34"/>
        <v>13-0-HH 1RATE (WC)-SmartFIX – 5 Year</v>
      </c>
      <c r="B2161" t="s">
        <v>13</v>
      </c>
      <c r="C2161">
        <v>13</v>
      </c>
      <c r="D2161" s="100" t="s">
        <v>22</v>
      </c>
      <c r="E2161" t="s">
        <v>732</v>
      </c>
      <c r="F2161" t="s">
        <v>88</v>
      </c>
      <c r="G2161" t="s">
        <v>737</v>
      </c>
      <c r="H2161" s="128">
        <v>0.39379999999999998</v>
      </c>
      <c r="I2161" s="110">
        <v>0.18260000000000001</v>
      </c>
      <c r="L2161">
        <v>5000</v>
      </c>
      <c r="M2161">
        <v>500000</v>
      </c>
      <c r="N2161" s="105">
        <v>44197</v>
      </c>
      <c r="O2161" s="105">
        <v>44377</v>
      </c>
      <c r="P2161" t="s">
        <v>718</v>
      </c>
      <c r="R2161" s="154"/>
      <c r="S2161" s="154"/>
      <c r="T2161" s="154"/>
      <c r="U2161" s="154"/>
    </row>
    <row r="2162" spans="1:21" ht="15" customHeight="1" x14ac:dyDescent="0.3">
      <c r="A2162" t="str">
        <f t="shared" si="34"/>
        <v>14-0-HH 1RATE (WC)-SmartFIX – 5 Year</v>
      </c>
      <c r="B2162" t="s">
        <v>13</v>
      </c>
      <c r="C2162">
        <v>14</v>
      </c>
      <c r="D2162" s="100" t="s">
        <v>23</v>
      </c>
      <c r="E2162" t="s">
        <v>732</v>
      </c>
      <c r="F2162" t="s">
        <v>88</v>
      </c>
      <c r="G2162" t="s">
        <v>737</v>
      </c>
      <c r="H2162" s="128">
        <v>0.45290000000000002</v>
      </c>
      <c r="I2162" s="110">
        <v>0.1666</v>
      </c>
      <c r="L2162">
        <v>5000</v>
      </c>
      <c r="M2162">
        <v>500000</v>
      </c>
      <c r="N2162" s="105">
        <v>44197</v>
      </c>
      <c r="O2162" s="105">
        <v>44377</v>
      </c>
      <c r="P2162" t="s">
        <v>718</v>
      </c>
      <c r="R2162" s="154"/>
      <c r="S2162" s="154"/>
      <c r="T2162" s="154"/>
      <c r="U2162" s="154"/>
    </row>
    <row r="2163" spans="1:21" ht="15" customHeight="1" x14ac:dyDescent="0.3">
      <c r="A2163" t="str">
        <f t="shared" si="34"/>
        <v>15-0-HH 1RATE (WC)-SmartFIX – 5 Year</v>
      </c>
      <c r="B2163" t="s">
        <v>13</v>
      </c>
      <c r="C2163">
        <v>15</v>
      </c>
      <c r="D2163" s="100" t="s">
        <v>24</v>
      </c>
      <c r="E2163" t="s">
        <v>732</v>
      </c>
      <c r="F2163" t="s">
        <v>88</v>
      </c>
      <c r="G2163" t="s">
        <v>737</v>
      </c>
      <c r="H2163" s="128">
        <v>0.42909999999999998</v>
      </c>
      <c r="I2163" s="110">
        <v>0.16500000000000001</v>
      </c>
      <c r="L2163">
        <v>5000</v>
      </c>
      <c r="M2163">
        <v>500000</v>
      </c>
      <c r="N2163" s="105">
        <v>44197</v>
      </c>
      <c r="O2163" s="105">
        <v>44377</v>
      </c>
      <c r="P2163" t="s">
        <v>718</v>
      </c>
      <c r="R2163" s="154"/>
      <c r="S2163" s="154"/>
      <c r="T2163" s="154"/>
      <c r="U2163" s="154"/>
    </row>
    <row r="2164" spans="1:21" ht="15" customHeight="1" x14ac:dyDescent="0.3">
      <c r="A2164" t="str">
        <f t="shared" si="34"/>
        <v>16-0-HH 1RATE (WC)-SmartFIX – 5 Year</v>
      </c>
      <c r="B2164" t="s">
        <v>13</v>
      </c>
      <c r="C2164">
        <v>16</v>
      </c>
      <c r="D2164" s="100" t="s">
        <v>25</v>
      </c>
      <c r="E2164" t="s">
        <v>732</v>
      </c>
      <c r="F2164" t="s">
        <v>88</v>
      </c>
      <c r="G2164" t="s">
        <v>737</v>
      </c>
      <c r="H2164" s="128">
        <v>0.38250000000000001</v>
      </c>
      <c r="I2164" s="110">
        <v>0.16769999999999999</v>
      </c>
      <c r="L2164">
        <v>5000</v>
      </c>
      <c r="M2164">
        <v>500000</v>
      </c>
      <c r="N2164" s="105">
        <v>44197</v>
      </c>
      <c r="O2164" s="105">
        <v>44377</v>
      </c>
      <c r="P2164" t="s">
        <v>718</v>
      </c>
      <c r="R2164" s="154"/>
      <c r="S2164" s="154"/>
      <c r="T2164" s="154"/>
      <c r="U2164" s="154"/>
    </row>
    <row r="2165" spans="1:21" ht="15" customHeight="1" x14ac:dyDescent="0.3">
      <c r="A2165" t="str">
        <f t="shared" si="34"/>
        <v>17-0-HH 1RATE (WC)-SmartFIX – 5 Year</v>
      </c>
      <c r="B2165" t="s">
        <v>13</v>
      </c>
      <c r="C2165">
        <v>17</v>
      </c>
      <c r="D2165" s="100" t="s">
        <v>26</v>
      </c>
      <c r="E2165" t="s">
        <v>732</v>
      </c>
      <c r="F2165" t="s">
        <v>88</v>
      </c>
      <c r="G2165" t="s">
        <v>737</v>
      </c>
      <c r="H2165" s="128">
        <v>0.46820000000000001</v>
      </c>
      <c r="I2165" s="110">
        <v>0.18940000000000001</v>
      </c>
      <c r="L2165">
        <v>5000</v>
      </c>
      <c r="M2165">
        <v>500000</v>
      </c>
      <c r="N2165" s="105">
        <v>44197</v>
      </c>
      <c r="O2165" s="105">
        <v>44377</v>
      </c>
      <c r="P2165" t="s">
        <v>718</v>
      </c>
      <c r="R2165" s="154"/>
      <c r="S2165" s="154"/>
      <c r="T2165" s="154"/>
      <c r="U2165" s="154"/>
    </row>
    <row r="2166" spans="1:21" ht="15" customHeight="1" x14ac:dyDescent="0.3">
      <c r="A2166" t="str">
        <f t="shared" si="34"/>
        <v>18-0-HH 1RATE (WC)-SmartFIX – 5 Year</v>
      </c>
      <c r="B2166" t="s">
        <v>13</v>
      </c>
      <c r="C2166">
        <v>18</v>
      </c>
      <c r="D2166" s="100" t="s">
        <v>27</v>
      </c>
      <c r="E2166" t="s">
        <v>732</v>
      </c>
      <c r="F2166" t="s">
        <v>88</v>
      </c>
      <c r="G2166" t="s">
        <v>737</v>
      </c>
      <c r="H2166" s="128">
        <v>0.41039999999999999</v>
      </c>
      <c r="I2166" s="110">
        <v>0.18060000000000001</v>
      </c>
      <c r="L2166">
        <v>5000</v>
      </c>
      <c r="M2166">
        <v>500000</v>
      </c>
      <c r="N2166" s="105">
        <v>44197</v>
      </c>
      <c r="O2166" s="105">
        <v>44377</v>
      </c>
      <c r="P2166" t="s">
        <v>718</v>
      </c>
      <c r="R2166" s="154"/>
      <c r="S2166" s="154"/>
      <c r="T2166" s="154"/>
      <c r="U2166" s="154"/>
    </row>
    <row r="2167" spans="1:21" ht="15" customHeight="1" x14ac:dyDescent="0.3">
      <c r="A2167" t="str">
        <f t="shared" si="34"/>
        <v>19-0-HH 1RATE (WC)-SmartFIX – 5 Year</v>
      </c>
      <c r="B2167" t="s">
        <v>13</v>
      </c>
      <c r="C2167">
        <v>19</v>
      </c>
      <c r="D2167" s="100" t="s">
        <v>28</v>
      </c>
      <c r="E2167" t="s">
        <v>732</v>
      </c>
      <c r="F2167" t="s">
        <v>88</v>
      </c>
      <c r="G2167" t="s">
        <v>737</v>
      </c>
      <c r="H2167" s="128">
        <v>0.41199999999999998</v>
      </c>
      <c r="I2167" s="110">
        <v>0.16819999999999999</v>
      </c>
      <c r="L2167">
        <v>5000</v>
      </c>
      <c r="M2167">
        <v>500000</v>
      </c>
      <c r="N2167" s="105">
        <v>44197</v>
      </c>
      <c r="O2167" s="105">
        <v>44377</v>
      </c>
      <c r="P2167" t="s">
        <v>718</v>
      </c>
      <c r="R2167" s="154"/>
      <c r="S2167" s="154"/>
      <c r="T2167" s="154"/>
      <c r="U2167" s="154"/>
    </row>
    <row r="2168" spans="1:21" ht="15" customHeight="1" x14ac:dyDescent="0.3">
      <c r="A2168" t="str">
        <f t="shared" si="34"/>
        <v>20-0-HH 1RATE (WC)-SmartFIX – 5 Year</v>
      </c>
      <c r="B2168" t="s">
        <v>13</v>
      </c>
      <c r="C2168">
        <v>20</v>
      </c>
      <c r="D2168" s="100" t="s">
        <v>29</v>
      </c>
      <c r="E2168" t="s">
        <v>732</v>
      </c>
      <c r="F2168" t="s">
        <v>88</v>
      </c>
      <c r="G2168" t="s">
        <v>737</v>
      </c>
      <c r="H2168" s="128">
        <v>0.40510000000000002</v>
      </c>
      <c r="I2168" s="110">
        <v>0.16420000000000001</v>
      </c>
      <c r="L2168">
        <v>5000</v>
      </c>
      <c r="M2168">
        <v>500000</v>
      </c>
      <c r="N2168" s="105">
        <v>44197</v>
      </c>
      <c r="O2168" s="105">
        <v>44377</v>
      </c>
      <c r="P2168" t="s">
        <v>718</v>
      </c>
      <c r="R2168" s="154"/>
      <c r="S2168" s="154"/>
      <c r="T2168" s="154"/>
      <c r="U2168" s="154"/>
    </row>
    <row r="2169" spans="1:21" ht="15" customHeight="1" x14ac:dyDescent="0.3">
      <c r="A2169" t="str">
        <f t="shared" si="34"/>
        <v>21-0-HH 1RATE (WC)-SmartFIX – 5 Year</v>
      </c>
      <c r="B2169" t="s">
        <v>13</v>
      </c>
      <c r="C2169">
        <v>21</v>
      </c>
      <c r="D2169" s="100" t="s">
        <v>30</v>
      </c>
      <c r="E2169" t="s">
        <v>732</v>
      </c>
      <c r="F2169" t="s">
        <v>88</v>
      </c>
      <c r="G2169" t="s">
        <v>737</v>
      </c>
      <c r="H2169" s="128">
        <v>0.51429999999999998</v>
      </c>
      <c r="I2169" s="110">
        <v>0.1643</v>
      </c>
      <c r="L2169">
        <v>5000</v>
      </c>
      <c r="M2169">
        <v>500000</v>
      </c>
      <c r="N2169" s="105">
        <v>44197</v>
      </c>
      <c r="O2169" s="105">
        <v>44377</v>
      </c>
      <c r="P2169" t="s">
        <v>718</v>
      </c>
      <c r="R2169" s="154"/>
      <c r="S2169" s="154"/>
      <c r="T2169" s="154"/>
      <c r="U2169" s="154"/>
    </row>
    <row r="2170" spans="1:21" ht="15" customHeight="1" x14ac:dyDescent="0.3">
      <c r="A2170" t="str">
        <f t="shared" si="34"/>
        <v>22-0-HH 1RATE (WC)-SmartFIX – 5 Year</v>
      </c>
      <c r="B2170" t="s">
        <v>13</v>
      </c>
      <c r="C2170">
        <v>22</v>
      </c>
      <c r="D2170" s="100" t="s">
        <v>31</v>
      </c>
      <c r="E2170" t="s">
        <v>732</v>
      </c>
      <c r="F2170" t="s">
        <v>88</v>
      </c>
      <c r="G2170" t="s">
        <v>737</v>
      </c>
      <c r="H2170" s="128">
        <v>0.4617</v>
      </c>
      <c r="I2170" s="110">
        <v>0.16569999999999999</v>
      </c>
      <c r="L2170">
        <v>5000</v>
      </c>
      <c r="M2170">
        <v>500000</v>
      </c>
      <c r="N2170" s="105">
        <v>44197</v>
      </c>
      <c r="O2170" s="105">
        <v>44377</v>
      </c>
      <c r="P2170" t="s">
        <v>718</v>
      </c>
      <c r="R2170" s="154"/>
      <c r="S2170" s="154"/>
      <c r="T2170" s="154"/>
      <c r="U2170" s="154"/>
    </row>
    <row r="2171" spans="1:21" ht="15" customHeight="1" x14ac:dyDescent="0.3">
      <c r="A2171" t="str">
        <f t="shared" si="34"/>
        <v>23-0-HH 1RATE (WC)-SmartFIX – 5 Year</v>
      </c>
      <c r="B2171" t="s">
        <v>13</v>
      </c>
      <c r="C2171">
        <v>23</v>
      </c>
      <c r="D2171" s="100" t="s">
        <v>32</v>
      </c>
      <c r="E2171" t="s">
        <v>732</v>
      </c>
      <c r="F2171" t="s">
        <v>88</v>
      </c>
      <c r="G2171" t="s">
        <v>737</v>
      </c>
      <c r="H2171" s="128">
        <v>0.4219</v>
      </c>
      <c r="I2171" s="110">
        <v>0.1615</v>
      </c>
      <c r="L2171">
        <v>5000</v>
      </c>
      <c r="M2171">
        <v>500000</v>
      </c>
      <c r="N2171" s="105">
        <v>44197</v>
      </c>
      <c r="O2171" s="105">
        <v>44377</v>
      </c>
      <c r="P2171" t="s">
        <v>718</v>
      </c>
      <c r="R2171" s="154"/>
      <c r="S2171" s="154"/>
      <c r="T2171" s="154"/>
      <c r="U2171" s="154"/>
    </row>
    <row r="2172" spans="1:21" ht="15" customHeight="1" x14ac:dyDescent="0.3">
      <c r="A2172" t="str">
        <f t="shared" si="34"/>
        <v>10-0-HH 1RATE (WC)-SmartFIX – 5 Year Renewal</v>
      </c>
      <c r="B2172" t="s">
        <v>13</v>
      </c>
      <c r="C2172">
        <v>10</v>
      </c>
      <c r="D2172" s="100" t="s">
        <v>14</v>
      </c>
      <c r="E2172" t="s">
        <v>732</v>
      </c>
      <c r="F2172" t="s">
        <v>88</v>
      </c>
      <c r="G2172" t="s">
        <v>738</v>
      </c>
      <c r="H2172" s="128">
        <v>0.46110000000000001</v>
      </c>
      <c r="I2172" s="110">
        <v>0.17419999999999999</v>
      </c>
      <c r="L2172">
        <v>5000</v>
      </c>
      <c r="M2172">
        <v>500000</v>
      </c>
      <c r="N2172" s="105">
        <v>44197</v>
      </c>
      <c r="O2172" s="105">
        <v>44377</v>
      </c>
      <c r="P2172" t="s">
        <v>718</v>
      </c>
      <c r="R2172" s="154"/>
      <c r="S2172" s="154"/>
      <c r="T2172" s="154"/>
      <c r="U2172" s="154"/>
    </row>
    <row r="2173" spans="1:21" ht="15" customHeight="1" x14ac:dyDescent="0.3">
      <c r="A2173" t="str">
        <f t="shared" si="34"/>
        <v>11-0-HH 1RATE (WC)-SmartFIX – 5 Year Renewal</v>
      </c>
      <c r="B2173" t="s">
        <v>13</v>
      </c>
      <c r="C2173">
        <v>11</v>
      </c>
      <c r="D2173" s="100" t="s">
        <v>20</v>
      </c>
      <c r="E2173" t="s">
        <v>732</v>
      </c>
      <c r="F2173" t="s">
        <v>88</v>
      </c>
      <c r="G2173" t="s">
        <v>738</v>
      </c>
      <c r="H2173" s="128">
        <v>0.47270000000000001</v>
      </c>
      <c r="I2173" s="110">
        <v>0.16720000000000002</v>
      </c>
      <c r="L2173">
        <v>5000</v>
      </c>
      <c r="M2173">
        <v>500000</v>
      </c>
      <c r="N2173" s="105">
        <v>44197</v>
      </c>
      <c r="O2173" s="105">
        <v>44377</v>
      </c>
      <c r="P2173" t="s">
        <v>718</v>
      </c>
      <c r="R2173" s="154"/>
      <c r="S2173" s="154"/>
      <c r="T2173" s="154"/>
      <c r="U2173" s="154"/>
    </row>
    <row r="2174" spans="1:21" ht="15" customHeight="1" x14ac:dyDescent="0.3">
      <c r="A2174" t="str">
        <f t="shared" si="34"/>
        <v>12-0-HH 1RATE (WC)-SmartFIX – 5 Year Renewal</v>
      </c>
      <c r="B2174" t="s">
        <v>13</v>
      </c>
      <c r="C2174">
        <v>12</v>
      </c>
      <c r="D2174" s="100" t="s">
        <v>21</v>
      </c>
      <c r="E2174" t="s">
        <v>732</v>
      </c>
      <c r="F2174" t="s">
        <v>88</v>
      </c>
      <c r="G2174" t="s">
        <v>738</v>
      </c>
      <c r="H2174" s="128">
        <v>0.3861</v>
      </c>
      <c r="I2174" s="110">
        <v>0.1678</v>
      </c>
      <c r="L2174">
        <v>5000</v>
      </c>
      <c r="M2174">
        <v>500000</v>
      </c>
      <c r="N2174" s="105">
        <v>44197</v>
      </c>
      <c r="O2174" s="105">
        <v>44377</v>
      </c>
      <c r="P2174" t="s">
        <v>718</v>
      </c>
      <c r="R2174" s="154"/>
      <c r="S2174" s="154"/>
      <c r="T2174" s="154"/>
      <c r="U2174" s="154"/>
    </row>
    <row r="2175" spans="1:21" ht="15" customHeight="1" x14ac:dyDescent="0.3">
      <c r="A2175" t="str">
        <f t="shared" si="34"/>
        <v>13-0-HH 1RATE (WC)-SmartFIX – 5 Year Renewal</v>
      </c>
      <c r="B2175" t="s">
        <v>13</v>
      </c>
      <c r="C2175">
        <v>13</v>
      </c>
      <c r="D2175" s="100" t="s">
        <v>22</v>
      </c>
      <c r="E2175" t="s">
        <v>732</v>
      </c>
      <c r="F2175" t="s">
        <v>88</v>
      </c>
      <c r="G2175" t="s">
        <v>738</v>
      </c>
      <c r="H2175" s="128">
        <v>0.43309999999999998</v>
      </c>
      <c r="I2175" s="110">
        <v>0.18860000000000002</v>
      </c>
      <c r="L2175">
        <v>5000</v>
      </c>
      <c r="M2175">
        <v>500000</v>
      </c>
      <c r="N2175" s="105">
        <v>44197</v>
      </c>
      <c r="O2175" s="105">
        <v>44377</v>
      </c>
      <c r="P2175" t="s">
        <v>718</v>
      </c>
      <c r="R2175" s="154"/>
      <c r="S2175" s="154"/>
      <c r="T2175" s="154"/>
      <c r="U2175" s="154"/>
    </row>
    <row r="2176" spans="1:21" ht="15" customHeight="1" x14ac:dyDescent="0.3">
      <c r="A2176" t="str">
        <f t="shared" si="34"/>
        <v>14-0-HH 1RATE (WC)-SmartFIX – 5 Year Renewal</v>
      </c>
      <c r="B2176" t="s">
        <v>13</v>
      </c>
      <c r="C2176">
        <v>14</v>
      </c>
      <c r="D2176" s="100" t="s">
        <v>23</v>
      </c>
      <c r="E2176" t="s">
        <v>732</v>
      </c>
      <c r="F2176" t="s">
        <v>88</v>
      </c>
      <c r="G2176" t="s">
        <v>738</v>
      </c>
      <c r="H2176" s="128">
        <v>0.49819999999999998</v>
      </c>
      <c r="I2176" s="110">
        <v>0.1726</v>
      </c>
      <c r="L2176">
        <v>5000</v>
      </c>
      <c r="M2176">
        <v>500000</v>
      </c>
      <c r="N2176" s="105">
        <v>44197</v>
      </c>
      <c r="O2176" s="105">
        <v>44377</v>
      </c>
      <c r="P2176" t="s">
        <v>718</v>
      </c>
      <c r="R2176" s="154"/>
      <c r="S2176" s="154"/>
      <c r="T2176" s="154"/>
      <c r="U2176" s="154"/>
    </row>
    <row r="2177" spans="1:21" ht="15" customHeight="1" x14ac:dyDescent="0.3">
      <c r="A2177" t="str">
        <f t="shared" si="34"/>
        <v>15-0-HH 1RATE (WC)-SmartFIX – 5 Year Renewal</v>
      </c>
      <c r="B2177" t="s">
        <v>13</v>
      </c>
      <c r="C2177">
        <v>15</v>
      </c>
      <c r="D2177" s="100" t="s">
        <v>24</v>
      </c>
      <c r="E2177" t="s">
        <v>732</v>
      </c>
      <c r="F2177" t="s">
        <v>88</v>
      </c>
      <c r="G2177" t="s">
        <v>738</v>
      </c>
      <c r="H2177" s="128">
        <v>0.47199999999999998</v>
      </c>
      <c r="I2177" s="110">
        <v>0.17100000000000001</v>
      </c>
      <c r="L2177">
        <v>5000</v>
      </c>
      <c r="M2177">
        <v>500000</v>
      </c>
      <c r="N2177" s="105">
        <v>44197</v>
      </c>
      <c r="O2177" s="105">
        <v>44377</v>
      </c>
      <c r="P2177" t="s">
        <v>718</v>
      </c>
      <c r="R2177" s="154"/>
      <c r="S2177" s="154"/>
      <c r="T2177" s="154"/>
      <c r="U2177" s="154"/>
    </row>
    <row r="2178" spans="1:21" ht="15" customHeight="1" x14ac:dyDescent="0.3">
      <c r="A2178" t="str">
        <f t="shared" si="34"/>
        <v>16-0-HH 1RATE (WC)-SmartFIX – 5 Year Renewal</v>
      </c>
      <c r="B2178" t="s">
        <v>13</v>
      </c>
      <c r="C2178">
        <v>16</v>
      </c>
      <c r="D2178" s="100" t="s">
        <v>25</v>
      </c>
      <c r="E2178" t="s">
        <v>732</v>
      </c>
      <c r="F2178" t="s">
        <v>88</v>
      </c>
      <c r="G2178" t="s">
        <v>738</v>
      </c>
      <c r="H2178" s="128">
        <v>0.42070000000000002</v>
      </c>
      <c r="I2178" s="110">
        <v>0.17369999999999999</v>
      </c>
      <c r="L2178">
        <v>5000</v>
      </c>
      <c r="M2178">
        <v>500000</v>
      </c>
      <c r="N2178" s="105">
        <v>44197</v>
      </c>
      <c r="O2178" s="105">
        <v>44377</v>
      </c>
      <c r="P2178" t="s">
        <v>718</v>
      </c>
      <c r="R2178" s="154"/>
      <c r="S2178" s="154"/>
      <c r="T2178" s="154"/>
      <c r="U2178" s="154"/>
    </row>
    <row r="2179" spans="1:21" ht="15" customHeight="1" x14ac:dyDescent="0.3">
      <c r="A2179" t="str">
        <f t="shared" si="34"/>
        <v>17-0-HH 1RATE (WC)-SmartFIX – 5 Year Renewal</v>
      </c>
      <c r="B2179" t="s">
        <v>13</v>
      </c>
      <c r="C2179">
        <v>17</v>
      </c>
      <c r="D2179" s="100" t="s">
        <v>26</v>
      </c>
      <c r="E2179" t="s">
        <v>732</v>
      </c>
      <c r="F2179" t="s">
        <v>88</v>
      </c>
      <c r="G2179" t="s">
        <v>738</v>
      </c>
      <c r="H2179" s="128">
        <v>0.51500000000000001</v>
      </c>
      <c r="I2179" s="110">
        <v>0.19540000000000002</v>
      </c>
      <c r="L2179">
        <v>5000</v>
      </c>
      <c r="M2179">
        <v>500000</v>
      </c>
      <c r="N2179" s="105">
        <v>44197</v>
      </c>
      <c r="O2179" s="105">
        <v>44377</v>
      </c>
      <c r="P2179" t="s">
        <v>718</v>
      </c>
      <c r="R2179" s="154"/>
      <c r="S2179" s="154"/>
      <c r="T2179" s="154"/>
      <c r="U2179" s="154"/>
    </row>
    <row r="2180" spans="1:21" ht="15" customHeight="1" x14ac:dyDescent="0.3">
      <c r="A2180" t="str">
        <f t="shared" si="34"/>
        <v>18-0-HH 1RATE (WC)-SmartFIX – 5 Year Renewal</v>
      </c>
      <c r="B2180" t="s">
        <v>13</v>
      </c>
      <c r="C2180">
        <v>18</v>
      </c>
      <c r="D2180" s="100" t="s">
        <v>27</v>
      </c>
      <c r="E2180" t="s">
        <v>732</v>
      </c>
      <c r="F2180" t="s">
        <v>88</v>
      </c>
      <c r="G2180" t="s">
        <v>738</v>
      </c>
      <c r="H2180" s="128">
        <v>0.45150000000000001</v>
      </c>
      <c r="I2180" s="110">
        <v>0.18660000000000002</v>
      </c>
      <c r="L2180">
        <v>5000</v>
      </c>
      <c r="M2180">
        <v>500000</v>
      </c>
      <c r="N2180" s="105">
        <v>44197</v>
      </c>
      <c r="O2180" s="105">
        <v>44377</v>
      </c>
      <c r="P2180" t="s">
        <v>718</v>
      </c>
      <c r="R2180" s="154"/>
      <c r="S2180" s="154"/>
      <c r="T2180" s="154"/>
      <c r="U2180" s="154"/>
    </row>
    <row r="2181" spans="1:21" ht="15" customHeight="1" x14ac:dyDescent="0.3">
      <c r="A2181" t="str">
        <f t="shared" si="34"/>
        <v>19-0-HH 1RATE (WC)-SmartFIX – 5 Year Renewal</v>
      </c>
      <c r="B2181" t="s">
        <v>13</v>
      </c>
      <c r="C2181">
        <v>19</v>
      </c>
      <c r="D2181" s="100" t="s">
        <v>28</v>
      </c>
      <c r="E2181" t="s">
        <v>732</v>
      </c>
      <c r="F2181" t="s">
        <v>88</v>
      </c>
      <c r="G2181" t="s">
        <v>738</v>
      </c>
      <c r="H2181" s="128">
        <v>0.45319999999999999</v>
      </c>
      <c r="I2181" s="110">
        <v>0.17419999999999999</v>
      </c>
      <c r="L2181">
        <v>5000</v>
      </c>
      <c r="M2181">
        <v>500000</v>
      </c>
      <c r="N2181" s="105">
        <v>44197</v>
      </c>
      <c r="O2181" s="105">
        <v>44377</v>
      </c>
      <c r="P2181" t="s">
        <v>718</v>
      </c>
      <c r="R2181" s="154"/>
      <c r="S2181" s="154"/>
      <c r="T2181" s="154"/>
      <c r="U2181" s="154"/>
    </row>
    <row r="2182" spans="1:21" ht="15" customHeight="1" x14ac:dyDescent="0.3">
      <c r="A2182" t="str">
        <f t="shared" si="34"/>
        <v>20-0-HH 1RATE (WC)-SmartFIX – 5 Year Renewal</v>
      </c>
      <c r="B2182" t="s">
        <v>13</v>
      </c>
      <c r="C2182">
        <v>20</v>
      </c>
      <c r="D2182" s="100" t="s">
        <v>29</v>
      </c>
      <c r="E2182" t="s">
        <v>732</v>
      </c>
      <c r="F2182" t="s">
        <v>88</v>
      </c>
      <c r="G2182" t="s">
        <v>738</v>
      </c>
      <c r="H2182" s="128">
        <v>0.44569999999999999</v>
      </c>
      <c r="I2182" s="110">
        <v>0.17020000000000002</v>
      </c>
      <c r="L2182">
        <v>5000</v>
      </c>
      <c r="M2182">
        <v>500000</v>
      </c>
      <c r="N2182" s="105">
        <v>44197</v>
      </c>
      <c r="O2182" s="105">
        <v>44377</v>
      </c>
      <c r="P2182" t="s">
        <v>718</v>
      </c>
      <c r="R2182" s="154"/>
      <c r="S2182" s="154"/>
      <c r="T2182" s="154"/>
      <c r="U2182" s="154"/>
    </row>
    <row r="2183" spans="1:21" ht="15" customHeight="1" x14ac:dyDescent="0.3">
      <c r="A2183" t="str">
        <f t="shared" si="34"/>
        <v>21-0-HH 1RATE (WC)-SmartFIX – 5 Year Renewal</v>
      </c>
      <c r="B2183" t="s">
        <v>13</v>
      </c>
      <c r="C2183">
        <v>21</v>
      </c>
      <c r="D2183" s="100" t="s">
        <v>30</v>
      </c>
      <c r="E2183" t="s">
        <v>732</v>
      </c>
      <c r="F2183" t="s">
        <v>88</v>
      </c>
      <c r="G2183" t="s">
        <v>738</v>
      </c>
      <c r="H2183" s="128">
        <v>0.56569999999999998</v>
      </c>
      <c r="I2183" s="110">
        <v>0.17030000000000001</v>
      </c>
      <c r="L2183">
        <v>5000</v>
      </c>
      <c r="M2183">
        <v>500000</v>
      </c>
      <c r="N2183" s="105">
        <v>44197</v>
      </c>
      <c r="O2183" s="105">
        <v>44377</v>
      </c>
      <c r="P2183" t="s">
        <v>718</v>
      </c>
      <c r="R2183" s="154"/>
      <c r="S2183" s="154"/>
      <c r="T2183" s="154"/>
      <c r="U2183" s="154"/>
    </row>
    <row r="2184" spans="1:21" ht="15" customHeight="1" x14ac:dyDescent="0.3">
      <c r="A2184" t="str">
        <f t="shared" si="34"/>
        <v>22-0-HH 1RATE (WC)-SmartFIX – 5 Year Renewal</v>
      </c>
      <c r="B2184" t="s">
        <v>13</v>
      </c>
      <c r="C2184">
        <v>22</v>
      </c>
      <c r="D2184" s="100" t="s">
        <v>31</v>
      </c>
      <c r="E2184" t="s">
        <v>732</v>
      </c>
      <c r="F2184" t="s">
        <v>88</v>
      </c>
      <c r="G2184" t="s">
        <v>738</v>
      </c>
      <c r="H2184" s="128">
        <v>0.50790000000000002</v>
      </c>
      <c r="I2184" s="110">
        <v>0.17169999999999999</v>
      </c>
      <c r="L2184">
        <v>5000</v>
      </c>
      <c r="M2184">
        <v>500000</v>
      </c>
      <c r="N2184" s="105">
        <v>44197</v>
      </c>
      <c r="O2184" s="105">
        <v>44377</v>
      </c>
      <c r="P2184" t="s">
        <v>718</v>
      </c>
      <c r="R2184" s="154"/>
      <c r="S2184" s="154"/>
      <c r="T2184" s="154"/>
      <c r="U2184" s="154"/>
    </row>
    <row r="2185" spans="1:21" ht="15" customHeight="1" x14ac:dyDescent="0.3">
      <c r="A2185" t="str">
        <f t="shared" si="34"/>
        <v>23-0-HH 1RATE (WC)-SmartFIX – 5 Year Renewal</v>
      </c>
      <c r="B2185" t="s">
        <v>13</v>
      </c>
      <c r="C2185">
        <v>23</v>
      </c>
      <c r="D2185" s="100" t="s">
        <v>32</v>
      </c>
      <c r="E2185" t="s">
        <v>732</v>
      </c>
      <c r="F2185" t="s">
        <v>88</v>
      </c>
      <c r="G2185" t="s">
        <v>738</v>
      </c>
      <c r="H2185" s="128">
        <v>0.46410000000000001</v>
      </c>
      <c r="I2185" s="110">
        <v>0.16750000000000001</v>
      </c>
      <c r="L2185">
        <v>5000</v>
      </c>
      <c r="M2185">
        <v>500000</v>
      </c>
      <c r="N2185" s="105">
        <v>44197</v>
      </c>
      <c r="O2185" s="105">
        <v>44377</v>
      </c>
      <c r="P2185" t="s">
        <v>718</v>
      </c>
      <c r="R2185" s="154"/>
      <c r="S2185" s="154"/>
      <c r="T2185" s="154"/>
      <c r="U2185" s="154"/>
    </row>
    <row r="2186" spans="1:21" ht="15" customHeight="1" x14ac:dyDescent="0.3">
      <c r="A2186" t="str">
        <f t="shared" si="34"/>
        <v>10-0-HH 1RATE (CT)-SmartFIX – 5 Year</v>
      </c>
      <c r="B2186" t="s">
        <v>13</v>
      </c>
      <c r="C2186">
        <v>10</v>
      </c>
      <c r="D2186" s="100" t="s">
        <v>14</v>
      </c>
      <c r="E2186" t="s">
        <v>731</v>
      </c>
      <c r="F2186" t="s">
        <v>88</v>
      </c>
      <c r="G2186" t="s">
        <v>737</v>
      </c>
      <c r="H2186" s="128">
        <v>0.52470000000000006</v>
      </c>
      <c r="I2186" s="110">
        <v>0.18060000000000001</v>
      </c>
      <c r="L2186">
        <v>5000</v>
      </c>
      <c r="M2186">
        <v>500000</v>
      </c>
      <c r="N2186" s="105">
        <v>44197</v>
      </c>
      <c r="O2186" s="105">
        <v>44377</v>
      </c>
      <c r="P2186" t="s">
        <v>718</v>
      </c>
      <c r="R2186" s="154"/>
      <c r="S2186" s="154"/>
      <c r="T2186" s="154"/>
      <c r="U2186" s="154"/>
    </row>
    <row r="2187" spans="1:21" ht="15" customHeight="1" x14ac:dyDescent="0.3">
      <c r="A2187" t="str">
        <f t="shared" si="34"/>
        <v>11-0-HH 1RATE (CT)-SmartFIX – 5 Year</v>
      </c>
      <c r="B2187" t="s">
        <v>13</v>
      </c>
      <c r="C2187">
        <v>11</v>
      </c>
      <c r="D2187" s="100" t="s">
        <v>20</v>
      </c>
      <c r="E2187" t="s">
        <v>731</v>
      </c>
      <c r="F2187" t="s">
        <v>88</v>
      </c>
      <c r="G2187" t="s">
        <v>737</v>
      </c>
      <c r="H2187" s="128">
        <v>0.46639999999999998</v>
      </c>
      <c r="I2187" s="110">
        <v>0.18129999999999999</v>
      </c>
      <c r="L2187">
        <v>5000</v>
      </c>
      <c r="M2187">
        <v>500000</v>
      </c>
      <c r="N2187" s="105">
        <v>44197</v>
      </c>
      <c r="O2187" s="105">
        <v>44377</v>
      </c>
      <c r="P2187" t="s">
        <v>718</v>
      </c>
      <c r="R2187" s="154"/>
      <c r="S2187" s="154"/>
      <c r="T2187" s="154"/>
      <c r="U2187" s="154"/>
    </row>
    <row r="2188" spans="1:21" ht="15" customHeight="1" x14ac:dyDescent="0.3">
      <c r="A2188" t="str">
        <f t="shared" ref="A2188:A2251" si="35">IF(E2188="OP","",CONCATENATE(C2188,"-",RIGHT(F2188,1),"-",IF(OR(E2188="1 Rate MD",E2188="DAY"),"U",IF(OR(E2188="2 Rate MD",E2188="E7"),"E7",IF(OR(E2188="3 Rate MD (EW)",E2188="EW"),"EW",IF(OR(E2188="3 Rate MD",E2188="EWN"),"3RATE",IF(E2188="HH 2RATE (CT)","HH 2RATE (CT)",IF(E2188="HH 2RATE (WC)","HH 2RATE (WC)",IF(E2188="HH 1RATE (CT)","HH 1RATE (CT)",IF(E2188="HH 1RATE (WC)","HH 1RATE (WC)")))))))),"-",G2188))</f>
        <v>12-0-HH 1RATE (CT)-SmartFIX – 5 Year</v>
      </c>
      <c r="B2188" t="s">
        <v>13</v>
      </c>
      <c r="C2188">
        <v>12</v>
      </c>
      <c r="D2188" s="100" t="s">
        <v>21</v>
      </c>
      <c r="E2188" t="s">
        <v>731</v>
      </c>
      <c r="F2188" t="s">
        <v>88</v>
      </c>
      <c r="G2188" t="s">
        <v>737</v>
      </c>
      <c r="H2188" s="128">
        <v>0.43059999999999998</v>
      </c>
      <c r="I2188" s="110">
        <v>0.17899999999999999</v>
      </c>
      <c r="L2188">
        <v>5000</v>
      </c>
      <c r="M2188">
        <v>500000</v>
      </c>
      <c r="N2188" s="105">
        <v>44197</v>
      </c>
      <c r="O2188" s="105">
        <v>44377</v>
      </c>
      <c r="P2188" t="s">
        <v>718</v>
      </c>
      <c r="R2188" s="154"/>
      <c r="S2188" s="154"/>
      <c r="T2188" s="154"/>
      <c r="U2188" s="154"/>
    </row>
    <row r="2189" spans="1:21" ht="15" customHeight="1" x14ac:dyDescent="0.3">
      <c r="A2189" t="str">
        <f t="shared" si="35"/>
        <v>13-0-HH 1RATE (CT)-SmartFIX – 5 Year</v>
      </c>
      <c r="B2189" t="s">
        <v>13</v>
      </c>
      <c r="C2189">
        <v>13</v>
      </c>
      <c r="D2189" s="100" t="s">
        <v>22</v>
      </c>
      <c r="E2189" t="s">
        <v>731</v>
      </c>
      <c r="F2189" t="s">
        <v>88</v>
      </c>
      <c r="G2189" t="s">
        <v>737</v>
      </c>
      <c r="H2189" s="128">
        <v>0.60429999999999995</v>
      </c>
      <c r="I2189" s="110">
        <v>0.22819999999999999</v>
      </c>
      <c r="L2189">
        <v>5000</v>
      </c>
      <c r="M2189">
        <v>500000</v>
      </c>
      <c r="N2189" s="105">
        <v>44197</v>
      </c>
      <c r="O2189" s="105">
        <v>44377</v>
      </c>
      <c r="P2189" t="s">
        <v>718</v>
      </c>
      <c r="R2189" s="154"/>
      <c r="S2189" s="154"/>
      <c r="T2189" s="154"/>
      <c r="U2189" s="154"/>
    </row>
    <row r="2190" spans="1:21" ht="15" customHeight="1" x14ac:dyDescent="0.3">
      <c r="A2190" t="str">
        <f t="shared" si="35"/>
        <v>14-0-HH 1RATE (CT)-SmartFIX – 5 Year</v>
      </c>
      <c r="B2190" t="s">
        <v>13</v>
      </c>
      <c r="C2190">
        <v>14</v>
      </c>
      <c r="D2190" s="100" t="s">
        <v>23</v>
      </c>
      <c r="E2190" t="s">
        <v>731</v>
      </c>
      <c r="F2190" t="s">
        <v>88</v>
      </c>
      <c r="G2190" t="s">
        <v>737</v>
      </c>
      <c r="H2190" s="128">
        <v>0.47920000000000001</v>
      </c>
      <c r="I2190" s="110">
        <v>0.18609999999999999</v>
      </c>
      <c r="L2190">
        <v>5000</v>
      </c>
      <c r="M2190">
        <v>500000</v>
      </c>
      <c r="N2190" s="105">
        <v>44197</v>
      </c>
      <c r="O2190" s="105">
        <v>44377</v>
      </c>
      <c r="P2190" t="s">
        <v>718</v>
      </c>
      <c r="R2190" s="154"/>
      <c r="S2190" s="154"/>
      <c r="T2190" s="154"/>
      <c r="U2190" s="154"/>
    </row>
    <row r="2191" spans="1:21" ht="15" customHeight="1" x14ac:dyDescent="0.3">
      <c r="A2191" t="str">
        <f t="shared" si="35"/>
        <v>15-0-HH 1RATE (CT)-SmartFIX – 5 Year</v>
      </c>
      <c r="B2191" t="s">
        <v>13</v>
      </c>
      <c r="C2191">
        <v>15</v>
      </c>
      <c r="D2191" s="100" t="s">
        <v>24</v>
      </c>
      <c r="E2191" t="s">
        <v>731</v>
      </c>
      <c r="F2191" t="s">
        <v>88</v>
      </c>
      <c r="G2191" t="s">
        <v>737</v>
      </c>
      <c r="H2191" s="128">
        <v>0.5796</v>
      </c>
      <c r="I2191" s="110">
        <v>0.18140000000000001</v>
      </c>
      <c r="L2191">
        <v>5000</v>
      </c>
      <c r="M2191">
        <v>500000</v>
      </c>
      <c r="N2191" s="105">
        <v>44197</v>
      </c>
      <c r="O2191" s="105">
        <v>44377</v>
      </c>
      <c r="P2191" t="s">
        <v>718</v>
      </c>
      <c r="R2191" s="154"/>
      <c r="S2191" s="154"/>
      <c r="T2191" s="154"/>
      <c r="U2191" s="154"/>
    </row>
    <row r="2192" spans="1:21" ht="15" customHeight="1" x14ac:dyDescent="0.3">
      <c r="A2192" t="str">
        <f t="shared" si="35"/>
        <v>16-0-HH 1RATE (CT)-SmartFIX – 5 Year</v>
      </c>
      <c r="B2192" t="s">
        <v>13</v>
      </c>
      <c r="C2192">
        <v>16</v>
      </c>
      <c r="D2192" s="100" t="s">
        <v>25</v>
      </c>
      <c r="E2192" t="s">
        <v>731</v>
      </c>
      <c r="F2192" t="s">
        <v>88</v>
      </c>
      <c r="G2192" t="s">
        <v>737</v>
      </c>
      <c r="H2192" s="128">
        <v>0.53979999999999995</v>
      </c>
      <c r="I2192" s="110">
        <v>0.18410000000000001</v>
      </c>
      <c r="L2192">
        <v>5000</v>
      </c>
      <c r="M2192">
        <v>500000</v>
      </c>
      <c r="N2192" s="105">
        <v>44197</v>
      </c>
      <c r="O2192" s="105">
        <v>44377</v>
      </c>
      <c r="P2192" t="s">
        <v>718</v>
      </c>
      <c r="R2192" s="154"/>
      <c r="S2192" s="154"/>
      <c r="T2192" s="154"/>
      <c r="U2192" s="154"/>
    </row>
    <row r="2193" spans="1:21" ht="15" customHeight="1" x14ac:dyDescent="0.3">
      <c r="A2193" t="str">
        <f t="shared" si="35"/>
        <v>17-0-HH 1RATE (CT)-SmartFIX – 5 Year</v>
      </c>
      <c r="B2193" t="s">
        <v>13</v>
      </c>
      <c r="C2193">
        <v>17</v>
      </c>
      <c r="D2193" s="100" t="s">
        <v>26</v>
      </c>
      <c r="E2193" t="s">
        <v>731</v>
      </c>
      <c r="F2193" t="s">
        <v>88</v>
      </c>
      <c r="G2193" t="s">
        <v>737</v>
      </c>
      <c r="H2193" s="128">
        <v>0.73080000000000001</v>
      </c>
      <c r="I2193" s="110">
        <v>0.2041</v>
      </c>
      <c r="L2193">
        <v>5000</v>
      </c>
      <c r="M2193">
        <v>500000</v>
      </c>
      <c r="N2193" s="105">
        <v>44197</v>
      </c>
      <c r="O2193" s="105">
        <v>44377</v>
      </c>
      <c r="P2193" t="s">
        <v>718</v>
      </c>
      <c r="R2193" s="154"/>
      <c r="S2193" s="154"/>
      <c r="T2193" s="154"/>
      <c r="U2193" s="154"/>
    </row>
    <row r="2194" spans="1:21" ht="15" customHeight="1" x14ac:dyDescent="0.3">
      <c r="A2194" t="str">
        <f t="shared" si="35"/>
        <v>18-0-HH 1RATE (CT)-SmartFIX – 5 Year</v>
      </c>
      <c r="B2194" t="s">
        <v>13</v>
      </c>
      <c r="C2194">
        <v>18</v>
      </c>
      <c r="D2194" s="100" t="s">
        <v>27</v>
      </c>
      <c r="E2194" t="s">
        <v>731</v>
      </c>
      <c r="F2194" t="s">
        <v>88</v>
      </c>
      <c r="G2194" t="s">
        <v>737</v>
      </c>
      <c r="H2194" s="128">
        <v>0.66990000000000005</v>
      </c>
      <c r="I2194" s="110">
        <v>0.18279999999999999</v>
      </c>
      <c r="L2194">
        <v>5000</v>
      </c>
      <c r="M2194">
        <v>500000</v>
      </c>
      <c r="N2194" s="105">
        <v>44197</v>
      </c>
      <c r="O2194" s="105">
        <v>44377</v>
      </c>
      <c r="P2194" t="s">
        <v>718</v>
      </c>
      <c r="R2194" s="154"/>
      <c r="S2194" s="154"/>
      <c r="T2194" s="154"/>
      <c r="U2194" s="154"/>
    </row>
    <row r="2195" spans="1:21" ht="15" customHeight="1" x14ac:dyDescent="0.3">
      <c r="A2195" t="str">
        <f t="shared" si="35"/>
        <v>19-0-HH 1RATE (CT)-SmartFIX – 5 Year</v>
      </c>
      <c r="B2195" t="s">
        <v>13</v>
      </c>
      <c r="C2195">
        <v>19</v>
      </c>
      <c r="D2195" s="100" t="s">
        <v>28</v>
      </c>
      <c r="E2195" t="s">
        <v>731</v>
      </c>
      <c r="F2195" t="s">
        <v>88</v>
      </c>
      <c r="G2195" t="s">
        <v>737</v>
      </c>
      <c r="H2195" s="128">
        <v>0.52649999999999997</v>
      </c>
      <c r="I2195" s="110">
        <v>0.18440000000000001</v>
      </c>
      <c r="L2195">
        <v>5000</v>
      </c>
      <c r="M2195">
        <v>500000</v>
      </c>
      <c r="N2195" s="105">
        <v>44197</v>
      </c>
      <c r="O2195" s="105">
        <v>44377</v>
      </c>
      <c r="P2195" t="s">
        <v>718</v>
      </c>
      <c r="R2195" s="154"/>
      <c r="S2195" s="154"/>
      <c r="T2195" s="154"/>
      <c r="U2195" s="154"/>
    </row>
    <row r="2196" spans="1:21" ht="15" customHeight="1" x14ac:dyDescent="0.3">
      <c r="A2196" t="str">
        <f t="shared" si="35"/>
        <v>20-0-HH 1RATE (CT)-SmartFIX – 5 Year</v>
      </c>
      <c r="B2196" t="s">
        <v>13</v>
      </c>
      <c r="C2196">
        <v>20</v>
      </c>
      <c r="D2196" s="100" t="s">
        <v>29</v>
      </c>
      <c r="E2196" t="s">
        <v>731</v>
      </c>
      <c r="F2196" t="s">
        <v>88</v>
      </c>
      <c r="G2196" t="s">
        <v>737</v>
      </c>
      <c r="H2196" s="128">
        <v>0.55610000000000004</v>
      </c>
      <c r="I2196" s="110">
        <v>0.18540000000000001</v>
      </c>
      <c r="L2196">
        <v>5000</v>
      </c>
      <c r="M2196">
        <v>500000</v>
      </c>
      <c r="N2196" s="105">
        <v>44197</v>
      </c>
      <c r="O2196" s="105">
        <v>44377</v>
      </c>
      <c r="P2196" t="s">
        <v>718</v>
      </c>
      <c r="R2196" s="154"/>
      <c r="S2196" s="154"/>
      <c r="T2196" s="154"/>
      <c r="U2196" s="154"/>
    </row>
    <row r="2197" spans="1:21" ht="15" customHeight="1" x14ac:dyDescent="0.3">
      <c r="A2197" t="str">
        <f t="shared" si="35"/>
        <v>21-0-HH 1RATE (CT)-SmartFIX – 5 Year</v>
      </c>
      <c r="B2197" t="s">
        <v>13</v>
      </c>
      <c r="C2197">
        <v>21</v>
      </c>
      <c r="D2197" s="100" t="s">
        <v>30</v>
      </c>
      <c r="E2197" t="s">
        <v>731</v>
      </c>
      <c r="F2197" t="s">
        <v>88</v>
      </c>
      <c r="G2197" t="s">
        <v>737</v>
      </c>
      <c r="H2197" s="128">
        <v>0.57110000000000005</v>
      </c>
      <c r="I2197" s="110">
        <v>0.18940000000000001</v>
      </c>
      <c r="L2197">
        <v>5000</v>
      </c>
      <c r="M2197">
        <v>500000</v>
      </c>
      <c r="N2197" s="105">
        <v>44197</v>
      </c>
      <c r="O2197" s="105">
        <v>44377</v>
      </c>
      <c r="P2197" t="s">
        <v>718</v>
      </c>
      <c r="R2197" s="154"/>
      <c r="S2197" s="154"/>
      <c r="T2197" s="154"/>
      <c r="U2197" s="154"/>
    </row>
    <row r="2198" spans="1:21" ht="15" customHeight="1" x14ac:dyDescent="0.3">
      <c r="A2198" t="str">
        <f t="shared" si="35"/>
        <v>22-0-HH 1RATE (CT)-SmartFIX – 5 Year</v>
      </c>
      <c r="B2198" t="s">
        <v>13</v>
      </c>
      <c r="C2198">
        <v>22</v>
      </c>
      <c r="D2198" s="100" t="s">
        <v>31</v>
      </c>
      <c r="E2198" t="s">
        <v>731</v>
      </c>
      <c r="F2198" t="s">
        <v>88</v>
      </c>
      <c r="G2198" t="s">
        <v>737</v>
      </c>
      <c r="H2198" s="128">
        <v>0.50090000000000001</v>
      </c>
      <c r="I2198" s="110">
        <v>0.18090000000000001</v>
      </c>
      <c r="L2198">
        <v>5000</v>
      </c>
      <c r="M2198">
        <v>500000</v>
      </c>
      <c r="N2198" s="105">
        <v>44197</v>
      </c>
      <c r="O2198" s="105">
        <v>44377</v>
      </c>
      <c r="P2198" t="s">
        <v>718</v>
      </c>
      <c r="R2198" s="154"/>
      <c r="S2198" s="154"/>
      <c r="T2198" s="154"/>
      <c r="U2198" s="154"/>
    </row>
    <row r="2199" spans="1:21" ht="15" customHeight="1" x14ac:dyDescent="0.3">
      <c r="A2199" t="str">
        <f t="shared" si="35"/>
        <v>23-0-HH 1RATE (CT)-SmartFIX – 5 Year</v>
      </c>
      <c r="B2199" t="s">
        <v>13</v>
      </c>
      <c r="C2199">
        <v>23</v>
      </c>
      <c r="D2199" s="100" t="s">
        <v>32</v>
      </c>
      <c r="E2199" t="s">
        <v>731</v>
      </c>
      <c r="F2199" t="s">
        <v>88</v>
      </c>
      <c r="G2199" t="s">
        <v>737</v>
      </c>
      <c r="H2199" s="128">
        <v>0.59789999999999999</v>
      </c>
      <c r="I2199" s="110">
        <v>0.182</v>
      </c>
      <c r="L2199">
        <v>5000</v>
      </c>
      <c r="M2199">
        <v>500000</v>
      </c>
      <c r="N2199" s="105">
        <v>44197</v>
      </c>
      <c r="O2199" s="105">
        <v>44377</v>
      </c>
      <c r="P2199" t="s">
        <v>718</v>
      </c>
      <c r="R2199" s="154"/>
      <c r="S2199" s="154"/>
      <c r="T2199" s="154"/>
      <c r="U2199" s="154"/>
    </row>
    <row r="2200" spans="1:21" ht="15" customHeight="1" x14ac:dyDescent="0.3">
      <c r="A2200" t="str">
        <f t="shared" si="35"/>
        <v>10-0-HH 1RATE (CT)-SmartFIX – 5 Year Renewal</v>
      </c>
      <c r="B2200" t="s">
        <v>13</v>
      </c>
      <c r="C2200">
        <v>10</v>
      </c>
      <c r="D2200" s="100" t="s">
        <v>14</v>
      </c>
      <c r="E2200" t="s">
        <v>731</v>
      </c>
      <c r="F2200" t="s">
        <v>88</v>
      </c>
      <c r="G2200" t="s">
        <v>738</v>
      </c>
      <c r="H2200" s="128">
        <v>0.57720000000000005</v>
      </c>
      <c r="I2200" s="110">
        <v>0.18460000000000001</v>
      </c>
      <c r="L2200">
        <v>5000</v>
      </c>
      <c r="M2200">
        <v>500000</v>
      </c>
      <c r="N2200" s="105">
        <v>44197</v>
      </c>
      <c r="O2200" s="105">
        <v>44377</v>
      </c>
      <c r="P2200" t="s">
        <v>718</v>
      </c>
      <c r="R2200" s="154"/>
      <c r="S2200" s="154"/>
      <c r="T2200" s="154"/>
      <c r="U2200" s="154"/>
    </row>
    <row r="2201" spans="1:21" ht="15" customHeight="1" x14ac:dyDescent="0.3">
      <c r="A2201" t="str">
        <f t="shared" si="35"/>
        <v>11-0-HH 1RATE (CT)-SmartFIX – 5 Year Renewal</v>
      </c>
      <c r="B2201" t="s">
        <v>13</v>
      </c>
      <c r="C2201">
        <v>11</v>
      </c>
      <c r="D2201" s="100" t="s">
        <v>20</v>
      </c>
      <c r="E2201" t="s">
        <v>731</v>
      </c>
      <c r="F2201" t="s">
        <v>88</v>
      </c>
      <c r="G2201" t="s">
        <v>738</v>
      </c>
      <c r="H2201" s="128">
        <v>0.5131</v>
      </c>
      <c r="I2201" s="110">
        <v>0.18529999999999999</v>
      </c>
      <c r="L2201">
        <v>5000</v>
      </c>
      <c r="M2201">
        <v>500000</v>
      </c>
      <c r="N2201" s="105">
        <v>44197</v>
      </c>
      <c r="O2201" s="105">
        <v>44377</v>
      </c>
      <c r="P2201" t="s">
        <v>718</v>
      </c>
      <c r="R2201" s="154"/>
      <c r="S2201" s="154"/>
      <c r="T2201" s="154"/>
      <c r="U2201" s="154"/>
    </row>
    <row r="2202" spans="1:21" ht="15" customHeight="1" x14ac:dyDescent="0.3">
      <c r="A2202" t="str">
        <f t="shared" si="35"/>
        <v>12-0-HH 1RATE (CT)-SmartFIX – 5 Year Renewal</v>
      </c>
      <c r="B2202" t="s">
        <v>13</v>
      </c>
      <c r="C2202">
        <v>12</v>
      </c>
      <c r="D2202" s="100" t="s">
        <v>21</v>
      </c>
      <c r="E2202" t="s">
        <v>731</v>
      </c>
      <c r="F2202" t="s">
        <v>88</v>
      </c>
      <c r="G2202" t="s">
        <v>738</v>
      </c>
      <c r="H2202" s="128">
        <v>0.47360000000000002</v>
      </c>
      <c r="I2202" s="110">
        <v>0.183</v>
      </c>
      <c r="L2202">
        <v>5000</v>
      </c>
      <c r="M2202">
        <v>500000</v>
      </c>
      <c r="N2202" s="105">
        <v>44197</v>
      </c>
      <c r="O2202" s="105">
        <v>44377</v>
      </c>
      <c r="P2202" t="s">
        <v>718</v>
      </c>
      <c r="R2202" s="154"/>
      <c r="S2202" s="154"/>
      <c r="T2202" s="154"/>
      <c r="U2202" s="154"/>
    </row>
    <row r="2203" spans="1:21" ht="15" customHeight="1" x14ac:dyDescent="0.3">
      <c r="A2203" t="str">
        <f t="shared" si="35"/>
        <v>13-0-HH 1RATE (CT)-SmartFIX – 5 Year Renewal</v>
      </c>
      <c r="B2203" t="s">
        <v>13</v>
      </c>
      <c r="C2203">
        <v>13</v>
      </c>
      <c r="D2203" s="100" t="s">
        <v>22</v>
      </c>
      <c r="E2203" t="s">
        <v>731</v>
      </c>
      <c r="F2203" t="s">
        <v>88</v>
      </c>
      <c r="G2203" t="s">
        <v>738</v>
      </c>
      <c r="H2203" s="128">
        <v>0.66479999999999995</v>
      </c>
      <c r="I2203" s="110">
        <v>0.23219999999999999</v>
      </c>
      <c r="L2203">
        <v>5000</v>
      </c>
      <c r="M2203">
        <v>500000</v>
      </c>
      <c r="N2203" s="105">
        <v>44197</v>
      </c>
      <c r="O2203" s="105">
        <v>44377</v>
      </c>
      <c r="P2203" t="s">
        <v>718</v>
      </c>
      <c r="R2203" s="154"/>
      <c r="S2203" s="154"/>
      <c r="T2203" s="154"/>
      <c r="U2203" s="154"/>
    </row>
    <row r="2204" spans="1:21" ht="15" customHeight="1" x14ac:dyDescent="0.3">
      <c r="A2204" t="str">
        <f t="shared" si="35"/>
        <v>14-0-HH 1RATE (CT)-SmartFIX – 5 Year Renewal</v>
      </c>
      <c r="B2204" t="s">
        <v>13</v>
      </c>
      <c r="C2204">
        <v>14</v>
      </c>
      <c r="D2204" s="100" t="s">
        <v>23</v>
      </c>
      <c r="E2204" t="s">
        <v>731</v>
      </c>
      <c r="F2204" t="s">
        <v>88</v>
      </c>
      <c r="G2204" t="s">
        <v>738</v>
      </c>
      <c r="H2204" s="128">
        <v>0.52710000000000001</v>
      </c>
      <c r="I2204" s="110">
        <v>0.19009999999999999</v>
      </c>
      <c r="L2204">
        <v>5000</v>
      </c>
      <c r="M2204">
        <v>500000</v>
      </c>
      <c r="N2204" s="105">
        <v>44197</v>
      </c>
      <c r="O2204" s="105">
        <v>44377</v>
      </c>
      <c r="P2204" t="s">
        <v>718</v>
      </c>
      <c r="R2204" s="154"/>
      <c r="S2204" s="154"/>
      <c r="T2204" s="154"/>
      <c r="U2204" s="154"/>
    </row>
    <row r="2205" spans="1:21" ht="15" customHeight="1" x14ac:dyDescent="0.3">
      <c r="A2205" t="str">
        <f t="shared" si="35"/>
        <v>15-0-HH 1RATE (CT)-SmartFIX – 5 Year Renewal</v>
      </c>
      <c r="B2205" t="s">
        <v>13</v>
      </c>
      <c r="C2205">
        <v>15</v>
      </c>
      <c r="D2205" s="100" t="s">
        <v>24</v>
      </c>
      <c r="E2205" t="s">
        <v>731</v>
      </c>
      <c r="F2205" t="s">
        <v>88</v>
      </c>
      <c r="G2205" t="s">
        <v>738</v>
      </c>
      <c r="H2205" s="128">
        <v>0.63759999999999994</v>
      </c>
      <c r="I2205" s="110">
        <v>0.18540000000000001</v>
      </c>
      <c r="L2205">
        <v>5000</v>
      </c>
      <c r="M2205">
        <v>500000</v>
      </c>
      <c r="N2205" s="105">
        <v>44197</v>
      </c>
      <c r="O2205" s="105">
        <v>44377</v>
      </c>
      <c r="P2205" t="s">
        <v>718</v>
      </c>
      <c r="R2205" s="154"/>
      <c r="S2205" s="154"/>
      <c r="T2205" s="154"/>
      <c r="U2205" s="154"/>
    </row>
    <row r="2206" spans="1:21" ht="15" customHeight="1" x14ac:dyDescent="0.3">
      <c r="A2206" t="str">
        <f t="shared" si="35"/>
        <v>16-0-HH 1RATE (CT)-SmartFIX – 5 Year Renewal</v>
      </c>
      <c r="B2206" t="s">
        <v>13</v>
      </c>
      <c r="C2206">
        <v>16</v>
      </c>
      <c r="D2206" s="100" t="s">
        <v>25</v>
      </c>
      <c r="E2206" t="s">
        <v>731</v>
      </c>
      <c r="F2206" t="s">
        <v>88</v>
      </c>
      <c r="G2206" t="s">
        <v>738</v>
      </c>
      <c r="H2206" s="128">
        <v>0.59379999999999999</v>
      </c>
      <c r="I2206" s="110">
        <v>0.18810000000000002</v>
      </c>
      <c r="L2206">
        <v>5000</v>
      </c>
      <c r="M2206">
        <v>500000</v>
      </c>
      <c r="N2206" s="105">
        <v>44197</v>
      </c>
      <c r="O2206" s="105">
        <v>44377</v>
      </c>
      <c r="P2206" t="s">
        <v>718</v>
      </c>
      <c r="R2206" s="154"/>
      <c r="S2206" s="154"/>
      <c r="T2206" s="154"/>
      <c r="U2206" s="154"/>
    </row>
    <row r="2207" spans="1:21" ht="15" customHeight="1" x14ac:dyDescent="0.3">
      <c r="A2207" t="str">
        <f t="shared" si="35"/>
        <v>17-0-HH 1RATE (CT)-SmartFIX – 5 Year Renewal</v>
      </c>
      <c r="B2207" t="s">
        <v>13</v>
      </c>
      <c r="C2207">
        <v>17</v>
      </c>
      <c r="D2207" s="100" t="s">
        <v>26</v>
      </c>
      <c r="E2207" t="s">
        <v>731</v>
      </c>
      <c r="F2207" t="s">
        <v>88</v>
      </c>
      <c r="G2207" t="s">
        <v>738</v>
      </c>
      <c r="H2207" s="128">
        <v>0.80389999999999995</v>
      </c>
      <c r="I2207" s="110">
        <v>0.20810000000000001</v>
      </c>
      <c r="L2207">
        <v>5000</v>
      </c>
      <c r="M2207">
        <v>500000</v>
      </c>
      <c r="N2207" s="105">
        <v>44197</v>
      </c>
      <c r="O2207" s="105">
        <v>44377</v>
      </c>
      <c r="P2207" t="s">
        <v>718</v>
      </c>
      <c r="R2207" s="154"/>
      <c r="S2207" s="154"/>
      <c r="T2207" s="154"/>
      <c r="U2207" s="154"/>
    </row>
    <row r="2208" spans="1:21" ht="15" customHeight="1" x14ac:dyDescent="0.3">
      <c r="A2208" t="str">
        <f t="shared" si="35"/>
        <v>18-0-HH 1RATE (CT)-SmartFIX – 5 Year Renewal</v>
      </c>
      <c r="B2208" t="s">
        <v>13</v>
      </c>
      <c r="C2208">
        <v>18</v>
      </c>
      <c r="D2208" s="100" t="s">
        <v>27</v>
      </c>
      <c r="E2208" t="s">
        <v>731</v>
      </c>
      <c r="F2208" t="s">
        <v>88</v>
      </c>
      <c r="G2208" t="s">
        <v>738</v>
      </c>
      <c r="H2208" s="128">
        <v>0.7369</v>
      </c>
      <c r="I2208" s="110">
        <v>0.18679999999999999</v>
      </c>
      <c r="L2208">
        <v>5000</v>
      </c>
      <c r="M2208">
        <v>500000</v>
      </c>
      <c r="N2208" s="105">
        <v>44197</v>
      </c>
      <c r="O2208" s="105">
        <v>44377</v>
      </c>
      <c r="P2208" t="s">
        <v>718</v>
      </c>
      <c r="R2208" s="154"/>
      <c r="S2208" s="154"/>
      <c r="T2208" s="154"/>
      <c r="U2208" s="154"/>
    </row>
    <row r="2209" spans="1:21" ht="15" customHeight="1" x14ac:dyDescent="0.3">
      <c r="A2209" t="str">
        <f t="shared" si="35"/>
        <v>19-0-HH 1RATE (CT)-SmartFIX – 5 Year Renewal</v>
      </c>
      <c r="B2209" t="s">
        <v>13</v>
      </c>
      <c r="C2209">
        <v>19</v>
      </c>
      <c r="D2209" s="100" t="s">
        <v>28</v>
      </c>
      <c r="E2209" t="s">
        <v>731</v>
      </c>
      <c r="F2209" t="s">
        <v>88</v>
      </c>
      <c r="G2209" t="s">
        <v>738</v>
      </c>
      <c r="H2209" s="128">
        <v>0.57909999999999995</v>
      </c>
      <c r="I2209" s="110">
        <v>0.18840000000000001</v>
      </c>
      <c r="L2209">
        <v>5000</v>
      </c>
      <c r="M2209">
        <v>500000</v>
      </c>
      <c r="N2209" s="105">
        <v>44197</v>
      </c>
      <c r="O2209" s="105">
        <v>44377</v>
      </c>
      <c r="P2209" t="s">
        <v>718</v>
      </c>
      <c r="R2209" s="154"/>
      <c r="S2209" s="154"/>
      <c r="T2209" s="154"/>
      <c r="U2209" s="154"/>
    </row>
    <row r="2210" spans="1:21" ht="15" customHeight="1" x14ac:dyDescent="0.3">
      <c r="A2210" t="str">
        <f t="shared" si="35"/>
        <v>20-0-HH 1RATE (CT)-SmartFIX – 5 Year Renewal</v>
      </c>
      <c r="B2210" t="s">
        <v>13</v>
      </c>
      <c r="C2210">
        <v>20</v>
      </c>
      <c r="D2210" s="100" t="s">
        <v>29</v>
      </c>
      <c r="E2210" t="s">
        <v>731</v>
      </c>
      <c r="F2210" t="s">
        <v>88</v>
      </c>
      <c r="G2210" t="s">
        <v>738</v>
      </c>
      <c r="H2210" s="128">
        <v>0.61180000000000001</v>
      </c>
      <c r="I2210" s="110">
        <v>0.18940000000000001</v>
      </c>
      <c r="L2210">
        <v>5000</v>
      </c>
      <c r="M2210">
        <v>500000</v>
      </c>
      <c r="N2210" s="105">
        <v>44197</v>
      </c>
      <c r="O2210" s="105">
        <v>44377</v>
      </c>
      <c r="P2210" t="s">
        <v>718</v>
      </c>
      <c r="R2210" s="154"/>
      <c r="S2210" s="154"/>
      <c r="T2210" s="154"/>
      <c r="U2210" s="154"/>
    </row>
    <row r="2211" spans="1:21" ht="15" customHeight="1" x14ac:dyDescent="0.3">
      <c r="A2211" t="str">
        <f t="shared" si="35"/>
        <v>21-0-HH 1RATE (CT)-SmartFIX – 5 Year Renewal</v>
      </c>
      <c r="B2211" t="s">
        <v>13</v>
      </c>
      <c r="C2211">
        <v>21</v>
      </c>
      <c r="D2211" s="100" t="s">
        <v>30</v>
      </c>
      <c r="E2211" t="s">
        <v>731</v>
      </c>
      <c r="F2211" t="s">
        <v>88</v>
      </c>
      <c r="G2211" t="s">
        <v>738</v>
      </c>
      <c r="H2211" s="128">
        <v>0.62819999999999998</v>
      </c>
      <c r="I2211" s="110">
        <v>0.19340000000000002</v>
      </c>
      <c r="L2211">
        <v>5000</v>
      </c>
      <c r="M2211">
        <v>500000</v>
      </c>
      <c r="N2211" s="105">
        <v>44197</v>
      </c>
      <c r="O2211" s="105">
        <v>44377</v>
      </c>
      <c r="P2211" t="s">
        <v>718</v>
      </c>
      <c r="R2211" s="154"/>
      <c r="S2211" s="154"/>
      <c r="T2211" s="154"/>
      <c r="U2211" s="154"/>
    </row>
    <row r="2212" spans="1:21" ht="15" customHeight="1" x14ac:dyDescent="0.3">
      <c r="A2212" t="str">
        <f t="shared" si="35"/>
        <v>22-0-HH 1RATE (CT)-SmartFIX – 5 Year Renewal</v>
      </c>
      <c r="B2212" t="s">
        <v>13</v>
      </c>
      <c r="C2212">
        <v>22</v>
      </c>
      <c r="D2212" s="100" t="s">
        <v>31</v>
      </c>
      <c r="E2212" t="s">
        <v>731</v>
      </c>
      <c r="F2212" t="s">
        <v>88</v>
      </c>
      <c r="G2212" t="s">
        <v>738</v>
      </c>
      <c r="H2212" s="128">
        <v>0.55100000000000005</v>
      </c>
      <c r="I2212" s="110">
        <v>0.18490000000000001</v>
      </c>
      <c r="L2212">
        <v>5000</v>
      </c>
      <c r="M2212">
        <v>500000</v>
      </c>
      <c r="N2212" s="105">
        <v>44197</v>
      </c>
      <c r="O2212" s="105">
        <v>44377</v>
      </c>
      <c r="P2212" t="s">
        <v>718</v>
      </c>
      <c r="R2212" s="154"/>
      <c r="S2212" s="154"/>
      <c r="T2212" s="154"/>
      <c r="U2212" s="154"/>
    </row>
    <row r="2213" spans="1:21" ht="15" customHeight="1" x14ac:dyDescent="0.3">
      <c r="A2213" t="str">
        <f t="shared" si="35"/>
        <v>23-0-HH 1RATE (CT)-SmartFIX – 5 Year Renewal</v>
      </c>
      <c r="B2213" t="s">
        <v>13</v>
      </c>
      <c r="C2213">
        <v>23</v>
      </c>
      <c r="D2213" s="100" t="s">
        <v>32</v>
      </c>
      <c r="E2213" t="s">
        <v>731</v>
      </c>
      <c r="F2213" t="s">
        <v>88</v>
      </c>
      <c r="G2213" t="s">
        <v>738</v>
      </c>
      <c r="H2213" s="128">
        <v>0.65769999999999995</v>
      </c>
      <c r="I2213" s="110">
        <v>0.186</v>
      </c>
      <c r="L2213">
        <v>5000</v>
      </c>
      <c r="M2213">
        <v>500000</v>
      </c>
      <c r="N2213" s="105">
        <v>44197</v>
      </c>
      <c r="O2213" s="105">
        <v>44377</v>
      </c>
      <c r="P2213" t="s">
        <v>718</v>
      </c>
      <c r="R2213" s="154"/>
      <c r="S2213" s="154"/>
      <c r="T2213" s="154"/>
      <c r="U2213" s="154"/>
    </row>
    <row r="2214" spans="1:21" ht="15" customHeight="1" x14ac:dyDescent="0.3">
      <c r="A2214" t="str">
        <f t="shared" si="35"/>
        <v>10-0-HH 2RATE (WC)-SmartFIX – 5 Year</v>
      </c>
      <c r="B2214" t="s">
        <v>13</v>
      </c>
      <c r="C2214">
        <v>10</v>
      </c>
      <c r="D2214" s="100" t="s">
        <v>14</v>
      </c>
      <c r="E2214" t="s">
        <v>730</v>
      </c>
      <c r="F2214" t="s">
        <v>88</v>
      </c>
      <c r="G2214" t="s">
        <v>737</v>
      </c>
      <c r="H2214" s="128">
        <v>0.41920000000000002</v>
      </c>
      <c r="I2214" s="110">
        <v>0.17460000000000001</v>
      </c>
      <c r="J2214" s="110">
        <v>0.1197</v>
      </c>
      <c r="K2214" s="110" t="s">
        <v>717</v>
      </c>
      <c r="L2214">
        <v>5000</v>
      </c>
      <c r="M2214">
        <v>500000</v>
      </c>
      <c r="N2214" s="105">
        <v>44197</v>
      </c>
      <c r="O2214" s="105">
        <v>44377</v>
      </c>
      <c r="P2214" t="s">
        <v>718</v>
      </c>
      <c r="R2214" s="154"/>
      <c r="S2214" s="154"/>
      <c r="T2214" s="154"/>
      <c r="U2214" s="154"/>
    </row>
    <row r="2215" spans="1:21" ht="15" customHeight="1" x14ac:dyDescent="0.3">
      <c r="A2215" t="str">
        <f t="shared" si="35"/>
        <v>11-0-HH 2RATE (WC)-SmartFIX – 5 Year</v>
      </c>
      <c r="B2215" t="s">
        <v>13</v>
      </c>
      <c r="C2215">
        <v>11</v>
      </c>
      <c r="D2215" s="100" t="s">
        <v>20</v>
      </c>
      <c r="E2215" t="s">
        <v>730</v>
      </c>
      <c r="F2215" t="s">
        <v>88</v>
      </c>
      <c r="G2215" t="s">
        <v>737</v>
      </c>
      <c r="H2215" s="128">
        <v>0.42980000000000002</v>
      </c>
      <c r="I2215" s="110">
        <v>0.1706</v>
      </c>
      <c r="J2215" s="110">
        <v>0.1242</v>
      </c>
      <c r="K2215" s="110" t="s">
        <v>717</v>
      </c>
      <c r="L2215">
        <v>5000</v>
      </c>
      <c r="M2215">
        <v>500000</v>
      </c>
      <c r="N2215" s="105">
        <v>44197</v>
      </c>
      <c r="O2215" s="105">
        <v>44377</v>
      </c>
      <c r="P2215" t="s">
        <v>718</v>
      </c>
      <c r="R2215" s="154"/>
      <c r="S2215" s="154"/>
      <c r="T2215" s="154"/>
      <c r="U2215" s="154"/>
    </row>
    <row r="2216" spans="1:21" ht="15" customHeight="1" x14ac:dyDescent="0.3">
      <c r="A2216" t="str">
        <f t="shared" si="35"/>
        <v>12-0-HH 2RATE (WC)-SmartFIX – 5 Year</v>
      </c>
      <c r="B2216" t="s">
        <v>13</v>
      </c>
      <c r="C2216">
        <v>12</v>
      </c>
      <c r="D2216" s="100" t="s">
        <v>21</v>
      </c>
      <c r="E2216" t="s">
        <v>730</v>
      </c>
      <c r="F2216" t="s">
        <v>88</v>
      </c>
      <c r="G2216" t="s">
        <v>737</v>
      </c>
      <c r="H2216" s="128">
        <v>0.35099999999999998</v>
      </c>
      <c r="I2216" s="110">
        <v>0.16589999999999999</v>
      </c>
      <c r="J2216" s="110">
        <v>0.1128</v>
      </c>
      <c r="K2216" s="110" t="s">
        <v>717</v>
      </c>
      <c r="L2216">
        <v>5000</v>
      </c>
      <c r="M2216">
        <v>500000</v>
      </c>
      <c r="N2216" s="105">
        <v>44197</v>
      </c>
      <c r="O2216" s="105">
        <v>44377</v>
      </c>
      <c r="P2216" t="s">
        <v>718</v>
      </c>
      <c r="R2216" s="154"/>
      <c r="S2216" s="154"/>
      <c r="T2216" s="154"/>
      <c r="U2216" s="154"/>
    </row>
    <row r="2217" spans="1:21" ht="15" customHeight="1" x14ac:dyDescent="0.3">
      <c r="A2217" t="str">
        <f t="shared" si="35"/>
        <v>13-0-HH 2RATE (WC)-SmartFIX – 5 Year</v>
      </c>
      <c r="B2217" t="s">
        <v>13</v>
      </c>
      <c r="C2217">
        <v>13</v>
      </c>
      <c r="D2217" s="100" t="s">
        <v>22</v>
      </c>
      <c r="E2217" t="s">
        <v>730</v>
      </c>
      <c r="F2217" t="s">
        <v>88</v>
      </c>
      <c r="G2217" t="s">
        <v>737</v>
      </c>
      <c r="H2217" s="128">
        <v>0.39379999999999998</v>
      </c>
      <c r="I2217" s="110">
        <v>0.19309999999999999</v>
      </c>
      <c r="J2217" s="110">
        <v>0.13469999999999999</v>
      </c>
      <c r="K2217" s="110" t="s">
        <v>717</v>
      </c>
      <c r="L2217">
        <v>5000</v>
      </c>
      <c r="M2217">
        <v>500000</v>
      </c>
      <c r="N2217" s="105">
        <v>44197</v>
      </c>
      <c r="O2217" s="105">
        <v>44377</v>
      </c>
      <c r="P2217" t="s">
        <v>718</v>
      </c>
      <c r="R2217" s="154"/>
      <c r="S2217" s="154"/>
      <c r="T2217" s="154"/>
      <c r="U2217" s="154"/>
    </row>
    <row r="2218" spans="1:21" ht="15" customHeight="1" x14ac:dyDescent="0.3">
      <c r="A2218" t="str">
        <f t="shared" si="35"/>
        <v>14-0-HH 2RATE (WC)-SmartFIX – 5 Year</v>
      </c>
      <c r="B2218" t="s">
        <v>13</v>
      </c>
      <c r="C2218">
        <v>14</v>
      </c>
      <c r="D2218" s="100" t="s">
        <v>23</v>
      </c>
      <c r="E2218" t="s">
        <v>730</v>
      </c>
      <c r="F2218" t="s">
        <v>88</v>
      </c>
      <c r="G2218" t="s">
        <v>737</v>
      </c>
      <c r="H2218" s="128">
        <v>0.45290000000000002</v>
      </c>
      <c r="I2218" s="110">
        <v>0.17319999999999999</v>
      </c>
      <c r="J2218" s="110">
        <v>0.12909999999999999</v>
      </c>
      <c r="K2218" s="110" t="s">
        <v>717</v>
      </c>
      <c r="L2218">
        <v>5000</v>
      </c>
      <c r="M2218">
        <v>500000</v>
      </c>
      <c r="N2218" s="105">
        <v>44197</v>
      </c>
      <c r="O2218" s="105">
        <v>44377</v>
      </c>
      <c r="P2218" t="s">
        <v>718</v>
      </c>
      <c r="R2218" s="154"/>
      <c r="S2218" s="154"/>
      <c r="T2218" s="154"/>
      <c r="U2218" s="154"/>
    </row>
    <row r="2219" spans="1:21" ht="15" customHeight="1" x14ac:dyDescent="0.3">
      <c r="A2219" t="str">
        <f t="shared" si="35"/>
        <v>15-0-HH 2RATE (WC)-SmartFIX – 5 Year</v>
      </c>
      <c r="B2219" t="s">
        <v>13</v>
      </c>
      <c r="C2219">
        <v>15</v>
      </c>
      <c r="D2219" s="100" t="s">
        <v>24</v>
      </c>
      <c r="E2219" t="s">
        <v>730</v>
      </c>
      <c r="F2219" t="s">
        <v>88</v>
      </c>
      <c r="G2219" t="s">
        <v>737</v>
      </c>
      <c r="H2219" s="128">
        <v>0.42909999999999998</v>
      </c>
      <c r="I2219" s="110">
        <v>0.17299999999999999</v>
      </c>
      <c r="J2219" s="110">
        <v>0.1273</v>
      </c>
      <c r="K2219" s="110" t="s">
        <v>717</v>
      </c>
      <c r="L2219">
        <v>5000</v>
      </c>
      <c r="M2219">
        <v>500000</v>
      </c>
      <c r="N2219" s="105">
        <v>44197</v>
      </c>
      <c r="O2219" s="105">
        <v>44377</v>
      </c>
      <c r="P2219" t="s">
        <v>718</v>
      </c>
      <c r="R2219" s="154"/>
      <c r="S2219" s="154"/>
      <c r="T2219" s="154"/>
      <c r="U2219" s="154"/>
    </row>
    <row r="2220" spans="1:21" ht="15" customHeight="1" x14ac:dyDescent="0.3">
      <c r="A2220" t="str">
        <f t="shared" si="35"/>
        <v>16-0-HH 2RATE (WC)-SmartFIX – 5 Year</v>
      </c>
      <c r="B2220" t="s">
        <v>13</v>
      </c>
      <c r="C2220">
        <v>16</v>
      </c>
      <c r="D2220" s="100" t="s">
        <v>25</v>
      </c>
      <c r="E2220" t="s">
        <v>730</v>
      </c>
      <c r="F2220" t="s">
        <v>88</v>
      </c>
      <c r="G2220" t="s">
        <v>737</v>
      </c>
      <c r="H2220" s="128">
        <v>0.38250000000000001</v>
      </c>
      <c r="I2220" s="110">
        <v>0.17649999999999999</v>
      </c>
      <c r="J2220" s="110">
        <v>0.1249</v>
      </c>
      <c r="K2220" s="110" t="s">
        <v>717</v>
      </c>
      <c r="L2220">
        <v>5000</v>
      </c>
      <c r="M2220">
        <v>500000</v>
      </c>
      <c r="N2220" s="105">
        <v>44197</v>
      </c>
      <c r="O2220" s="105">
        <v>44377</v>
      </c>
      <c r="P2220" t="s">
        <v>718</v>
      </c>
      <c r="R2220" s="154"/>
      <c r="S2220" s="154"/>
      <c r="T2220" s="154"/>
      <c r="U2220" s="154"/>
    </row>
    <row r="2221" spans="1:21" ht="15" customHeight="1" x14ac:dyDescent="0.3">
      <c r="A2221" t="str">
        <f t="shared" si="35"/>
        <v>17-0-HH 2RATE (WC)-SmartFIX – 5 Year</v>
      </c>
      <c r="B2221" t="s">
        <v>13</v>
      </c>
      <c r="C2221">
        <v>17</v>
      </c>
      <c r="D2221" s="100" t="s">
        <v>26</v>
      </c>
      <c r="E2221" t="s">
        <v>730</v>
      </c>
      <c r="F2221" t="s">
        <v>88</v>
      </c>
      <c r="G2221" t="s">
        <v>737</v>
      </c>
      <c r="H2221" s="128">
        <v>0.46820000000000001</v>
      </c>
      <c r="I2221" s="110">
        <v>0.1893</v>
      </c>
      <c r="J2221" s="110">
        <v>0.14349999999999999</v>
      </c>
      <c r="K2221" s="110" t="s">
        <v>717</v>
      </c>
      <c r="L2221">
        <v>5000</v>
      </c>
      <c r="M2221">
        <v>500000</v>
      </c>
      <c r="N2221" s="105">
        <v>44197</v>
      </c>
      <c r="O2221" s="105">
        <v>44377</v>
      </c>
      <c r="P2221" t="s">
        <v>718</v>
      </c>
      <c r="R2221" s="154"/>
      <c r="S2221" s="154"/>
      <c r="T2221" s="154"/>
      <c r="U2221" s="154"/>
    </row>
    <row r="2222" spans="1:21" ht="15" customHeight="1" x14ac:dyDescent="0.3">
      <c r="A2222" t="str">
        <f t="shared" si="35"/>
        <v>18-0-HH 2RATE (WC)-SmartFIX – 5 Year</v>
      </c>
      <c r="B2222" t="s">
        <v>13</v>
      </c>
      <c r="C2222">
        <v>18</v>
      </c>
      <c r="D2222" s="100" t="s">
        <v>27</v>
      </c>
      <c r="E2222" t="s">
        <v>730</v>
      </c>
      <c r="F2222" t="s">
        <v>88</v>
      </c>
      <c r="G2222" t="s">
        <v>737</v>
      </c>
      <c r="H2222" s="128">
        <v>0.41039999999999999</v>
      </c>
      <c r="I2222" s="110">
        <v>0.19289999999999999</v>
      </c>
      <c r="J2222" s="110">
        <v>0.14249999999999999</v>
      </c>
      <c r="K2222" s="110" t="s">
        <v>717</v>
      </c>
      <c r="L2222">
        <v>5000</v>
      </c>
      <c r="M2222">
        <v>500000</v>
      </c>
      <c r="N2222" s="105">
        <v>44197</v>
      </c>
      <c r="O2222" s="105">
        <v>44377</v>
      </c>
      <c r="P2222" t="s">
        <v>718</v>
      </c>
      <c r="R2222" s="154"/>
      <c r="S2222" s="154"/>
      <c r="T2222" s="154"/>
      <c r="U2222" s="154"/>
    </row>
    <row r="2223" spans="1:21" ht="15" customHeight="1" x14ac:dyDescent="0.3">
      <c r="A2223" t="str">
        <f t="shared" si="35"/>
        <v>19-0-HH 2RATE (WC)-SmartFIX – 5 Year</v>
      </c>
      <c r="B2223" t="s">
        <v>13</v>
      </c>
      <c r="C2223">
        <v>19</v>
      </c>
      <c r="D2223" s="100" t="s">
        <v>28</v>
      </c>
      <c r="E2223" t="s">
        <v>730</v>
      </c>
      <c r="F2223" t="s">
        <v>88</v>
      </c>
      <c r="G2223" t="s">
        <v>737</v>
      </c>
      <c r="H2223" s="128">
        <v>0.41199999999999998</v>
      </c>
      <c r="I2223" s="110">
        <v>0.1767</v>
      </c>
      <c r="J2223" s="110">
        <v>0.1244</v>
      </c>
      <c r="K2223" s="110" t="s">
        <v>717</v>
      </c>
      <c r="L2223">
        <v>5000</v>
      </c>
      <c r="M2223">
        <v>500000</v>
      </c>
      <c r="N2223" s="105">
        <v>44197</v>
      </c>
      <c r="O2223" s="105">
        <v>44377</v>
      </c>
      <c r="P2223" t="s">
        <v>718</v>
      </c>
      <c r="R2223" s="154"/>
      <c r="S2223" s="154"/>
      <c r="T2223" s="154"/>
      <c r="U2223" s="154"/>
    </row>
    <row r="2224" spans="1:21" ht="15" customHeight="1" x14ac:dyDescent="0.3">
      <c r="A2224" t="str">
        <f t="shared" si="35"/>
        <v>20-0-HH 2RATE (WC)-SmartFIX – 5 Year</v>
      </c>
      <c r="B2224" t="s">
        <v>13</v>
      </c>
      <c r="C2224">
        <v>20</v>
      </c>
      <c r="D2224" s="100" t="s">
        <v>29</v>
      </c>
      <c r="E2224" t="s">
        <v>730</v>
      </c>
      <c r="F2224" t="s">
        <v>88</v>
      </c>
      <c r="G2224" t="s">
        <v>737</v>
      </c>
      <c r="H2224" s="128">
        <v>0.40510000000000002</v>
      </c>
      <c r="I2224" s="110">
        <v>0.1812</v>
      </c>
      <c r="J2224" s="110">
        <v>0.12709999999999999</v>
      </c>
      <c r="K2224" s="110" t="s">
        <v>717</v>
      </c>
      <c r="L2224">
        <v>5000</v>
      </c>
      <c r="M2224">
        <v>500000</v>
      </c>
      <c r="N2224" s="105">
        <v>44197</v>
      </c>
      <c r="O2224" s="105">
        <v>44377</v>
      </c>
      <c r="P2224" t="s">
        <v>718</v>
      </c>
      <c r="R2224" s="154"/>
      <c r="S2224" s="154"/>
      <c r="T2224" s="154"/>
      <c r="U2224" s="154"/>
    </row>
    <row r="2225" spans="1:21" ht="15" customHeight="1" x14ac:dyDescent="0.3">
      <c r="A2225" t="str">
        <f t="shared" si="35"/>
        <v>21-0-HH 2RATE (WC)-SmartFIX – 5 Year</v>
      </c>
      <c r="B2225" t="s">
        <v>13</v>
      </c>
      <c r="C2225">
        <v>21</v>
      </c>
      <c r="D2225" s="100" t="s">
        <v>30</v>
      </c>
      <c r="E2225" t="s">
        <v>730</v>
      </c>
      <c r="F2225" t="s">
        <v>88</v>
      </c>
      <c r="G2225" t="s">
        <v>737</v>
      </c>
      <c r="H2225" s="128">
        <v>0.51429999999999998</v>
      </c>
      <c r="I2225" s="110">
        <v>0.17249999999999999</v>
      </c>
      <c r="J2225" s="110">
        <v>0.12820000000000001</v>
      </c>
      <c r="K2225" s="110" t="s">
        <v>717</v>
      </c>
      <c r="L2225">
        <v>5000</v>
      </c>
      <c r="M2225">
        <v>500000</v>
      </c>
      <c r="N2225" s="105">
        <v>44197</v>
      </c>
      <c r="O2225" s="105">
        <v>44377</v>
      </c>
      <c r="P2225" t="s">
        <v>718</v>
      </c>
      <c r="R2225" s="154"/>
      <c r="S2225" s="154"/>
      <c r="T2225" s="154"/>
      <c r="U2225" s="154"/>
    </row>
    <row r="2226" spans="1:21" ht="15" customHeight="1" x14ac:dyDescent="0.3">
      <c r="A2226" t="str">
        <f t="shared" si="35"/>
        <v>22-0-HH 2RATE (WC)-SmartFIX – 5 Year</v>
      </c>
      <c r="B2226" t="s">
        <v>13</v>
      </c>
      <c r="C2226">
        <v>22</v>
      </c>
      <c r="D2226" s="100" t="s">
        <v>31</v>
      </c>
      <c r="E2226" t="s">
        <v>730</v>
      </c>
      <c r="F2226" t="s">
        <v>88</v>
      </c>
      <c r="G2226" t="s">
        <v>737</v>
      </c>
      <c r="H2226" s="128">
        <v>0.4617</v>
      </c>
      <c r="I2226" s="110">
        <v>0.1802</v>
      </c>
      <c r="J2226" s="110">
        <v>0.13819999999999999</v>
      </c>
      <c r="K2226" s="110" t="s">
        <v>717</v>
      </c>
      <c r="L2226">
        <v>5000</v>
      </c>
      <c r="M2226">
        <v>500000</v>
      </c>
      <c r="N2226" s="105">
        <v>44197</v>
      </c>
      <c r="O2226" s="105">
        <v>44377</v>
      </c>
      <c r="P2226" t="s">
        <v>718</v>
      </c>
      <c r="R2226" s="154"/>
      <c r="S2226" s="154"/>
      <c r="T2226" s="154"/>
      <c r="U2226" s="154"/>
    </row>
    <row r="2227" spans="1:21" ht="15" customHeight="1" x14ac:dyDescent="0.3">
      <c r="A2227" t="str">
        <f t="shared" si="35"/>
        <v>23-0-HH 2RATE (WC)-SmartFIX – 5 Year</v>
      </c>
      <c r="B2227" t="s">
        <v>13</v>
      </c>
      <c r="C2227">
        <v>23</v>
      </c>
      <c r="D2227" s="100" t="s">
        <v>32</v>
      </c>
      <c r="E2227" t="s">
        <v>730</v>
      </c>
      <c r="F2227" t="s">
        <v>88</v>
      </c>
      <c r="G2227" t="s">
        <v>737</v>
      </c>
      <c r="H2227" s="128">
        <v>0.4219</v>
      </c>
      <c r="I2227" s="110">
        <v>0.1694</v>
      </c>
      <c r="J2227" s="110">
        <v>0.12470000000000001</v>
      </c>
      <c r="K2227" s="110" t="s">
        <v>717</v>
      </c>
      <c r="L2227">
        <v>5000</v>
      </c>
      <c r="M2227">
        <v>500000</v>
      </c>
      <c r="N2227" s="105">
        <v>44197</v>
      </c>
      <c r="O2227" s="105">
        <v>44377</v>
      </c>
      <c r="P2227" t="s">
        <v>718</v>
      </c>
      <c r="R2227" s="154"/>
      <c r="S2227" s="154"/>
      <c r="T2227" s="154"/>
      <c r="U2227" s="154"/>
    </row>
    <row r="2228" spans="1:21" ht="15" customHeight="1" x14ac:dyDescent="0.3">
      <c r="A2228" t="str">
        <f t="shared" si="35"/>
        <v>10-0-HH 2RATE (WC)-SmartFIX – 5 Year Renewal</v>
      </c>
      <c r="B2228" t="s">
        <v>13</v>
      </c>
      <c r="C2228">
        <v>10</v>
      </c>
      <c r="D2228" s="100" t="s">
        <v>14</v>
      </c>
      <c r="E2228" t="s">
        <v>730</v>
      </c>
      <c r="F2228" t="s">
        <v>88</v>
      </c>
      <c r="G2228" t="s">
        <v>738</v>
      </c>
      <c r="H2228" s="128">
        <v>0.46110000000000001</v>
      </c>
      <c r="I2228" s="110">
        <v>0.18060000000000001</v>
      </c>
      <c r="J2228" s="110">
        <v>0.12570000000000001</v>
      </c>
      <c r="K2228" s="110" t="s">
        <v>717</v>
      </c>
      <c r="L2228">
        <v>5000</v>
      </c>
      <c r="M2228">
        <v>500000</v>
      </c>
      <c r="N2228" s="105">
        <v>44197</v>
      </c>
      <c r="O2228" s="105">
        <v>44377</v>
      </c>
      <c r="P2228" t="s">
        <v>718</v>
      </c>
      <c r="R2228" s="154"/>
      <c r="S2228" s="154"/>
      <c r="T2228" s="154"/>
      <c r="U2228" s="154"/>
    </row>
    <row r="2229" spans="1:21" ht="15" customHeight="1" x14ac:dyDescent="0.3">
      <c r="A2229" t="str">
        <f t="shared" si="35"/>
        <v>11-0-HH 2RATE (WC)-SmartFIX – 5 Year Renewal</v>
      </c>
      <c r="B2229" t="s">
        <v>13</v>
      </c>
      <c r="C2229">
        <v>11</v>
      </c>
      <c r="D2229" s="100" t="s">
        <v>20</v>
      </c>
      <c r="E2229" t="s">
        <v>730</v>
      </c>
      <c r="F2229" t="s">
        <v>88</v>
      </c>
      <c r="G2229" t="s">
        <v>738</v>
      </c>
      <c r="H2229" s="128">
        <v>0.47270000000000001</v>
      </c>
      <c r="I2229" s="110">
        <v>0.17660000000000001</v>
      </c>
      <c r="J2229" s="110">
        <v>0.13020000000000001</v>
      </c>
      <c r="K2229" s="110" t="s">
        <v>717</v>
      </c>
      <c r="L2229">
        <v>5000</v>
      </c>
      <c r="M2229">
        <v>500000</v>
      </c>
      <c r="N2229" s="105">
        <v>44197</v>
      </c>
      <c r="O2229" s="105">
        <v>44377</v>
      </c>
      <c r="P2229" t="s">
        <v>718</v>
      </c>
      <c r="R2229" s="154"/>
      <c r="S2229" s="154"/>
      <c r="T2229" s="154"/>
      <c r="U2229" s="154"/>
    </row>
    <row r="2230" spans="1:21" ht="15" customHeight="1" x14ac:dyDescent="0.3">
      <c r="A2230" t="str">
        <f t="shared" si="35"/>
        <v>12-0-HH 2RATE (WC)-SmartFIX – 5 Year Renewal</v>
      </c>
      <c r="B2230" t="s">
        <v>13</v>
      </c>
      <c r="C2230">
        <v>12</v>
      </c>
      <c r="D2230" s="100" t="s">
        <v>21</v>
      </c>
      <c r="E2230" t="s">
        <v>730</v>
      </c>
      <c r="F2230" t="s">
        <v>88</v>
      </c>
      <c r="G2230" t="s">
        <v>738</v>
      </c>
      <c r="H2230" s="128">
        <v>0.3861</v>
      </c>
      <c r="I2230" s="110">
        <v>0.1719</v>
      </c>
      <c r="J2230" s="110">
        <v>0.1188</v>
      </c>
      <c r="K2230" s="110" t="s">
        <v>717</v>
      </c>
      <c r="L2230">
        <v>5000</v>
      </c>
      <c r="M2230">
        <v>500000</v>
      </c>
      <c r="N2230" s="105">
        <v>44197</v>
      </c>
      <c r="O2230" s="105">
        <v>44377</v>
      </c>
      <c r="P2230" t="s">
        <v>718</v>
      </c>
      <c r="R2230" s="154"/>
      <c r="S2230" s="154"/>
      <c r="T2230" s="154"/>
      <c r="U2230" s="154"/>
    </row>
    <row r="2231" spans="1:21" ht="15" customHeight="1" x14ac:dyDescent="0.3">
      <c r="A2231" t="str">
        <f t="shared" si="35"/>
        <v>13-0-HH 2RATE (WC)-SmartFIX – 5 Year Renewal</v>
      </c>
      <c r="B2231" t="s">
        <v>13</v>
      </c>
      <c r="C2231">
        <v>13</v>
      </c>
      <c r="D2231" s="100" t="s">
        <v>22</v>
      </c>
      <c r="E2231" t="s">
        <v>730</v>
      </c>
      <c r="F2231" t="s">
        <v>88</v>
      </c>
      <c r="G2231" t="s">
        <v>738</v>
      </c>
      <c r="H2231" s="128">
        <v>0.43309999999999998</v>
      </c>
      <c r="I2231" s="110">
        <v>0.1991</v>
      </c>
      <c r="J2231" s="110">
        <v>0.14069999999999999</v>
      </c>
      <c r="K2231" s="110" t="s">
        <v>717</v>
      </c>
      <c r="L2231">
        <v>5000</v>
      </c>
      <c r="M2231">
        <v>500000</v>
      </c>
      <c r="N2231" s="105">
        <v>44197</v>
      </c>
      <c r="O2231" s="105">
        <v>44377</v>
      </c>
      <c r="P2231" t="s">
        <v>718</v>
      </c>
      <c r="R2231" s="154"/>
      <c r="S2231" s="154"/>
      <c r="T2231" s="154"/>
      <c r="U2231" s="154"/>
    </row>
    <row r="2232" spans="1:21" ht="15" customHeight="1" x14ac:dyDescent="0.3">
      <c r="A2232" t="str">
        <f t="shared" si="35"/>
        <v>14-0-HH 2RATE (WC)-SmartFIX – 5 Year Renewal</v>
      </c>
      <c r="B2232" t="s">
        <v>13</v>
      </c>
      <c r="C2232">
        <v>14</v>
      </c>
      <c r="D2232" s="100" t="s">
        <v>23</v>
      </c>
      <c r="E2232" t="s">
        <v>730</v>
      </c>
      <c r="F2232" t="s">
        <v>88</v>
      </c>
      <c r="G2232" t="s">
        <v>738</v>
      </c>
      <c r="H2232" s="128">
        <v>0.49819999999999998</v>
      </c>
      <c r="I2232" s="110">
        <v>0.1792</v>
      </c>
      <c r="J2232" s="110">
        <v>0.1351</v>
      </c>
      <c r="K2232" s="110" t="s">
        <v>717</v>
      </c>
      <c r="L2232">
        <v>5000</v>
      </c>
      <c r="M2232">
        <v>500000</v>
      </c>
      <c r="N2232" s="105">
        <v>44197</v>
      </c>
      <c r="O2232" s="105">
        <v>44377</v>
      </c>
      <c r="P2232" t="s">
        <v>718</v>
      </c>
      <c r="R2232" s="154"/>
      <c r="S2232" s="154"/>
      <c r="T2232" s="154"/>
      <c r="U2232" s="154"/>
    </row>
    <row r="2233" spans="1:21" ht="15" customHeight="1" x14ac:dyDescent="0.3">
      <c r="A2233" t="str">
        <f t="shared" si="35"/>
        <v>15-0-HH 2RATE (WC)-SmartFIX – 5 Year Renewal</v>
      </c>
      <c r="B2233" t="s">
        <v>13</v>
      </c>
      <c r="C2233">
        <v>15</v>
      </c>
      <c r="D2233" s="100" t="s">
        <v>24</v>
      </c>
      <c r="E2233" t="s">
        <v>730</v>
      </c>
      <c r="F2233" t="s">
        <v>88</v>
      </c>
      <c r="G2233" t="s">
        <v>738</v>
      </c>
      <c r="H2233" s="128">
        <v>0.47199999999999998</v>
      </c>
      <c r="I2233" s="110">
        <v>0.17899999999999999</v>
      </c>
      <c r="J2233" s="110">
        <v>0.1333</v>
      </c>
      <c r="K2233" s="110" t="s">
        <v>717</v>
      </c>
      <c r="L2233">
        <v>5000</v>
      </c>
      <c r="M2233">
        <v>500000</v>
      </c>
      <c r="N2233" s="105">
        <v>44197</v>
      </c>
      <c r="O2233" s="105">
        <v>44377</v>
      </c>
      <c r="P2233" t="s">
        <v>718</v>
      </c>
      <c r="R2233" s="154"/>
      <c r="S2233" s="154"/>
      <c r="T2233" s="154"/>
      <c r="U2233" s="154"/>
    </row>
    <row r="2234" spans="1:21" ht="15" customHeight="1" x14ac:dyDescent="0.3">
      <c r="A2234" t="str">
        <f t="shared" si="35"/>
        <v>16-0-HH 2RATE (WC)-SmartFIX – 5 Year Renewal</v>
      </c>
      <c r="B2234" t="s">
        <v>13</v>
      </c>
      <c r="C2234">
        <v>16</v>
      </c>
      <c r="D2234" s="100" t="s">
        <v>25</v>
      </c>
      <c r="E2234" t="s">
        <v>730</v>
      </c>
      <c r="F2234" t="s">
        <v>88</v>
      </c>
      <c r="G2234" t="s">
        <v>738</v>
      </c>
      <c r="H2234" s="128">
        <v>0.42070000000000002</v>
      </c>
      <c r="I2234" s="110">
        <v>0.1825</v>
      </c>
      <c r="J2234" s="110">
        <v>0.13089999999999999</v>
      </c>
      <c r="K2234" s="110" t="s">
        <v>717</v>
      </c>
      <c r="L2234">
        <v>5000</v>
      </c>
      <c r="M2234">
        <v>500000</v>
      </c>
      <c r="N2234" s="105">
        <v>44197</v>
      </c>
      <c r="O2234" s="105">
        <v>44377</v>
      </c>
      <c r="P2234" t="s">
        <v>718</v>
      </c>
      <c r="R2234" s="154"/>
      <c r="S2234" s="154"/>
      <c r="T2234" s="154"/>
      <c r="U2234" s="154"/>
    </row>
    <row r="2235" spans="1:21" ht="15" customHeight="1" x14ac:dyDescent="0.3">
      <c r="A2235" t="str">
        <f t="shared" si="35"/>
        <v>17-0-HH 2RATE (WC)-SmartFIX – 5 Year Renewal</v>
      </c>
      <c r="B2235" t="s">
        <v>13</v>
      </c>
      <c r="C2235">
        <v>17</v>
      </c>
      <c r="D2235" s="100" t="s">
        <v>26</v>
      </c>
      <c r="E2235" t="s">
        <v>730</v>
      </c>
      <c r="F2235" t="s">
        <v>88</v>
      </c>
      <c r="G2235" t="s">
        <v>738</v>
      </c>
      <c r="H2235" s="128">
        <v>0.51500000000000001</v>
      </c>
      <c r="I2235" s="110">
        <v>0.1953</v>
      </c>
      <c r="J2235" s="110">
        <v>0.14949999999999999</v>
      </c>
      <c r="K2235" s="110" t="s">
        <v>717</v>
      </c>
      <c r="L2235">
        <v>5000</v>
      </c>
      <c r="M2235">
        <v>500000</v>
      </c>
      <c r="N2235" s="105">
        <v>44197</v>
      </c>
      <c r="O2235" s="105">
        <v>44377</v>
      </c>
      <c r="P2235" t="s">
        <v>718</v>
      </c>
      <c r="R2235" s="154"/>
      <c r="S2235" s="154"/>
      <c r="T2235" s="154"/>
      <c r="U2235" s="154"/>
    </row>
    <row r="2236" spans="1:21" ht="15" customHeight="1" x14ac:dyDescent="0.3">
      <c r="A2236" t="str">
        <f t="shared" si="35"/>
        <v>18-0-HH 2RATE (WC)-SmartFIX – 5 Year Renewal</v>
      </c>
      <c r="B2236" t="s">
        <v>13</v>
      </c>
      <c r="C2236">
        <v>18</v>
      </c>
      <c r="D2236" s="100" t="s">
        <v>27</v>
      </c>
      <c r="E2236" t="s">
        <v>730</v>
      </c>
      <c r="F2236" t="s">
        <v>88</v>
      </c>
      <c r="G2236" t="s">
        <v>738</v>
      </c>
      <c r="H2236" s="128">
        <v>0.45150000000000001</v>
      </c>
      <c r="I2236" s="110">
        <v>0.19889999999999999</v>
      </c>
      <c r="J2236" s="110">
        <v>0.14849999999999999</v>
      </c>
      <c r="K2236" s="110" t="s">
        <v>717</v>
      </c>
      <c r="L2236">
        <v>5000</v>
      </c>
      <c r="M2236">
        <v>500000</v>
      </c>
      <c r="N2236" s="105">
        <v>44197</v>
      </c>
      <c r="O2236" s="105">
        <v>44377</v>
      </c>
      <c r="P2236" t="s">
        <v>718</v>
      </c>
      <c r="R2236" s="154"/>
      <c r="S2236" s="154"/>
      <c r="T2236" s="154"/>
      <c r="U2236" s="154"/>
    </row>
    <row r="2237" spans="1:21" ht="15" customHeight="1" x14ac:dyDescent="0.3">
      <c r="A2237" t="str">
        <f t="shared" si="35"/>
        <v>19-0-HH 2RATE (WC)-SmartFIX – 5 Year Renewal</v>
      </c>
      <c r="B2237" t="s">
        <v>13</v>
      </c>
      <c r="C2237">
        <v>19</v>
      </c>
      <c r="D2237" s="100" t="s">
        <v>28</v>
      </c>
      <c r="E2237" t="s">
        <v>730</v>
      </c>
      <c r="F2237" t="s">
        <v>88</v>
      </c>
      <c r="G2237" t="s">
        <v>738</v>
      </c>
      <c r="H2237" s="128">
        <v>0.45319999999999999</v>
      </c>
      <c r="I2237" s="110">
        <v>0.1827</v>
      </c>
      <c r="J2237" s="110">
        <v>0.13039999999999999</v>
      </c>
      <c r="K2237" s="110" t="s">
        <v>717</v>
      </c>
      <c r="L2237">
        <v>5000</v>
      </c>
      <c r="M2237">
        <v>500000</v>
      </c>
      <c r="N2237" s="105">
        <v>44197</v>
      </c>
      <c r="O2237" s="105">
        <v>44377</v>
      </c>
      <c r="P2237" t="s">
        <v>718</v>
      </c>
      <c r="R2237" s="154"/>
      <c r="S2237" s="154"/>
      <c r="T2237" s="154"/>
      <c r="U2237" s="154"/>
    </row>
    <row r="2238" spans="1:21" ht="15" customHeight="1" x14ac:dyDescent="0.3">
      <c r="A2238" t="str">
        <f t="shared" si="35"/>
        <v>20-0-HH 2RATE (WC)-SmartFIX – 5 Year Renewal</v>
      </c>
      <c r="B2238" t="s">
        <v>13</v>
      </c>
      <c r="C2238">
        <v>20</v>
      </c>
      <c r="D2238" s="100" t="s">
        <v>29</v>
      </c>
      <c r="E2238" t="s">
        <v>730</v>
      </c>
      <c r="F2238" t="s">
        <v>88</v>
      </c>
      <c r="G2238" t="s">
        <v>738</v>
      </c>
      <c r="H2238" s="128">
        <v>0.44569999999999999</v>
      </c>
      <c r="I2238" s="110">
        <v>0.18720000000000001</v>
      </c>
      <c r="J2238" s="110">
        <v>0.1331</v>
      </c>
      <c r="K2238" s="110" t="s">
        <v>717</v>
      </c>
      <c r="L2238">
        <v>5000</v>
      </c>
      <c r="M2238">
        <v>500000</v>
      </c>
      <c r="N2238" s="105">
        <v>44197</v>
      </c>
      <c r="O2238" s="105">
        <v>44377</v>
      </c>
      <c r="P2238" t="s">
        <v>718</v>
      </c>
      <c r="R2238" s="154"/>
      <c r="S2238" s="154"/>
      <c r="T2238" s="154"/>
      <c r="U2238" s="154"/>
    </row>
    <row r="2239" spans="1:21" ht="15" customHeight="1" x14ac:dyDescent="0.3">
      <c r="A2239" t="str">
        <f t="shared" si="35"/>
        <v>21-0-HH 2RATE (WC)-SmartFIX – 5 Year Renewal</v>
      </c>
      <c r="B2239" t="s">
        <v>13</v>
      </c>
      <c r="C2239">
        <v>21</v>
      </c>
      <c r="D2239" s="100" t="s">
        <v>30</v>
      </c>
      <c r="E2239" t="s">
        <v>730</v>
      </c>
      <c r="F2239" t="s">
        <v>88</v>
      </c>
      <c r="G2239" t="s">
        <v>738</v>
      </c>
      <c r="H2239" s="128">
        <v>0.56569999999999998</v>
      </c>
      <c r="I2239" s="110">
        <v>0.17849999999999999</v>
      </c>
      <c r="J2239" s="110">
        <v>0.13420000000000001</v>
      </c>
      <c r="K2239" s="110" t="s">
        <v>717</v>
      </c>
      <c r="L2239">
        <v>5000</v>
      </c>
      <c r="M2239">
        <v>500000</v>
      </c>
      <c r="N2239" s="105">
        <v>44197</v>
      </c>
      <c r="O2239" s="105">
        <v>44377</v>
      </c>
      <c r="P2239" t="s">
        <v>718</v>
      </c>
      <c r="R2239" s="154"/>
      <c r="S2239" s="154"/>
      <c r="T2239" s="154"/>
      <c r="U2239" s="154"/>
    </row>
    <row r="2240" spans="1:21" ht="15" customHeight="1" x14ac:dyDescent="0.3">
      <c r="A2240" t="str">
        <f t="shared" si="35"/>
        <v>22-0-HH 2RATE (WC)-SmartFIX – 5 Year Renewal</v>
      </c>
      <c r="B2240" t="s">
        <v>13</v>
      </c>
      <c r="C2240">
        <v>22</v>
      </c>
      <c r="D2240" s="100" t="s">
        <v>31</v>
      </c>
      <c r="E2240" t="s">
        <v>730</v>
      </c>
      <c r="F2240" t="s">
        <v>88</v>
      </c>
      <c r="G2240" t="s">
        <v>738</v>
      </c>
      <c r="H2240" s="128">
        <v>0.50790000000000002</v>
      </c>
      <c r="I2240" s="110">
        <v>0.1862</v>
      </c>
      <c r="J2240" s="110">
        <v>0.14419999999999999</v>
      </c>
      <c r="K2240" s="110" t="s">
        <v>717</v>
      </c>
      <c r="L2240">
        <v>5000</v>
      </c>
      <c r="M2240">
        <v>500000</v>
      </c>
      <c r="N2240" s="105">
        <v>44197</v>
      </c>
      <c r="O2240" s="105">
        <v>44377</v>
      </c>
      <c r="P2240" t="s">
        <v>718</v>
      </c>
      <c r="R2240" s="154"/>
      <c r="S2240" s="154"/>
      <c r="T2240" s="154"/>
      <c r="U2240" s="154"/>
    </row>
    <row r="2241" spans="1:21" ht="15" customHeight="1" x14ac:dyDescent="0.3">
      <c r="A2241" t="str">
        <f t="shared" si="35"/>
        <v>23-0-HH 2RATE (WC)-SmartFIX – 5 Year Renewal</v>
      </c>
      <c r="B2241" t="s">
        <v>13</v>
      </c>
      <c r="C2241">
        <v>23</v>
      </c>
      <c r="D2241" s="100" t="s">
        <v>32</v>
      </c>
      <c r="E2241" t="s">
        <v>730</v>
      </c>
      <c r="F2241" t="s">
        <v>88</v>
      </c>
      <c r="G2241" t="s">
        <v>738</v>
      </c>
      <c r="H2241" s="128">
        <v>0.46410000000000001</v>
      </c>
      <c r="I2241" s="110">
        <v>0.1754</v>
      </c>
      <c r="J2241" s="110">
        <v>0.13070000000000001</v>
      </c>
      <c r="K2241" s="110" t="s">
        <v>717</v>
      </c>
      <c r="L2241">
        <v>5000</v>
      </c>
      <c r="M2241">
        <v>500000</v>
      </c>
      <c r="N2241" s="105">
        <v>44197</v>
      </c>
      <c r="O2241" s="105">
        <v>44377</v>
      </c>
      <c r="P2241" t="s">
        <v>718</v>
      </c>
      <c r="R2241" s="154"/>
      <c r="S2241" s="154"/>
      <c r="T2241" s="154"/>
      <c r="U2241" s="154"/>
    </row>
    <row r="2242" spans="1:21" ht="15" customHeight="1" x14ac:dyDescent="0.3">
      <c r="A2242" t="str">
        <f t="shared" si="35"/>
        <v>10-0-HH 2RATE (CT)-SmartFIX – 5 Year</v>
      </c>
      <c r="B2242" t="s">
        <v>13</v>
      </c>
      <c r="C2242">
        <v>10</v>
      </c>
      <c r="D2242" s="100" t="s">
        <v>14</v>
      </c>
      <c r="E2242" t="s">
        <v>729</v>
      </c>
      <c r="F2242" t="s">
        <v>88</v>
      </c>
      <c r="G2242" t="s">
        <v>737</v>
      </c>
      <c r="H2242" s="128">
        <v>0.52470000000000006</v>
      </c>
      <c r="I2242" s="110">
        <v>0.1807</v>
      </c>
      <c r="J2242" s="110">
        <v>0.12820000000000001</v>
      </c>
      <c r="K2242" s="110" t="s">
        <v>717</v>
      </c>
      <c r="L2242">
        <v>5000</v>
      </c>
      <c r="M2242">
        <v>500000</v>
      </c>
      <c r="N2242" s="105">
        <v>44197</v>
      </c>
      <c r="O2242" s="105">
        <v>44377</v>
      </c>
      <c r="P2242" t="s">
        <v>718</v>
      </c>
      <c r="R2242" s="154"/>
      <c r="S2242" s="154"/>
      <c r="T2242" s="154"/>
      <c r="U2242" s="154"/>
    </row>
    <row r="2243" spans="1:21" ht="15" customHeight="1" x14ac:dyDescent="0.3">
      <c r="A2243" t="str">
        <f t="shared" si="35"/>
        <v>11-0-HH 2RATE (CT)-SmartFIX – 5 Year</v>
      </c>
      <c r="B2243" t="s">
        <v>13</v>
      </c>
      <c r="C2243">
        <v>11</v>
      </c>
      <c r="D2243" s="100" t="s">
        <v>20</v>
      </c>
      <c r="E2243" t="s">
        <v>729</v>
      </c>
      <c r="F2243" t="s">
        <v>88</v>
      </c>
      <c r="G2243" t="s">
        <v>737</v>
      </c>
      <c r="H2243" s="128">
        <v>0.46639999999999998</v>
      </c>
      <c r="I2243" s="110">
        <v>0.18110000000000001</v>
      </c>
      <c r="J2243" s="110">
        <v>0.13750000000000001</v>
      </c>
      <c r="K2243" s="110" t="s">
        <v>717</v>
      </c>
      <c r="L2243">
        <v>5000</v>
      </c>
      <c r="M2243">
        <v>500000</v>
      </c>
      <c r="N2243" s="105">
        <v>44197</v>
      </c>
      <c r="O2243" s="105">
        <v>44377</v>
      </c>
      <c r="P2243" t="s">
        <v>718</v>
      </c>
      <c r="R2243" s="154"/>
      <c r="S2243" s="154"/>
      <c r="T2243" s="154"/>
      <c r="U2243" s="154"/>
    </row>
    <row r="2244" spans="1:21" ht="15" customHeight="1" x14ac:dyDescent="0.3">
      <c r="A2244" t="str">
        <f t="shared" si="35"/>
        <v>12-0-HH 2RATE (CT)-SmartFIX – 5 Year</v>
      </c>
      <c r="B2244" t="s">
        <v>13</v>
      </c>
      <c r="C2244">
        <v>12</v>
      </c>
      <c r="D2244" s="100" t="s">
        <v>21</v>
      </c>
      <c r="E2244" t="s">
        <v>729</v>
      </c>
      <c r="F2244" t="s">
        <v>88</v>
      </c>
      <c r="G2244" t="s">
        <v>737</v>
      </c>
      <c r="H2244" s="128">
        <v>0.43059999999999998</v>
      </c>
      <c r="I2244" s="110">
        <v>0.17949999999999999</v>
      </c>
      <c r="J2244" s="110">
        <v>0.1241</v>
      </c>
      <c r="K2244" s="110" t="s">
        <v>717</v>
      </c>
      <c r="L2244">
        <v>5000</v>
      </c>
      <c r="M2244">
        <v>500000</v>
      </c>
      <c r="N2244" s="105">
        <v>44197</v>
      </c>
      <c r="O2244" s="105">
        <v>44377</v>
      </c>
      <c r="P2244" t="s">
        <v>718</v>
      </c>
      <c r="R2244" s="154"/>
      <c r="S2244" s="154"/>
      <c r="T2244" s="154"/>
      <c r="U2244" s="154"/>
    </row>
    <row r="2245" spans="1:21" ht="15" customHeight="1" x14ac:dyDescent="0.3">
      <c r="A2245" t="str">
        <f t="shared" si="35"/>
        <v>13-0-HH 2RATE (CT)-SmartFIX – 5 Year</v>
      </c>
      <c r="B2245" t="s">
        <v>13</v>
      </c>
      <c r="C2245">
        <v>13</v>
      </c>
      <c r="D2245" s="100" t="s">
        <v>22</v>
      </c>
      <c r="E2245" t="s">
        <v>729</v>
      </c>
      <c r="F2245" t="s">
        <v>88</v>
      </c>
      <c r="G2245" t="s">
        <v>737</v>
      </c>
      <c r="H2245" s="128">
        <v>0.60429999999999995</v>
      </c>
      <c r="I2245" s="110">
        <v>0.2019</v>
      </c>
      <c r="J2245" s="110">
        <v>0.15140000000000001</v>
      </c>
      <c r="K2245" s="110" t="s">
        <v>717</v>
      </c>
      <c r="L2245">
        <v>5000</v>
      </c>
      <c r="M2245">
        <v>500000</v>
      </c>
      <c r="N2245" s="105">
        <v>44197</v>
      </c>
      <c r="O2245" s="105">
        <v>44377</v>
      </c>
      <c r="P2245" t="s">
        <v>718</v>
      </c>
      <c r="R2245" s="154"/>
      <c r="S2245" s="154"/>
      <c r="T2245" s="154"/>
      <c r="U2245" s="154"/>
    </row>
    <row r="2246" spans="1:21" ht="15" customHeight="1" x14ac:dyDescent="0.3">
      <c r="A2246" t="str">
        <f t="shared" si="35"/>
        <v>14-0-HH 2RATE (CT)-SmartFIX – 5 Year</v>
      </c>
      <c r="B2246" t="s">
        <v>13</v>
      </c>
      <c r="C2246">
        <v>14</v>
      </c>
      <c r="D2246" s="100" t="s">
        <v>23</v>
      </c>
      <c r="E2246" t="s">
        <v>729</v>
      </c>
      <c r="F2246" t="s">
        <v>88</v>
      </c>
      <c r="G2246" t="s">
        <v>737</v>
      </c>
      <c r="H2246" s="128">
        <v>0.47920000000000001</v>
      </c>
      <c r="I2246" s="110">
        <v>0.18529999999999999</v>
      </c>
      <c r="J2246" s="110">
        <v>0.1429</v>
      </c>
      <c r="K2246" s="110" t="s">
        <v>717</v>
      </c>
      <c r="L2246">
        <v>5000</v>
      </c>
      <c r="M2246">
        <v>500000</v>
      </c>
      <c r="N2246" s="105">
        <v>44197</v>
      </c>
      <c r="O2246" s="105">
        <v>44377</v>
      </c>
      <c r="P2246" t="s">
        <v>718</v>
      </c>
      <c r="R2246" s="154"/>
      <c r="S2246" s="154"/>
      <c r="T2246" s="154"/>
      <c r="U2246" s="154"/>
    </row>
    <row r="2247" spans="1:21" ht="15" customHeight="1" x14ac:dyDescent="0.3">
      <c r="A2247" t="str">
        <f t="shared" si="35"/>
        <v>15-0-HH 2RATE (CT)-SmartFIX – 5 Year</v>
      </c>
      <c r="B2247" t="s">
        <v>13</v>
      </c>
      <c r="C2247">
        <v>15</v>
      </c>
      <c r="D2247" s="100" t="s">
        <v>24</v>
      </c>
      <c r="E2247" t="s">
        <v>729</v>
      </c>
      <c r="F2247" t="s">
        <v>88</v>
      </c>
      <c r="G2247" t="s">
        <v>737</v>
      </c>
      <c r="H2247" s="128">
        <v>0.5796</v>
      </c>
      <c r="I2247" s="110">
        <v>0.18260000000000001</v>
      </c>
      <c r="J2247" s="110">
        <v>0.14019999999999999</v>
      </c>
      <c r="K2247" s="110" t="s">
        <v>717</v>
      </c>
      <c r="L2247">
        <v>5000</v>
      </c>
      <c r="M2247">
        <v>500000</v>
      </c>
      <c r="N2247" s="105">
        <v>44197</v>
      </c>
      <c r="O2247" s="105">
        <v>44377</v>
      </c>
      <c r="P2247" t="s">
        <v>718</v>
      </c>
      <c r="R2247" s="154"/>
      <c r="S2247" s="154"/>
      <c r="T2247" s="154"/>
      <c r="U2247" s="154"/>
    </row>
    <row r="2248" spans="1:21" ht="15" customHeight="1" x14ac:dyDescent="0.3">
      <c r="A2248" t="str">
        <f t="shared" si="35"/>
        <v>16-0-HH 2RATE (CT)-SmartFIX – 5 Year</v>
      </c>
      <c r="B2248" t="s">
        <v>13</v>
      </c>
      <c r="C2248">
        <v>16</v>
      </c>
      <c r="D2248" s="100" t="s">
        <v>25</v>
      </c>
      <c r="E2248" t="s">
        <v>729</v>
      </c>
      <c r="F2248" t="s">
        <v>88</v>
      </c>
      <c r="G2248" t="s">
        <v>737</v>
      </c>
      <c r="H2248" s="128">
        <v>0.53979999999999995</v>
      </c>
      <c r="I2248" s="110">
        <v>0.18390000000000001</v>
      </c>
      <c r="J2248" s="110">
        <v>0.13589999999999999</v>
      </c>
      <c r="K2248" s="110" t="s">
        <v>717</v>
      </c>
      <c r="L2248">
        <v>5000</v>
      </c>
      <c r="M2248">
        <v>500000</v>
      </c>
      <c r="N2248" s="105">
        <v>44197</v>
      </c>
      <c r="O2248" s="105">
        <v>44377</v>
      </c>
      <c r="P2248" t="s">
        <v>718</v>
      </c>
      <c r="R2248" s="154"/>
      <c r="S2248" s="154"/>
      <c r="T2248" s="154"/>
      <c r="U2248" s="154"/>
    </row>
    <row r="2249" spans="1:21" ht="15" customHeight="1" x14ac:dyDescent="0.3">
      <c r="A2249" t="str">
        <f t="shared" si="35"/>
        <v>17-0-HH 2RATE (CT)-SmartFIX – 5 Year</v>
      </c>
      <c r="B2249" t="s">
        <v>13</v>
      </c>
      <c r="C2249">
        <v>17</v>
      </c>
      <c r="D2249" s="100" t="s">
        <v>26</v>
      </c>
      <c r="E2249" t="s">
        <v>729</v>
      </c>
      <c r="F2249" t="s">
        <v>88</v>
      </c>
      <c r="G2249" t="s">
        <v>737</v>
      </c>
      <c r="H2249" s="128">
        <v>0.73080000000000001</v>
      </c>
      <c r="I2249" s="110">
        <v>0.2097</v>
      </c>
      <c r="J2249" s="110">
        <v>0.16400000000000001</v>
      </c>
      <c r="K2249" s="110" t="s">
        <v>717</v>
      </c>
      <c r="L2249">
        <v>5000</v>
      </c>
      <c r="M2249">
        <v>500000</v>
      </c>
      <c r="N2249" s="105">
        <v>44197</v>
      </c>
      <c r="O2249" s="105">
        <v>44377</v>
      </c>
      <c r="P2249" t="s">
        <v>718</v>
      </c>
      <c r="R2249" s="154"/>
      <c r="S2249" s="154"/>
      <c r="T2249" s="154"/>
      <c r="U2249" s="154"/>
    </row>
    <row r="2250" spans="1:21" ht="15" customHeight="1" x14ac:dyDescent="0.3">
      <c r="A2250" t="str">
        <f t="shared" si="35"/>
        <v>18-0-HH 2RATE (CT)-SmartFIX – 5 Year</v>
      </c>
      <c r="B2250" t="s">
        <v>13</v>
      </c>
      <c r="C2250">
        <v>18</v>
      </c>
      <c r="D2250" s="100" t="s">
        <v>27</v>
      </c>
      <c r="E2250" t="s">
        <v>729</v>
      </c>
      <c r="F2250" t="s">
        <v>88</v>
      </c>
      <c r="G2250" t="s">
        <v>737</v>
      </c>
      <c r="H2250" s="128">
        <v>0.66990000000000005</v>
      </c>
      <c r="I2250" s="110">
        <v>0.18870000000000001</v>
      </c>
      <c r="J2250" s="110">
        <v>0.14360000000000001</v>
      </c>
      <c r="K2250" s="110" t="s">
        <v>717</v>
      </c>
      <c r="L2250">
        <v>5000</v>
      </c>
      <c r="M2250">
        <v>500000</v>
      </c>
      <c r="N2250" s="105">
        <v>44197</v>
      </c>
      <c r="O2250" s="105">
        <v>44377</v>
      </c>
      <c r="P2250" t="s">
        <v>718</v>
      </c>
      <c r="R2250" s="154"/>
      <c r="S2250" s="154"/>
      <c r="T2250" s="154"/>
      <c r="U2250" s="154"/>
    </row>
    <row r="2251" spans="1:21" ht="15" customHeight="1" x14ac:dyDescent="0.3">
      <c r="A2251" t="str">
        <f t="shared" si="35"/>
        <v>19-0-HH 2RATE (CT)-SmartFIX – 5 Year</v>
      </c>
      <c r="B2251" t="s">
        <v>13</v>
      </c>
      <c r="C2251">
        <v>19</v>
      </c>
      <c r="D2251" s="100" t="s">
        <v>28</v>
      </c>
      <c r="E2251" t="s">
        <v>729</v>
      </c>
      <c r="F2251" t="s">
        <v>88</v>
      </c>
      <c r="G2251" t="s">
        <v>737</v>
      </c>
      <c r="H2251" s="128">
        <v>0.52649999999999997</v>
      </c>
      <c r="I2251" s="110">
        <v>0.1835</v>
      </c>
      <c r="J2251" s="110">
        <v>0.1361</v>
      </c>
      <c r="K2251" s="110" t="s">
        <v>717</v>
      </c>
      <c r="L2251">
        <v>5000</v>
      </c>
      <c r="M2251">
        <v>500000</v>
      </c>
      <c r="N2251" s="105">
        <v>44197</v>
      </c>
      <c r="O2251" s="105">
        <v>44377</v>
      </c>
      <c r="P2251" t="s">
        <v>718</v>
      </c>
      <c r="R2251" s="154"/>
      <c r="S2251" s="154"/>
      <c r="T2251" s="154"/>
      <c r="U2251" s="154"/>
    </row>
    <row r="2252" spans="1:21" ht="15" customHeight="1" x14ac:dyDescent="0.3">
      <c r="A2252" t="str">
        <f t="shared" ref="A2252:A2315" si="36">IF(E2252="OP","",CONCATENATE(C2252,"-",RIGHT(F2252,1),"-",IF(OR(E2252="1 Rate MD",E2252="DAY"),"U",IF(OR(E2252="2 Rate MD",E2252="E7"),"E7",IF(OR(E2252="3 Rate MD (EW)",E2252="EW"),"EW",IF(OR(E2252="3 Rate MD",E2252="EWN"),"3RATE",IF(E2252="HH 2RATE (CT)","HH 2RATE (CT)",IF(E2252="HH 2RATE (WC)","HH 2RATE (WC)",IF(E2252="HH 1RATE (CT)","HH 1RATE (CT)",IF(E2252="HH 1RATE (WC)","HH 1RATE (WC)")))))))),"-",G2252))</f>
        <v>20-0-HH 2RATE (CT)-SmartFIX – 5 Year</v>
      </c>
      <c r="B2252" t="s">
        <v>13</v>
      </c>
      <c r="C2252">
        <v>20</v>
      </c>
      <c r="D2252" s="100" t="s">
        <v>29</v>
      </c>
      <c r="E2252" t="s">
        <v>729</v>
      </c>
      <c r="F2252" t="s">
        <v>88</v>
      </c>
      <c r="G2252" t="s">
        <v>737</v>
      </c>
      <c r="H2252" s="128">
        <v>0.55610000000000004</v>
      </c>
      <c r="I2252" s="110">
        <v>0.184</v>
      </c>
      <c r="J2252" s="110">
        <v>0.14019999999999999</v>
      </c>
      <c r="K2252" s="110" t="s">
        <v>717</v>
      </c>
      <c r="L2252">
        <v>5000</v>
      </c>
      <c r="M2252">
        <v>500000</v>
      </c>
      <c r="N2252" s="105">
        <v>44197</v>
      </c>
      <c r="O2252" s="105">
        <v>44377</v>
      </c>
      <c r="P2252" t="s">
        <v>718</v>
      </c>
      <c r="R2252" s="154"/>
      <c r="S2252" s="154"/>
      <c r="T2252" s="154"/>
      <c r="U2252" s="154"/>
    </row>
    <row r="2253" spans="1:21" ht="15" customHeight="1" x14ac:dyDescent="0.3">
      <c r="A2253" t="str">
        <f t="shared" si="36"/>
        <v>21-0-HH 2RATE (CT)-SmartFIX – 5 Year</v>
      </c>
      <c r="B2253" t="s">
        <v>13</v>
      </c>
      <c r="C2253">
        <v>21</v>
      </c>
      <c r="D2253" s="100" t="s">
        <v>30</v>
      </c>
      <c r="E2253" t="s">
        <v>729</v>
      </c>
      <c r="F2253" t="s">
        <v>88</v>
      </c>
      <c r="G2253" t="s">
        <v>737</v>
      </c>
      <c r="H2253" s="128">
        <v>0.57110000000000005</v>
      </c>
      <c r="I2253" s="110">
        <v>0.18870000000000001</v>
      </c>
      <c r="J2253" s="110">
        <v>0.1477</v>
      </c>
      <c r="K2253" s="110" t="s">
        <v>717</v>
      </c>
      <c r="L2253">
        <v>5000</v>
      </c>
      <c r="M2253">
        <v>500000</v>
      </c>
      <c r="N2253" s="105">
        <v>44197</v>
      </c>
      <c r="O2253" s="105">
        <v>44377</v>
      </c>
      <c r="P2253" t="s">
        <v>718</v>
      </c>
      <c r="R2253" s="154"/>
      <c r="S2253" s="154"/>
      <c r="T2253" s="154"/>
      <c r="U2253" s="154"/>
    </row>
    <row r="2254" spans="1:21" ht="15" customHeight="1" x14ac:dyDescent="0.3">
      <c r="A2254" t="str">
        <f t="shared" si="36"/>
        <v>22-0-HH 2RATE (CT)-SmartFIX – 5 Year</v>
      </c>
      <c r="B2254" t="s">
        <v>13</v>
      </c>
      <c r="C2254">
        <v>22</v>
      </c>
      <c r="D2254" s="100" t="s">
        <v>31</v>
      </c>
      <c r="E2254" t="s">
        <v>729</v>
      </c>
      <c r="F2254" t="s">
        <v>88</v>
      </c>
      <c r="G2254" t="s">
        <v>737</v>
      </c>
      <c r="H2254" s="128">
        <v>0.50090000000000001</v>
      </c>
      <c r="I2254" s="110">
        <v>0.18029999999999999</v>
      </c>
      <c r="J2254" s="110">
        <v>0.14230000000000001</v>
      </c>
      <c r="K2254" s="110" t="s">
        <v>717</v>
      </c>
      <c r="L2254">
        <v>5000</v>
      </c>
      <c r="M2254">
        <v>500000</v>
      </c>
      <c r="N2254" s="105">
        <v>44197</v>
      </c>
      <c r="O2254" s="105">
        <v>44377</v>
      </c>
      <c r="P2254" t="s">
        <v>718</v>
      </c>
      <c r="R2254" s="154"/>
      <c r="S2254" s="154"/>
      <c r="T2254" s="154"/>
      <c r="U2254" s="154"/>
    </row>
    <row r="2255" spans="1:21" ht="15" customHeight="1" x14ac:dyDescent="0.3">
      <c r="A2255" t="str">
        <f t="shared" si="36"/>
        <v>23-0-HH 2RATE (CT)-SmartFIX – 5 Year</v>
      </c>
      <c r="B2255" t="s">
        <v>13</v>
      </c>
      <c r="C2255">
        <v>23</v>
      </c>
      <c r="D2255" s="100" t="s">
        <v>32</v>
      </c>
      <c r="E2255" t="s">
        <v>729</v>
      </c>
      <c r="F2255" t="s">
        <v>88</v>
      </c>
      <c r="G2255" t="s">
        <v>737</v>
      </c>
      <c r="H2255" s="128">
        <v>0.59789999999999999</v>
      </c>
      <c r="I2255" s="110">
        <v>0.18179999999999999</v>
      </c>
      <c r="J2255" s="110">
        <v>0.13869999999999999</v>
      </c>
      <c r="K2255" s="110" t="s">
        <v>717</v>
      </c>
      <c r="L2255">
        <v>5000</v>
      </c>
      <c r="M2255">
        <v>500000</v>
      </c>
      <c r="N2255" s="105">
        <v>44197</v>
      </c>
      <c r="O2255" s="105">
        <v>44377</v>
      </c>
      <c r="P2255" t="s">
        <v>718</v>
      </c>
      <c r="R2255" s="154"/>
      <c r="S2255" s="154"/>
      <c r="T2255" s="154"/>
      <c r="U2255" s="154"/>
    </row>
    <row r="2256" spans="1:21" ht="15" customHeight="1" x14ac:dyDescent="0.3">
      <c r="A2256" t="str">
        <f t="shared" si="36"/>
        <v>10-0-HH 2RATE (CT)-SmartFIX – 5 Year Renewal</v>
      </c>
      <c r="B2256" t="s">
        <v>13</v>
      </c>
      <c r="C2256">
        <v>10</v>
      </c>
      <c r="D2256" s="100" t="s">
        <v>14</v>
      </c>
      <c r="E2256" t="s">
        <v>729</v>
      </c>
      <c r="F2256" t="s">
        <v>88</v>
      </c>
      <c r="G2256" t="s">
        <v>738</v>
      </c>
      <c r="H2256" s="128">
        <v>0.57720000000000005</v>
      </c>
      <c r="I2256" s="110">
        <v>0.1847</v>
      </c>
      <c r="J2256" s="110">
        <v>0.13220000000000001</v>
      </c>
      <c r="K2256" s="110" t="s">
        <v>717</v>
      </c>
      <c r="L2256">
        <v>5000</v>
      </c>
      <c r="M2256">
        <v>500000</v>
      </c>
      <c r="N2256" s="105">
        <v>44197</v>
      </c>
      <c r="O2256" s="105">
        <v>44377</v>
      </c>
      <c r="P2256" t="s">
        <v>718</v>
      </c>
      <c r="R2256" s="154"/>
      <c r="S2256" s="154"/>
      <c r="T2256" s="154"/>
      <c r="U2256" s="154"/>
    </row>
    <row r="2257" spans="1:21" ht="15" customHeight="1" x14ac:dyDescent="0.3">
      <c r="A2257" t="str">
        <f t="shared" si="36"/>
        <v>11-0-HH 2RATE (CT)-SmartFIX – 5 Year Renewal</v>
      </c>
      <c r="B2257" t="s">
        <v>13</v>
      </c>
      <c r="C2257">
        <v>11</v>
      </c>
      <c r="D2257" s="100" t="s">
        <v>20</v>
      </c>
      <c r="E2257" t="s">
        <v>729</v>
      </c>
      <c r="F2257" t="s">
        <v>88</v>
      </c>
      <c r="G2257" t="s">
        <v>738</v>
      </c>
      <c r="H2257" s="128">
        <v>0.5131</v>
      </c>
      <c r="I2257" s="110">
        <v>0.18510000000000001</v>
      </c>
      <c r="J2257" s="110">
        <v>0.14150000000000001</v>
      </c>
      <c r="K2257" s="110" t="s">
        <v>717</v>
      </c>
      <c r="L2257">
        <v>5000</v>
      </c>
      <c r="M2257">
        <v>500000</v>
      </c>
      <c r="N2257" s="105">
        <v>44197</v>
      </c>
      <c r="O2257" s="105">
        <v>44377</v>
      </c>
      <c r="P2257" t="s">
        <v>718</v>
      </c>
      <c r="R2257" s="154"/>
      <c r="S2257" s="154"/>
      <c r="T2257" s="154"/>
      <c r="U2257" s="154"/>
    </row>
    <row r="2258" spans="1:21" ht="15" customHeight="1" x14ac:dyDescent="0.3">
      <c r="A2258" t="str">
        <f t="shared" si="36"/>
        <v>12-0-HH 2RATE (CT)-SmartFIX – 5 Year Renewal</v>
      </c>
      <c r="B2258" t="s">
        <v>13</v>
      </c>
      <c r="C2258">
        <v>12</v>
      </c>
      <c r="D2258" s="100" t="s">
        <v>21</v>
      </c>
      <c r="E2258" t="s">
        <v>729</v>
      </c>
      <c r="F2258" t="s">
        <v>88</v>
      </c>
      <c r="G2258" t="s">
        <v>738</v>
      </c>
      <c r="H2258" s="128">
        <v>0.47360000000000002</v>
      </c>
      <c r="I2258" s="110">
        <v>0.1835</v>
      </c>
      <c r="J2258" s="110">
        <v>0.12809999999999999</v>
      </c>
      <c r="K2258" s="110" t="s">
        <v>717</v>
      </c>
      <c r="L2258">
        <v>5000</v>
      </c>
      <c r="M2258">
        <v>500000</v>
      </c>
      <c r="N2258" s="105">
        <v>44197</v>
      </c>
      <c r="O2258" s="105">
        <v>44377</v>
      </c>
      <c r="P2258" t="s">
        <v>718</v>
      </c>
      <c r="R2258" s="154"/>
      <c r="S2258" s="154"/>
      <c r="T2258" s="154"/>
      <c r="U2258" s="154"/>
    </row>
    <row r="2259" spans="1:21" ht="15" customHeight="1" x14ac:dyDescent="0.3">
      <c r="A2259" t="str">
        <f t="shared" si="36"/>
        <v>13-0-HH 2RATE (CT)-SmartFIX – 5 Year Renewal</v>
      </c>
      <c r="B2259" t="s">
        <v>13</v>
      </c>
      <c r="C2259">
        <v>13</v>
      </c>
      <c r="D2259" s="100" t="s">
        <v>22</v>
      </c>
      <c r="E2259" t="s">
        <v>729</v>
      </c>
      <c r="F2259" t="s">
        <v>88</v>
      </c>
      <c r="G2259" t="s">
        <v>738</v>
      </c>
      <c r="H2259" s="128">
        <v>0.66479999999999995</v>
      </c>
      <c r="I2259" s="110">
        <v>0.2059</v>
      </c>
      <c r="J2259" s="110">
        <v>0.15540000000000001</v>
      </c>
      <c r="K2259" s="110" t="s">
        <v>717</v>
      </c>
      <c r="L2259">
        <v>5000</v>
      </c>
      <c r="M2259">
        <v>500000</v>
      </c>
      <c r="N2259" s="105">
        <v>44197</v>
      </c>
      <c r="O2259" s="105">
        <v>44377</v>
      </c>
      <c r="P2259" t="s">
        <v>718</v>
      </c>
      <c r="R2259" s="154"/>
      <c r="S2259" s="154"/>
      <c r="T2259" s="154"/>
      <c r="U2259" s="154"/>
    </row>
    <row r="2260" spans="1:21" ht="15" customHeight="1" x14ac:dyDescent="0.3">
      <c r="A2260" t="str">
        <f t="shared" si="36"/>
        <v>14-0-HH 2RATE (CT)-SmartFIX – 5 Year Renewal</v>
      </c>
      <c r="B2260" t="s">
        <v>13</v>
      </c>
      <c r="C2260">
        <v>14</v>
      </c>
      <c r="D2260" s="100" t="s">
        <v>23</v>
      </c>
      <c r="E2260" t="s">
        <v>729</v>
      </c>
      <c r="F2260" t="s">
        <v>88</v>
      </c>
      <c r="G2260" t="s">
        <v>738</v>
      </c>
      <c r="H2260" s="128">
        <v>0.52710000000000001</v>
      </c>
      <c r="I2260" s="110">
        <v>0.1893</v>
      </c>
      <c r="J2260" s="110">
        <v>0.1469</v>
      </c>
      <c r="K2260" s="110" t="s">
        <v>717</v>
      </c>
      <c r="L2260">
        <v>5000</v>
      </c>
      <c r="M2260">
        <v>500000</v>
      </c>
      <c r="N2260" s="105">
        <v>44197</v>
      </c>
      <c r="O2260" s="105">
        <v>44377</v>
      </c>
      <c r="P2260" t="s">
        <v>718</v>
      </c>
      <c r="R2260" s="154"/>
      <c r="S2260" s="154"/>
      <c r="T2260" s="154"/>
      <c r="U2260" s="154"/>
    </row>
    <row r="2261" spans="1:21" ht="15" customHeight="1" x14ac:dyDescent="0.3">
      <c r="A2261" t="str">
        <f t="shared" si="36"/>
        <v>15-0-HH 2RATE (CT)-SmartFIX – 5 Year Renewal</v>
      </c>
      <c r="B2261" t="s">
        <v>13</v>
      </c>
      <c r="C2261">
        <v>15</v>
      </c>
      <c r="D2261" s="100" t="s">
        <v>24</v>
      </c>
      <c r="E2261" t="s">
        <v>729</v>
      </c>
      <c r="F2261" t="s">
        <v>88</v>
      </c>
      <c r="G2261" t="s">
        <v>738</v>
      </c>
      <c r="H2261" s="128">
        <v>0.63759999999999994</v>
      </c>
      <c r="I2261" s="110">
        <v>0.18660000000000002</v>
      </c>
      <c r="J2261" s="110">
        <v>0.14419999999999999</v>
      </c>
      <c r="K2261" s="110" t="s">
        <v>717</v>
      </c>
      <c r="L2261">
        <v>5000</v>
      </c>
      <c r="M2261">
        <v>500000</v>
      </c>
      <c r="N2261" s="105">
        <v>44197</v>
      </c>
      <c r="O2261" s="105">
        <v>44377</v>
      </c>
      <c r="P2261" t="s">
        <v>718</v>
      </c>
      <c r="R2261" s="154"/>
      <c r="S2261" s="154"/>
      <c r="T2261" s="154"/>
      <c r="U2261" s="154"/>
    </row>
    <row r="2262" spans="1:21" ht="15" customHeight="1" x14ac:dyDescent="0.3">
      <c r="A2262" t="str">
        <f t="shared" si="36"/>
        <v>16-0-HH 2RATE (CT)-SmartFIX – 5 Year Renewal</v>
      </c>
      <c r="B2262" t="s">
        <v>13</v>
      </c>
      <c r="C2262">
        <v>16</v>
      </c>
      <c r="D2262" s="100" t="s">
        <v>25</v>
      </c>
      <c r="E2262" t="s">
        <v>729</v>
      </c>
      <c r="F2262" t="s">
        <v>88</v>
      </c>
      <c r="G2262" t="s">
        <v>738</v>
      </c>
      <c r="H2262" s="128">
        <v>0.59379999999999999</v>
      </c>
      <c r="I2262" s="110">
        <v>0.18790000000000001</v>
      </c>
      <c r="J2262" s="110">
        <v>0.1399</v>
      </c>
      <c r="K2262" s="110" t="s">
        <v>717</v>
      </c>
      <c r="L2262">
        <v>5000</v>
      </c>
      <c r="M2262">
        <v>500000</v>
      </c>
      <c r="N2262" s="105">
        <v>44197</v>
      </c>
      <c r="O2262" s="105">
        <v>44377</v>
      </c>
      <c r="P2262" t="s">
        <v>718</v>
      </c>
      <c r="R2262" s="154"/>
      <c r="S2262" s="154"/>
      <c r="T2262" s="154"/>
      <c r="U2262" s="154"/>
    </row>
    <row r="2263" spans="1:21" ht="15" customHeight="1" x14ac:dyDescent="0.3">
      <c r="A2263" t="str">
        <f t="shared" si="36"/>
        <v>17-0-HH 2RATE (CT)-SmartFIX – 5 Year Renewal</v>
      </c>
      <c r="B2263" t="s">
        <v>13</v>
      </c>
      <c r="C2263">
        <v>17</v>
      </c>
      <c r="D2263" s="100" t="s">
        <v>26</v>
      </c>
      <c r="E2263" t="s">
        <v>729</v>
      </c>
      <c r="F2263" t="s">
        <v>88</v>
      </c>
      <c r="G2263" t="s">
        <v>738</v>
      </c>
      <c r="H2263" s="128">
        <v>0.80389999999999995</v>
      </c>
      <c r="I2263" s="110">
        <v>0.2137</v>
      </c>
      <c r="J2263" s="110">
        <v>0.16800000000000001</v>
      </c>
      <c r="K2263" s="110" t="s">
        <v>717</v>
      </c>
      <c r="L2263">
        <v>5000</v>
      </c>
      <c r="M2263">
        <v>500000</v>
      </c>
      <c r="N2263" s="105">
        <v>44197</v>
      </c>
      <c r="O2263" s="105">
        <v>44377</v>
      </c>
      <c r="P2263" t="s">
        <v>718</v>
      </c>
      <c r="R2263" s="154"/>
      <c r="S2263" s="154"/>
      <c r="T2263" s="154"/>
      <c r="U2263" s="154"/>
    </row>
    <row r="2264" spans="1:21" ht="15" customHeight="1" x14ac:dyDescent="0.3">
      <c r="A2264" t="str">
        <f t="shared" si="36"/>
        <v>18-0-HH 2RATE (CT)-SmartFIX – 5 Year Renewal</v>
      </c>
      <c r="B2264" t="s">
        <v>13</v>
      </c>
      <c r="C2264">
        <v>18</v>
      </c>
      <c r="D2264" s="100" t="s">
        <v>27</v>
      </c>
      <c r="E2264" t="s">
        <v>729</v>
      </c>
      <c r="F2264" t="s">
        <v>88</v>
      </c>
      <c r="G2264" t="s">
        <v>738</v>
      </c>
      <c r="H2264" s="128">
        <v>0.7369</v>
      </c>
      <c r="I2264" s="110">
        <v>0.19270000000000001</v>
      </c>
      <c r="J2264" s="110">
        <v>0.14760000000000001</v>
      </c>
      <c r="K2264" s="110" t="s">
        <v>717</v>
      </c>
      <c r="L2264">
        <v>5000</v>
      </c>
      <c r="M2264">
        <v>500000</v>
      </c>
      <c r="N2264" s="105">
        <v>44197</v>
      </c>
      <c r="O2264" s="105">
        <v>44377</v>
      </c>
      <c r="P2264" t="s">
        <v>718</v>
      </c>
      <c r="R2264" s="154"/>
      <c r="S2264" s="154"/>
      <c r="T2264" s="154"/>
      <c r="U2264" s="154"/>
    </row>
    <row r="2265" spans="1:21" ht="15" customHeight="1" x14ac:dyDescent="0.3">
      <c r="A2265" t="str">
        <f t="shared" si="36"/>
        <v>19-0-HH 2RATE (CT)-SmartFIX – 5 Year Renewal</v>
      </c>
      <c r="B2265" t="s">
        <v>13</v>
      </c>
      <c r="C2265">
        <v>19</v>
      </c>
      <c r="D2265" s="100" t="s">
        <v>28</v>
      </c>
      <c r="E2265" t="s">
        <v>729</v>
      </c>
      <c r="F2265" t="s">
        <v>88</v>
      </c>
      <c r="G2265" t="s">
        <v>738</v>
      </c>
      <c r="H2265" s="128">
        <v>0.57909999999999995</v>
      </c>
      <c r="I2265" s="110">
        <v>0.1875</v>
      </c>
      <c r="J2265" s="110">
        <v>0.1401</v>
      </c>
      <c r="K2265" s="110" t="s">
        <v>717</v>
      </c>
      <c r="L2265">
        <v>5000</v>
      </c>
      <c r="M2265">
        <v>500000</v>
      </c>
      <c r="N2265" s="105">
        <v>44197</v>
      </c>
      <c r="O2265" s="105">
        <v>44377</v>
      </c>
      <c r="P2265" t="s">
        <v>718</v>
      </c>
      <c r="R2265" s="154"/>
      <c r="S2265" s="154"/>
      <c r="T2265" s="154"/>
      <c r="U2265" s="154"/>
    </row>
    <row r="2266" spans="1:21" ht="15" customHeight="1" x14ac:dyDescent="0.3">
      <c r="A2266" t="str">
        <f t="shared" si="36"/>
        <v>20-0-HH 2RATE (CT)-SmartFIX – 5 Year Renewal</v>
      </c>
      <c r="B2266" t="s">
        <v>13</v>
      </c>
      <c r="C2266">
        <v>20</v>
      </c>
      <c r="D2266" s="100" t="s">
        <v>29</v>
      </c>
      <c r="E2266" t="s">
        <v>729</v>
      </c>
      <c r="F2266" t="s">
        <v>88</v>
      </c>
      <c r="G2266" t="s">
        <v>738</v>
      </c>
      <c r="H2266" s="128">
        <v>0.61180000000000001</v>
      </c>
      <c r="I2266" s="110">
        <v>0.188</v>
      </c>
      <c r="J2266" s="110">
        <v>0.14419999999999999</v>
      </c>
      <c r="K2266" s="110" t="s">
        <v>717</v>
      </c>
      <c r="L2266">
        <v>5000</v>
      </c>
      <c r="M2266">
        <v>500000</v>
      </c>
      <c r="N2266" s="105">
        <v>44197</v>
      </c>
      <c r="O2266" s="105">
        <v>44377</v>
      </c>
      <c r="P2266" t="s">
        <v>718</v>
      </c>
      <c r="R2266" s="154"/>
      <c r="S2266" s="154"/>
      <c r="T2266" s="154"/>
      <c r="U2266" s="154"/>
    </row>
    <row r="2267" spans="1:21" ht="15" customHeight="1" x14ac:dyDescent="0.3">
      <c r="A2267" t="str">
        <f t="shared" si="36"/>
        <v>21-0-HH 2RATE (CT)-SmartFIX – 5 Year Renewal</v>
      </c>
      <c r="B2267" t="s">
        <v>13</v>
      </c>
      <c r="C2267">
        <v>21</v>
      </c>
      <c r="D2267" s="100" t="s">
        <v>30</v>
      </c>
      <c r="E2267" t="s">
        <v>729</v>
      </c>
      <c r="F2267" t="s">
        <v>88</v>
      </c>
      <c r="G2267" t="s">
        <v>738</v>
      </c>
      <c r="H2267" s="128">
        <v>0.62819999999999998</v>
      </c>
      <c r="I2267" s="110">
        <v>0.19270000000000001</v>
      </c>
      <c r="J2267" s="110">
        <v>0.1517</v>
      </c>
      <c r="K2267" s="110" t="s">
        <v>717</v>
      </c>
      <c r="L2267">
        <v>5000</v>
      </c>
      <c r="M2267">
        <v>500000</v>
      </c>
      <c r="N2267" s="105">
        <v>44197</v>
      </c>
      <c r="O2267" s="105">
        <v>44377</v>
      </c>
      <c r="P2267" t="s">
        <v>718</v>
      </c>
      <c r="R2267" s="154"/>
      <c r="S2267" s="154"/>
      <c r="T2267" s="154"/>
      <c r="U2267" s="154"/>
    </row>
    <row r="2268" spans="1:21" ht="15" customHeight="1" x14ac:dyDescent="0.3">
      <c r="A2268" t="str">
        <f t="shared" si="36"/>
        <v>22-0-HH 2RATE (CT)-SmartFIX – 5 Year Renewal</v>
      </c>
      <c r="B2268" t="s">
        <v>13</v>
      </c>
      <c r="C2268">
        <v>22</v>
      </c>
      <c r="D2268" s="100" t="s">
        <v>31</v>
      </c>
      <c r="E2268" t="s">
        <v>729</v>
      </c>
      <c r="F2268" t="s">
        <v>88</v>
      </c>
      <c r="G2268" t="s">
        <v>738</v>
      </c>
      <c r="H2268" s="128">
        <v>0.55100000000000005</v>
      </c>
      <c r="I2268" s="110">
        <v>0.18429999999999999</v>
      </c>
      <c r="J2268" s="110">
        <v>0.14630000000000001</v>
      </c>
      <c r="K2268" s="110" t="s">
        <v>717</v>
      </c>
      <c r="L2268">
        <v>5000</v>
      </c>
      <c r="M2268">
        <v>500000</v>
      </c>
      <c r="N2268" s="105">
        <v>44197</v>
      </c>
      <c r="O2268" s="105">
        <v>44377</v>
      </c>
      <c r="P2268" t="s">
        <v>718</v>
      </c>
      <c r="R2268" s="154"/>
      <c r="S2268" s="154"/>
      <c r="T2268" s="154"/>
      <c r="U2268" s="154"/>
    </row>
    <row r="2269" spans="1:21" ht="15" customHeight="1" x14ac:dyDescent="0.3">
      <c r="A2269" t="str">
        <f t="shared" si="36"/>
        <v>23-0-HH 2RATE (CT)-SmartFIX – 5 Year Renewal</v>
      </c>
      <c r="B2269" t="s">
        <v>13</v>
      </c>
      <c r="C2269">
        <v>23</v>
      </c>
      <c r="D2269" s="100" t="s">
        <v>32</v>
      </c>
      <c r="E2269" t="s">
        <v>729</v>
      </c>
      <c r="F2269" t="s">
        <v>88</v>
      </c>
      <c r="G2269" t="s">
        <v>738</v>
      </c>
      <c r="H2269" s="128">
        <v>0.65769999999999995</v>
      </c>
      <c r="I2269" s="110">
        <v>0.18579999999999999</v>
      </c>
      <c r="J2269" s="110">
        <v>0.14269999999999999</v>
      </c>
      <c r="K2269" s="110" t="s">
        <v>717</v>
      </c>
      <c r="L2269">
        <v>5000</v>
      </c>
      <c r="M2269">
        <v>500000</v>
      </c>
      <c r="N2269" s="105">
        <v>44197</v>
      </c>
      <c r="O2269" s="105">
        <v>44377</v>
      </c>
      <c r="P2269" t="s">
        <v>718</v>
      </c>
      <c r="R2269" s="154"/>
      <c r="S2269" s="154"/>
      <c r="T2269" s="154"/>
      <c r="U2269" s="154"/>
    </row>
    <row r="2270" spans="1:21" ht="15" customHeight="1" x14ac:dyDescent="0.3">
      <c r="A2270" t="str">
        <f t="shared" si="36"/>
        <v>10-3-U-SmartFIX – 5 Year (Level 2)</v>
      </c>
      <c r="B2270" t="s">
        <v>13</v>
      </c>
      <c r="C2270">
        <v>10</v>
      </c>
      <c r="D2270" s="100" t="s">
        <v>14</v>
      </c>
      <c r="E2270" t="s">
        <v>716</v>
      </c>
      <c r="F2270" t="s">
        <v>16</v>
      </c>
      <c r="G2270" t="s">
        <v>739</v>
      </c>
      <c r="H2270" s="128">
        <v>0.31119999999999998</v>
      </c>
      <c r="I2270" s="110">
        <v>0.1701</v>
      </c>
      <c r="J2270" s="110" t="s">
        <v>717</v>
      </c>
      <c r="K2270" s="110" t="s">
        <v>717</v>
      </c>
      <c r="L2270">
        <v>5000</v>
      </c>
      <c r="M2270">
        <v>500000</v>
      </c>
      <c r="N2270" s="105">
        <v>44378</v>
      </c>
      <c r="O2270" s="105">
        <v>44561</v>
      </c>
      <c r="P2270" t="s">
        <v>718</v>
      </c>
      <c r="R2270" s="154"/>
      <c r="S2270" s="154"/>
      <c r="T2270" s="154"/>
      <c r="U2270" s="154"/>
    </row>
    <row r="2271" spans="1:21" ht="15" customHeight="1" x14ac:dyDescent="0.3">
      <c r="A2271" t="str">
        <f t="shared" si="36"/>
        <v>10-4-E7-SmartFIX – 5 Year (Level 2)</v>
      </c>
      <c r="B2271" t="s">
        <v>13</v>
      </c>
      <c r="C2271">
        <v>10</v>
      </c>
      <c r="D2271" s="100" t="s">
        <v>14</v>
      </c>
      <c r="E2271" t="s">
        <v>17</v>
      </c>
      <c r="F2271" t="s">
        <v>18</v>
      </c>
      <c r="G2271" t="s">
        <v>739</v>
      </c>
      <c r="H2271" s="128">
        <v>0.31119999999999998</v>
      </c>
      <c r="I2271" s="110">
        <v>0.17899999999999999</v>
      </c>
      <c r="J2271" s="110">
        <v>0.13150000000000001</v>
      </c>
      <c r="K2271" s="110" t="s">
        <v>717</v>
      </c>
      <c r="L2271">
        <v>5000</v>
      </c>
      <c r="M2271">
        <v>500000</v>
      </c>
      <c r="N2271" s="105">
        <v>44378</v>
      </c>
      <c r="O2271" s="105">
        <v>44561</v>
      </c>
      <c r="P2271" t="s">
        <v>718</v>
      </c>
      <c r="R2271" s="154"/>
      <c r="S2271" s="154"/>
      <c r="T2271" s="154"/>
      <c r="U2271" s="154"/>
    </row>
    <row r="2272" spans="1:21" ht="15" customHeight="1" x14ac:dyDescent="0.3">
      <c r="A2272" t="str">
        <f t="shared" si="36"/>
        <v>10-3-EW-SmartFIX – 5 Year (Level 2)</v>
      </c>
      <c r="B2272" t="s">
        <v>13</v>
      </c>
      <c r="C2272">
        <v>10</v>
      </c>
      <c r="D2272" s="100" t="s">
        <v>14</v>
      </c>
      <c r="E2272" t="s">
        <v>19</v>
      </c>
      <c r="F2272" t="s">
        <v>16</v>
      </c>
      <c r="G2272" t="s">
        <v>739</v>
      </c>
      <c r="H2272" s="128">
        <v>0.31119999999999998</v>
      </c>
      <c r="I2272" s="110">
        <v>0.18029999999999999</v>
      </c>
      <c r="J2272" s="110" t="s">
        <v>717</v>
      </c>
      <c r="K2272" s="110">
        <v>0.1547</v>
      </c>
      <c r="L2272">
        <v>5000</v>
      </c>
      <c r="M2272">
        <v>500000</v>
      </c>
      <c r="N2272" s="105">
        <v>44378</v>
      </c>
      <c r="O2272" s="105">
        <v>44561</v>
      </c>
      <c r="P2272" t="s">
        <v>718</v>
      </c>
      <c r="R2272" s="154"/>
      <c r="S2272" s="154"/>
      <c r="T2272" s="154"/>
      <c r="U2272" s="154"/>
    </row>
    <row r="2273" spans="1:21" ht="15" customHeight="1" x14ac:dyDescent="0.3">
      <c r="A2273" t="str">
        <f t="shared" si="36"/>
        <v>10-4-3RATE-SmartFIX – 5 Year (Level 2)</v>
      </c>
      <c r="B2273" t="s">
        <v>13</v>
      </c>
      <c r="C2273">
        <v>10</v>
      </c>
      <c r="D2273" s="100" t="s">
        <v>14</v>
      </c>
      <c r="E2273" t="s">
        <v>719</v>
      </c>
      <c r="F2273" t="s">
        <v>18</v>
      </c>
      <c r="G2273" t="s">
        <v>739</v>
      </c>
      <c r="H2273" s="128">
        <v>0.31119999999999998</v>
      </c>
      <c r="I2273" s="110">
        <v>0.19239999999999999</v>
      </c>
      <c r="J2273" s="110">
        <v>0.12429999999999999</v>
      </c>
      <c r="K2273" s="110">
        <v>0.17299999999999999</v>
      </c>
      <c r="L2273">
        <v>5000</v>
      </c>
      <c r="M2273">
        <v>500000</v>
      </c>
      <c r="N2273" s="105">
        <v>44378</v>
      </c>
      <c r="O2273" s="105">
        <v>44561</v>
      </c>
      <c r="P2273" t="s">
        <v>718</v>
      </c>
      <c r="R2273" s="154"/>
      <c r="S2273" s="154"/>
      <c r="T2273" s="154"/>
      <c r="U2273" s="154"/>
    </row>
    <row r="2274" spans="1:21" ht="15" customHeight="1" x14ac:dyDescent="0.3">
      <c r="A2274" t="str">
        <f t="shared" si="36"/>
        <v/>
      </c>
      <c r="B2274" t="s">
        <v>13</v>
      </c>
      <c r="C2274">
        <v>10</v>
      </c>
      <c r="D2274" s="100" t="s">
        <v>14</v>
      </c>
      <c r="E2274" t="s">
        <v>720</v>
      </c>
      <c r="F2274" t="s">
        <v>18</v>
      </c>
      <c r="G2274" t="s">
        <v>739</v>
      </c>
      <c r="H2274" s="128">
        <v>0.31119999999999998</v>
      </c>
      <c r="I2274" s="110" t="s">
        <v>717</v>
      </c>
      <c r="J2274" s="110">
        <v>0.1547</v>
      </c>
      <c r="K2274" s="110" t="s">
        <v>717</v>
      </c>
      <c r="L2274">
        <v>5000</v>
      </c>
      <c r="M2274">
        <v>500000</v>
      </c>
      <c r="N2274" s="105">
        <v>44378</v>
      </c>
      <c r="O2274" s="105">
        <v>44561</v>
      </c>
      <c r="P2274" t="s">
        <v>718</v>
      </c>
      <c r="R2274" s="154"/>
      <c r="S2274" s="154"/>
      <c r="T2274" s="154"/>
      <c r="U2274" s="154"/>
    </row>
    <row r="2275" spans="1:21" ht="15" customHeight="1" x14ac:dyDescent="0.3">
      <c r="A2275" t="str">
        <f t="shared" si="36"/>
        <v>11-3-U-SmartFIX – 5 Year (Level 2)</v>
      </c>
      <c r="B2275" t="s">
        <v>13</v>
      </c>
      <c r="C2275">
        <v>11</v>
      </c>
      <c r="D2275" s="100" t="s">
        <v>20</v>
      </c>
      <c r="E2275" t="s">
        <v>716</v>
      </c>
      <c r="F2275" t="s">
        <v>16</v>
      </c>
      <c r="G2275" t="s">
        <v>739</v>
      </c>
      <c r="H2275" s="128">
        <v>0.32069999999999999</v>
      </c>
      <c r="I2275" s="110">
        <v>0.17030000000000001</v>
      </c>
      <c r="J2275" s="110" t="s">
        <v>717</v>
      </c>
      <c r="K2275" s="110" t="s">
        <v>717</v>
      </c>
      <c r="L2275">
        <v>5000</v>
      </c>
      <c r="M2275">
        <v>500000</v>
      </c>
      <c r="N2275" s="105">
        <v>44378</v>
      </c>
      <c r="O2275" s="105">
        <v>44561</v>
      </c>
      <c r="P2275" t="s">
        <v>718</v>
      </c>
      <c r="R2275" s="154"/>
      <c r="S2275" s="154"/>
      <c r="T2275" s="154"/>
      <c r="U2275" s="154"/>
    </row>
    <row r="2276" spans="1:21" ht="15" customHeight="1" x14ac:dyDescent="0.3">
      <c r="A2276" t="str">
        <f t="shared" si="36"/>
        <v>11-4-E7-SmartFIX – 5 Year (Level 2)</v>
      </c>
      <c r="B2276" t="s">
        <v>13</v>
      </c>
      <c r="C2276">
        <v>11</v>
      </c>
      <c r="D2276" s="100" t="s">
        <v>20</v>
      </c>
      <c r="E2276" t="s">
        <v>17</v>
      </c>
      <c r="F2276" t="s">
        <v>18</v>
      </c>
      <c r="G2276" t="s">
        <v>739</v>
      </c>
      <c r="H2276" s="128">
        <v>0.32069999999999999</v>
      </c>
      <c r="I2276" s="110">
        <v>0.17499999999999999</v>
      </c>
      <c r="J2276" s="110">
        <v>0.13020000000000001</v>
      </c>
      <c r="K2276" s="110" t="s">
        <v>717</v>
      </c>
      <c r="L2276">
        <v>5000</v>
      </c>
      <c r="M2276">
        <v>500000</v>
      </c>
      <c r="N2276" s="105">
        <v>44378</v>
      </c>
      <c r="O2276" s="105">
        <v>44561</v>
      </c>
      <c r="P2276" t="s">
        <v>718</v>
      </c>
      <c r="R2276" s="154"/>
      <c r="S2276" s="154"/>
      <c r="T2276" s="154"/>
      <c r="U2276" s="154"/>
    </row>
    <row r="2277" spans="1:21" ht="15" customHeight="1" x14ac:dyDescent="0.3">
      <c r="A2277" t="str">
        <f t="shared" si="36"/>
        <v>11-3-EW-SmartFIX – 5 Year (Level 2)</v>
      </c>
      <c r="B2277" t="s">
        <v>13</v>
      </c>
      <c r="C2277">
        <v>11</v>
      </c>
      <c r="D2277" s="100" t="s">
        <v>20</v>
      </c>
      <c r="E2277" t="s">
        <v>19</v>
      </c>
      <c r="F2277" t="s">
        <v>16</v>
      </c>
      <c r="G2277" t="s">
        <v>739</v>
      </c>
      <c r="H2277" s="128">
        <v>0.32069999999999999</v>
      </c>
      <c r="I2277" s="110">
        <v>0.18</v>
      </c>
      <c r="J2277" s="110" t="s">
        <v>717</v>
      </c>
      <c r="K2277" s="110">
        <v>0.15529999999999999</v>
      </c>
      <c r="L2277">
        <v>5000</v>
      </c>
      <c r="M2277">
        <v>500000</v>
      </c>
      <c r="N2277" s="105">
        <v>44378</v>
      </c>
      <c r="O2277" s="105">
        <v>44561</v>
      </c>
      <c r="P2277" t="s">
        <v>718</v>
      </c>
      <c r="R2277" s="154"/>
      <c r="S2277" s="154"/>
      <c r="T2277" s="154"/>
      <c r="U2277" s="154"/>
    </row>
    <row r="2278" spans="1:21" ht="15" customHeight="1" x14ac:dyDescent="0.3">
      <c r="A2278" t="str">
        <f t="shared" si="36"/>
        <v>11-4-3RATE-SmartFIX – 5 Year (Level 2)</v>
      </c>
      <c r="B2278" t="s">
        <v>13</v>
      </c>
      <c r="C2278">
        <v>11</v>
      </c>
      <c r="D2278" s="100" t="s">
        <v>20</v>
      </c>
      <c r="E2278" t="s">
        <v>719</v>
      </c>
      <c r="F2278" t="s">
        <v>18</v>
      </c>
      <c r="G2278" t="s">
        <v>739</v>
      </c>
      <c r="H2278" s="128">
        <v>0.32069999999999999</v>
      </c>
      <c r="I2278" s="110">
        <v>0.1883</v>
      </c>
      <c r="J2278" s="110">
        <v>0.1258</v>
      </c>
      <c r="K2278" s="110">
        <v>0.1648</v>
      </c>
      <c r="L2278">
        <v>5000</v>
      </c>
      <c r="M2278">
        <v>500000</v>
      </c>
      <c r="N2278" s="105">
        <v>44378</v>
      </c>
      <c r="O2278" s="105">
        <v>44561</v>
      </c>
      <c r="P2278" t="s">
        <v>718</v>
      </c>
      <c r="R2278" s="154"/>
      <c r="S2278" s="154"/>
      <c r="T2278" s="154"/>
      <c r="U2278" s="154"/>
    </row>
    <row r="2279" spans="1:21" ht="15" customHeight="1" x14ac:dyDescent="0.3">
      <c r="A2279" t="str">
        <f t="shared" si="36"/>
        <v/>
      </c>
      <c r="B2279" t="s">
        <v>13</v>
      </c>
      <c r="C2279">
        <v>11</v>
      </c>
      <c r="D2279" s="100" t="s">
        <v>20</v>
      </c>
      <c r="E2279" t="s">
        <v>720</v>
      </c>
      <c r="F2279" t="s">
        <v>18</v>
      </c>
      <c r="G2279" t="s">
        <v>739</v>
      </c>
      <c r="H2279" s="128">
        <v>0.32069999999999999</v>
      </c>
      <c r="I2279" s="110" t="s">
        <v>717</v>
      </c>
      <c r="J2279" s="110">
        <v>0.15529999999999999</v>
      </c>
      <c r="K2279" s="110" t="s">
        <v>717</v>
      </c>
      <c r="L2279">
        <v>5000</v>
      </c>
      <c r="M2279">
        <v>500000</v>
      </c>
      <c r="N2279" s="105">
        <v>44378</v>
      </c>
      <c r="O2279" s="105">
        <v>44561</v>
      </c>
      <c r="P2279" t="s">
        <v>718</v>
      </c>
      <c r="R2279" s="154"/>
      <c r="S2279" s="154"/>
      <c r="T2279" s="154"/>
      <c r="U2279" s="154"/>
    </row>
    <row r="2280" spans="1:21" ht="15" customHeight="1" x14ac:dyDescent="0.3">
      <c r="A2280" t="str">
        <f t="shared" si="36"/>
        <v>12-3-U-SmartFIX – 5 Year (Level 2)</v>
      </c>
      <c r="B2280" t="s">
        <v>13</v>
      </c>
      <c r="C2280">
        <v>12</v>
      </c>
      <c r="D2280" s="100" t="s">
        <v>21</v>
      </c>
      <c r="E2280" t="s">
        <v>716</v>
      </c>
      <c r="F2280" t="s">
        <v>16</v>
      </c>
      <c r="G2280" t="s">
        <v>739</v>
      </c>
      <c r="H2280" s="128">
        <v>0.24199999999999999</v>
      </c>
      <c r="I2280" s="110">
        <v>0.1643</v>
      </c>
      <c r="J2280" s="110" t="s">
        <v>717</v>
      </c>
      <c r="K2280" s="110" t="s">
        <v>717</v>
      </c>
      <c r="L2280">
        <v>5000</v>
      </c>
      <c r="M2280">
        <v>500000</v>
      </c>
      <c r="N2280" s="105">
        <v>44378</v>
      </c>
      <c r="O2280" s="105">
        <v>44561</v>
      </c>
      <c r="P2280" t="s">
        <v>718</v>
      </c>
      <c r="R2280" s="154"/>
      <c r="S2280" s="154"/>
      <c r="T2280" s="154"/>
      <c r="U2280" s="154"/>
    </row>
    <row r="2281" spans="1:21" ht="15" customHeight="1" x14ac:dyDescent="0.3">
      <c r="A2281" t="str">
        <f t="shared" si="36"/>
        <v>12-4-E7-SmartFIX – 5 Year (Level 2)</v>
      </c>
      <c r="B2281" t="s">
        <v>13</v>
      </c>
      <c r="C2281">
        <v>12</v>
      </c>
      <c r="D2281" s="100" t="s">
        <v>21</v>
      </c>
      <c r="E2281" t="s">
        <v>17</v>
      </c>
      <c r="F2281" t="s">
        <v>18</v>
      </c>
      <c r="G2281" t="s">
        <v>739</v>
      </c>
      <c r="H2281" s="128">
        <v>0.24199999999999999</v>
      </c>
      <c r="I2281" s="110">
        <v>0.1736</v>
      </c>
      <c r="J2281" s="110">
        <v>0.1351</v>
      </c>
      <c r="K2281" s="110" t="s">
        <v>717</v>
      </c>
      <c r="L2281">
        <v>5000</v>
      </c>
      <c r="M2281">
        <v>500000</v>
      </c>
      <c r="N2281" s="105">
        <v>44378</v>
      </c>
      <c r="O2281" s="105">
        <v>44561</v>
      </c>
      <c r="P2281" t="s">
        <v>718</v>
      </c>
      <c r="R2281" s="154"/>
      <c r="S2281" s="154"/>
      <c r="T2281" s="154"/>
      <c r="U2281" s="154"/>
    </row>
    <row r="2282" spans="1:21" ht="15" customHeight="1" x14ac:dyDescent="0.3">
      <c r="A2282" t="str">
        <f t="shared" si="36"/>
        <v>12-3-EW-SmartFIX – 5 Year (Level 2)</v>
      </c>
      <c r="B2282" t="s">
        <v>13</v>
      </c>
      <c r="C2282">
        <v>12</v>
      </c>
      <c r="D2282" s="100" t="s">
        <v>21</v>
      </c>
      <c r="E2282" t="s">
        <v>19</v>
      </c>
      <c r="F2282" t="s">
        <v>16</v>
      </c>
      <c r="G2282" t="s">
        <v>739</v>
      </c>
      <c r="H2282" s="128">
        <v>0.24199999999999999</v>
      </c>
      <c r="I2282" s="110">
        <v>0.17399999999999999</v>
      </c>
      <c r="J2282" s="110" t="s">
        <v>717</v>
      </c>
      <c r="K2282" s="110">
        <v>0.15079999999999999</v>
      </c>
      <c r="L2282">
        <v>5000</v>
      </c>
      <c r="M2282">
        <v>500000</v>
      </c>
      <c r="N2282" s="105">
        <v>44378</v>
      </c>
      <c r="O2282" s="105">
        <v>44561</v>
      </c>
      <c r="P2282" t="s">
        <v>718</v>
      </c>
      <c r="R2282" s="154"/>
      <c r="S2282" s="154"/>
      <c r="T2282" s="154"/>
      <c r="U2282" s="154"/>
    </row>
    <row r="2283" spans="1:21" ht="15" customHeight="1" x14ac:dyDescent="0.3">
      <c r="A2283" t="str">
        <f t="shared" si="36"/>
        <v>12-4-3RATE-SmartFIX – 5 Year (Level 2)</v>
      </c>
      <c r="B2283" t="s">
        <v>13</v>
      </c>
      <c r="C2283">
        <v>12</v>
      </c>
      <c r="D2283" s="100" t="s">
        <v>21</v>
      </c>
      <c r="E2283" t="s">
        <v>719</v>
      </c>
      <c r="F2283" t="s">
        <v>18</v>
      </c>
      <c r="G2283" t="s">
        <v>739</v>
      </c>
      <c r="H2283" s="128">
        <v>0.24199999999999999</v>
      </c>
      <c r="I2283" s="110">
        <v>0.24399999999999999</v>
      </c>
      <c r="J2283" s="110">
        <v>0.24399999999999999</v>
      </c>
      <c r="K2283" s="110">
        <v>0.24399999999999999</v>
      </c>
      <c r="L2283">
        <v>5000</v>
      </c>
      <c r="M2283">
        <v>500000</v>
      </c>
      <c r="N2283" s="105">
        <v>44378</v>
      </c>
      <c r="O2283" s="105">
        <v>44561</v>
      </c>
      <c r="P2283" t="s">
        <v>718</v>
      </c>
      <c r="R2283" s="154"/>
      <c r="S2283" s="154"/>
      <c r="T2283" s="154"/>
      <c r="U2283" s="154"/>
    </row>
    <row r="2284" spans="1:21" ht="15" customHeight="1" x14ac:dyDescent="0.3">
      <c r="A2284" t="str">
        <f t="shared" si="36"/>
        <v/>
      </c>
      <c r="B2284" t="s">
        <v>13</v>
      </c>
      <c r="C2284">
        <v>12</v>
      </c>
      <c r="D2284" s="100" t="s">
        <v>21</v>
      </c>
      <c r="E2284" t="s">
        <v>720</v>
      </c>
      <c r="F2284" t="s">
        <v>18</v>
      </c>
      <c r="G2284" t="s">
        <v>739</v>
      </c>
      <c r="H2284" s="128">
        <v>0.24199999999999999</v>
      </c>
      <c r="I2284" s="110" t="s">
        <v>717</v>
      </c>
      <c r="J2284" s="110">
        <v>0.15079999999999999</v>
      </c>
      <c r="K2284" s="110" t="s">
        <v>717</v>
      </c>
      <c r="L2284">
        <v>5000</v>
      </c>
      <c r="M2284">
        <v>500000</v>
      </c>
      <c r="N2284" s="105">
        <v>44378</v>
      </c>
      <c r="O2284" s="105">
        <v>44561</v>
      </c>
      <c r="P2284" t="s">
        <v>718</v>
      </c>
      <c r="R2284" s="154"/>
      <c r="S2284" s="154"/>
      <c r="T2284" s="154"/>
      <c r="U2284" s="154"/>
    </row>
    <row r="2285" spans="1:21" ht="15" customHeight="1" x14ac:dyDescent="0.3">
      <c r="A2285" t="str">
        <f t="shared" si="36"/>
        <v>13-3-U-SmartFIX – 5 Year (Level 2)</v>
      </c>
      <c r="B2285" t="s">
        <v>13</v>
      </c>
      <c r="C2285">
        <v>13</v>
      </c>
      <c r="D2285" s="100" t="s">
        <v>22</v>
      </c>
      <c r="E2285" t="s">
        <v>716</v>
      </c>
      <c r="F2285" t="s">
        <v>16</v>
      </c>
      <c r="G2285" t="s">
        <v>739</v>
      </c>
      <c r="H2285" s="128">
        <v>0.28489999999999999</v>
      </c>
      <c r="I2285" s="110">
        <v>0.18770000000000001</v>
      </c>
      <c r="J2285" s="110" t="s">
        <v>717</v>
      </c>
      <c r="K2285" s="110" t="s">
        <v>717</v>
      </c>
      <c r="L2285">
        <v>5000</v>
      </c>
      <c r="M2285">
        <v>500000</v>
      </c>
      <c r="N2285" s="105">
        <v>44378</v>
      </c>
      <c r="O2285" s="105">
        <v>44561</v>
      </c>
      <c r="P2285" t="s">
        <v>718</v>
      </c>
      <c r="R2285" s="154"/>
      <c r="S2285" s="154"/>
      <c r="T2285" s="154"/>
      <c r="U2285" s="154"/>
    </row>
    <row r="2286" spans="1:21" ht="15" customHeight="1" x14ac:dyDescent="0.3">
      <c r="A2286" t="str">
        <f t="shared" si="36"/>
        <v>13-4-E7-SmartFIX – 5 Year (Level 2)</v>
      </c>
      <c r="B2286" t="s">
        <v>13</v>
      </c>
      <c r="C2286">
        <v>13</v>
      </c>
      <c r="D2286" s="100" t="s">
        <v>22</v>
      </c>
      <c r="E2286" t="s">
        <v>17</v>
      </c>
      <c r="F2286" t="s">
        <v>18</v>
      </c>
      <c r="G2286" t="s">
        <v>739</v>
      </c>
      <c r="H2286" s="128">
        <v>0.28489999999999999</v>
      </c>
      <c r="I2286" s="110">
        <v>0.18720000000000001</v>
      </c>
      <c r="J2286" s="110">
        <v>0.1399</v>
      </c>
      <c r="K2286" s="110" t="s">
        <v>717</v>
      </c>
      <c r="L2286">
        <v>5000</v>
      </c>
      <c r="M2286">
        <v>500000</v>
      </c>
      <c r="N2286" s="105">
        <v>44378</v>
      </c>
      <c r="O2286" s="105">
        <v>44561</v>
      </c>
      <c r="P2286" t="s">
        <v>718</v>
      </c>
      <c r="R2286" s="154"/>
      <c r="S2286" s="154"/>
      <c r="T2286" s="154"/>
      <c r="U2286" s="154"/>
    </row>
    <row r="2287" spans="1:21" ht="15" customHeight="1" x14ac:dyDescent="0.3">
      <c r="A2287" t="str">
        <f t="shared" si="36"/>
        <v>13-3-EW-SmartFIX – 5 Year (Level 2)</v>
      </c>
      <c r="B2287" t="s">
        <v>13</v>
      </c>
      <c r="C2287">
        <v>13</v>
      </c>
      <c r="D2287" s="100" t="s">
        <v>22</v>
      </c>
      <c r="E2287" t="s">
        <v>19</v>
      </c>
      <c r="F2287" t="s">
        <v>16</v>
      </c>
      <c r="G2287" t="s">
        <v>739</v>
      </c>
      <c r="H2287" s="128">
        <v>0.28489999999999999</v>
      </c>
      <c r="I2287" s="110">
        <v>0.24399999999999999</v>
      </c>
      <c r="J2287" s="110" t="s">
        <v>717</v>
      </c>
      <c r="K2287" s="110">
        <v>0.24399999999999999</v>
      </c>
      <c r="L2287">
        <v>5000</v>
      </c>
      <c r="M2287">
        <v>500000</v>
      </c>
      <c r="N2287" s="105">
        <v>44378</v>
      </c>
      <c r="O2287" s="105">
        <v>44561</v>
      </c>
      <c r="P2287" t="s">
        <v>718</v>
      </c>
      <c r="R2287" s="154"/>
      <c r="S2287" s="154"/>
      <c r="T2287" s="154"/>
      <c r="U2287" s="154"/>
    </row>
    <row r="2288" spans="1:21" ht="15" customHeight="1" x14ac:dyDescent="0.3">
      <c r="A2288" t="str">
        <f t="shared" si="36"/>
        <v>13-4-3RATE-SmartFIX – 5 Year (Level 2)</v>
      </c>
      <c r="B2288" t="s">
        <v>13</v>
      </c>
      <c r="C2288">
        <v>13</v>
      </c>
      <c r="D2288" s="100" t="s">
        <v>22</v>
      </c>
      <c r="E2288" t="s">
        <v>719</v>
      </c>
      <c r="F2288" t="s">
        <v>18</v>
      </c>
      <c r="G2288" t="s">
        <v>739</v>
      </c>
      <c r="H2288" s="128">
        <v>0.28489999999999999</v>
      </c>
      <c r="I2288" s="110">
        <v>0.20319999999999999</v>
      </c>
      <c r="J2288" s="110">
        <v>0.1386</v>
      </c>
      <c r="K2288" s="110">
        <v>0.1875</v>
      </c>
      <c r="L2288">
        <v>5000</v>
      </c>
      <c r="M2288">
        <v>500000</v>
      </c>
      <c r="N2288" s="105">
        <v>44378</v>
      </c>
      <c r="O2288" s="105">
        <v>44561</v>
      </c>
      <c r="P2288" t="s">
        <v>718</v>
      </c>
      <c r="R2288" s="154"/>
      <c r="S2288" s="154"/>
      <c r="T2288" s="154"/>
      <c r="U2288" s="154"/>
    </row>
    <row r="2289" spans="1:21" ht="15" customHeight="1" x14ac:dyDescent="0.3">
      <c r="A2289" t="str">
        <f t="shared" si="36"/>
        <v/>
      </c>
      <c r="B2289" t="s">
        <v>13</v>
      </c>
      <c r="C2289">
        <v>13</v>
      </c>
      <c r="D2289" s="100" t="s">
        <v>22</v>
      </c>
      <c r="E2289" t="s">
        <v>720</v>
      </c>
      <c r="F2289" t="s">
        <v>18</v>
      </c>
      <c r="G2289" t="s">
        <v>739</v>
      </c>
      <c r="H2289" s="128">
        <v>0.28489999999999999</v>
      </c>
      <c r="I2289" s="110" t="s">
        <v>717</v>
      </c>
      <c r="J2289" s="110">
        <v>0.1399</v>
      </c>
      <c r="K2289" s="110" t="s">
        <v>717</v>
      </c>
      <c r="L2289">
        <v>5000</v>
      </c>
      <c r="M2289">
        <v>500000</v>
      </c>
      <c r="N2289" s="105">
        <v>44378</v>
      </c>
      <c r="O2289" s="105">
        <v>44561</v>
      </c>
      <c r="P2289" t="s">
        <v>718</v>
      </c>
      <c r="R2289" s="154"/>
      <c r="S2289" s="154"/>
      <c r="T2289" s="154"/>
      <c r="U2289" s="154"/>
    </row>
    <row r="2290" spans="1:21" ht="15" customHeight="1" x14ac:dyDescent="0.3">
      <c r="A2290" t="str">
        <f t="shared" si="36"/>
        <v>14-3-U-SmartFIX – 5 Year (Level 2)</v>
      </c>
      <c r="B2290" t="s">
        <v>13</v>
      </c>
      <c r="C2290">
        <v>14</v>
      </c>
      <c r="D2290" s="100" t="s">
        <v>23</v>
      </c>
      <c r="E2290" t="s">
        <v>716</v>
      </c>
      <c r="F2290" t="s">
        <v>16</v>
      </c>
      <c r="G2290" t="s">
        <v>739</v>
      </c>
      <c r="H2290" s="128">
        <v>0.35139999999999999</v>
      </c>
      <c r="I2290" s="110">
        <v>0.17430000000000001</v>
      </c>
      <c r="J2290" s="110" t="s">
        <v>717</v>
      </c>
      <c r="K2290" s="110" t="s">
        <v>717</v>
      </c>
      <c r="L2290">
        <v>5000</v>
      </c>
      <c r="M2290">
        <v>500000</v>
      </c>
      <c r="N2290" s="105">
        <v>44378</v>
      </c>
      <c r="O2290" s="105">
        <v>44561</v>
      </c>
      <c r="P2290" t="s">
        <v>718</v>
      </c>
      <c r="R2290" s="154"/>
      <c r="S2290" s="154"/>
      <c r="T2290" s="154"/>
      <c r="U2290" s="154"/>
    </row>
    <row r="2291" spans="1:21" ht="15" customHeight="1" x14ac:dyDescent="0.3">
      <c r="A2291" t="str">
        <f t="shared" si="36"/>
        <v>14-4-E7-SmartFIX – 5 Year (Level 2)</v>
      </c>
      <c r="B2291" t="s">
        <v>13</v>
      </c>
      <c r="C2291">
        <v>14</v>
      </c>
      <c r="D2291" s="100" t="s">
        <v>23</v>
      </c>
      <c r="E2291" t="s">
        <v>17</v>
      </c>
      <c r="F2291" t="s">
        <v>18</v>
      </c>
      <c r="G2291" t="s">
        <v>739</v>
      </c>
      <c r="H2291" s="128">
        <v>0.35139999999999999</v>
      </c>
      <c r="I2291" s="110">
        <v>0.1777</v>
      </c>
      <c r="J2291" s="110">
        <v>0.13469999999999999</v>
      </c>
      <c r="K2291" s="110" t="s">
        <v>717</v>
      </c>
      <c r="L2291">
        <v>5000</v>
      </c>
      <c r="M2291">
        <v>500000</v>
      </c>
      <c r="N2291" s="105">
        <v>44378</v>
      </c>
      <c r="O2291" s="105">
        <v>44561</v>
      </c>
      <c r="P2291" t="s">
        <v>718</v>
      </c>
      <c r="R2291" s="154"/>
      <c r="S2291" s="154"/>
      <c r="T2291" s="154"/>
      <c r="U2291" s="154"/>
    </row>
    <row r="2292" spans="1:21" ht="15" customHeight="1" x14ac:dyDescent="0.3">
      <c r="A2292" t="str">
        <f t="shared" si="36"/>
        <v>14-3-EW-SmartFIX – 5 Year (Level 2)</v>
      </c>
      <c r="B2292" t="s">
        <v>13</v>
      </c>
      <c r="C2292">
        <v>14</v>
      </c>
      <c r="D2292" s="100" t="s">
        <v>23</v>
      </c>
      <c r="E2292" t="s">
        <v>19</v>
      </c>
      <c r="F2292" t="s">
        <v>16</v>
      </c>
      <c r="G2292" t="s">
        <v>739</v>
      </c>
      <c r="H2292" s="128">
        <v>0.35139999999999999</v>
      </c>
      <c r="I2292" s="110">
        <v>0.1827</v>
      </c>
      <c r="J2292" s="110" t="s">
        <v>717</v>
      </c>
      <c r="K2292" s="110">
        <v>0.16189999999999999</v>
      </c>
      <c r="L2292">
        <v>5000</v>
      </c>
      <c r="M2292">
        <v>500000</v>
      </c>
      <c r="N2292" s="105">
        <v>44378</v>
      </c>
      <c r="O2292" s="105">
        <v>44561</v>
      </c>
      <c r="P2292" t="s">
        <v>718</v>
      </c>
      <c r="R2292" s="154"/>
      <c r="S2292" s="154"/>
      <c r="T2292" s="154"/>
      <c r="U2292" s="154"/>
    </row>
    <row r="2293" spans="1:21" ht="15" customHeight="1" x14ac:dyDescent="0.3">
      <c r="A2293" t="str">
        <f t="shared" si="36"/>
        <v>14-4-3RATE-SmartFIX – 5 Year (Level 2)</v>
      </c>
      <c r="B2293" t="s">
        <v>13</v>
      </c>
      <c r="C2293">
        <v>14</v>
      </c>
      <c r="D2293" s="100" t="s">
        <v>23</v>
      </c>
      <c r="E2293" t="s">
        <v>719</v>
      </c>
      <c r="F2293" t="s">
        <v>18</v>
      </c>
      <c r="G2293" t="s">
        <v>739</v>
      </c>
      <c r="H2293" s="128">
        <v>0.35139999999999999</v>
      </c>
      <c r="I2293" s="110">
        <v>0.24399999999999999</v>
      </c>
      <c r="J2293" s="110">
        <v>0.24399999999999999</v>
      </c>
      <c r="K2293" s="110">
        <v>0.24399999999999999</v>
      </c>
      <c r="L2293">
        <v>5000</v>
      </c>
      <c r="M2293">
        <v>500000</v>
      </c>
      <c r="N2293" s="105">
        <v>44378</v>
      </c>
      <c r="O2293" s="105">
        <v>44561</v>
      </c>
      <c r="P2293" t="s">
        <v>718</v>
      </c>
      <c r="R2293" s="154"/>
      <c r="S2293" s="154"/>
      <c r="T2293" s="154"/>
      <c r="U2293" s="154"/>
    </row>
    <row r="2294" spans="1:21" ht="15" customHeight="1" x14ac:dyDescent="0.3">
      <c r="A2294" t="str">
        <f t="shared" si="36"/>
        <v/>
      </c>
      <c r="B2294" t="s">
        <v>13</v>
      </c>
      <c r="C2294">
        <v>14</v>
      </c>
      <c r="D2294" s="100" t="s">
        <v>23</v>
      </c>
      <c r="E2294" t="s">
        <v>720</v>
      </c>
      <c r="F2294" t="s">
        <v>18</v>
      </c>
      <c r="G2294" t="s">
        <v>739</v>
      </c>
      <c r="H2294" s="128">
        <v>0.35139999999999999</v>
      </c>
      <c r="I2294" s="110" t="s">
        <v>717</v>
      </c>
      <c r="J2294" s="110">
        <v>0.16189999999999999</v>
      </c>
      <c r="K2294" s="110" t="s">
        <v>717</v>
      </c>
      <c r="L2294">
        <v>5000</v>
      </c>
      <c r="M2294">
        <v>500000</v>
      </c>
      <c r="N2294" s="105">
        <v>44378</v>
      </c>
      <c r="O2294" s="105">
        <v>44561</v>
      </c>
      <c r="P2294" t="s">
        <v>718</v>
      </c>
      <c r="R2294" s="154"/>
      <c r="S2294" s="154"/>
      <c r="T2294" s="154"/>
      <c r="U2294" s="154"/>
    </row>
    <row r="2295" spans="1:21" ht="15" customHeight="1" x14ac:dyDescent="0.3">
      <c r="A2295" t="str">
        <f t="shared" si="36"/>
        <v>15-3-U-SmartFIX – 5 Year (Level 2)</v>
      </c>
      <c r="B2295" t="s">
        <v>13</v>
      </c>
      <c r="C2295">
        <v>15</v>
      </c>
      <c r="D2295" s="100" t="s">
        <v>24</v>
      </c>
      <c r="E2295" t="s">
        <v>716</v>
      </c>
      <c r="F2295" t="s">
        <v>16</v>
      </c>
      <c r="G2295" t="s">
        <v>739</v>
      </c>
      <c r="H2295" s="128">
        <v>0.32629999999999998</v>
      </c>
      <c r="I2295" s="110">
        <v>0.1726</v>
      </c>
      <c r="J2295" s="110" t="s">
        <v>717</v>
      </c>
      <c r="K2295" s="110" t="s">
        <v>717</v>
      </c>
      <c r="L2295">
        <v>5000</v>
      </c>
      <c r="M2295">
        <v>500000</v>
      </c>
      <c r="N2295" s="105">
        <v>44378</v>
      </c>
      <c r="O2295" s="105">
        <v>44561</v>
      </c>
      <c r="P2295" t="s">
        <v>718</v>
      </c>
      <c r="R2295" s="154"/>
      <c r="S2295" s="154"/>
      <c r="T2295" s="154"/>
      <c r="U2295" s="154"/>
    </row>
    <row r="2296" spans="1:21" ht="15" customHeight="1" x14ac:dyDescent="0.3">
      <c r="A2296" t="str">
        <f t="shared" si="36"/>
        <v>15-4-E7-SmartFIX – 5 Year (Level 2)</v>
      </c>
      <c r="B2296" t="s">
        <v>13</v>
      </c>
      <c r="C2296">
        <v>15</v>
      </c>
      <c r="D2296" s="100" t="s">
        <v>24</v>
      </c>
      <c r="E2296" t="s">
        <v>17</v>
      </c>
      <c r="F2296" t="s">
        <v>18</v>
      </c>
      <c r="G2296" t="s">
        <v>739</v>
      </c>
      <c r="H2296" s="128">
        <v>0.32629999999999998</v>
      </c>
      <c r="I2296" s="110">
        <v>0.1779</v>
      </c>
      <c r="J2296" s="110">
        <v>0.13320000000000001</v>
      </c>
      <c r="K2296" s="110" t="s">
        <v>717</v>
      </c>
      <c r="L2296">
        <v>5000</v>
      </c>
      <c r="M2296">
        <v>500000</v>
      </c>
      <c r="N2296" s="105">
        <v>44378</v>
      </c>
      <c r="O2296" s="105">
        <v>44561</v>
      </c>
      <c r="P2296" t="s">
        <v>718</v>
      </c>
      <c r="R2296" s="154"/>
      <c r="S2296" s="154"/>
      <c r="T2296" s="154"/>
      <c r="U2296" s="154"/>
    </row>
    <row r="2297" spans="1:21" ht="15" customHeight="1" x14ac:dyDescent="0.3">
      <c r="A2297" t="str">
        <f t="shared" si="36"/>
        <v>15-3-EW-SmartFIX – 5 Year (Level 2)</v>
      </c>
      <c r="B2297" t="s">
        <v>13</v>
      </c>
      <c r="C2297">
        <v>15</v>
      </c>
      <c r="D2297" s="100" t="s">
        <v>24</v>
      </c>
      <c r="E2297" t="s">
        <v>19</v>
      </c>
      <c r="F2297" t="s">
        <v>16</v>
      </c>
      <c r="G2297" t="s">
        <v>739</v>
      </c>
      <c r="H2297" s="128">
        <v>0.32629999999999998</v>
      </c>
      <c r="I2297" s="110">
        <v>0.1842</v>
      </c>
      <c r="J2297" s="110" t="s">
        <v>717</v>
      </c>
      <c r="K2297" s="110">
        <v>0.15959999999999999</v>
      </c>
      <c r="L2297">
        <v>5000</v>
      </c>
      <c r="M2297">
        <v>500000</v>
      </c>
      <c r="N2297" s="105">
        <v>44378</v>
      </c>
      <c r="O2297" s="105">
        <v>44561</v>
      </c>
      <c r="P2297" t="s">
        <v>718</v>
      </c>
      <c r="R2297" s="154"/>
      <c r="S2297" s="154"/>
      <c r="T2297" s="154"/>
      <c r="U2297" s="154"/>
    </row>
    <row r="2298" spans="1:21" ht="15" customHeight="1" x14ac:dyDescent="0.3">
      <c r="A2298" t="str">
        <f t="shared" si="36"/>
        <v>15-4-3RATE-SmartFIX – 5 Year (Level 2)</v>
      </c>
      <c r="B2298" t="s">
        <v>13</v>
      </c>
      <c r="C2298">
        <v>15</v>
      </c>
      <c r="D2298" s="100" t="s">
        <v>24</v>
      </c>
      <c r="E2298" t="s">
        <v>719</v>
      </c>
      <c r="F2298" t="s">
        <v>18</v>
      </c>
      <c r="G2298" t="s">
        <v>739</v>
      </c>
      <c r="H2298" s="128">
        <v>0.32629999999999998</v>
      </c>
      <c r="I2298" s="110">
        <v>0.24399999999999999</v>
      </c>
      <c r="J2298" s="110">
        <v>0.24399999999999999</v>
      </c>
      <c r="K2298" s="110">
        <v>0.24399999999999999</v>
      </c>
      <c r="L2298">
        <v>5000</v>
      </c>
      <c r="M2298">
        <v>500000</v>
      </c>
      <c r="N2298" s="105">
        <v>44378</v>
      </c>
      <c r="O2298" s="105">
        <v>44561</v>
      </c>
      <c r="P2298" t="s">
        <v>718</v>
      </c>
      <c r="R2298" s="154"/>
      <c r="S2298" s="154"/>
      <c r="T2298" s="154"/>
      <c r="U2298" s="154"/>
    </row>
    <row r="2299" spans="1:21" ht="15" customHeight="1" x14ac:dyDescent="0.3">
      <c r="A2299" t="str">
        <f t="shared" si="36"/>
        <v/>
      </c>
      <c r="B2299" t="s">
        <v>13</v>
      </c>
      <c r="C2299">
        <v>15</v>
      </c>
      <c r="D2299" s="100" t="s">
        <v>24</v>
      </c>
      <c r="E2299" t="s">
        <v>720</v>
      </c>
      <c r="F2299" t="s">
        <v>18</v>
      </c>
      <c r="G2299" t="s">
        <v>739</v>
      </c>
      <c r="H2299" s="128">
        <v>0.32629999999999998</v>
      </c>
      <c r="I2299" s="110" t="s">
        <v>717</v>
      </c>
      <c r="J2299" s="110">
        <v>0.15959999999999999</v>
      </c>
      <c r="K2299" s="110" t="s">
        <v>717</v>
      </c>
      <c r="L2299">
        <v>5000</v>
      </c>
      <c r="M2299">
        <v>500000</v>
      </c>
      <c r="N2299" s="105">
        <v>44378</v>
      </c>
      <c r="O2299" s="105">
        <v>44561</v>
      </c>
      <c r="P2299" t="s">
        <v>718</v>
      </c>
      <c r="R2299" s="154"/>
      <c r="S2299" s="154"/>
      <c r="T2299" s="154"/>
      <c r="U2299" s="154"/>
    </row>
    <row r="2300" spans="1:21" ht="15" customHeight="1" x14ac:dyDescent="0.3">
      <c r="A2300" t="str">
        <f t="shared" si="36"/>
        <v>16-3-U-SmartFIX – 5 Year (Level 2)</v>
      </c>
      <c r="B2300" t="s">
        <v>13</v>
      </c>
      <c r="C2300">
        <v>16</v>
      </c>
      <c r="D2300" s="100" t="s">
        <v>25</v>
      </c>
      <c r="E2300" t="s">
        <v>716</v>
      </c>
      <c r="F2300" t="s">
        <v>16</v>
      </c>
      <c r="G2300" t="s">
        <v>739</v>
      </c>
      <c r="H2300" s="128">
        <v>0.27610000000000001</v>
      </c>
      <c r="I2300" s="110">
        <v>0.17630000000000001</v>
      </c>
      <c r="J2300" s="110" t="s">
        <v>717</v>
      </c>
      <c r="K2300" s="110" t="s">
        <v>717</v>
      </c>
      <c r="L2300">
        <v>5000</v>
      </c>
      <c r="M2300">
        <v>500000</v>
      </c>
      <c r="N2300" s="105">
        <v>44378</v>
      </c>
      <c r="O2300" s="105">
        <v>44561</v>
      </c>
      <c r="P2300" t="s">
        <v>718</v>
      </c>
      <c r="R2300" s="154"/>
      <c r="S2300" s="154"/>
      <c r="T2300" s="154"/>
      <c r="U2300" s="154"/>
    </row>
    <row r="2301" spans="1:21" ht="15" customHeight="1" x14ac:dyDescent="0.3">
      <c r="A2301" t="str">
        <f t="shared" si="36"/>
        <v>16-4-E7-SmartFIX – 5 Year (Level 2)</v>
      </c>
      <c r="B2301" t="s">
        <v>13</v>
      </c>
      <c r="C2301">
        <v>16</v>
      </c>
      <c r="D2301" s="100" t="s">
        <v>25</v>
      </c>
      <c r="E2301" t="s">
        <v>17</v>
      </c>
      <c r="F2301" t="s">
        <v>18</v>
      </c>
      <c r="G2301" t="s">
        <v>739</v>
      </c>
      <c r="H2301" s="128">
        <v>0.27610000000000001</v>
      </c>
      <c r="I2301" s="110">
        <v>0.17849999999999999</v>
      </c>
      <c r="J2301" s="110">
        <v>0.13109999999999999</v>
      </c>
      <c r="K2301" s="110" t="s">
        <v>717</v>
      </c>
      <c r="L2301">
        <v>5000</v>
      </c>
      <c r="M2301">
        <v>500000</v>
      </c>
      <c r="N2301" s="105">
        <v>44378</v>
      </c>
      <c r="O2301" s="105">
        <v>44561</v>
      </c>
      <c r="P2301" t="s">
        <v>718</v>
      </c>
      <c r="R2301" s="154"/>
      <c r="S2301" s="154"/>
      <c r="T2301" s="154"/>
      <c r="U2301" s="154"/>
    </row>
    <row r="2302" spans="1:21" ht="15" customHeight="1" x14ac:dyDescent="0.3">
      <c r="A2302" t="str">
        <f t="shared" si="36"/>
        <v>16-3-EW-SmartFIX – 5 Year (Level 2)</v>
      </c>
      <c r="B2302" t="s">
        <v>13</v>
      </c>
      <c r="C2302">
        <v>16</v>
      </c>
      <c r="D2302" s="100" t="s">
        <v>25</v>
      </c>
      <c r="E2302" t="s">
        <v>19</v>
      </c>
      <c r="F2302" t="s">
        <v>16</v>
      </c>
      <c r="G2302" t="s">
        <v>739</v>
      </c>
      <c r="H2302" s="128">
        <v>0.27610000000000001</v>
      </c>
      <c r="I2302" s="110">
        <v>0.18779999999999999</v>
      </c>
      <c r="J2302" s="110" t="s">
        <v>717</v>
      </c>
      <c r="K2302" s="110">
        <v>0.16239999999999999</v>
      </c>
      <c r="L2302">
        <v>5000</v>
      </c>
      <c r="M2302">
        <v>500000</v>
      </c>
      <c r="N2302" s="105">
        <v>44378</v>
      </c>
      <c r="O2302" s="105">
        <v>44561</v>
      </c>
      <c r="P2302" t="s">
        <v>718</v>
      </c>
      <c r="R2302" s="154"/>
      <c r="S2302" s="154"/>
      <c r="T2302" s="154"/>
      <c r="U2302" s="154"/>
    </row>
    <row r="2303" spans="1:21" ht="15" customHeight="1" x14ac:dyDescent="0.3">
      <c r="A2303" t="str">
        <f t="shared" si="36"/>
        <v>16-4-3RATE-SmartFIX – 5 Year (Level 2)</v>
      </c>
      <c r="B2303" t="s">
        <v>13</v>
      </c>
      <c r="C2303">
        <v>16</v>
      </c>
      <c r="D2303" s="100" t="s">
        <v>25</v>
      </c>
      <c r="E2303" t="s">
        <v>719</v>
      </c>
      <c r="F2303" t="s">
        <v>18</v>
      </c>
      <c r="G2303" t="s">
        <v>739</v>
      </c>
      <c r="H2303" s="128">
        <v>0.27610000000000001</v>
      </c>
      <c r="I2303" s="110">
        <v>0.1943</v>
      </c>
      <c r="J2303" s="110">
        <v>0.1308</v>
      </c>
      <c r="K2303" s="110">
        <v>0.1651</v>
      </c>
      <c r="L2303">
        <v>5000</v>
      </c>
      <c r="M2303">
        <v>500000</v>
      </c>
      <c r="N2303" s="105">
        <v>44378</v>
      </c>
      <c r="O2303" s="105">
        <v>44561</v>
      </c>
      <c r="P2303" t="s">
        <v>718</v>
      </c>
      <c r="R2303" s="154"/>
      <c r="S2303" s="154"/>
      <c r="T2303" s="154"/>
      <c r="U2303" s="154"/>
    </row>
    <row r="2304" spans="1:21" ht="15" customHeight="1" x14ac:dyDescent="0.3">
      <c r="A2304" t="str">
        <f t="shared" si="36"/>
        <v/>
      </c>
      <c r="B2304" t="s">
        <v>13</v>
      </c>
      <c r="C2304">
        <v>16</v>
      </c>
      <c r="D2304" s="100" t="s">
        <v>25</v>
      </c>
      <c r="E2304" t="s">
        <v>720</v>
      </c>
      <c r="F2304" t="s">
        <v>18</v>
      </c>
      <c r="G2304" t="s">
        <v>739</v>
      </c>
      <c r="H2304" s="128">
        <v>0.27610000000000001</v>
      </c>
      <c r="I2304" s="110" t="s">
        <v>717</v>
      </c>
      <c r="J2304" s="110">
        <v>0.16239999999999999</v>
      </c>
      <c r="K2304" s="110" t="s">
        <v>717</v>
      </c>
      <c r="L2304">
        <v>5000</v>
      </c>
      <c r="M2304">
        <v>500000</v>
      </c>
      <c r="N2304" s="105">
        <v>44378</v>
      </c>
      <c r="O2304" s="105">
        <v>44561</v>
      </c>
      <c r="P2304" t="s">
        <v>718</v>
      </c>
      <c r="R2304" s="154"/>
      <c r="S2304" s="154"/>
      <c r="T2304" s="154"/>
      <c r="U2304" s="154"/>
    </row>
    <row r="2305" spans="1:21" ht="15" customHeight="1" x14ac:dyDescent="0.3">
      <c r="A2305" t="str">
        <f t="shared" si="36"/>
        <v>17-3-U-SmartFIX – 5 Year (Level 2)</v>
      </c>
      <c r="B2305" t="s">
        <v>13</v>
      </c>
      <c r="C2305">
        <v>17</v>
      </c>
      <c r="D2305" s="100" t="s">
        <v>26</v>
      </c>
      <c r="E2305" t="s">
        <v>716</v>
      </c>
      <c r="F2305" t="s">
        <v>16</v>
      </c>
      <c r="G2305" t="s">
        <v>739</v>
      </c>
      <c r="H2305" s="128">
        <v>0.36370000000000002</v>
      </c>
      <c r="I2305" s="110">
        <v>0.18379999999999999</v>
      </c>
      <c r="J2305" s="110" t="s">
        <v>717</v>
      </c>
      <c r="K2305" s="110" t="s">
        <v>717</v>
      </c>
      <c r="L2305">
        <v>5000</v>
      </c>
      <c r="M2305">
        <v>500000</v>
      </c>
      <c r="N2305" s="105">
        <v>44378</v>
      </c>
      <c r="O2305" s="105">
        <v>44561</v>
      </c>
      <c r="P2305" t="s">
        <v>718</v>
      </c>
      <c r="R2305" s="154"/>
      <c r="S2305" s="154"/>
      <c r="T2305" s="154"/>
      <c r="U2305" s="154"/>
    </row>
    <row r="2306" spans="1:21" ht="15" customHeight="1" x14ac:dyDescent="0.3">
      <c r="A2306" t="str">
        <f t="shared" si="36"/>
        <v>17-4-E7-SmartFIX – 5 Year (Level 2)</v>
      </c>
      <c r="B2306" t="s">
        <v>13</v>
      </c>
      <c r="C2306">
        <v>17</v>
      </c>
      <c r="D2306" s="100" t="s">
        <v>26</v>
      </c>
      <c r="E2306" t="s">
        <v>17</v>
      </c>
      <c r="F2306" t="s">
        <v>18</v>
      </c>
      <c r="G2306" t="s">
        <v>739</v>
      </c>
      <c r="H2306" s="128">
        <v>0.36370000000000002</v>
      </c>
      <c r="I2306" s="110">
        <v>0.1898</v>
      </c>
      <c r="J2306" s="110">
        <v>0.13739999999999999</v>
      </c>
      <c r="K2306" s="110" t="s">
        <v>717</v>
      </c>
      <c r="L2306">
        <v>5000</v>
      </c>
      <c r="M2306">
        <v>500000</v>
      </c>
      <c r="N2306" s="105">
        <v>44378</v>
      </c>
      <c r="O2306" s="105">
        <v>44561</v>
      </c>
      <c r="P2306" t="s">
        <v>718</v>
      </c>
      <c r="R2306" s="154"/>
      <c r="S2306" s="154"/>
      <c r="T2306" s="154"/>
      <c r="U2306" s="154"/>
    </row>
    <row r="2307" spans="1:21" ht="15" customHeight="1" x14ac:dyDescent="0.3">
      <c r="A2307" t="str">
        <f t="shared" si="36"/>
        <v>17-3-EW-SmartFIX – 5 Year (Level 2)</v>
      </c>
      <c r="B2307" t="s">
        <v>13</v>
      </c>
      <c r="C2307">
        <v>17</v>
      </c>
      <c r="D2307" s="100" t="s">
        <v>26</v>
      </c>
      <c r="E2307" t="s">
        <v>19</v>
      </c>
      <c r="F2307" t="s">
        <v>16</v>
      </c>
      <c r="G2307" t="s">
        <v>739</v>
      </c>
      <c r="H2307" s="128">
        <v>0.36370000000000002</v>
      </c>
      <c r="I2307" s="110">
        <v>0.19270000000000001</v>
      </c>
      <c r="J2307" s="110" t="s">
        <v>717</v>
      </c>
      <c r="K2307" s="110">
        <v>0.17219999999999999</v>
      </c>
      <c r="L2307">
        <v>5000</v>
      </c>
      <c r="M2307">
        <v>500000</v>
      </c>
      <c r="N2307" s="105">
        <v>44378</v>
      </c>
      <c r="O2307" s="105">
        <v>44561</v>
      </c>
      <c r="P2307" t="s">
        <v>718</v>
      </c>
      <c r="R2307" s="154"/>
      <c r="S2307" s="154"/>
      <c r="T2307" s="154"/>
      <c r="U2307" s="154"/>
    </row>
    <row r="2308" spans="1:21" ht="15" customHeight="1" x14ac:dyDescent="0.3">
      <c r="A2308" t="str">
        <f t="shared" si="36"/>
        <v>17-4-3RATE-SmartFIX – 5 Year (Level 2)</v>
      </c>
      <c r="B2308" t="s">
        <v>13</v>
      </c>
      <c r="C2308">
        <v>17</v>
      </c>
      <c r="D2308" s="100" t="s">
        <v>26</v>
      </c>
      <c r="E2308" t="s">
        <v>719</v>
      </c>
      <c r="F2308" t="s">
        <v>18</v>
      </c>
      <c r="G2308" t="s">
        <v>739</v>
      </c>
      <c r="H2308" s="128">
        <v>0.36370000000000002</v>
      </c>
      <c r="I2308" s="110">
        <v>0.24399999999999999</v>
      </c>
      <c r="J2308" s="110">
        <v>0.24399999999999999</v>
      </c>
      <c r="K2308" s="110">
        <v>0.24399999999999999</v>
      </c>
      <c r="L2308">
        <v>5000</v>
      </c>
      <c r="M2308">
        <v>500000</v>
      </c>
      <c r="N2308" s="105">
        <v>44378</v>
      </c>
      <c r="O2308" s="105">
        <v>44561</v>
      </c>
      <c r="P2308" t="s">
        <v>718</v>
      </c>
      <c r="R2308" s="154"/>
      <c r="S2308" s="154"/>
      <c r="T2308" s="154"/>
      <c r="U2308" s="154"/>
    </row>
    <row r="2309" spans="1:21" ht="15" customHeight="1" x14ac:dyDescent="0.3">
      <c r="A2309" t="str">
        <f t="shared" si="36"/>
        <v/>
      </c>
      <c r="B2309" t="s">
        <v>13</v>
      </c>
      <c r="C2309">
        <v>17</v>
      </c>
      <c r="D2309" s="100" t="s">
        <v>26</v>
      </c>
      <c r="E2309" t="s">
        <v>720</v>
      </c>
      <c r="F2309" t="s">
        <v>18</v>
      </c>
      <c r="G2309" t="s">
        <v>739</v>
      </c>
      <c r="H2309" s="128">
        <v>0.36370000000000002</v>
      </c>
      <c r="I2309" s="110" t="s">
        <v>717</v>
      </c>
      <c r="J2309" s="110">
        <v>0.17219999999999999</v>
      </c>
      <c r="K2309" s="110" t="s">
        <v>717</v>
      </c>
      <c r="L2309">
        <v>5000</v>
      </c>
      <c r="M2309">
        <v>500000</v>
      </c>
      <c r="N2309" s="105">
        <v>44378</v>
      </c>
      <c r="O2309" s="105">
        <v>44561</v>
      </c>
      <c r="P2309" t="s">
        <v>718</v>
      </c>
      <c r="R2309" s="154"/>
      <c r="S2309" s="154"/>
      <c r="T2309" s="154"/>
      <c r="U2309" s="154"/>
    </row>
    <row r="2310" spans="1:21" ht="15" customHeight="1" x14ac:dyDescent="0.3">
      <c r="A2310" t="str">
        <f t="shared" si="36"/>
        <v>18-3-U-SmartFIX – 5 Year (Level 2)</v>
      </c>
      <c r="B2310" t="s">
        <v>13</v>
      </c>
      <c r="C2310">
        <v>18</v>
      </c>
      <c r="D2310" s="100" t="s">
        <v>27</v>
      </c>
      <c r="E2310" t="s">
        <v>716</v>
      </c>
      <c r="F2310" t="s">
        <v>16</v>
      </c>
      <c r="G2310" t="s">
        <v>739</v>
      </c>
      <c r="H2310" s="128">
        <v>0.31730000000000003</v>
      </c>
      <c r="I2310" s="110">
        <v>0.17460000000000001</v>
      </c>
      <c r="J2310" s="110" t="s">
        <v>717</v>
      </c>
      <c r="K2310" s="110" t="s">
        <v>717</v>
      </c>
      <c r="L2310">
        <v>5000</v>
      </c>
      <c r="M2310">
        <v>500000</v>
      </c>
      <c r="N2310" s="105">
        <v>44378</v>
      </c>
      <c r="O2310" s="105">
        <v>44561</v>
      </c>
      <c r="P2310" t="s">
        <v>718</v>
      </c>
      <c r="R2310" s="154"/>
      <c r="S2310" s="154"/>
      <c r="T2310" s="154"/>
      <c r="U2310" s="154"/>
    </row>
    <row r="2311" spans="1:21" ht="15" customHeight="1" x14ac:dyDescent="0.3">
      <c r="A2311" t="str">
        <f t="shared" si="36"/>
        <v>18-4-E7-SmartFIX – 5 Year (Level 2)</v>
      </c>
      <c r="B2311" t="s">
        <v>13</v>
      </c>
      <c r="C2311">
        <v>18</v>
      </c>
      <c r="D2311" s="100" t="s">
        <v>27</v>
      </c>
      <c r="E2311" t="s">
        <v>17</v>
      </c>
      <c r="F2311" t="s">
        <v>18</v>
      </c>
      <c r="G2311" t="s">
        <v>739</v>
      </c>
      <c r="H2311" s="128">
        <v>0.31730000000000003</v>
      </c>
      <c r="I2311" s="110">
        <v>0.1857</v>
      </c>
      <c r="J2311" s="110">
        <v>0.14080000000000001</v>
      </c>
      <c r="K2311" s="110" t="s">
        <v>717</v>
      </c>
      <c r="L2311">
        <v>5000</v>
      </c>
      <c r="M2311">
        <v>500000</v>
      </c>
      <c r="N2311" s="105">
        <v>44378</v>
      </c>
      <c r="O2311" s="105">
        <v>44561</v>
      </c>
      <c r="P2311" t="s">
        <v>718</v>
      </c>
      <c r="R2311" s="154"/>
      <c r="S2311" s="154"/>
      <c r="T2311" s="154"/>
      <c r="U2311" s="154"/>
    </row>
    <row r="2312" spans="1:21" ht="15" customHeight="1" x14ac:dyDescent="0.3">
      <c r="A2312" t="str">
        <f t="shared" si="36"/>
        <v>18-3-EW-SmartFIX – 5 Year (Level 2)</v>
      </c>
      <c r="B2312" t="s">
        <v>13</v>
      </c>
      <c r="C2312">
        <v>18</v>
      </c>
      <c r="D2312" s="100" t="s">
        <v>27</v>
      </c>
      <c r="E2312" t="s">
        <v>19</v>
      </c>
      <c r="F2312" t="s">
        <v>16</v>
      </c>
      <c r="G2312" t="s">
        <v>739</v>
      </c>
      <c r="H2312" s="128">
        <v>0.31730000000000003</v>
      </c>
      <c r="I2312" s="110">
        <v>0.18340000000000001</v>
      </c>
      <c r="J2312" s="110" t="s">
        <v>717</v>
      </c>
      <c r="K2312" s="110">
        <v>0.1618</v>
      </c>
      <c r="L2312">
        <v>5000</v>
      </c>
      <c r="M2312">
        <v>500000</v>
      </c>
      <c r="N2312" s="105">
        <v>44378</v>
      </c>
      <c r="O2312" s="105">
        <v>44561</v>
      </c>
      <c r="P2312" t="s">
        <v>718</v>
      </c>
      <c r="R2312" s="154"/>
      <c r="S2312" s="154"/>
      <c r="T2312" s="154"/>
      <c r="U2312" s="154"/>
    </row>
    <row r="2313" spans="1:21" ht="15" customHeight="1" x14ac:dyDescent="0.3">
      <c r="A2313" t="str">
        <f t="shared" si="36"/>
        <v>18-4-3RATE-SmartFIX – 5 Year (Level 2)</v>
      </c>
      <c r="B2313" t="s">
        <v>13</v>
      </c>
      <c r="C2313">
        <v>18</v>
      </c>
      <c r="D2313" s="100" t="s">
        <v>27</v>
      </c>
      <c r="E2313" t="s">
        <v>719</v>
      </c>
      <c r="F2313" t="s">
        <v>18</v>
      </c>
      <c r="G2313" t="s">
        <v>739</v>
      </c>
      <c r="H2313" s="128">
        <v>0.31730000000000003</v>
      </c>
      <c r="I2313" s="110">
        <v>0.24399999999999999</v>
      </c>
      <c r="J2313" s="110">
        <v>0.24399999999999999</v>
      </c>
      <c r="K2313" s="110">
        <v>0.24399999999999999</v>
      </c>
      <c r="L2313">
        <v>5000</v>
      </c>
      <c r="M2313">
        <v>500000</v>
      </c>
      <c r="N2313" s="105">
        <v>44378</v>
      </c>
      <c r="O2313" s="105">
        <v>44561</v>
      </c>
      <c r="P2313" t="s">
        <v>718</v>
      </c>
      <c r="R2313" s="154"/>
      <c r="S2313" s="154"/>
      <c r="T2313" s="154"/>
      <c r="U2313" s="154"/>
    </row>
    <row r="2314" spans="1:21" ht="15" customHeight="1" x14ac:dyDescent="0.3">
      <c r="A2314" t="str">
        <f t="shared" si="36"/>
        <v/>
      </c>
      <c r="B2314" t="s">
        <v>13</v>
      </c>
      <c r="C2314">
        <v>18</v>
      </c>
      <c r="D2314" s="100" t="s">
        <v>27</v>
      </c>
      <c r="E2314" t="s">
        <v>720</v>
      </c>
      <c r="F2314" t="s">
        <v>18</v>
      </c>
      <c r="G2314" t="s">
        <v>739</v>
      </c>
      <c r="H2314" s="128">
        <v>0.31730000000000003</v>
      </c>
      <c r="I2314" s="110" t="s">
        <v>717</v>
      </c>
      <c r="J2314" s="110">
        <v>0.1618</v>
      </c>
      <c r="K2314" s="110" t="s">
        <v>717</v>
      </c>
      <c r="L2314">
        <v>5000</v>
      </c>
      <c r="M2314">
        <v>500000</v>
      </c>
      <c r="N2314" s="105">
        <v>44378</v>
      </c>
      <c r="O2314" s="105">
        <v>44561</v>
      </c>
      <c r="P2314" t="s">
        <v>718</v>
      </c>
      <c r="R2314" s="154"/>
      <c r="S2314" s="154"/>
      <c r="T2314" s="154"/>
      <c r="U2314" s="154"/>
    </row>
    <row r="2315" spans="1:21" ht="15" customHeight="1" x14ac:dyDescent="0.3">
      <c r="A2315" t="str">
        <f t="shared" si="36"/>
        <v>19-3-U-SmartFIX – 5 Year (Level 2)</v>
      </c>
      <c r="B2315" t="s">
        <v>13</v>
      </c>
      <c r="C2315">
        <v>19</v>
      </c>
      <c r="D2315" s="100" t="s">
        <v>28</v>
      </c>
      <c r="E2315" t="s">
        <v>716</v>
      </c>
      <c r="F2315" t="s">
        <v>16</v>
      </c>
      <c r="G2315" t="s">
        <v>739</v>
      </c>
      <c r="H2315" s="128">
        <v>0.30149999999999999</v>
      </c>
      <c r="I2315" s="110">
        <v>0.1709</v>
      </c>
      <c r="J2315" s="110" t="s">
        <v>717</v>
      </c>
      <c r="K2315" s="110" t="s">
        <v>717</v>
      </c>
      <c r="L2315">
        <v>5000</v>
      </c>
      <c r="M2315">
        <v>500000</v>
      </c>
      <c r="N2315" s="105">
        <v>44378</v>
      </c>
      <c r="O2315" s="105">
        <v>44561</v>
      </c>
      <c r="P2315" t="s">
        <v>718</v>
      </c>
      <c r="R2315" s="154"/>
      <c r="S2315" s="154"/>
      <c r="T2315" s="154"/>
      <c r="U2315" s="154"/>
    </row>
    <row r="2316" spans="1:21" ht="15" customHeight="1" x14ac:dyDescent="0.3">
      <c r="A2316" t="str">
        <f t="shared" ref="A2316:A2379" si="37">IF(E2316="OP","",CONCATENATE(C2316,"-",RIGHT(F2316,1),"-",IF(OR(E2316="1 Rate MD",E2316="DAY"),"U",IF(OR(E2316="2 Rate MD",E2316="E7"),"E7",IF(OR(E2316="3 Rate MD (EW)",E2316="EW"),"EW",IF(OR(E2316="3 Rate MD",E2316="EWN"),"3RATE",IF(E2316="HH 2RATE (CT)","HH 2RATE (CT)",IF(E2316="HH 2RATE (WC)","HH 2RATE (WC)",IF(E2316="HH 1RATE (CT)","HH 1RATE (CT)",IF(E2316="HH 1RATE (WC)","HH 1RATE (WC)")))))))),"-",G2316))</f>
        <v>19-4-E7-SmartFIX – 5 Year (Level 2)</v>
      </c>
      <c r="B2316" t="s">
        <v>13</v>
      </c>
      <c r="C2316">
        <v>19</v>
      </c>
      <c r="D2316" s="100" t="s">
        <v>28</v>
      </c>
      <c r="E2316" t="s">
        <v>17</v>
      </c>
      <c r="F2316" t="s">
        <v>18</v>
      </c>
      <c r="G2316" t="s">
        <v>739</v>
      </c>
      <c r="H2316" s="128">
        <v>0.30149999999999999</v>
      </c>
      <c r="I2316" s="110">
        <v>0.18190000000000001</v>
      </c>
      <c r="J2316" s="110">
        <v>0.13039999999999999</v>
      </c>
      <c r="K2316" s="110" t="s">
        <v>717</v>
      </c>
      <c r="L2316">
        <v>5000</v>
      </c>
      <c r="M2316">
        <v>500000</v>
      </c>
      <c r="N2316" s="105">
        <v>44378</v>
      </c>
      <c r="O2316" s="105">
        <v>44561</v>
      </c>
      <c r="P2316" t="s">
        <v>718</v>
      </c>
      <c r="R2316" s="154"/>
      <c r="S2316" s="154"/>
      <c r="T2316" s="154"/>
      <c r="U2316" s="154"/>
    </row>
    <row r="2317" spans="1:21" ht="15" customHeight="1" x14ac:dyDescent="0.3">
      <c r="A2317" t="str">
        <f t="shared" si="37"/>
        <v>19-3-EW-SmartFIX – 5 Year (Level 2)</v>
      </c>
      <c r="B2317" t="s">
        <v>13</v>
      </c>
      <c r="C2317">
        <v>19</v>
      </c>
      <c r="D2317" s="100" t="s">
        <v>28</v>
      </c>
      <c r="E2317" t="s">
        <v>19</v>
      </c>
      <c r="F2317" t="s">
        <v>16</v>
      </c>
      <c r="G2317" t="s">
        <v>739</v>
      </c>
      <c r="H2317" s="128">
        <v>0.30149999999999999</v>
      </c>
      <c r="I2317" s="110">
        <v>0.24399999999999999</v>
      </c>
      <c r="J2317" s="110" t="s">
        <v>717</v>
      </c>
      <c r="K2317" s="110">
        <v>0.24399999999999999</v>
      </c>
      <c r="L2317">
        <v>5000</v>
      </c>
      <c r="M2317">
        <v>500000</v>
      </c>
      <c r="N2317" s="105">
        <v>44378</v>
      </c>
      <c r="O2317" s="105">
        <v>44561</v>
      </c>
      <c r="P2317" t="s">
        <v>718</v>
      </c>
      <c r="R2317" s="154"/>
      <c r="S2317" s="154"/>
      <c r="T2317" s="154"/>
      <c r="U2317" s="154"/>
    </row>
    <row r="2318" spans="1:21" ht="15" customHeight="1" x14ac:dyDescent="0.3">
      <c r="A2318" t="str">
        <f t="shared" si="37"/>
        <v>19-4-3RATE-SmartFIX – 5 Year (Level 2)</v>
      </c>
      <c r="B2318" t="s">
        <v>13</v>
      </c>
      <c r="C2318">
        <v>19</v>
      </c>
      <c r="D2318" s="100" t="s">
        <v>28</v>
      </c>
      <c r="E2318" t="s">
        <v>719</v>
      </c>
      <c r="F2318" t="s">
        <v>18</v>
      </c>
      <c r="G2318" t="s">
        <v>739</v>
      </c>
      <c r="H2318" s="128">
        <v>0.30149999999999999</v>
      </c>
      <c r="I2318" s="110">
        <v>0.192</v>
      </c>
      <c r="J2318" s="110">
        <v>0.1283</v>
      </c>
      <c r="K2318" s="110">
        <v>0.1782</v>
      </c>
      <c r="L2318">
        <v>5000</v>
      </c>
      <c r="M2318">
        <v>500000</v>
      </c>
      <c r="N2318" s="105">
        <v>44378</v>
      </c>
      <c r="O2318" s="105">
        <v>44561</v>
      </c>
      <c r="P2318" t="s">
        <v>718</v>
      </c>
      <c r="R2318" s="154"/>
      <c r="S2318" s="154"/>
      <c r="T2318" s="154"/>
      <c r="U2318" s="154"/>
    </row>
    <row r="2319" spans="1:21" ht="15" customHeight="1" x14ac:dyDescent="0.3">
      <c r="A2319" t="str">
        <f t="shared" si="37"/>
        <v/>
      </c>
      <c r="B2319" t="s">
        <v>13</v>
      </c>
      <c r="C2319">
        <v>19</v>
      </c>
      <c r="D2319" s="100" t="s">
        <v>28</v>
      </c>
      <c r="E2319" t="s">
        <v>720</v>
      </c>
      <c r="F2319" t="s">
        <v>18</v>
      </c>
      <c r="G2319" t="s">
        <v>739</v>
      </c>
      <c r="H2319" s="128">
        <v>0.30149999999999999</v>
      </c>
      <c r="I2319" s="110" t="s">
        <v>717</v>
      </c>
      <c r="J2319" s="110">
        <v>0.13039999999999999</v>
      </c>
      <c r="K2319" s="110" t="s">
        <v>717</v>
      </c>
      <c r="L2319">
        <v>5000</v>
      </c>
      <c r="M2319">
        <v>500000</v>
      </c>
      <c r="N2319" s="105">
        <v>44378</v>
      </c>
      <c r="O2319" s="105">
        <v>44561</v>
      </c>
      <c r="P2319" t="s">
        <v>718</v>
      </c>
      <c r="R2319" s="154"/>
      <c r="S2319" s="154"/>
      <c r="T2319" s="154"/>
      <c r="U2319" s="154"/>
    </row>
    <row r="2320" spans="1:21" ht="15" customHeight="1" x14ac:dyDescent="0.3">
      <c r="A2320" t="str">
        <f t="shared" si="37"/>
        <v>20-3-U-SmartFIX – 5 Year (Level 2)</v>
      </c>
      <c r="B2320" t="s">
        <v>13</v>
      </c>
      <c r="C2320">
        <v>20</v>
      </c>
      <c r="D2320" s="100" t="s">
        <v>29</v>
      </c>
      <c r="E2320" t="s">
        <v>716</v>
      </c>
      <c r="F2320" t="s">
        <v>16</v>
      </c>
      <c r="G2320" t="s">
        <v>739</v>
      </c>
      <c r="H2320" s="128">
        <v>0.2989</v>
      </c>
      <c r="I2320" s="110">
        <v>0.17069999999999999</v>
      </c>
      <c r="J2320" s="110" t="s">
        <v>717</v>
      </c>
      <c r="K2320" s="110" t="s">
        <v>717</v>
      </c>
      <c r="L2320">
        <v>5000</v>
      </c>
      <c r="M2320">
        <v>500000</v>
      </c>
      <c r="N2320" s="105">
        <v>44378</v>
      </c>
      <c r="O2320" s="105">
        <v>44561</v>
      </c>
      <c r="P2320" t="s">
        <v>718</v>
      </c>
      <c r="R2320" s="154"/>
      <c r="S2320" s="154"/>
      <c r="T2320" s="154"/>
      <c r="U2320" s="154"/>
    </row>
    <row r="2321" spans="1:21" ht="15" customHeight="1" x14ac:dyDescent="0.3">
      <c r="A2321" t="str">
        <f t="shared" si="37"/>
        <v>20-4-E7-SmartFIX – 5 Year (Level 2)</v>
      </c>
      <c r="B2321" t="s">
        <v>13</v>
      </c>
      <c r="C2321">
        <v>20</v>
      </c>
      <c r="D2321" s="100" t="s">
        <v>29</v>
      </c>
      <c r="E2321" t="s">
        <v>17</v>
      </c>
      <c r="F2321" t="s">
        <v>18</v>
      </c>
      <c r="G2321" t="s">
        <v>739</v>
      </c>
      <c r="H2321" s="128">
        <v>0.2989</v>
      </c>
      <c r="I2321" s="110">
        <v>0.1827</v>
      </c>
      <c r="J2321" s="110">
        <v>0.13569999999999999</v>
      </c>
      <c r="K2321" s="110" t="s">
        <v>717</v>
      </c>
      <c r="L2321">
        <v>5000</v>
      </c>
      <c r="M2321">
        <v>500000</v>
      </c>
      <c r="N2321" s="105">
        <v>44378</v>
      </c>
      <c r="O2321" s="105">
        <v>44561</v>
      </c>
      <c r="P2321" t="s">
        <v>718</v>
      </c>
      <c r="R2321" s="154"/>
      <c r="S2321" s="154"/>
      <c r="T2321" s="154"/>
      <c r="U2321" s="154"/>
    </row>
    <row r="2322" spans="1:21" ht="15" customHeight="1" x14ac:dyDescent="0.3">
      <c r="A2322" t="str">
        <f t="shared" si="37"/>
        <v>20-3-EW-SmartFIX – 5 Year (Level 2)</v>
      </c>
      <c r="B2322" t="s">
        <v>13</v>
      </c>
      <c r="C2322">
        <v>20</v>
      </c>
      <c r="D2322" s="100" t="s">
        <v>29</v>
      </c>
      <c r="E2322" t="s">
        <v>19</v>
      </c>
      <c r="F2322" t="s">
        <v>16</v>
      </c>
      <c r="G2322" t="s">
        <v>739</v>
      </c>
      <c r="H2322" s="128">
        <v>0.2989</v>
      </c>
      <c r="I2322" s="110">
        <v>0.18129999999999999</v>
      </c>
      <c r="J2322" s="110" t="s">
        <v>717</v>
      </c>
      <c r="K2322" s="110">
        <v>0.15640000000000001</v>
      </c>
      <c r="L2322">
        <v>5000</v>
      </c>
      <c r="M2322">
        <v>500000</v>
      </c>
      <c r="N2322" s="105">
        <v>44378</v>
      </c>
      <c r="O2322" s="105">
        <v>44561</v>
      </c>
      <c r="P2322" t="s">
        <v>718</v>
      </c>
      <c r="R2322" s="154"/>
      <c r="S2322" s="154"/>
      <c r="T2322" s="154"/>
      <c r="U2322" s="154"/>
    </row>
    <row r="2323" spans="1:21" ht="15" customHeight="1" x14ac:dyDescent="0.3">
      <c r="A2323" t="str">
        <f t="shared" si="37"/>
        <v>20-4-3RATE-SmartFIX – 5 Year (Level 2)</v>
      </c>
      <c r="B2323" t="s">
        <v>13</v>
      </c>
      <c r="C2323">
        <v>20</v>
      </c>
      <c r="D2323" s="100" t="s">
        <v>29</v>
      </c>
      <c r="E2323" t="s">
        <v>719</v>
      </c>
      <c r="F2323" t="s">
        <v>18</v>
      </c>
      <c r="G2323" t="s">
        <v>739</v>
      </c>
      <c r="H2323" s="128">
        <v>0.2989</v>
      </c>
      <c r="I2323" s="110">
        <v>0.19420000000000001</v>
      </c>
      <c r="J2323" s="110">
        <v>0.13389999999999999</v>
      </c>
      <c r="K2323" s="110">
        <v>0.1724</v>
      </c>
      <c r="L2323">
        <v>5000</v>
      </c>
      <c r="M2323">
        <v>500000</v>
      </c>
      <c r="N2323" s="105">
        <v>44378</v>
      </c>
      <c r="O2323" s="105">
        <v>44561</v>
      </c>
      <c r="P2323" t="s">
        <v>718</v>
      </c>
      <c r="R2323" s="154"/>
      <c r="S2323" s="154"/>
      <c r="T2323" s="154"/>
      <c r="U2323" s="154"/>
    </row>
    <row r="2324" spans="1:21" ht="15" customHeight="1" x14ac:dyDescent="0.3">
      <c r="A2324" t="str">
        <f t="shared" si="37"/>
        <v/>
      </c>
      <c r="B2324" t="s">
        <v>13</v>
      </c>
      <c r="C2324">
        <v>20</v>
      </c>
      <c r="D2324" s="100" t="s">
        <v>29</v>
      </c>
      <c r="E2324" t="s">
        <v>720</v>
      </c>
      <c r="F2324" t="s">
        <v>18</v>
      </c>
      <c r="G2324" t="s">
        <v>739</v>
      </c>
      <c r="H2324" s="128">
        <v>0.2989</v>
      </c>
      <c r="I2324" s="110" t="s">
        <v>717</v>
      </c>
      <c r="J2324" s="110">
        <v>0.15640000000000001</v>
      </c>
      <c r="K2324" s="110" t="s">
        <v>717</v>
      </c>
      <c r="L2324">
        <v>5000</v>
      </c>
      <c r="M2324">
        <v>500000</v>
      </c>
      <c r="N2324" s="105">
        <v>44378</v>
      </c>
      <c r="O2324" s="105">
        <v>44561</v>
      </c>
      <c r="P2324" t="s">
        <v>718</v>
      </c>
      <c r="R2324" s="154"/>
      <c r="S2324" s="154"/>
      <c r="T2324" s="154"/>
      <c r="U2324" s="154"/>
    </row>
    <row r="2325" spans="1:21" ht="15" customHeight="1" x14ac:dyDescent="0.3">
      <c r="A2325" t="str">
        <f t="shared" si="37"/>
        <v>21-3-U-SmartFIX – 5 Year (Level 2)</v>
      </c>
      <c r="B2325" t="s">
        <v>13</v>
      </c>
      <c r="C2325">
        <v>21</v>
      </c>
      <c r="D2325" s="100" t="s">
        <v>30</v>
      </c>
      <c r="E2325" t="s">
        <v>716</v>
      </c>
      <c r="F2325" t="s">
        <v>16</v>
      </c>
      <c r="G2325" t="s">
        <v>739</v>
      </c>
      <c r="H2325" s="128">
        <v>0.41370000000000001</v>
      </c>
      <c r="I2325" s="110">
        <v>0.17019999999999999</v>
      </c>
      <c r="J2325" s="110" t="s">
        <v>717</v>
      </c>
      <c r="K2325" s="110" t="s">
        <v>717</v>
      </c>
      <c r="L2325">
        <v>5000</v>
      </c>
      <c r="M2325">
        <v>500000</v>
      </c>
      <c r="N2325" s="105">
        <v>44378</v>
      </c>
      <c r="O2325" s="105">
        <v>44561</v>
      </c>
      <c r="P2325" t="s">
        <v>718</v>
      </c>
      <c r="R2325" s="154"/>
      <c r="S2325" s="154"/>
      <c r="T2325" s="154"/>
      <c r="U2325" s="154"/>
    </row>
    <row r="2326" spans="1:21" ht="15" customHeight="1" x14ac:dyDescent="0.3">
      <c r="A2326" t="str">
        <f t="shared" si="37"/>
        <v>21-4-E7-SmartFIX – 5 Year (Level 2)</v>
      </c>
      <c r="B2326" t="s">
        <v>13</v>
      </c>
      <c r="C2326">
        <v>21</v>
      </c>
      <c r="D2326" s="100" t="s">
        <v>30</v>
      </c>
      <c r="E2326" t="s">
        <v>17</v>
      </c>
      <c r="F2326" t="s">
        <v>18</v>
      </c>
      <c r="G2326" t="s">
        <v>739</v>
      </c>
      <c r="H2326" s="128">
        <v>0.41370000000000001</v>
      </c>
      <c r="I2326" s="110">
        <v>0.1779</v>
      </c>
      <c r="J2326" s="110">
        <v>0.1356</v>
      </c>
      <c r="K2326" s="110" t="s">
        <v>717</v>
      </c>
      <c r="L2326">
        <v>5000</v>
      </c>
      <c r="M2326">
        <v>500000</v>
      </c>
      <c r="N2326" s="105">
        <v>44378</v>
      </c>
      <c r="O2326" s="105">
        <v>44561</v>
      </c>
      <c r="P2326" t="s">
        <v>718</v>
      </c>
      <c r="R2326" s="154"/>
      <c r="S2326" s="154"/>
      <c r="T2326" s="154"/>
      <c r="U2326" s="154"/>
    </row>
    <row r="2327" spans="1:21" ht="15" customHeight="1" x14ac:dyDescent="0.3">
      <c r="A2327" t="str">
        <f t="shared" si="37"/>
        <v>21-3-EW-SmartFIX – 5 Year (Level 2)</v>
      </c>
      <c r="B2327" t="s">
        <v>13</v>
      </c>
      <c r="C2327">
        <v>21</v>
      </c>
      <c r="D2327" s="100" t="s">
        <v>30</v>
      </c>
      <c r="E2327" t="s">
        <v>19</v>
      </c>
      <c r="F2327" t="s">
        <v>16</v>
      </c>
      <c r="G2327" t="s">
        <v>739</v>
      </c>
      <c r="H2327" s="128">
        <v>0.41370000000000001</v>
      </c>
      <c r="I2327" s="110">
        <v>0.1789</v>
      </c>
      <c r="J2327" s="110" t="s">
        <v>717</v>
      </c>
      <c r="K2327" s="110">
        <v>0.15809999999999999</v>
      </c>
      <c r="L2327">
        <v>5000</v>
      </c>
      <c r="M2327">
        <v>500000</v>
      </c>
      <c r="N2327" s="105">
        <v>44378</v>
      </c>
      <c r="O2327" s="105">
        <v>44561</v>
      </c>
      <c r="P2327" t="s">
        <v>718</v>
      </c>
      <c r="R2327" s="154"/>
      <c r="S2327" s="154"/>
      <c r="T2327" s="154"/>
      <c r="U2327" s="154"/>
    </row>
    <row r="2328" spans="1:21" ht="15" customHeight="1" x14ac:dyDescent="0.3">
      <c r="A2328" t="str">
        <f t="shared" si="37"/>
        <v>21-4-3RATE-SmartFIX – 5 Year (Level 2)</v>
      </c>
      <c r="B2328" t="s">
        <v>13</v>
      </c>
      <c r="C2328">
        <v>21</v>
      </c>
      <c r="D2328" s="100" t="s">
        <v>30</v>
      </c>
      <c r="E2328" t="s">
        <v>719</v>
      </c>
      <c r="F2328" t="s">
        <v>18</v>
      </c>
      <c r="G2328" t="s">
        <v>739</v>
      </c>
      <c r="H2328" s="128">
        <v>0.41370000000000001</v>
      </c>
      <c r="I2328" s="110">
        <v>0.19209999999999999</v>
      </c>
      <c r="J2328" s="110">
        <v>0.13320000000000001</v>
      </c>
      <c r="K2328" s="110">
        <v>0.17399999999999999</v>
      </c>
      <c r="L2328">
        <v>5000</v>
      </c>
      <c r="M2328">
        <v>500000</v>
      </c>
      <c r="N2328" s="105">
        <v>44378</v>
      </c>
      <c r="O2328" s="105">
        <v>44561</v>
      </c>
      <c r="P2328" t="s">
        <v>718</v>
      </c>
      <c r="R2328" s="154"/>
      <c r="S2328" s="154"/>
      <c r="T2328" s="154"/>
      <c r="U2328" s="154"/>
    </row>
    <row r="2329" spans="1:21" ht="15" customHeight="1" x14ac:dyDescent="0.3">
      <c r="A2329" t="str">
        <f t="shared" si="37"/>
        <v/>
      </c>
      <c r="B2329" t="s">
        <v>13</v>
      </c>
      <c r="C2329">
        <v>21</v>
      </c>
      <c r="D2329" s="100" t="s">
        <v>30</v>
      </c>
      <c r="E2329" t="s">
        <v>720</v>
      </c>
      <c r="F2329" t="s">
        <v>18</v>
      </c>
      <c r="G2329" t="s">
        <v>739</v>
      </c>
      <c r="H2329" s="128">
        <v>0.41370000000000001</v>
      </c>
      <c r="I2329" s="110" t="s">
        <v>717</v>
      </c>
      <c r="J2329" s="110">
        <v>0.15809999999999999</v>
      </c>
      <c r="K2329" s="110" t="s">
        <v>717</v>
      </c>
      <c r="L2329">
        <v>5000</v>
      </c>
      <c r="M2329">
        <v>500000</v>
      </c>
      <c r="N2329" s="105">
        <v>44378</v>
      </c>
      <c r="O2329" s="105">
        <v>44561</v>
      </c>
      <c r="P2329" t="s">
        <v>718</v>
      </c>
      <c r="R2329" s="154"/>
      <c r="S2329" s="154"/>
      <c r="T2329" s="154"/>
      <c r="U2329" s="154"/>
    </row>
    <row r="2330" spans="1:21" ht="15" customHeight="1" x14ac:dyDescent="0.3">
      <c r="A2330" t="str">
        <f t="shared" si="37"/>
        <v>22-3-U-SmartFIX – 5 Year (Level 2)</v>
      </c>
      <c r="B2330" t="s">
        <v>13</v>
      </c>
      <c r="C2330">
        <v>22</v>
      </c>
      <c r="D2330" s="100" t="s">
        <v>31</v>
      </c>
      <c r="E2330" t="s">
        <v>716</v>
      </c>
      <c r="F2330" t="s">
        <v>16</v>
      </c>
      <c r="G2330" t="s">
        <v>739</v>
      </c>
      <c r="H2330" s="128">
        <v>0.35670000000000002</v>
      </c>
      <c r="I2330" s="110">
        <v>0.17480000000000001</v>
      </c>
      <c r="J2330" s="110" t="s">
        <v>717</v>
      </c>
      <c r="K2330" s="110" t="s">
        <v>717</v>
      </c>
      <c r="L2330">
        <v>5000</v>
      </c>
      <c r="M2330">
        <v>500000</v>
      </c>
      <c r="N2330" s="105">
        <v>44378</v>
      </c>
      <c r="O2330" s="105">
        <v>44561</v>
      </c>
      <c r="P2330" t="s">
        <v>718</v>
      </c>
      <c r="R2330" s="154"/>
      <c r="S2330" s="154"/>
      <c r="T2330" s="154"/>
      <c r="U2330" s="154"/>
    </row>
    <row r="2331" spans="1:21" ht="15" customHeight="1" x14ac:dyDescent="0.3">
      <c r="A2331" t="str">
        <f t="shared" si="37"/>
        <v>22-4-E7-SmartFIX – 5 Year (Level 2)</v>
      </c>
      <c r="B2331" t="s">
        <v>13</v>
      </c>
      <c r="C2331">
        <v>22</v>
      </c>
      <c r="D2331" s="100" t="s">
        <v>31</v>
      </c>
      <c r="E2331" t="s">
        <v>17</v>
      </c>
      <c r="F2331" t="s">
        <v>18</v>
      </c>
      <c r="G2331" t="s">
        <v>739</v>
      </c>
      <c r="H2331" s="128">
        <v>0.35670000000000002</v>
      </c>
      <c r="I2331" s="110">
        <v>0.1812</v>
      </c>
      <c r="J2331" s="110">
        <v>0.1351</v>
      </c>
      <c r="K2331" s="110" t="s">
        <v>717</v>
      </c>
      <c r="L2331">
        <v>5000</v>
      </c>
      <c r="M2331">
        <v>500000</v>
      </c>
      <c r="N2331" s="105">
        <v>44378</v>
      </c>
      <c r="O2331" s="105">
        <v>44561</v>
      </c>
      <c r="P2331" t="s">
        <v>718</v>
      </c>
      <c r="R2331" s="154"/>
      <c r="S2331" s="154"/>
      <c r="T2331" s="154"/>
      <c r="U2331" s="154"/>
    </row>
    <row r="2332" spans="1:21" ht="15" customHeight="1" x14ac:dyDescent="0.3">
      <c r="A2332" t="str">
        <f t="shared" si="37"/>
        <v>22-3-EW-SmartFIX – 5 Year (Level 2)</v>
      </c>
      <c r="B2332" t="s">
        <v>13</v>
      </c>
      <c r="C2332">
        <v>22</v>
      </c>
      <c r="D2332" s="100" t="s">
        <v>31</v>
      </c>
      <c r="E2332" t="s">
        <v>19</v>
      </c>
      <c r="F2332" t="s">
        <v>16</v>
      </c>
      <c r="G2332" t="s">
        <v>739</v>
      </c>
      <c r="H2332" s="128">
        <v>0.35670000000000002</v>
      </c>
      <c r="I2332" s="110">
        <v>0.18529999999999999</v>
      </c>
      <c r="J2332" s="110" t="s">
        <v>717</v>
      </c>
      <c r="K2332" s="110">
        <v>0.1618</v>
      </c>
      <c r="L2332">
        <v>5000</v>
      </c>
      <c r="M2332">
        <v>500000</v>
      </c>
      <c r="N2332" s="105">
        <v>44378</v>
      </c>
      <c r="O2332" s="105">
        <v>44561</v>
      </c>
      <c r="P2332" t="s">
        <v>718</v>
      </c>
      <c r="R2332" s="154"/>
      <c r="S2332" s="154"/>
      <c r="T2332" s="154"/>
      <c r="U2332" s="154"/>
    </row>
    <row r="2333" spans="1:21" ht="15" customHeight="1" x14ac:dyDescent="0.3">
      <c r="A2333" t="str">
        <f t="shared" si="37"/>
        <v>22-4-3RATE-SmartFIX – 5 Year (Level 2)</v>
      </c>
      <c r="B2333" t="s">
        <v>13</v>
      </c>
      <c r="C2333">
        <v>22</v>
      </c>
      <c r="D2333" s="100" t="s">
        <v>31</v>
      </c>
      <c r="E2333" t="s">
        <v>719</v>
      </c>
      <c r="F2333" t="s">
        <v>18</v>
      </c>
      <c r="G2333" t="s">
        <v>739</v>
      </c>
      <c r="H2333" s="128">
        <v>0.35670000000000002</v>
      </c>
      <c r="I2333" s="110">
        <v>0.19409999999999999</v>
      </c>
      <c r="J2333" s="110">
        <v>0.13270000000000001</v>
      </c>
      <c r="K2333" s="110">
        <v>0.1787</v>
      </c>
      <c r="L2333">
        <v>5000</v>
      </c>
      <c r="M2333">
        <v>500000</v>
      </c>
      <c r="N2333" s="105">
        <v>44378</v>
      </c>
      <c r="O2333" s="105">
        <v>44561</v>
      </c>
      <c r="P2333" t="s">
        <v>718</v>
      </c>
      <c r="R2333" s="154"/>
      <c r="S2333" s="154"/>
      <c r="T2333" s="154"/>
      <c r="U2333" s="154"/>
    </row>
    <row r="2334" spans="1:21" ht="15" customHeight="1" x14ac:dyDescent="0.3">
      <c r="A2334" t="str">
        <f t="shared" si="37"/>
        <v/>
      </c>
      <c r="B2334" t="s">
        <v>13</v>
      </c>
      <c r="C2334">
        <v>22</v>
      </c>
      <c r="D2334" s="100" t="s">
        <v>31</v>
      </c>
      <c r="E2334" t="s">
        <v>720</v>
      </c>
      <c r="F2334" t="s">
        <v>18</v>
      </c>
      <c r="G2334" t="s">
        <v>739</v>
      </c>
      <c r="H2334" s="128">
        <v>0.35670000000000002</v>
      </c>
      <c r="I2334" s="110" t="s">
        <v>717</v>
      </c>
      <c r="J2334" s="110">
        <v>0.1618</v>
      </c>
      <c r="K2334" s="110" t="s">
        <v>717</v>
      </c>
      <c r="L2334">
        <v>5000</v>
      </c>
      <c r="M2334">
        <v>500000</v>
      </c>
      <c r="N2334" s="105">
        <v>44378</v>
      </c>
      <c r="O2334" s="105">
        <v>44561</v>
      </c>
      <c r="P2334" t="s">
        <v>718</v>
      </c>
      <c r="R2334" s="154"/>
      <c r="S2334" s="154"/>
      <c r="T2334" s="154"/>
      <c r="U2334" s="154"/>
    </row>
    <row r="2335" spans="1:21" ht="15" customHeight="1" x14ac:dyDescent="0.3">
      <c r="A2335" t="str">
        <f t="shared" si="37"/>
        <v>23-3-U-SmartFIX – 5 Year (Level 2)</v>
      </c>
      <c r="B2335" t="s">
        <v>13</v>
      </c>
      <c r="C2335">
        <v>23</v>
      </c>
      <c r="D2335" s="100" t="s">
        <v>32</v>
      </c>
      <c r="E2335" t="s">
        <v>716</v>
      </c>
      <c r="F2335" t="s">
        <v>16</v>
      </c>
      <c r="G2335" t="s">
        <v>739</v>
      </c>
      <c r="H2335" s="128">
        <v>0.31330000000000002</v>
      </c>
      <c r="I2335" s="110">
        <v>0.1714</v>
      </c>
      <c r="J2335" s="110" t="s">
        <v>717</v>
      </c>
      <c r="K2335" s="110" t="s">
        <v>717</v>
      </c>
      <c r="L2335">
        <v>5000</v>
      </c>
      <c r="M2335">
        <v>500000</v>
      </c>
      <c r="N2335" s="105">
        <v>44378</v>
      </c>
      <c r="O2335" s="105">
        <v>44561</v>
      </c>
      <c r="P2335" t="s">
        <v>718</v>
      </c>
      <c r="R2335" s="154"/>
      <c r="S2335" s="154"/>
      <c r="T2335" s="154"/>
      <c r="U2335" s="154"/>
    </row>
    <row r="2336" spans="1:21" ht="15" customHeight="1" x14ac:dyDescent="0.3">
      <c r="A2336" t="str">
        <f t="shared" si="37"/>
        <v>23-4-E7-SmartFIX – 5 Year (Level 2)</v>
      </c>
      <c r="B2336" t="s">
        <v>13</v>
      </c>
      <c r="C2336">
        <v>23</v>
      </c>
      <c r="D2336" s="100" t="s">
        <v>32</v>
      </c>
      <c r="E2336" t="s">
        <v>17</v>
      </c>
      <c r="F2336" t="s">
        <v>18</v>
      </c>
      <c r="G2336" t="s">
        <v>739</v>
      </c>
      <c r="H2336" s="128">
        <v>0.31330000000000002</v>
      </c>
      <c r="I2336" s="110">
        <v>0.1767</v>
      </c>
      <c r="J2336" s="110">
        <v>0.1358</v>
      </c>
      <c r="K2336" s="110" t="s">
        <v>717</v>
      </c>
      <c r="L2336">
        <v>5000</v>
      </c>
      <c r="M2336">
        <v>500000</v>
      </c>
      <c r="N2336" s="105">
        <v>44378</v>
      </c>
      <c r="O2336" s="105">
        <v>44561</v>
      </c>
      <c r="P2336" t="s">
        <v>718</v>
      </c>
      <c r="R2336" s="154"/>
      <c r="S2336" s="154"/>
      <c r="T2336" s="154"/>
      <c r="U2336" s="154"/>
    </row>
    <row r="2337" spans="1:21" ht="15" customHeight="1" x14ac:dyDescent="0.3">
      <c r="A2337" t="str">
        <f t="shared" si="37"/>
        <v>23-3-EW-SmartFIX – 5 Year (Level 2)</v>
      </c>
      <c r="B2337" t="s">
        <v>13</v>
      </c>
      <c r="C2337">
        <v>23</v>
      </c>
      <c r="D2337" s="100" t="s">
        <v>32</v>
      </c>
      <c r="E2337" t="s">
        <v>19</v>
      </c>
      <c r="F2337" t="s">
        <v>16</v>
      </c>
      <c r="G2337" t="s">
        <v>739</v>
      </c>
      <c r="H2337" s="128">
        <v>0.31330000000000002</v>
      </c>
      <c r="I2337" s="110">
        <v>0.18140000000000001</v>
      </c>
      <c r="J2337" s="110" t="s">
        <v>717</v>
      </c>
      <c r="K2337" s="110">
        <v>0.1578</v>
      </c>
      <c r="L2337">
        <v>5000</v>
      </c>
      <c r="M2337">
        <v>500000</v>
      </c>
      <c r="N2337" s="105">
        <v>44378</v>
      </c>
      <c r="O2337" s="105">
        <v>44561</v>
      </c>
      <c r="P2337" t="s">
        <v>718</v>
      </c>
      <c r="R2337" s="154"/>
      <c r="S2337" s="154"/>
      <c r="T2337" s="154"/>
      <c r="U2337" s="154"/>
    </row>
    <row r="2338" spans="1:21" ht="15" customHeight="1" x14ac:dyDescent="0.3">
      <c r="A2338" t="str">
        <f t="shared" si="37"/>
        <v>23-4-3RATE-SmartFIX – 5 Year (Level 2)</v>
      </c>
      <c r="B2338" t="s">
        <v>13</v>
      </c>
      <c r="C2338">
        <v>23</v>
      </c>
      <c r="D2338" s="100" t="s">
        <v>32</v>
      </c>
      <c r="E2338" t="s">
        <v>719</v>
      </c>
      <c r="F2338" t="s">
        <v>18</v>
      </c>
      <c r="G2338" t="s">
        <v>739</v>
      </c>
      <c r="H2338" s="128">
        <v>0.31330000000000002</v>
      </c>
      <c r="I2338" s="110">
        <v>0.192</v>
      </c>
      <c r="J2338" s="110">
        <v>0.13389999999999999</v>
      </c>
      <c r="K2338" s="110">
        <v>0.17030000000000001</v>
      </c>
      <c r="L2338">
        <v>5000</v>
      </c>
      <c r="M2338">
        <v>500000</v>
      </c>
      <c r="N2338" s="105">
        <v>44378</v>
      </c>
      <c r="O2338" s="105">
        <v>44561</v>
      </c>
      <c r="P2338" t="s">
        <v>718</v>
      </c>
      <c r="R2338" s="154"/>
      <c r="S2338" s="154"/>
      <c r="T2338" s="154"/>
      <c r="U2338" s="154"/>
    </row>
    <row r="2339" spans="1:21" ht="15" customHeight="1" x14ac:dyDescent="0.3">
      <c r="A2339" t="str">
        <f t="shared" si="37"/>
        <v/>
      </c>
      <c r="B2339" t="s">
        <v>13</v>
      </c>
      <c r="C2339">
        <v>23</v>
      </c>
      <c r="D2339" s="100" t="s">
        <v>32</v>
      </c>
      <c r="E2339" t="s">
        <v>720</v>
      </c>
      <c r="F2339" t="s">
        <v>18</v>
      </c>
      <c r="G2339" t="s">
        <v>739</v>
      </c>
      <c r="H2339" s="128">
        <v>0.31330000000000002</v>
      </c>
      <c r="I2339" s="110" t="s">
        <v>717</v>
      </c>
      <c r="J2339" s="110">
        <v>0.1578</v>
      </c>
      <c r="K2339" s="110" t="s">
        <v>717</v>
      </c>
      <c r="L2339">
        <v>5000</v>
      </c>
      <c r="M2339">
        <v>500000</v>
      </c>
      <c r="N2339" s="105">
        <v>44378</v>
      </c>
      <c r="O2339" s="105">
        <v>44561</v>
      </c>
      <c r="P2339" t="s">
        <v>718</v>
      </c>
      <c r="R2339" s="154"/>
      <c r="S2339" s="154"/>
      <c r="T2339" s="154"/>
      <c r="U2339" s="154"/>
    </row>
    <row r="2340" spans="1:21" ht="15" customHeight="1" x14ac:dyDescent="0.3">
      <c r="A2340" t="str">
        <f t="shared" si="37"/>
        <v>10-3-U-SmartFIX – 5 Year Renewal (Level 2)</v>
      </c>
      <c r="B2340" t="s">
        <v>13</v>
      </c>
      <c r="C2340">
        <v>10</v>
      </c>
      <c r="D2340" s="100" t="s">
        <v>14</v>
      </c>
      <c r="E2340" t="s">
        <v>716</v>
      </c>
      <c r="F2340" t="s">
        <v>16</v>
      </c>
      <c r="G2340" t="s">
        <v>740</v>
      </c>
      <c r="H2340" s="128">
        <v>0.34229999999999999</v>
      </c>
      <c r="I2340" s="110">
        <v>0.17810000000000001</v>
      </c>
      <c r="L2340">
        <v>5000</v>
      </c>
      <c r="M2340">
        <v>500000</v>
      </c>
      <c r="N2340" s="105">
        <v>44378</v>
      </c>
      <c r="O2340" s="105">
        <v>44561</v>
      </c>
      <c r="P2340" t="s">
        <v>718</v>
      </c>
      <c r="R2340" s="154"/>
      <c r="S2340" s="154"/>
      <c r="T2340" s="154"/>
      <c r="U2340" s="154"/>
    </row>
    <row r="2341" spans="1:21" ht="15" customHeight="1" x14ac:dyDescent="0.3">
      <c r="A2341" t="str">
        <f t="shared" si="37"/>
        <v>10-4-E7-SmartFIX – 5 Year Renewal (Level 2)</v>
      </c>
      <c r="B2341" t="s">
        <v>13</v>
      </c>
      <c r="C2341">
        <v>10</v>
      </c>
      <c r="D2341" s="100" t="s">
        <v>14</v>
      </c>
      <c r="E2341" t="s">
        <v>17</v>
      </c>
      <c r="F2341" t="s">
        <v>18</v>
      </c>
      <c r="G2341" t="s">
        <v>740</v>
      </c>
      <c r="H2341" s="128">
        <v>0.34229999999999999</v>
      </c>
      <c r="I2341" s="110">
        <v>0.187</v>
      </c>
      <c r="J2341" s="110">
        <v>0.13950000000000001</v>
      </c>
      <c r="L2341">
        <v>5000</v>
      </c>
      <c r="M2341">
        <v>500000</v>
      </c>
      <c r="N2341" s="105">
        <v>44378</v>
      </c>
      <c r="O2341" s="105">
        <v>44561</v>
      </c>
      <c r="P2341" t="s">
        <v>718</v>
      </c>
      <c r="R2341" s="154"/>
      <c r="S2341" s="154"/>
      <c r="T2341" s="154"/>
      <c r="U2341" s="154"/>
    </row>
    <row r="2342" spans="1:21" ht="15" customHeight="1" x14ac:dyDescent="0.3">
      <c r="A2342" t="str">
        <f t="shared" si="37"/>
        <v>10-3-EW-SmartFIX – 5 Year Renewal (Level 2)</v>
      </c>
      <c r="B2342" t="s">
        <v>13</v>
      </c>
      <c r="C2342">
        <v>10</v>
      </c>
      <c r="D2342" s="100" t="s">
        <v>14</v>
      </c>
      <c r="E2342" t="s">
        <v>19</v>
      </c>
      <c r="F2342" t="s">
        <v>16</v>
      </c>
      <c r="G2342" t="s">
        <v>740</v>
      </c>
      <c r="H2342" s="128">
        <v>0.34229999999999999</v>
      </c>
      <c r="I2342" s="110">
        <v>0.1883</v>
      </c>
      <c r="K2342" s="110">
        <v>0.16270000000000001</v>
      </c>
      <c r="L2342">
        <v>5000</v>
      </c>
      <c r="M2342">
        <v>500000</v>
      </c>
      <c r="N2342" s="105">
        <v>44378</v>
      </c>
      <c r="O2342" s="105">
        <v>44561</v>
      </c>
      <c r="P2342" t="s">
        <v>718</v>
      </c>
      <c r="R2342" s="154"/>
      <c r="S2342" s="154"/>
      <c r="T2342" s="154"/>
      <c r="U2342" s="154"/>
    </row>
    <row r="2343" spans="1:21" ht="15" customHeight="1" x14ac:dyDescent="0.3">
      <c r="A2343" t="str">
        <f t="shared" si="37"/>
        <v>10-4-3RATE-SmartFIX – 5 Year Renewal (Level 2)</v>
      </c>
      <c r="B2343" t="s">
        <v>13</v>
      </c>
      <c r="C2343">
        <v>10</v>
      </c>
      <c r="D2343" s="100" t="s">
        <v>14</v>
      </c>
      <c r="E2343" t="s">
        <v>719</v>
      </c>
      <c r="F2343" t="s">
        <v>18</v>
      </c>
      <c r="G2343" t="s">
        <v>740</v>
      </c>
      <c r="H2343" s="128">
        <v>0.34229999999999999</v>
      </c>
      <c r="I2343" s="110">
        <v>0.20039999999999999</v>
      </c>
      <c r="J2343" s="110">
        <v>0.1323</v>
      </c>
      <c r="K2343" s="110">
        <v>0.18099999999999999</v>
      </c>
      <c r="L2343">
        <v>5000</v>
      </c>
      <c r="M2343">
        <v>500000</v>
      </c>
      <c r="N2343" s="105">
        <v>44378</v>
      </c>
      <c r="O2343" s="105">
        <v>44561</v>
      </c>
      <c r="P2343" t="s">
        <v>718</v>
      </c>
      <c r="R2343" s="154"/>
      <c r="S2343" s="154"/>
      <c r="T2343" s="154"/>
      <c r="U2343" s="154"/>
    </row>
    <row r="2344" spans="1:21" ht="15" customHeight="1" x14ac:dyDescent="0.3">
      <c r="A2344" t="str">
        <f t="shared" si="37"/>
        <v/>
      </c>
      <c r="B2344" t="s">
        <v>13</v>
      </c>
      <c r="C2344">
        <v>10</v>
      </c>
      <c r="D2344" s="100" t="s">
        <v>14</v>
      </c>
      <c r="E2344" t="s">
        <v>720</v>
      </c>
      <c r="F2344" t="s">
        <v>18</v>
      </c>
      <c r="G2344" t="s">
        <v>740</v>
      </c>
      <c r="H2344" s="128">
        <v>0.34229999999999999</v>
      </c>
      <c r="J2344" s="110">
        <v>0.16270000000000001</v>
      </c>
      <c r="L2344">
        <v>5000</v>
      </c>
      <c r="M2344">
        <v>500000</v>
      </c>
      <c r="N2344" s="105">
        <v>44378</v>
      </c>
      <c r="O2344" s="105">
        <v>44561</v>
      </c>
      <c r="P2344" t="s">
        <v>718</v>
      </c>
      <c r="R2344" s="154"/>
      <c r="S2344" s="154"/>
      <c r="T2344" s="154"/>
      <c r="U2344" s="154"/>
    </row>
    <row r="2345" spans="1:21" ht="15" customHeight="1" x14ac:dyDescent="0.3">
      <c r="A2345" t="str">
        <f t="shared" si="37"/>
        <v>11-3-U-SmartFIX – 5 Year Renewal (Level 2)</v>
      </c>
      <c r="B2345" t="s">
        <v>13</v>
      </c>
      <c r="C2345">
        <v>11</v>
      </c>
      <c r="D2345" s="100" t="s">
        <v>20</v>
      </c>
      <c r="E2345" t="s">
        <v>716</v>
      </c>
      <c r="F2345" t="s">
        <v>16</v>
      </c>
      <c r="G2345" t="s">
        <v>740</v>
      </c>
      <c r="H2345" s="128">
        <v>0.3528</v>
      </c>
      <c r="I2345" s="110">
        <v>0.17830000000000001</v>
      </c>
      <c r="L2345">
        <v>5000</v>
      </c>
      <c r="M2345">
        <v>500000</v>
      </c>
      <c r="N2345" s="105">
        <v>44378</v>
      </c>
      <c r="O2345" s="105">
        <v>44561</v>
      </c>
      <c r="P2345" t="s">
        <v>718</v>
      </c>
      <c r="R2345" s="154"/>
      <c r="S2345" s="154"/>
      <c r="T2345" s="154"/>
      <c r="U2345" s="154"/>
    </row>
    <row r="2346" spans="1:21" ht="15" customHeight="1" x14ac:dyDescent="0.3">
      <c r="A2346" t="str">
        <f t="shared" si="37"/>
        <v>11-4-E7-SmartFIX – 5 Year Renewal (Level 2)</v>
      </c>
      <c r="B2346" t="s">
        <v>13</v>
      </c>
      <c r="C2346">
        <v>11</v>
      </c>
      <c r="D2346" s="100" t="s">
        <v>20</v>
      </c>
      <c r="E2346" t="s">
        <v>17</v>
      </c>
      <c r="F2346" t="s">
        <v>18</v>
      </c>
      <c r="G2346" t="s">
        <v>740</v>
      </c>
      <c r="H2346" s="128">
        <v>0.3528</v>
      </c>
      <c r="I2346" s="110">
        <v>0.183</v>
      </c>
      <c r="J2346" s="110">
        <v>0.13820000000000002</v>
      </c>
      <c r="L2346">
        <v>5000</v>
      </c>
      <c r="M2346">
        <v>500000</v>
      </c>
      <c r="N2346" s="105">
        <v>44378</v>
      </c>
      <c r="O2346" s="105">
        <v>44561</v>
      </c>
      <c r="P2346" t="s">
        <v>718</v>
      </c>
      <c r="R2346" s="154"/>
      <c r="S2346" s="154"/>
      <c r="T2346" s="154"/>
      <c r="U2346" s="154"/>
    </row>
    <row r="2347" spans="1:21" ht="15" customHeight="1" x14ac:dyDescent="0.3">
      <c r="A2347" t="str">
        <f t="shared" si="37"/>
        <v>11-3-EW-SmartFIX – 5 Year Renewal (Level 2)</v>
      </c>
      <c r="B2347" t="s">
        <v>13</v>
      </c>
      <c r="C2347">
        <v>11</v>
      </c>
      <c r="D2347" s="100" t="s">
        <v>20</v>
      </c>
      <c r="E2347" t="s">
        <v>19</v>
      </c>
      <c r="F2347" t="s">
        <v>16</v>
      </c>
      <c r="G2347" t="s">
        <v>740</v>
      </c>
      <c r="H2347" s="128">
        <v>0.3528</v>
      </c>
      <c r="I2347" s="110">
        <v>0.188</v>
      </c>
      <c r="K2347" s="110">
        <v>0.1633</v>
      </c>
      <c r="L2347">
        <v>5000</v>
      </c>
      <c r="M2347">
        <v>500000</v>
      </c>
      <c r="N2347" s="105">
        <v>44378</v>
      </c>
      <c r="O2347" s="105">
        <v>44561</v>
      </c>
      <c r="P2347" t="s">
        <v>718</v>
      </c>
      <c r="R2347" s="154"/>
      <c r="S2347" s="154"/>
      <c r="T2347" s="154"/>
      <c r="U2347" s="154"/>
    </row>
    <row r="2348" spans="1:21" ht="15" customHeight="1" x14ac:dyDescent="0.3">
      <c r="A2348" t="str">
        <f t="shared" si="37"/>
        <v>11-4-3RATE-SmartFIX – 5 Year Renewal (Level 2)</v>
      </c>
      <c r="B2348" t="s">
        <v>13</v>
      </c>
      <c r="C2348">
        <v>11</v>
      </c>
      <c r="D2348" s="100" t="s">
        <v>20</v>
      </c>
      <c r="E2348" t="s">
        <v>719</v>
      </c>
      <c r="F2348" t="s">
        <v>18</v>
      </c>
      <c r="G2348" t="s">
        <v>740</v>
      </c>
      <c r="H2348" s="128">
        <v>0.3528</v>
      </c>
      <c r="I2348" s="110">
        <v>0.1963</v>
      </c>
      <c r="J2348" s="110">
        <v>0.1338</v>
      </c>
      <c r="K2348" s="110">
        <v>0.17280000000000001</v>
      </c>
      <c r="L2348">
        <v>5000</v>
      </c>
      <c r="M2348">
        <v>500000</v>
      </c>
      <c r="N2348" s="105">
        <v>44378</v>
      </c>
      <c r="O2348" s="105">
        <v>44561</v>
      </c>
      <c r="P2348" t="s">
        <v>718</v>
      </c>
      <c r="R2348" s="154"/>
      <c r="S2348" s="154"/>
      <c r="T2348" s="154"/>
      <c r="U2348" s="154"/>
    </row>
    <row r="2349" spans="1:21" ht="15" customHeight="1" x14ac:dyDescent="0.3">
      <c r="A2349" t="str">
        <f t="shared" si="37"/>
        <v/>
      </c>
      <c r="B2349" t="s">
        <v>13</v>
      </c>
      <c r="C2349">
        <v>11</v>
      </c>
      <c r="D2349" s="100" t="s">
        <v>20</v>
      </c>
      <c r="E2349" t="s">
        <v>720</v>
      </c>
      <c r="F2349" t="s">
        <v>18</v>
      </c>
      <c r="G2349" t="s">
        <v>740</v>
      </c>
      <c r="H2349" s="128">
        <v>0.3528</v>
      </c>
      <c r="J2349" s="110">
        <v>0.1633</v>
      </c>
      <c r="L2349">
        <v>5000</v>
      </c>
      <c r="M2349">
        <v>500000</v>
      </c>
      <c r="N2349" s="105">
        <v>44378</v>
      </c>
      <c r="O2349" s="105">
        <v>44561</v>
      </c>
      <c r="P2349" t="s">
        <v>718</v>
      </c>
      <c r="R2349" s="154"/>
      <c r="S2349" s="154"/>
      <c r="T2349" s="154"/>
      <c r="U2349" s="154"/>
    </row>
    <row r="2350" spans="1:21" ht="15" customHeight="1" x14ac:dyDescent="0.3">
      <c r="A2350" t="str">
        <f t="shared" si="37"/>
        <v>12-3-U-SmartFIX – 5 Year Renewal (Level 2)</v>
      </c>
      <c r="B2350" t="s">
        <v>13</v>
      </c>
      <c r="C2350">
        <v>12</v>
      </c>
      <c r="D2350" s="100" t="s">
        <v>21</v>
      </c>
      <c r="E2350" t="s">
        <v>716</v>
      </c>
      <c r="F2350" t="s">
        <v>16</v>
      </c>
      <c r="G2350" t="s">
        <v>740</v>
      </c>
      <c r="H2350" s="128">
        <v>0.26619999999999999</v>
      </c>
      <c r="I2350" s="110">
        <v>0.17230000000000001</v>
      </c>
      <c r="L2350">
        <v>5000</v>
      </c>
      <c r="M2350">
        <v>500000</v>
      </c>
      <c r="N2350" s="105">
        <v>44378</v>
      </c>
      <c r="O2350" s="105">
        <v>44561</v>
      </c>
      <c r="P2350" t="s">
        <v>718</v>
      </c>
      <c r="R2350" s="154"/>
      <c r="S2350" s="154"/>
      <c r="T2350" s="154"/>
      <c r="U2350" s="154"/>
    </row>
    <row r="2351" spans="1:21" ht="15" customHeight="1" x14ac:dyDescent="0.3">
      <c r="A2351" t="str">
        <f t="shared" si="37"/>
        <v>12-4-E7-SmartFIX – 5 Year Renewal (Level 2)</v>
      </c>
      <c r="B2351" t="s">
        <v>13</v>
      </c>
      <c r="C2351">
        <v>12</v>
      </c>
      <c r="D2351" s="100" t="s">
        <v>21</v>
      </c>
      <c r="E2351" t="s">
        <v>17</v>
      </c>
      <c r="F2351" t="s">
        <v>18</v>
      </c>
      <c r="G2351" t="s">
        <v>740</v>
      </c>
      <c r="H2351" s="128">
        <v>0.26619999999999999</v>
      </c>
      <c r="I2351" s="110">
        <v>0.18160000000000001</v>
      </c>
      <c r="J2351" s="110">
        <v>0.1431</v>
      </c>
      <c r="L2351">
        <v>5000</v>
      </c>
      <c r="M2351">
        <v>500000</v>
      </c>
      <c r="N2351" s="105">
        <v>44378</v>
      </c>
      <c r="O2351" s="105">
        <v>44561</v>
      </c>
      <c r="P2351" t="s">
        <v>718</v>
      </c>
      <c r="R2351" s="154"/>
      <c r="S2351" s="154"/>
      <c r="T2351" s="154"/>
      <c r="U2351" s="154"/>
    </row>
    <row r="2352" spans="1:21" ht="15" customHeight="1" x14ac:dyDescent="0.3">
      <c r="A2352" t="str">
        <f t="shared" si="37"/>
        <v>12-3-EW-SmartFIX – 5 Year Renewal (Level 2)</v>
      </c>
      <c r="B2352" t="s">
        <v>13</v>
      </c>
      <c r="C2352">
        <v>12</v>
      </c>
      <c r="D2352" s="100" t="s">
        <v>21</v>
      </c>
      <c r="E2352" t="s">
        <v>19</v>
      </c>
      <c r="F2352" t="s">
        <v>16</v>
      </c>
      <c r="G2352" t="s">
        <v>740</v>
      </c>
      <c r="H2352" s="128">
        <v>0.26619999999999999</v>
      </c>
      <c r="I2352" s="110">
        <v>0.182</v>
      </c>
      <c r="K2352" s="110">
        <v>0.1588</v>
      </c>
      <c r="L2352">
        <v>5000</v>
      </c>
      <c r="M2352">
        <v>500000</v>
      </c>
      <c r="N2352" s="105">
        <v>44378</v>
      </c>
      <c r="O2352" s="105">
        <v>44561</v>
      </c>
      <c r="P2352" t="s">
        <v>718</v>
      </c>
      <c r="R2352" s="154"/>
      <c r="S2352" s="154"/>
      <c r="T2352" s="154"/>
      <c r="U2352" s="154"/>
    </row>
    <row r="2353" spans="1:21" ht="15" customHeight="1" x14ac:dyDescent="0.3">
      <c r="A2353" t="str">
        <f t="shared" si="37"/>
        <v>12-4-3RATE-SmartFIX – 5 Year Renewal (Level 2)</v>
      </c>
      <c r="B2353" t="s">
        <v>13</v>
      </c>
      <c r="C2353">
        <v>12</v>
      </c>
      <c r="D2353" s="100" t="s">
        <v>21</v>
      </c>
      <c r="E2353" t="s">
        <v>719</v>
      </c>
      <c r="F2353" t="s">
        <v>18</v>
      </c>
      <c r="G2353" t="s">
        <v>740</v>
      </c>
      <c r="H2353" s="128">
        <v>0.26619999999999999</v>
      </c>
      <c r="I2353" s="110">
        <v>0.252</v>
      </c>
      <c r="J2353" s="110">
        <v>0.252</v>
      </c>
      <c r="K2353" s="110">
        <v>0.252</v>
      </c>
      <c r="L2353">
        <v>5000</v>
      </c>
      <c r="M2353">
        <v>500000</v>
      </c>
      <c r="N2353" s="105">
        <v>44378</v>
      </c>
      <c r="O2353" s="105">
        <v>44561</v>
      </c>
      <c r="P2353" t="s">
        <v>718</v>
      </c>
      <c r="R2353" s="154"/>
      <c r="S2353" s="154"/>
      <c r="T2353" s="154"/>
      <c r="U2353" s="154"/>
    </row>
    <row r="2354" spans="1:21" ht="15" customHeight="1" x14ac:dyDescent="0.3">
      <c r="A2354" t="str">
        <f t="shared" si="37"/>
        <v/>
      </c>
      <c r="B2354" t="s">
        <v>13</v>
      </c>
      <c r="C2354">
        <v>12</v>
      </c>
      <c r="D2354" s="100" t="s">
        <v>21</v>
      </c>
      <c r="E2354" t="s">
        <v>720</v>
      </c>
      <c r="F2354" t="s">
        <v>18</v>
      </c>
      <c r="G2354" t="s">
        <v>740</v>
      </c>
      <c r="H2354" s="128">
        <v>0.26619999999999999</v>
      </c>
      <c r="J2354" s="110">
        <v>0.1588</v>
      </c>
      <c r="L2354">
        <v>5000</v>
      </c>
      <c r="M2354">
        <v>500000</v>
      </c>
      <c r="N2354" s="105">
        <v>44378</v>
      </c>
      <c r="O2354" s="105">
        <v>44561</v>
      </c>
      <c r="P2354" t="s">
        <v>718</v>
      </c>
      <c r="R2354" s="154"/>
      <c r="S2354" s="154"/>
      <c r="T2354" s="154"/>
      <c r="U2354" s="154"/>
    </row>
    <row r="2355" spans="1:21" ht="15" customHeight="1" x14ac:dyDescent="0.3">
      <c r="A2355" t="str">
        <f t="shared" si="37"/>
        <v>13-3-U-SmartFIX – 5 Year Renewal (Level 2)</v>
      </c>
      <c r="B2355" t="s">
        <v>13</v>
      </c>
      <c r="C2355">
        <v>13</v>
      </c>
      <c r="D2355" s="100" t="s">
        <v>22</v>
      </c>
      <c r="E2355" t="s">
        <v>716</v>
      </c>
      <c r="F2355" t="s">
        <v>16</v>
      </c>
      <c r="G2355" t="s">
        <v>740</v>
      </c>
      <c r="H2355" s="128">
        <v>0.31340000000000001</v>
      </c>
      <c r="I2355" s="110">
        <v>0.19570000000000001</v>
      </c>
      <c r="L2355">
        <v>5000</v>
      </c>
      <c r="M2355">
        <v>500000</v>
      </c>
      <c r="N2355" s="105">
        <v>44378</v>
      </c>
      <c r="O2355" s="105">
        <v>44561</v>
      </c>
      <c r="P2355" t="s">
        <v>718</v>
      </c>
      <c r="R2355" s="154"/>
      <c r="S2355" s="154"/>
      <c r="T2355" s="154"/>
      <c r="U2355" s="154"/>
    </row>
    <row r="2356" spans="1:21" ht="15" customHeight="1" x14ac:dyDescent="0.3">
      <c r="A2356" t="str">
        <f t="shared" si="37"/>
        <v>13-4-E7-SmartFIX – 5 Year Renewal (Level 2)</v>
      </c>
      <c r="B2356" t="s">
        <v>13</v>
      </c>
      <c r="C2356">
        <v>13</v>
      </c>
      <c r="D2356" s="100" t="s">
        <v>22</v>
      </c>
      <c r="E2356" t="s">
        <v>17</v>
      </c>
      <c r="F2356" t="s">
        <v>18</v>
      </c>
      <c r="G2356" t="s">
        <v>740</v>
      </c>
      <c r="H2356" s="128">
        <v>0.31340000000000001</v>
      </c>
      <c r="I2356" s="110">
        <v>0.19520000000000001</v>
      </c>
      <c r="J2356" s="110">
        <v>0.1479</v>
      </c>
      <c r="L2356">
        <v>5000</v>
      </c>
      <c r="M2356">
        <v>500000</v>
      </c>
      <c r="N2356" s="105">
        <v>44378</v>
      </c>
      <c r="O2356" s="105">
        <v>44561</v>
      </c>
      <c r="P2356" t="s">
        <v>718</v>
      </c>
      <c r="R2356" s="154"/>
      <c r="S2356" s="154"/>
      <c r="T2356" s="154"/>
      <c r="U2356" s="154"/>
    </row>
    <row r="2357" spans="1:21" ht="15" customHeight="1" x14ac:dyDescent="0.3">
      <c r="A2357" t="str">
        <f t="shared" si="37"/>
        <v>13-3-EW-SmartFIX – 5 Year Renewal (Level 2)</v>
      </c>
      <c r="B2357" t="s">
        <v>13</v>
      </c>
      <c r="C2357">
        <v>13</v>
      </c>
      <c r="D2357" s="100" t="s">
        <v>22</v>
      </c>
      <c r="E2357" t="s">
        <v>19</v>
      </c>
      <c r="F2357" t="s">
        <v>16</v>
      </c>
      <c r="G2357" t="s">
        <v>740</v>
      </c>
      <c r="H2357" s="128">
        <v>0.31340000000000001</v>
      </c>
      <c r="I2357" s="110">
        <v>0.252</v>
      </c>
      <c r="K2357" s="110">
        <v>0.252</v>
      </c>
      <c r="L2357">
        <v>5000</v>
      </c>
      <c r="M2357">
        <v>500000</v>
      </c>
      <c r="N2357" s="105">
        <v>44378</v>
      </c>
      <c r="O2357" s="105">
        <v>44561</v>
      </c>
      <c r="P2357" t="s">
        <v>718</v>
      </c>
      <c r="R2357" s="154"/>
      <c r="S2357" s="154"/>
      <c r="T2357" s="154"/>
      <c r="U2357" s="154"/>
    </row>
    <row r="2358" spans="1:21" ht="15" customHeight="1" x14ac:dyDescent="0.3">
      <c r="A2358" t="str">
        <f t="shared" si="37"/>
        <v>13-4-3RATE-SmartFIX – 5 Year Renewal (Level 2)</v>
      </c>
      <c r="B2358" t="s">
        <v>13</v>
      </c>
      <c r="C2358">
        <v>13</v>
      </c>
      <c r="D2358" s="100" t="s">
        <v>22</v>
      </c>
      <c r="E2358" t="s">
        <v>719</v>
      </c>
      <c r="F2358" t="s">
        <v>18</v>
      </c>
      <c r="G2358" t="s">
        <v>740</v>
      </c>
      <c r="H2358" s="128">
        <v>0.31340000000000001</v>
      </c>
      <c r="I2358" s="110">
        <v>0.2112</v>
      </c>
      <c r="J2358" s="110">
        <v>0.14660000000000001</v>
      </c>
      <c r="K2358" s="110">
        <v>0.19550000000000001</v>
      </c>
      <c r="L2358">
        <v>5000</v>
      </c>
      <c r="M2358">
        <v>500000</v>
      </c>
      <c r="N2358" s="105">
        <v>44378</v>
      </c>
      <c r="O2358" s="105">
        <v>44561</v>
      </c>
      <c r="P2358" t="s">
        <v>718</v>
      </c>
      <c r="R2358" s="154"/>
      <c r="S2358" s="154"/>
      <c r="T2358" s="154"/>
      <c r="U2358" s="154"/>
    </row>
    <row r="2359" spans="1:21" ht="15" customHeight="1" x14ac:dyDescent="0.3">
      <c r="A2359" t="str">
        <f t="shared" si="37"/>
        <v/>
      </c>
      <c r="B2359" t="s">
        <v>13</v>
      </c>
      <c r="C2359">
        <v>13</v>
      </c>
      <c r="D2359" s="100" t="s">
        <v>22</v>
      </c>
      <c r="E2359" t="s">
        <v>720</v>
      </c>
      <c r="F2359" t="s">
        <v>18</v>
      </c>
      <c r="G2359" t="s">
        <v>740</v>
      </c>
      <c r="H2359" s="128">
        <v>0.31340000000000001</v>
      </c>
      <c r="J2359" s="110">
        <v>0.1479</v>
      </c>
      <c r="L2359">
        <v>5000</v>
      </c>
      <c r="M2359">
        <v>500000</v>
      </c>
      <c r="N2359" s="105">
        <v>44378</v>
      </c>
      <c r="O2359" s="105">
        <v>44561</v>
      </c>
      <c r="P2359" t="s">
        <v>718</v>
      </c>
      <c r="R2359" s="154"/>
      <c r="S2359" s="154"/>
      <c r="T2359" s="154"/>
      <c r="U2359" s="154"/>
    </row>
    <row r="2360" spans="1:21" ht="15" customHeight="1" x14ac:dyDescent="0.3">
      <c r="A2360" t="str">
        <f t="shared" si="37"/>
        <v>14-3-U-SmartFIX – 5 Year Renewal (Level 2)</v>
      </c>
      <c r="B2360" t="s">
        <v>13</v>
      </c>
      <c r="C2360">
        <v>14</v>
      </c>
      <c r="D2360" s="100" t="s">
        <v>23</v>
      </c>
      <c r="E2360" t="s">
        <v>716</v>
      </c>
      <c r="F2360" t="s">
        <v>16</v>
      </c>
      <c r="G2360" t="s">
        <v>740</v>
      </c>
      <c r="H2360" s="128">
        <v>0.38650000000000001</v>
      </c>
      <c r="I2360" s="110">
        <v>0.18230000000000002</v>
      </c>
      <c r="L2360">
        <v>5000</v>
      </c>
      <c r="M2360">
        <v>500000</v>
      </c>
      <c r="N2360" s="105">
        <v>44378</v>
      </c>
      <c r="O2360" s="105">
        <v>44561</v>
      </c>
      <c r="P2360" t="s">
        <v>718</v>
      </c>
      <c r="R2360" s="154"/>
      <c r="S2360" s="154"/>
      <c r="T2360" s="154"/>
      <c r="U2360" s="154"/>
    </row>
    <row r="2361" spans="1:21" ht="15" customHeight="1" x14ac:dyDescent="0.3">
      <c r="A2361" t="str">
        <f t="shared" si="37"/>
        <v>14-4-E7-SmartFIX – 5 Year Renewal (Level 2)</v>
      </c>
      <c r="B2361" t="s">
        <v>13</v>
      </c>
      <c r="C2361">
        <v>14</v>
      </c>
      <c r="D2361" s="100" t="s">
        <v>23</v>
      </c>
      <c r="E2361" t="s">
        <v>17</v>
      </c>
      <c r="F2361" t="s">
        <v>18</v>
      </c>
      <c r="G2361" t="s">
        <v>740</v>
      </c>
      <c r="H2361" s="128">
        <v>0.38650000000000001</v>
      </c>
      <c r="I2361" s="110">
        <v>0.1857</v>
      </c>
      <c r="J2361" s="110">
        <v>0.14269999999999999</v>
      </c>
      <c r="L2361">
        <v>5000</v>
      </c>
      <c r="M2361">
        <v>500000</v>
      </c>
      <c r="N2361" s="105">
        <v>44378</v>
      </c>
      <c r="O2361" s="105">
        <v>44561</v>
      </c>
      <c r="P2361" t="s">
        <v>718</v>
      </c>
      <c r="R2361" s="154"/>
      <c r="S2361" s="154"/>
      <c r="T2361" s="154"/>
      <c r="U2361" s="154"/>
    </row>
    <row r="2362" spans="1:21" ht="15" customHeight="1" x14ac:dyDescent="0.3">
      <c r="A2362" t="str">
        <f t="shared" si="37"/>
        <v>14-3-EW-SmartFIX – 5 Year Renewal (Level 2)</v>
      </c>
      <c r="B2362" t="s">
        <v>13</v>
      </c>
      <c r="C2362">
        <v>14</v>
      </c>
      <c r="D2362" s="100" t="s">
        <v>23</v>
      </c>
      <c r="E2362" t="s">
        <v>19</v>
      </c>
      <c r="F2362" t="s">
        <v>16</v>
      </c>
      <c r="G2362" t="s">
        <v>740</v>
      </c>
      <c r="H2362" s="128">
        <v>0.38650000000000001</v>
      </c>
      <c r="I2362" s="110">
        <v>0.19070000000000001</v>
      </c>
      <c r="K2362" s="110">
        <v>0.1699</v>
      </c>
      <c r="L2362">
        <v>5000</v>
      </c>
      <c r="M2362">
        <v>500000</v>
      </c>
      <c r="N2362" s="105">
        <v>44378</v>
      </c>
      <c r="O2362" s="105">
        <v>44561</v>
      </c>
      <c r="P2362" t="s">
        <v>718</v>
      </c>
      <c r="R2362" s="154"/>
      <c r="S2362" s="154"/>
      <c r="T2362" s="154"/>
      <c r="U2362" s="154"/>
    </row>
    <row r="2363" spans="1:21" ht="15" customHeight="1" x14ac:dyDescent="0.3">
      <c r="A2363" t="str">
        <f t="shared" si="37"/>
        <v>14-4-3RATE-SmartFIX – 5 Year Renewal (Level 2)</v>
      </c>
      <c r="B2363" t="s">
        <v>13</v>
      </c>
      <c r="C2363">
        <v>14</v>
      </c>
      <c r="D2363" s="100" t="s">
        <v>23</v>
      </c>
      <c r="E2363" t="s">
        <v>719</v>
      </c>
      <c r="F2363" t="s">
        <v>18</v>
      </c>
      <c r="G2363" t="s">
        <v>740</v>
      </c>
      <c r="H2363" s="128">
        <v>0.38650000000000001</v>
      </c>
      <c r="I2363" s="110">
        <v>0.252</v>
      </c>
      <c r="J2363" s="110">
        <v>0.252</v>
      </c>
      <c r="K2363" s="110">
        <v>0.252</v>
      </c>
      <c r="L2363">
        <v>5000</v>
      </c>
      <c r="M2363">
        <v>500000</v>
      </c>
      <c r="N2363" s="105">
        <v>44378</v>
      </c>
      <c r="O2363" s="105">
        <v>44561</v>
      </c>
      <c r="P2363" t="s">
        <v>718</v>
      </c>
      <c r="R2363" s="154"/>
      <c r="S2363" s="154"/>
      <c r="T2363" s="154"/>
      <c r="U2363" s="154"/>
    </row>
    <row r="2364" spans="1:21" ht="15" customHeight="1" x14ac:dyDescent="0.3">
      <c r="A2364" t="str">
        <f t="shared" si="37"/>
        <v/>
      </c>
      <c r="B2364" t="s">
        <v>13</v>
      </c>
      <c r="C2364">
        <v>14</v>
      </c>
      <c r="D2364" s="100" t="s">
        <v>23</v>
      </c>
      <c r="E2364" t="s">
        <v>720</v>
      </c>
      <c r="F2364" t="s">
        <v>18</v>
      </c>
      <c r="G2364" t="s">
        <v>740</v>
      </c>
      <c r="H2364" s="128">
        <v>0.38650000000000001</v>
      </c>
      <c r="J2364" s="110">
        <v>0.1699</v>
      </c>
      <c r="L2364">
        <v>5000</v>
      </c>
      <c r="M2364">
        <v>500000</v>
      </c>
      <c r="N2364" s="105">
        <v>44378</v>
      </c>
      <c r="O2364" s="105">
        <v>44561</v>
      </c>
      <c r="P2364" t="s">
        <v>718</v>
      </c>
      <c r="R2364" s="154"/>
      <c r="S2364" s="154"/>
      <c r="T2364" s="154"/>
      <c r="U2364" s="154"/>
    </row>
    <row r="2365" spans="1:21" ht="15" customHeight="1" x14ac:dyDescent="0.3">
      <c r="A2365" t="str">
        <f t="shared" si="37"/>
        <v>15-3-U-SmartFIX – 5 Year Renewal (Level 2)</v>
      </c>
      <c r="B2365" t="s">
        <v>13</v>
      </c>
      <c r="C2365">
        <v>15</v>
      </c>
      <c r="D2365" s="100" t="s">
        <v>24</v>
      </c>
      <c r="E2365" t="s">
        <v>716</v>
      </c>
      <c r="F2365" t="s">
        <v>16</v>
      </c>
      <c r="G2365" t="s">
        <v>740</v>
      </c>
      <c r="H2365" s="128">
        <v>0.3589</v>
      </c>
      <c r="I2365" s="110">
        <v>0.18060000000000001</v>
      </c>
      <c r="L2365">
        <v>5000</v>
      </c>
      <c r="M2365">
        <v>500000</v>
      </c>
      <c r="N2365" s="105">
        <v>44378</v>
      </c>
      <c r="O2365" s="105">
        <v>44561</v>
      </c>
      <c r="P2365" t="s">
        <v>718</v>
      </c>
      <c r="R2365" s="154"/>
      <c r="S2365" s="154"/>
      <c r="T2365" s="154"/>
      <c r="U2365" s="154"/>
    </row>
    <row r="2366" spans="1:21" ht="15" customHeight="1" x14ac:dyDescent="0.3">
      <c r="A2366" t="str">
        <f t="shared" si="37"/>
        <v>15-4-E7-SmartFIX – 5 Year Renewal (Level 2)</v>
      </c>
      <c r="B2366" t="s">
        <v>13</v>
      </c>
      <c r="C2366">
        <v>15</v>
      </c>
      <c r="D2366" s="100" t="s">
        <v>24</v>
      </c>
      <c r="E2366" t="s">
        <v>17</v>
      </c>
      <c r="F2366" t="s">
        <v>18</v>
      </c>
      <c r="G2366" t="s">
        <v>740</v>
      </c>
      <c r="H2366" s="128">
        <v>0.3589</v>
      </c>
      <c r="I2366" s="110">
        <v>0.18590000000000001</v>
      </c>
      <c r="J2366" s="110">
        <v>0.14120000000000002</v>
      </c>
      <c r="L2366">
        <v>5000</v>
      </c>
      <c r="M2366">
        <v>500000</v>
      </c>
      <c r="N2366" s="105">
        <v>44378</v>
      </c>
      <c r="O2366" s="105">
        <v>44561</v>
      </c>
      <c r="P2366" t="s">
        <v>718</v>
      </c>
      <c r="R2366" s="154"/>
      <c r="S2366" s="154"/>
      <c r="T2366" s="154"/>
      <c r="U2366" s="154"/>
    </row>
    <row r="2367" spans="1:21" ht="15" customHeight="1" x14ac:dyDescent="0.3">
      <c r="A2367" t="str">
        <f t="shared" si="37"/>
        <v>15-3-EW-SmartFIX – 5 Year Renewal (Level 2)</v>
      </c>
      <c r="B2367" t="s">
        <v>13</v>
      </c>
      <c r="C2367">
        <v>15</v>
      </c>
      <c r="D2367" s="100" t="s">
        <v>24</v>
      </c>
      <c r="E2367" t="s">
        <v>19</v>
      </c>
      <c r="F2367" t="s">
        <v>16</v>
      </c>
      <c r="G2367" t="s">
        <v>740</v>
      </c>
      <c r="H2367" s="128">
        <v>0.3589</v>
      </c>
      <c r="I2367" s="110">
        <v>0.19220000000000001</v>
      </c>
      <c r="K2367" s="110">
        <v>0.1676</v>
      </c>
      <c r="L2367">
        <v>5000</v>
      </c>
      <c r="M2367">
        <v>500000</v>
      </c>
      <c r="N2367" s="105">
        <v>44378</v>
      </c>
      <c r="O2367" s="105">
        <v>44561</v>
      </c>
      <c r="P2367" t="s">
        <v>718</v>
      </c>
      <c r="R2367" s="154"/>
      <c r="S2367" s="154"/>
      <c r="T2367" s="154"/>
      <c r="U2367" s="154"/>
    </row>
    <row r="2368" spans="1:21" ht="15" customHeight="1" x14ac:dyDescent="0.3">
      <c r="A2368" t="str">
        <f t="shared" si="37"/>
        <v>15-4-3RATE-SmartFIX – 5 Year Renewal (Level 2)</v>
      </c>
      <c r="B2368" t="s">
        <v>13</v>
      </c>
      <c r="C2368">
        <v>15</v>
      </c>
      <c r="D2368" s="100" t="s">
        <v>24</v>
      </c>
      <c r="E2368" t="s">
        <v>719</v>
      </c>
      <c r="F2368" t="s">
        <v>18</v>
      </c>
      <c r="G2368" t="s">
        <v>740</v>
      </c>
      <c r="H2368" s="128">
        <v>0.3589</v>
      </c>
      <c r="I2368" s="110">
        <v>0.252</v>
      </c>
      <c r="J2368" s="110">
        <v>0.252</v>
      </c>
      <c r="K2368" s="110">
        <v>0.252</v>
      </c>
      <c r="L2368">
        <v>5000</v>
      </c>
      <c r="M2368">
        <v>500000</v>
      </c>
      <c r="N2368" s="105">
        <v>44378</v>
      </c>
      <c r="O2368" s="105">
        <v>44561</v>
      </c>
      <c r="P2368" t="s">
        <v>718</v>
      </c>
      <c r="R2368" s="154"/>
      <c r="S2368" s="154"/>
      <c r="T2368" s="154"/>
      <c r="U2368" s="154"/>
    </row>
    <row r="2369" spans="1:21" ht="15" customHeight="1" x14ac:dyDescent="0.3">
      <c r="A2369" t="str">
        <f t="shared" si="37"/>
        <v/>
      </c>
      <c r="B2369" t="s">
        <v>13</v>
      </c>
      <c r="C2369">
        <v>15</v>
      </c>
      <c r="D2369" s="100" t="s">
        <v>24</v>
      </c>
      <c r="E2369" t="s">
        <v>720</v>
      </c>
      <c r="F2369" t="s">
        <v>18</v>
      </c>
      <c r="G2369" t="s">
        <v>740</v>
      </c>
      <c r="H2369" s="128">
        <v>0.3589</v>
      </c>
      <c r="J2369" s="110">
        <v>0.1676</v>
      </c>
      <c r="L2369">
        <v>5000</v>
      </c>
      <c r="M2369">
        <v>500000</v>
      </c>
      <c r="N2369" s="105">
        <v>44378</v>
      </c>
      <c r="O2369" s="105">
        <v>44561</v>
      </c>
      <c r="P2369" t="s">
        <v>718</v>
      </c>
      <c r="R2369" s="154"/>
      <c r="S2369" s="154"/>
      <c r="T2369" s="154"/>
      <c r="U2369" s="154"/>
    </row>
    <row r="2370" spans="1:21" ht="15" customHeight="1" x14ac:dyDescent="0.3">
      <c r="A2370" t="str">
        <f t="shared" si="37"/>
        <v>16-3-U-SmartFIX – 5 Year Renewal (Level 2)</v>
      </c>
      <c r="B2370" t="s">
        <v>13</v>
      </c>
      <c r="C2370">
        <v>16</v>
      </c>
      <c r="D2370" s="100" t="s">
        <v>25</v>
      </c>
      <c r="E2370" t="s">
        <v>716</v>
      </c>
      <c r="F2370" t="s">
        <v>16</v>
      </c>
      <c r="G2370" t="s">
        <v>740</v>
      </c>
      <c r="H2370" s="128">
        <v>0.30370000000000003</v>
      </c>
      <c r="I2370" s="110">
        <v>0.18430000000000002</v>
      </c>
      <c r="L2370">
        <v>5000</v>
      </c>
      <c r="M2370">
        <v>500000</v>
      </c>
      <c r="N2370" s="105">
        <v>44378</v>
      </c>
      <c r="O2370" s="105">
        <v>44561</v>
      </c>
      <c r="P2370" t="s">
        <v>718</v>
      </c>
      <c r="R2370" s="154"/>
      <c r="S2370" s="154"/>
      <c r="T2370" s="154"/>
      <c r="U2370" s="154"/>
    </row>
    <row r="2371" spans="1:21" ht="15" customHeight="1" x14ac:dyDescent="0.3">
      <c r="A2371" t="str">
        <f t="shared" si="37"/>
        <v>16-4-E7-SmartFIX – 5 Year Renewal (Level 2)</v>
      </c>
      <c r="B2371" t="s">
        <v>13</v>
      </c>
      <c r="C2371">
        <v>16</v>
      </c>
      <c r="D2371" s="100" t="s">
        <v>25</v>
      </c>
      <c r="E2371" t="s">
        <v>17</v>
      </c>
      <c r="F2371" t="s">
        <v>18</v>
      </c>
      <c r="G2371" t="s">
        <v>740</v>
      </c>
      <c r="H2371" s="128">
        <v>0.30370000000000003</v>
      </c>
      <c r="I2371" s="110">
        <v>0.1865</v>
      </c>
      <c r="J2371" s="110">
        <v>0.1391</v>
      </c>
      <c r="L2371">
        <v>5000</v>
      </c>
      <c r="M2371">
        <v>500000</v>
      </c>
      <c r="N2371" s="105">
        <v>44378</v>
      </c>
      <c r="O2371" s="105">
        <v>44561</v>
      </c>
      <c r="P2371" t="s">
        <v>718</v>
      </c>
      <c r="R2371" s="154"/>
      <c r="S2371" s="154"/>
      <c r="T2371" s="154"/>
      <c r="U2371" s="154"/>
    </row>
    <row r="2372" spans="1:21" ht="15" customHeight="1" x14ac:dyDescent="0.3">
      <c r="A2372" t="str">
        <f t="shared" si="37"/>
        <v>16-3-EW-SmartFIX – 5 Year Renewal (Level 2)</v>
      </c>
      <c r="B2372" t="s">
        <v>13</v>
      </c>
      <c r="C2372">
        <v>16</v>
      </c>
      <c r="D2372" s="100" t="s">
        <v>25</v>
      </c>
      <c r="E2372" t="s">
        <v>19</v>
      </c>
      <c r="F2372" t="s">
        <v>16</v>
      </c>
      <c r="G2372" t="s">
        <v>740</v>
      </c>
      <c r="H2372" s="128">
        <v>0.30370000000000003</v>
      </c>
      <c r="I2372" s="110">
        <v>0.1958</v>
      </c>
      <c r="K2372" s="110">
        <v>0.1704</v>
      </c>
      <c r="L2372">
        <v>5000</v>
      </c>
      <c r="M2372">
        <v>500000</v>
      </c>
      <c r="N2372" s="105">
        <v>44378</v>
      </c>
      <c r="O2372" s="105">
        <v>44561</v>
      </c>
      <c r="P2372" t="s">
        <v>718</v>
      </c>
      <c r="R2372" s="154"/>
      <c r="S2372" s="154"/>
      <c r="T2372" s="154"/>
      <c r="U2372" s="154"/>
    </row>
    <row r="2373" spans="1:21" ht="15" customHeight="1" x14ac:dyDescent="0.3">
      <c r="A2373" t="str">
        <f t="shared" si="37"/>
        <v>16-4-3RATE-SmartFIX – 5 Year Renewal (Level 2)</v>
      </c>
      <c r="B2373" t="s">
        <v>13</v>
      </c>
      <c r="C2373">
        <v>16</v>
      </c>
      <c r="D2373" s="100" t="s">
        <v>25</v>
      </c>
      <c r="E2373" t="s">
        <v>719</v>
      </c>
      <c r="F2373" t="s">
        <v>18</v>
      </c>
      <c r="G2373" t="s">
        <v>740</v>
      </c>
      <c r="H2373" s="128">
        <v>0.30370000000000003</v>
      </c>
      <c r="I2373" s="110">
        <v>0.20230000000000001</v>
      </c>
      <c r="J2373" s="110">
        <v>0.13880000000000001</v>
      </c>
      <c r="K2373" s="110">
        <v>0.1731</v>
      </c>
      <c r="L2373">
        <v>5000</v>
      </c>
      <c r="M2373">
        <v>500000</v>
      </c>
      <c r="N2373" s="105">
        <v>44378</v>
      </c>
      <c r="O2373" s="105">
        <v>44561</v>
      </c>
      <c r="P2373" t="s">
        <v>718</v>
      </c>
      <c r="R2373" s="154"/>
      <c r="S2373" s="154"/>
      <c r="T2373" s="154"/>
      <c r="U2373" s="154"/>
    </row>
    <row r="2374" spans="1:21" ht="15" customHeight="1" x14ac:dyDescent="0.3">
      <c r="A2374" t="str">
        <f t="shared" si="37"/>
        <v/>
      </c>
      <c r="B2374" t="s">
        <v>13</v>
      </c>
      <c r="C2374">
        <v>16</v>
      </c>
      <c r="D2374" s="100" t="s">
        <v>25</v>
      </c>
      <c r="E2374" t="s">
        <v>720</v>
      </c>
      <c r="F2374" t="s">
        <v>18</v>
      </c>
      <c r="G2374" t="s">
        <v>740</v>
      </c>
      <c r="H2374" s="128">
        <v>0.30370000000000003</v>
      </c>
      <c r="J2374" s="110">
        <v>0.1704</v>
      </c>
      <c r="L2374">
        <v>5000</v>
      </c>
      <c r="M2374">
        <v>500000</v>
      </c>
      <c r="N2374" s="105">
        <v>44378</v>
      </c>
      <c r="O2374" s="105">
        <v>44561</v>
      </c>
      <c r="P2374" t="s">
        <v>718</v>
      </c>
      <c r="R2374" s="154"/>
      <c r="S2374" s="154"/>
      <c r="T2374" s="154"/>
      <c r="U2374" s="154"/>
    </row>
    <row r="2375" spans="1:21" ht="15" customHeight="1" x14ac:dyDescent="0.3">
      <c r="A2375" t="str">
        <f t="shared" si="37"/>
        <v>17-3-U-SmartFIX – 5 Year Renewal (Level 2)</v>
      </c>
      <c r="B2375" t="s">
        <v>13</v>
      </c>
      <c r="C2375">
        <v>17</v>
      </c>
      <c r="D2375" s="100" t="s">
        <v>26</v>
      </c>
      <c r="E2375" t="s">
        <v>716</v>
      </c>
      <c r="F2375" t="s">
        <v>16</v>
      </c>
      <c r="G2375" t="s">
        <v>740</v>
      </c>
      <c r="H2375" s="128">
        <v>0.40010000000000001</v>
      </c>
      <c r="I2375" s="110">
        <v>0.1918</v>
      </c>
      <c r="L2375">
        <v>5000</v>
      </c>
      <c r="M2375">
        <v>500000</v>
      </c>
      <c r="N2375" s="105">
        <v>44378</v>
      </c>
      <c r="O2375" s="105">
        <v>44561</v>
      </c>
      <c r="P2375" t="s">
        <v>718</v>
      </c>
      <c r="R2375" s="154"/>
      <c r="S2375" s="154"/>
      <c r="T2375" s="154"/>
      <c r="U2375" s="154"/>
    </row>
    <row r="2376" spans="1:21" ht="15" customHeight="1" x14ac:dyDescent="0.3">
      <c r="A2376" t="str">
        <f t="shared" si="37"/>
        <v>17-4-E7-SmartFIX – 5 Year Renewal (Level 2)</v>
      </c>
      <c r="B2376" t="s">
        <v>13</v>
      </c>
      <c r="C2376">
        <v>17</v>
      </c>
      <c r="D2376" s="100" t="s">
        <v>26</v>
      </c>
      <c r="E2376" t="s">
        <v>17</v>
      </c>
      <c r="F2376" t="s">
        <v>18</v>
      </c>
      <c r="G2376" t="s">
        <v>740</v>
      </c>
      <c r="H2376" s="128">
        <v>0.40010000000000001</v>
      </c>
      <c r="I2376" s="110">
        <v>0.1978</v>
      </c>
      <c r="J2376" s="110">
        <v>0.1454</v>
      </c>
      <c r="L2376">
        <v>5000</v>
      </c>
      <c r="M2376">
        <v>500000</v>
      </c>
      <c r="N2376" s="105">
        <v>44378</v>
      </c>
      <c r="O2376" s="105">
        <v>44561</v>
      </c>
      <c r="P2376" t="s">
        <v>718</v>
      </c>
      <c r="R2376" s="154"/>
      <c r="S2376" s="154"/>
      <c r="T2376" s="154"/>
      <c r="U2376" s="154"/>
    </row>
    <row r="2377" spans="1:21" ht="15" customHeight="1" x14ac:dyDescent="0.3">
      <c r="A2377" t="str">
        <f t="shared" si="37"/>
        <v>17-3-EW-SmartFIX – 5 Year Renewal (Level 2)</v>
      </c>
      <c r="B2377" t="s">
        <v>13</v>
      </c>
      <c r="C2377">
        <v>17</v>
      </c>
      <c r="D2377" s="100" t="s">
        <v>26</v>
      </c>
      <c r="E2377" t="s">
        <v>19</v>
      </c>
      <c r="F2377" t="s">
        <v>16</v>
      </c>
      <c r="G2377" t="s">
        <v>740</v>
      </c>
      <c r="H2377" s="128">
        <v>0.40010000000000001</v>
      </c>
      <c r="I2377" s="110">
        <v>0.20070000000000002</v>
      </c>
      <c r="K2377" s="110">
        <v>0.1802</v>
      </c>
      <c r="L2377">
        <v>5000</v>
      </c>
      <c r="M2377">
        <v>500000</v>
      </c>
      <c r="N2377" s="105">
        <v>44378</v>
      </c>
      <c r="O2377" s="105">
        <v>44561</v>
      </c>
      <c r="P2377" t="s">
        <v>718</v>
      </c>
      <c r="R2377" s="154"/>
      <c r="S2377" s="154"/>
      <c r="T2377" s="154"/>
      <c r="U2377" s="154"/>
    </row>
    <row r="2378" spans="1:21" ht="15" customHeight="1" x14ac:dyDescent="0.3">
      <c r="A2378" t="str">
        <f t="shared" si="37"/>
        <v>17-4-3RATE-SmartFIX – 5 Year Renewal (Level 2)</v>
      </c>
      <c r="B2378" t="s">
        <v>13</v>
      </c>
      <c r="C2378">
        <v>17</v>
      </c>
      <c r="D2378" s="100" t="s">
        <v>26</v>
      </c>
      <c r="E2378" t="s">
        <v>719</v>
      </c>
      <c r="F2378" t="s">
        <v>18</v>
      </c>
      <c r="G2378" t="s">
        <v>740</v>
      </c>
      <c r="H2378" s="128">
        <v>0.40010000000000001</v>
      </c>
      <c r="I2378" s="110">
        <v>0.252</v>
      </c>
      <c r="J2378" s="110">
        <v>0.252</v>
      </c>
      <c r="K2378" s="110">
        <v>0.252</v>
      </c>
      <c r="L2378">
        <v>5000</v>
      </c>
      <c r="M2378">
        <v>500000</v>
      </c>
      <c r="N2378" s="105">
        <v>44378</v>
      </c>
      <c r="O2378" s="105">
        <v>44561</v>
      </c>
      <c r="P2378" t="s">
        <v>718</v>
      </c>
      <c r="R2378" s="154"/>
      <c r="S2378" s="154"/>
      <c r="T2378" s="154"/>
      <c r="U2378" s="154"/>
    </row>
    <row r="2379" spans="1:21" ht="15" customHeight="1" x14ac:dyDescent="0.3">
      <c r="A2379" t="str">
        <f t="shared" si="37"/>
        <v/>
      </c>
      <c r="B2379" t="s">
        <v>13</v>
      </c>
      <c r="C2379">
        <v>17</v>
      </c>
      <c r="D2379" s="100" t="s">
        <v>26</v>
      </c>
      <c r="E2379" t="s">
        <v>720</v>
      </c>
      <c r="F2379" t="s">
        <v>18</v>
      </c>
      <c r="G2379" t="s">
        <v>740</v>
      </c>
      <c r="H2379" s="128">
        <v>0.40010000000000001</v>
      </c>
      <c r="J2379" s="110">
        <v>0.1802</v>
      </c>
      <c r="L2379">
        <v>5000</v>
      </c>
      <c r="M2379">
        <v>500000</v>
      </c>
      <c r="N2379" s="105">
        <v>44378</v>
      </c>
      <c r="O2379" s="105">
        <v>44561</v>
      </c>
      <c r="P2379" t="s">
        <v>718</v>
      </c>
      <c r="R2379" s="154"/>
      <c r="S2379" s="154"/>
      <c r="T2379" s="154"/>
      <c r="U2379" s="154"/>
    </row>
    <row r="2380" spans="1:21" ht="15" customHeight="1" x14ac:dyDescent="0.3">
      <c r="A2380" t="str">
        <f t="shared" ref="A2380:A2437" si="38">IF(E2380="OP","",CONCATENATE(C2380,"-",RIGHT(F2380,1),"-",IF(OR(E2380="1 Rate MD",E2380="DAY"),"U",IF(OR(E2380="2 Rate MD",E2380="E7"),"E7",IF(OR(E2380="3 Rate MD (EW)",E2380="EW"),"EW",IF(OR(E2380="3 Rate MD",E2380="EWN"),"3RATE",IF(E2380="HH 2RATE (CT)","HH 2RATE (CT)",IF(E2380="HH 2RATE (WC)","HH 2RATE (WC)",IF(E2380="HH 1RATE (CT)","HH 1RATE (CT)",IF(E2380="HH 1RATE (WC)","HH 1RATE (WC)")))))))),"-",G2380))</f>
        <v>18-3-U-SmartFIX – 5 Year Renewal (Level 2)</v>
      </c>
      <c r="B2380" t="s">
        <v>13</v>
      </c>
      <c r="C2380">
        <v>18</v>
      </c>
      <c r="D2380" s="100" t="s">
        <v>27</v>
      </c>
      <c r="E2380" t="s">
        <v>716</v>
      </c>
      <c r="F2380" t="s">
        <v>16</v>
      </c>
      <c r="G2380" t="s">
        <v>740</v>
      </c>
      <c r="H2380" s="128">
        <v>0.34899999999999998</v>
      </c>
      <c r="I2380" s="110">
        <v>0.18260000000000001</v>
      </c>
      <c r="L2380">
        <v>5000</v>
      </c>
      <c r="M2380">
        <v>500000</v>
      </c>
      <c r="N2380" s="105">
        <v>44378</v>
      </c>
      <c r="O2380" s="105">
        <v>44561</v>
      </c>
      <c r="P2380" t="s">
        <v>718</v>
      </c>
      <c r="R2380" s="154"/>
      <c r="S2380" s="154"/>
      <c r="T2380" s="154"/>
      <c r="U2380" s="154"/>
    </row>
    <row r="2381" spans="1:21" ht="15" customHeight="1" x14ac:dyDescent="0.3">
      <c r="A2381" t="str">
        <f t="shared" si="38"/>
        <v>18-4-E7-SmartFIX – 5 Year Renewal (Level 2)</v>
      </c>
      <c r="B2381" t="s">
        <v>13</v>
      </c>
      <c r="C2381">
        <v>18</v>
      </c>
      <c r="D2381" s="100" t="s">
        <v>27</v>
      </c>
      <c r="E2381" t="s">
        <v>17</v>
      </c>
      <c r="F2381" t="s">
        <v>18</v>
      </c>
      <c r="G2381" t="s">
        <v>740</v>
      </c>
      <c r="H2381" s="128">
        <v>0.34899999999999998</v>
      </c>
      <c r="I2381" s="110">
        <v>0.19370000000000001</v>
      </c>
      <c r="J2381" s="110">
        <v>0.14880000000000002</v>
      </c>
      <c r="L2381">
        <v>5000</v>
      </c>
      <c r="M2381">
        <v>500000</v>
      </c>
      <c r="N2381" s="105">
        <v>44378</v>
      </c>
      <c r="O2381" s="105">
        <v>44561</v>
      </c>
      <c r="P2381" t="s">
        <v>718</v>
      </c>
      <c r="R2381" s="154"/>
      <c r="S2381" s="154"/>
      <c r="T2381" s="154"/>
      <c r="U2381" s="154"/>
    </row>
    <row r="2382" spans="1:21" ht="15" customHeight="1" x14ac:dyDescent="0.3">
      <c r="A2382" t="str">
        <f t="shared" si="38"/>
        <v>18-3-EW-SmartFIX – 5 Year Renewal (Level 2)</v>
      </c>
      <c r="B2382" t="s">
        <v>13</v>
      </c>
      <c r="C2382">
        <v>18</v>
      </c>
      <c r="D2382" s="100" t="s">
        <v>27</v>
      </c>
      <c r="E2382" t="s">
        <v>19</v>
      </c>
      <c r="F2382" t="s">
        <v>16</v>
      </c>
      <c r="G2382" t="s">
        <v>740</v>
      </c>
      <c r="H2382" s="128">
        <v>0.34899999999999998</v>
      </c>
      <c r="I2382" s="110">
        <v>0.19140000000000001</v>
      </c>
      <c r="K2382" s="110">
        <v>0.16980000000000001</v>
      </c>
      <c r="L2382">
        <v>5000</v>
      </c>
      <c r="M2382">
        <v>500000</v>
      </c>
      <c r="N2382" s="105">
        <v>44378</v>
      </c>
      <c r="O2382" s="105">
        <v>44561</v>
      </c>
      <c r="P2382" t="s">
        <v>718</v>
      </c>
      <c r="R2382" s="154"/>
      <c r="S2382" s="154"/>
      <c r="T2382" s="154"/>
      <c r="U2382" s="154"/>
    </row>
    <row r="2383" spans="1:21" ht="15" customHeight="1" x14ac:dyDescent="0.3">
      <c r="A2383" t="str">
        <f t="shared" si="38"/>
        <v>18-4-3RATE-SmartFIX – 5 Year Renewal (Level 2)</v>
      </c>
      <c r="B2383" t="s">
        <v>13</v>
      </c>
      <c r="C2383">
        <v>18</v>
      </c>
      <c r="D2383" s="100" t="s">
        <v>27</v>
      </c>
      <c r="E2383" t="s">
        <v>719</v>
      </c>
      <c r="F2383" t="s">
        <v>18</v>
      </c>
      <c r="G2383" t="s">
        <v>740</v>
      </c>
      <c r="H2383" s="128">
        <v>0.34899999999999998</v>
      </c>
      <c r="I2383" s="110">
        <v>0.252</v>
      </c>
      <c r="J2383" s="110">
        <v>0.252</v>
      </c>
      <c r="K2383" s="110">
        <v>0.252</v>
      </c>
      <c r="L2383">
        <v>5000</v>
      </c>
      <c r="M2383">
        <v>500000</v>
      </c>
      <c r="N2383" s="105">
        <v>44378</v>
      </c>
      <c r="O2383" s="105">
        <v>44561</v>
      </c>
      <c r="P2383" t="s">
        <v>718</v>
      </c>
      <c r="R2383" s="154"/>
      <c r="S2383" s="154"/>
      <c r="T2383" s="154"/>
      <c r="U2383" s="154"/>
    </row>
    <row r="2384" spans="1:21" ht="15" customHeight="1" x14ac:dyDescent="0.3">
      <c r="A2384" t="str">
        <f t="shared" si="38"/>
        <v/>
      </c>
      <c r="B2384" t="s">
        <v>13</v>
      </c>
      <c r="C2384">
        <v>18</v>
      </c>
      <c r="D2384" s="100" t="s">
        <v>27</v>
      </c>
      <c r="E2384" t="s">
        <v>720</v>
      </c>
      <c r="F2384" t="s">
        <v>18</v>
      </c>
      <c r="G2384" t="s">
        <v>740</v>
      </c>
      <c r="H2384" s="128">
        <v>0.34899999999999998</v>
      </c>
      <c r="J2384" s="110">
        <v>0.16980000000000001</v>
      </c>
      <c r="L2384">
        <v>5000</v>
      </c>
      <c r="M2384">
        <v>500000</v>
      </c>
      <c r="N2384" s="105">
        <v>44378</v>
      </c>
      <c r="O2384" s="105">
        <v>44561</v>
      </c>
      <c r="P2384" t="s">
        <v>718</v>
      </c>
      <c r="R2384" s="154"/>
      <c r="S2384" s="154"/>
      <c r="T2384" s="154"/>
      <c r="U2384" s="154"/>
    </row>
    <row r="2385" spans="1:21" ht="15" customHeight="1" x14ac:dyDescent="0.3">
      <c r="A2385" t="str">
        <f t="shared" si="38"/>
        <v>19-3-U-SmartFIX – 5 Year Renewal (Level 2)</v>
      </c>
      <c r="B2385" t="s">
        <v>13</v>
      </c>
      <c r="C2385">
        <v>19</v>
      </c>
      <c r="D2385" s="100" t="s">
        <v>28</v>
      </c>
      <c r="E2385" t="s">
        <v>716</v>
      </c>
      <c r="F2385" t="s">
        <v>16</v>
      </c>
      <c r="G2385" t="s">
        <v>740</v>
      </c>
      <c r="H2385" s="128">
        <v>0.33169999999999999</v>
      </c>
      <c r="I2385" s="110">
        <v>0.1789</v>
      </c>
      <c r="L2385">
        <v>5000</v>
      </c>
      <c r="M2385">
        <v>500000</v>
      </c>
      <c r="N2385" s="105">
        <v>44378</v>
      </c>
      <c r="O2385" s="105">
        <v>44561</v>
      </c>
      <c r="P2385" t="s">
        <v>718</v>
      </c>
      <c r="R2385" s="154"/>
      <c r="S2385" s="154"/>
      <c r="T2385" s="154"/>
      <c r="U2385" s="154"/>
    </row>
    <row r="2386" spans="1:21" ht="15" customHeight="1" x14ac:dyDescent="0.3">
      <c r="A2386" t="str">
        <f t="shared" si="38"/>
        <v>19-4-E7-SmartFIX – 5 Year Renewal (Level 2)</v>
      </c>
      <c r="B2386" t="s">
        <v>13</v>
      </c>
      <c r="C2386">
        <v>19</v>
      </c>
      <c r="D2386" s="100" t="s">
        <v>28</v>
      </c>
      <c r="E2386" t="s">
        <v>17</v>
      </c>
      <c r="F2386" t="s">
        <v>18</v>
      </c>
      <c r="G2386" t="s">
        <v>740</v>
      </c>
      <c r="H2386" s="128">
        <v>0.33169999999999999</v>
      </c>
      <c r="I2386" s="110">
        <v>0.18990000000000001</v>
      </c>
      <c r="J2386" s="110">
        <v>0.1384</v>
      </c>
      <c r="L2386">
        <v>5000</v>
      </c>
      <c r="M2386">
        <v>500000</v>
      </c>
      <c r="N2386" s="105">
        <v>44378</v>
      </c>
      <c r="O2386" s="105">
        <v>44561</v>
      </c>
      <c r="P2386" t="s">
        <v>718</v>
      </c>
      <c r="R2386" s="154"/>
      <c r="S2386" s="154"/>
      <c r="T2386" s="154"/>
      <c r="U2386" s="154"/>
    </row>
    <row r="2387" spans="1:21" ht="15" customHeight="1" x14ac:dyDescent="0.3">
      <c r="A2387" t="str">
        <f t="shared" si="38"/>
        <v>19-3-EW-SmartFIX – 5 Year Renewal (Level 2)</v>
      </c>
      <c r="B2387" t="s">
        <v>13</v>
      </c>
      <c r="C2387">
        <v>19</v>
      </c>
      <c r="D2387" s="100" t="s">
        <v>28</v>
      </c>
      <c r="E2387" t="s">
        <v>19</v>
      </c>
      <c r="F2387" t="s">
        <v>16</v>
      </c>
      <c r="G2387" t="s">
        <v>740</v>
      </c>
      <c r="H2387" s="128">
        <v>0.33169999999999999</v>
      </c>
      <c r="I2387" s="110">
        <v>0.252</v>
      </c>
      <c r="K2387" s="110">
        <v>0.252</v>
      </c>
      <c r="L2387">
        <v>5000</v>
      </c>
      <c r="M2387">
        <v>500000</v>
      </c>
      <c r="N2387" s="105">
        <v>44378</v>
      </c>
      <c r="O2387" s="105">
        <v>44561</v>
      </c>
      <c r="P2387" t="s">
        <v>718</v>
      </c>
      <c r="R2387" s="154"/>
      <c r="S2387" s="154"/>
      <c r="T2387" s="154"/>
      <c r="U2387" s="154"/>
    </row>
    <row r="2388" spans="1:21" ht="15" customHeight="1" x14ac:dyDescent="0.3">
      <c r="A2388" t="str">
        <f t="shared" si="38"/>
        <v>19-4-3RATE-SmartFIX – 5 Year Renewal (Level 2)</v>
      </c>
      <c r="B2388" t="s">
        <v>13</v>
      </c>
      <c r="C2388">
        <v>19</v>
      </c>
      <c r="D2388" s="100" t="s">
        <v>28</v>
      </c>
      <c r="E2388" t="s">
        <v>719</v>
      </c>
      <c r="F2388" t="s">
        <v>18</v>
      </c>
      <c r="G2388" t="s">
        <v>740</v>
      </c>
      <c r="H2388" s="128">
        <v>0.33169999999999999</v>
      </c>
      <c r="I2388" s="110">
        <v>0.2</v>
      </c>
      <c r="J2388" s="110">
        <v>0.1363</v>
      </c>
      <c r="K2388" s="110">
        <v>0.1862</v>
      </c>
      <c r="L2388">
        <v>5000</v>
      </c>
      <c r="M2388">
        <v>500000</v>
      </c>
      <c r="N2388" s="105">
        <v>44378</v>
      </c>
      <c r="O2388" s="105">
        <v>44561</v>
      </c>
      <c r="P2388" t="s">
        <v>718</v>
      </c>
      <c r="R2388" s="154"/>
      <c r="S2388" s="154"/>
      <c r="T2388" s="154"/>
      <c r="U2388" s="154"/>
    </row>
    <row r="2389" spans="1:21" ht="15" customHeight="1" x14ac:dyDescent="0.3">
      <c r="A2389" t="str">
        <f t="shared" si="38"/>
        <v/>
      </c>
      <c r="B2389" t="s">
        <v>13</v>
      </c>
      <c r="C2389">
        <v>19</v>
      </c>
      <c r="D2389" s="100" t="s">
        <v>28</v>
      </c>
      <c r="E2389" t="s">
        <v>720</v>
      </c>
      <c r="F2389" t="s">
        <v>18</v>
      </c>
      <c r="G2389" t="s">
        <v>740</v>
      </c>
      <c r="H2389" s="128">
        <v>0.33169999999999999</v>
      </c>
      <c r="J2389" s="110">
        <v>0.1384</v>
      </c>
      <c r="L2389">
        <v>5000</v>
      </c>
      <c r="M2389">
        <v>500000</v>
      </c>
      <c r="N2389" s="105">
        <v>44378</v>
      </c>
      <c r="O2389" s="105">
        <v>44561</v>
      </c>
      <c r="P2389" t="s">
        <v>718</v>
      </c>
      <c r="R2389" s="154"/>
      <c r="S2389" s="154"/>
      <c r="T2389" s="154"/>
      <c r="U2389" s="154"/>
    </row>
    <row r="2390" spans="1:21" ht="15" customHeight="1" x14ac:dyDescent="0.3">
      <c r="A2390" t="str">
        <f t="shared" si="38"/>
        <v>20-3-U-SmartFIX – 5 Year Renewal (Level 2)</v>
      </c>
      <c r="B2390" t="s">
        <v>13</v>
      </c>
      <c r="C2390">
        <v>20</v>
      </c>
      <c r="D2390" s="100" t="s">
        <v>29</v>
      </c>
      <c r="E2390" t="s">
        <v>716</v>
      </c>
      <c r="F2390" t="s">
        <v>16</v>
      </c>
      <c r="G2390" t="s">
        <v>740</v>
      </c>
      <c r="H2390" s="128">
        <v>0.32879999999999998</v>
      </c>
      <c r="I2390" s="110">
        <v>0.1787</v>
      </c>
      <c r="L2390">
        <v>5000</v>
      </c>
      <c r="M2390">
        <v>500000</v>
      </c>
      <c r="N2390" s="105">
        <v>44378</v>
      </c>
      <c r="O2390" s="105">
        <v>44561</v>
      </c>
      <c r="P2390" t="s">
        <v>718</v>
      </c>
      <c r="R2390" s="154"/>
      <c r="S2390" s="154"/>
      <c r="T2390" s="154"/>
      <c r="U2390" s="154"/>
    </row>
    <row r="2391" spans="1:21" ht="15" customHeight="1" x14ac:dyDescent="0.3">
      <c r="A2391" t="str">
        <f t="shared" si="38"/>
        <v>20-4-E7-SmartFIX – 5 Year Renewal (Level 2)</v>
      </c>
      <c r="B2391" t="s">
        <v>13</v>
      </c>
      <c r="C2391">
        <v>20</v>
      </c>
      <c r="D2391" s="100" t="s">
        <v>29</v>
      </c>
      <c r="E2391" t="s">
        <v>17</v>
      </c>
      <c r="F2391" t="s">
        <v>18</v>
      </c>
      <c r="G2391" t="s">
        <v>740</v>
      </c>
      <c r="H2391" s="128">
        <v>0.32879999999999998</v>
      </c>
      <c r="I2391" s="110">
        <v>0.19070000000000001</v>
      </c>
      <c r="J2391" s="110">
        <v>0.14369999999999999</v>
      </c>
      <c r="L2391">
        <v>5000</v>
      </c>
      <c r="M2391">
        <v>500000</v>
      </c>
      <c r="N2391" s="105">
        <v>44378</v>
      </c>
      <c r="O2391" s="105">
        <v>44561</v>
      </c>
      <c r="P2391" t="s">
        <v>718</v>
      </c>
      <c r="R2391" s="154"/>
      <c r="S2391" s="154"/>
      <c r="T2391" s="154"/>
      <c r="U2391" s="154"/>
    </row>
    <row r="2392" spans="1:21" ht="15" customHeight="1" x14ac:dyDescent="0.3">
      <c r="A2392" t="str">
        <f t="shared" si="38"/>
        <v>20-3-EW-SmartFIX – 5 Year Renewal (Level 2)</v>
      </c>
      <c r="B2392" t="s">
        <v>13</v>
      </c>
      <c r="C2392">
        <v>20</v>
      </c>
      <c r="D2392" s="100" t="s">
        <v>29</v>
      </c>
      <c r="E2392" t="s">
        <v>19</v>
      </c>
      <c r="F2392" t="s">
        <v>16</v>
      </c>
      <c r="G2392" t="s">
        <v>740</v>
      </c>
      <c r="H2392" s="128">
        <v>0.32879999999999998</v>
      </c>
      <c r="I2392" s="110">
        <v>0.1893</v>
      </c>
      <c r="K2392" s="110">
        <v>0.16440000000000002</v>
      </c>
      <c r="L2392">
        <v>5000</v>
      </c>
      <c r="M2392">
        <v>500000</v>
      </c>
      <c r="N2392" s="105">
        <v>44378</v>
      </c>
      <c r="O2392" s="105">
        <v>44561</v>
      </c>
      <c r="P2392" t="s">
        <v>718</v>
      </c>
      <c r="R2392" s="154"/>
      <c r="S2392" s="154"/>
      <c r="T2392" s="154"/>
      <c r="U2392" s="154"/>
    </row>
    <row r="2393" spans="1:21" ht="15" customHeight="1" x14ac:dyDescent="0.3">
      <c r="A2393" t="str">
        <f t="shared" si="38"/>
        <v>20-4-3RATE-SmartFIX – 5 Year Renewal (Level 2)</v>
      </c>
      <c r="B2393" t="s">
        <v>13</v>
      </c>
      <c r="C2393">
        <v>20</v>
      </c>
      <c r="D2393" s="100" t="s">
        <v>29</v>
      </c>
      <c r="E2393" t="s">
        <v>719</v>
      </c>
      <c r="F2393" t="s">
        <v>18</v>
      </c>
      <c r="G2393" t="s">
        <v>740</v>
      </c>
      <c r="H2393" s="128">
        <v>0.32879999999999998</v>
      </c>
      <c r="I2393" s="110">
        <v>0.20220000000000002</v>
      </c>
      <c r="J2393" s="110">
        <v>0.1419</v>
      </c>
      <c r="K2393" s="110">
        <v>0.1804</v>
      </c>
      <c r="L2393">
        <v>5000</v>
      </c>
      <c r="M2393">
        <v>500000</v>
      </c>
      <c r="N2393" s="105">
        <v>44378</v>
      </c>
      <c r="O2393" s="105">
        <v>44561</v>
      </c>
      <c r="P2393" t="s">
        <v>718</v>
      </c>
      <c r="R2393" s="154"/>
      <c r="S2393" s="154"/>
      <c r="T2393" s="154"/>
      <c r="U2393" s="154"/>
    </row>
    <row r="2394" spans="1:21" ht="15" customHeight="1" x14ac:dyDescent="0.3">
      <c r="A2394" t="str">
        <f t="shared" si="38"/>
        <v/>
      </c>
      <c r="B2394" t="s">
        <v>13</v>
      </c>
      <c r="C2394">
        <v>20</v>
      </c>
      <c r="D2394" s="100" t="s">
        <v>29</v>
      </c>
      <c r="E2394" t="s">
        <v>720</v>
      </c>
      <c r="F2394" t="s">
        <v>18</v>
      </c>
      <c r="G2394" t="s">
        <v>740</v>
      </c>
      <c r="H2394" s="128">
        <v>0.32879999999999998</v>
      </c>
      <c r="J2394" s="110">
        <v>0.16440000000000002</v>
      </c>
      <c r="L2394">
        <v>5000</v>
      </c>
      <c r="M2394">
        <v>500000</v>
      </c>
      <c r="N2394" s="105">
        <v>44378</v>
      </c>
      <c r="O2394" s="105">
        <v>44561</v>
      </c>
      <c r="P2394" t="s">
        <v>718</v>
      </c>
      <c r="R2394" s="154"/>
      <c r="S2394" s="154"/>
      <c r="T2394" s="154"/>
      <c r="U2394" s="154"/>
    </row>
    <row r="2395" spans="1:21" ht="15" customHeight="1" x14ac:dyDescent="0.3">
      <c r="A2395" t="str">
        <f t="shared" si="38"/>
        <v>21-3-U-SmartFIX – 5 Year Renewal (Level 2)</v>
      </c>
      <c r="B2395" t="s">
        <v>13</v>
      </c>
      <c r="C2395">
        <v>21</v>
      </c>
      <c r="D2395" s="100" t="s">
        <v>30</v>
      </c>
      <c r="E2395" t="s">
        <v>716</v>
      </c>
      <c r="F2395" t="s">
        <v>16</v>
      </c>
      <c r="G2395" t="s">
        <v>740</v>
      </c>
      <c r="H2395" s="128">
        <v>0.4551</v>
      </c>
      <c r="I2395" s="110">
        <v>0.1782</v>
      </c>
      <c r="L2395">
        <v>5000</v>
      </c>
      <c r="M2395">
        <v>500000</v>
      </c>
      <c r="N2395" s="105">
        <v>44378</v>
      </c>
      <c r="O2395" s="105">
        <v>44561</v>
      </c>
      <c r="P2395" t="s">
        <v>718</v>
      </c>
      <c r="R2395" s="154"/>
      <c r="S2395" s="154"/>
      <c r="T2395" s="154"/>
      <c r="U2395" s="154"/>
    </row>
    <row r="2396" spans="1:21" ht="15" customHeight="1" x14ac:dyDescent="0.3">
      <c r="A2396" t="str">
        <f t="shared" si="38"/>
        <v>21-4-E7-SmartFIX – 5 Year Renewal (Level 2)</v>
      </c>
      <c r="B2396" t="s">
        <v>13</v>
      </c>
      <c r="C2396">
        <v>21</v>
      </c>
      <c r="D2396" s="100" t="s">
        <v>30</v>
      </c>
      <c r="E2396" t="s">
        <v>17</v>
      </c>
      <c r="F2396" t="s">
        <v>18</v>
      </c>
      <c r="G2396" t="s">
        <v>740</v>
      </c>
      <c r="H2396" s="128">
        <v>0.4551</v>
      </c>
      <c r="I2396" s="110">
        <v>0.18590000000000001</v>
      </c>
      <c r="J2396" s="110">
        <v>0.14360000000000001</v>
      </c>
      <c r="L2396">
        <v>5000</v>
      </c>
      <c r="M2396">
        <v>500000</v>
      </c>
      <c r="N2396" s="105">
        <v>44378</v>
      </c>
      <c r="O2396" s="105">
        <v>44561</v>
      </c>
      <c r="P2396" t="s">
        <v>718</v>
      </c>
      <c r="R2396" s="154"/>
      <c r="S2396" s="154"/>
      <c r="T2396" s="154"/>
      <c r="U2396" s="154"/>
    </row>
    <row r="2397" spans="1:21" ht="15" customHeight="1" x14ac:dyDescent="0.3">
      <c r="A2397" t="str">
        <f t="shared" si="38"/>
        <v>21-3-EW-SmartFIX – 5 Year Renewal (Level 2)</v>
      </c>
      <c r="B2397" t="s">
        <v>13</v>
      </c>
      <c r="C2397">
        <v>21</v>
      </c>
      <c r="D2397" s="100" t="s">
        <v>30</v>
      </c>
      <c r="E2397" t="s">
        <v>19</v>
      </c>
      <c r="F2397" t="s">
        <v>16</v>
      </c>
      <c r="G2397" t="s">
        <v>740</v>
      </c>
      <c r="H2397" s="128">
        <v>0.4551</v>
      </c>
      <c r="I2397" s="110">
        <v>0.18690000000000001</v>
      </c>
      <c r="K2397" s="110">
        <v>0.1661</v>
      </c>
      <c r="L2397">
        <v>5000</v>
      </c>
      <c r="M2397">
        <v>500000</v>
      </c>
      <c r="N2397" s="105">
        <v>44378</v>
      </c>
      <c r="O2397" s="105">
        <v>44561</v>
      </c>
      <c r="P2397" t="s">
        <v>718</v>
      </c>
      <c r="R2397" s="154"/>
      <c r="S2397" s="154"/>
      <c r="T2397" s="154"/>
      <c r="U2397" s="154"/>
    </row>
    <row r="2398" spans="1:21" ht="15" customHeight="1" x14ac:dyDescent="0.3">
      <c r="A2398" t="str">
        <f t="shared" si="38"/>
        <v>21-4-3RATE-SmartFIX – 5 Year Renewal (Level 2)</v>
      </c>
      <c r="B2398" t="s">
        <v>13</v>
      </c>
      <c r="C2398">
        <v>21</v>
      </c>
      <c r="D2398" s="100" t="s">
        <v>30</v>
      </c>
      <c r="E2398" t="s">
        <v>719</v>
      </c>
      <c r="F2398" t="s">
        <v>18</v>
      </c>
      <c r="G2398" t="s">
        <v>740</v>
      </c>
      <c r="H2398" s="128">
        <v>0.4551</v>
      </c>
      <c r="I2398" s="110">
        <v>0.2001</v>
      </c>
      <c r="J2398" s="110">
        <v>0.14120000000000002</v>
      </c>
      <c r="K2398" s="110">
        <v>0.182</v>
      </c>
      <c r="L2398">
        <v>5000</v>
      </c>
      <c r="M2398">
        <v>500000</v>
      </c>
      <c r="N2398" s="105">
        <v>44378</v>
      </c>
      <c r="O2398" s="105">
        <v>44561</v>
      </c>
      <c r="P2398" t="s">
        <v>718</v>
      </c>
      <c r="R2398" s="154"/>
      <c r="S2398" s="154"/>
      <c r="T2398" s="154"/>
      <c r="U2398" s="154"/>
    </row>
    <row r="2399" spans="1:21" ht="15" customHeight="1" x14ac:dyDescent="0.3">
      <c r="A2399" t="str">
        <f t="shared" si="38"/>
        <v/>
      </c>
      <c r="B2399" t="s">
        <v>13</v>
      </c>
      <c r="C2399">
        <v>21</v>
      </c>
      <c r="D2399" s="100" t="s">
        <v>30</v>
      </c>
      <c r="E2399" t="s">
        <v>720</v>
      </c>
      <c r="F2399" t="s">
        <v>18</v>
      </c>
      <c r="G2399" t="s">
        <v>740</v>
      </c>
      <c r="H2399" s="128">
        <v>0.4551</v>
      </c>
      <c r="J2399" s="110">
        <v>0.1661</v>
      </c>
      <c r="L2399">
        <v>5000</v>
      </c>
      <c r="M2399">
        <v>500000</v>
      </c>
      <c r="N2399" s="105">
        <v>44378</v>
      </c>
      <c r="O2399" s="105">
        <v>44561</v>
      </c>
      <c r="P2399" t="s">
        <v>718</v>
      </c>
      <c r="R2399" s="154"/>
      <c r="S2399" s="154"/>
      <c r="T2399" s="154"/>
      <c r="U2399" s="154"/>
    </row>
    <row r="2400" spans="1:21" ht="15" customHeight="1" x14ac:dyDescent="0.3">
      <c r="A2400" t="str">
        <f t="shared" si="38"/>
        <v>22-3-U-SmartFIX – 5 Year Renewal (Level 2)</v>
      </c>
      <c r="B2400" t="s">
        <v>13</v>
      </c>
      <c r="C2400">
        <v>22</v>
      </c>
      <c r="D2400" s="100" t="s">
        <v>31</v>
      </c>
      <c r="E2400" t="s">
        <v>716</v>
      </c>
      <c r="F2400" t="s">
        <v>16</v>
      </c>
      <c r="G2400" t="s">
        <v>740</v>
      </c>
      <c r="H2400" s="128">
        <v>0.39240000000000003</v>
      </c>
      <c r="I2400" s="110">
        <v>0.18280000000000002</v>
      </c>
      <c r="L2400">
        <v>5000</v>
      </c>
      <c r="M2400">
        <v>500000</v>
      </c>
      <c r="N2400" s="105">
        <v>44378</v>
      </c>
      <c r="O2400" s="105">
        <v>44561</v>
      </c>
      <c r="P2400" t="s">
        <v>718</v>
      </c>
      <c r="R2400" s="154"/>
      <c r="S2400" s="154"/>
      <c r="T2400" s="154"/>
      <c r="U2400" s="154"/>
    </row>
    <row r="2401" spans="1:21" ht="15" customHeight="1" x14ac:dyDescent="0.3">
      <c r="A2401" t="str">
        <f t="shared" si="38"/>
        <v>22-4-E7-SmartFIX – 5 Year Renewal (Level 2)</v>
      </c>
      <c r="B2401" t="s">
        <v>13</v>
      </c>
      <c r="C2401">
        <v>22</v>
      </c>
      <c r="D2401" s="100" t="s">
        <v>31</v>
      </c>
      <c r="E2401" t="s">
        <v>17</v>
      </c>
      <c r="F2401" t="s">
        <v>18</v>
      </c>
      <c r="G2401" t="s">
        <v>740</v>
      </c>
      <c r="H2401" s="128">
        <v>0.39240000000000003</v>
      </c>
      <c r="I2401" s="110">
        <v>0.18920000000000001</v>
      </c>
      <c r="J2401" s="110">
        <v>0.1431</v>
      </c>
      <c r="L2401">
        <v>5000</v>
      </c>
      <c r="M2401">
        <v>500000</v>
      </c>
      <c r="N2401" s="105">
        <v>44378</v>
      </c>
      <c r="O2401" s="105">
        <v>44561</v>
      </c>
      <c r="P2401" t="s">
        <v>718</v>
      </c>
      <c r="R2401" s="154"/>
      <c r="S2401" s="154"/>
      <c r="T2401" s="154"/>
      <c r="U2401" s="154"/>
    </row>
    <row r="2402" spans="1:21" ht="15" customHeight="1" x14ac:dyDescent="0.3">
      <c r="A2402" t="str">
        <f t="shared" si="38"/>
        <v>22-3-EW-SmartFIX – 5 Year Renewal (Level 2)</v>
      </c>
      <c r="B2402" t="s">
        <v>13</v>
      </c>
      <c r="C2402">
        <v>22</v>
      </c>
      <c r="D2402" s="100" t="s">
        <v>31</v>
      </c>
      <c r="E2402" t="s">
        <v>19</v>
      </c>
      <c r="F2402" t="s">
        <v>16</v>
      </c>
      <c r="G2402" t="s">
        <v>740</v>
      </c>
      <c r="H2402" s="128">
        <v>0.39240000000000003</v>
      </c>
      <c r="I2402" s="110">
        <v>0.1933</v>
      </c>
      <c r="K2402" s="110">
        <v>0.16980000000000001</v>
      </c>
      <c r="L2402">
        <v>5000</v>
      </c>
      <c r="M2402">
        <v>500000</v>
      </c>
      <c r="N2402" s="105">
        <v>44378</v>
      </c>
      <c r="O2402" s="105">
        <v>44561</v>
      </c>
      <c r="P2402" t="s">
        <v>718</v>
      </c>
      <c r="R2402" s="154"/>
      <c r="S2402" s="154"/>
      <c r="T2402" s="154"/>
      <c r="U2402" s="154"/>
    </row>
    <row r="2403" spans="1:21" ht="15" customHeight="1" x14ac:dyDescent="0.3">
      <c r="A2403" t="str">
        <f t="shared" si="38"/>
        <v>22-4-3RATE-SmartFIX – 5 Year Renewal (Level 2)</v>
      </c>
      <c r="B2403" t="s">
        <v>13</v>
      </c>
      <c r="C2403">
        <v>22</v>
      </c>
      <c r="D2403" s="100" t="s">
        <v>31</v>
      </c>
      <c r="E2403" t="s">
        <v>719</v>
      </c>
      <c r="F2403" t="s">
        <v>18</v>
      </c>
      <c r="G2403" t="s">
        <v>740</v>
      </c>
      <c r="H2403" s="128">
        <v>0.39240000000000003</v>
      </c>
      <c r="I2403" s="110">
        <v>0.2021</v>
      </c>
      <c r="J2403" s="110">
        <v>0.14070000000000002</v>
      </c>
      <c r="K2403" s="110">
        <v>0.1867</v>
      </c>
      <c r="L2403">
        <v>5000</v>
      </c>
      <c r="M2403">
        <v>500000</v>
      </c>
      <c r="N2403" s="105">
        <v>44378</v>
      </c>
      <c r="O2403" s="105">
        <v>44561</v>
      </c>
      <c r="P2403" t="s">
        <v>718</v>
      </c>
      <c r="R2403" s="154"/>
      <c r="S2403" s="154"/>
      <c r="T2403" s="154"/>
      <c r="U2403" s="154"/>
    </row>
    <row r="2404" spans="1:21" ht="15" customHeight="1" x14ac:dyDescent="0.3">
      <c r="A2404" t="str">
        <f t="shared" si="38"/>
        <v/>
      </c>
      <c r="B2404" t="s">
        <v>13</v>
      </c>
      <c r="C2404">
        <v>22</v>
      </c>
      <c r="D2404" s="100" t="s">
        <v>31</v>
      </c>
      <c r="E2404" t="s">
        <v>720</v>
      </c>
      <c r="F2404" t="s">
        <v>18</v>
      </c>
      <c r="G2404" t="s">
        <v>740</v>
      </c>
      <c r="H2404" s="128">
        <v>0.39240000000000003</v>
      </c>
      <c r="J2404" s="110">
        <v>0.16980000000000001</v>
      </c>
      <c r="L2404">
        <v>5000</v>
      </c>
      <c r="M2404">
        <v>500000</v>
      </c>
      <c r="N2404" s="105">
        <v>44378</v>
      </c>
      <c r="O2404" s="105">
        <v>44561</v>
      </c>
      <c r="P2404" t="s">
        <v>718</v>
      </c>
      <c r="R2404" s="154"/>
      <c r="S2404" s="154"/>
      <c r="T2404" s="154"/>
      <c r="U2404" s="154"/>
    </row>
    <row r="2405" spans="1:21" ht="15" customHeight="1" x14ac:dyDescent="0.3">
      <c r="A2405" t="str">
        <f t="shared" si="38"/>
        <v>23-3-U-SmartFIX – 5 Year Renewal (Level 2)</v>
      </c>
      <c r="B2405" t="s">
        <v>13</v>
      </c>
      <c r="C2405">
        <v>23</v>
      </c>
      <c r="D2405" s="100" t="s">
        <v>32</v>
      </c>
      <c r="E2405" t="s">
        <v>716</v>
      </c>
      <c r="F2405" t="s">
        <v>16</v>
      </c>
      <c r="G2405" t="s">
        <v>740</v>
      </c>
      <c r="H2405" s="128">
        <v>0.34460000000000002</v>
      </c>
      <c r="I2405" s="110">
        <v>0.1794</v>
      </c>
      <c r="L2405">
        <v>5000</v>
      </c>
      <c r="M2405">
        <v>500000</v>
      </c>
      <c r="N2405" s="105">
        <v>44378</v>
      </c>
      <c r="O2405" s="105">
        <v>44561</v>
      </c>
      <c r="P2405" t="s">
        <v>718</v>
      </c>
      <c r="R2405" s="154"/>
      <c r="S2405" s="154"/>
      <c r="T2405" s="154"/>
      <c r="U2405" s="154"/>
    </row>
    <row r="2406" spans="1:21" ht="15" customHeight="1" x14ac:dyDescent="0.3">
      <c r="A2406" t="str">
        <f t="shared" si="38"/>
        <v>23-4-E7-SmartFIX – 5 Year Renewal (Level 2)</v>
      </c>
      <c r="B2406" t="s">
        <v>13</v>
      </c>
      <c r="C2406">
        <v>23</v>
      </c>
      <c r="D2406" s="100" t="s">
        <v>32</v>
      </c>
      <c r="E2406" t="s">
        <v>17</v>
      </c>
      <c r="F2406" t="s">
        <v>18</v>
      </c>
      <c r="G2406" t="s">
        <v>740</v>
      </c>
      <c r="H2406" s="128">
        <v>0.34460000000000002</v>
      </c>
      <c r="I2406" s="110">
        <v>0.1847</v>
      </c>
      <c r="J2406" s="110">
        <v>0.14380000000000001</v>
      </c>
      <c r="L2406">
        <v>5000</v>
      </c>
      <c r="M2406">
        <v>500000</v>
      </c>
      <c r="N2406" s="105">
        <v>44378</v>
      </c>
      <c r="O2406" s="105">
        <v>44561</v>
      </c>
      <c r="P2406" t="s">
        <v>718</v>
      </c>
      <c r="R2406" s="154"/>
      <c r="S2406" s="154"/>
      <c r="T2406" s="154"/>
      <c r="U2406" s="154"/>
    </row>
    <row r="2407" spans="1:21" ht="15" customHeight="1" x14ac:dyDescent="0.3">
      <c r="A2407" t="str">
        <f t="shared" si="38"/>
        <v>23-3-EW-SmartFIX – 5 Year Renewal (Level 2)</v>
      </c>
      <c r="B2407" t="s">
        <v>13</v>
      </c>
      <c r="C2407">
        <v>23</v>
      </c>
      <c r="D2407" s="100" t="s">
        <v>32</v>
      </c>
      <c r="E2407" t="s">
        <v>19</v>
      </c>
      <c r="F2407" t="s">
        <v>16</v>
      </c>
      <c r="G2407" t="s">
        <v>740</v>
      </c>
      <c r="H2407" s="128">
        <v>0.34460000000000002</v>
      </c>
      <c r="I2407" s="110">
        <v>0.18940000000000001</v>
      </c>
      <c r="K2407" s="110">
        <v>0.1658</v>
      </c>
      <c r="L2407">
        <v>5000</v>
      </c>
      <c r="M2407">
        <v>500000</v>
      </c>
      <c r="N2407" s="105">
        <v>44378</v>
      </c>
      <c r="O2407" s="105">
        <v>44561</v>
      </c>
      <c r="P2407" t="s">
        <v>718</v>
      </c>
      <c r="R2407" s="154"/>
      <c r="S2407" s="154"/>
      <c r="T2407" s="154"/>
      <c r="U2407" s="154"/>
    </row>
    <row r="2408" spans="1:21" ht="15" customHeight="1" x14ac:dyDescent="0.3">
      <c r="A2408" t="str">
        <f t="shared" si="38"/>
        <v>23-4-3RATE-SmartFIX – 5 Year Renewal (Level 2)</v>
      </c>
      <c r="B2408" t="s">
        <v>13</v>
      </c>
      <c r="C2408">
        <v>23</v>
      </c>
      <c r="D2408" s="100" t="s">
        <v>32</v>
      </c>
      <c r="E2408" t="s">
        <v>719</v>
      </c>
      <c r="F2408" t="s">
        <v>18</v>
      </c>
      <c r="G2408" t="s">
        <v>740</v>
      </c>
      <c r="H2408" s="128">
        <v>0.34460000000000002</v>
      </c>
      <c r="I2408" s="110">
        <v>0.2</v>
      </c>
      <c r="J2408" s="110">
        <v>0.1419</v>
      </c>
      <c r="K2408" s="110">
        <v>0.17830000000000001</v>
      </c>
      <c r="L2408">
        <v>5000</v>
      </c>
      <c r="M2408">
        <v>500000</v>
      </c>
      <c r="N2408" s="105">
        <v>44378</v>
      </c>
      <c r="O2408" s="105">
        <v>44561</v>
      </c>
      <c r="P2408" t="s">
        <v>718</v>
      </c>
      <c r="R2408" s="154"/>
      <c r="S2408" s="154"/>
      <c r="T2408" s="154"/>
      <c r="U2408" s="154"/>
    </row>
    <row r="2409" spans="1:21" ht="15" customHeight="1" x14ac:dyDescent="0.3">
      <c r="A2409" t="str">
        <f t="shared" si="38"/>
        <v/>
      </c>
      <c r="B2409" t="s">
        <v>13</v>
      </c>
      <c r="C2409">
        <v>23</v>
      </c>
      <c r="D2409" s="100" t="s">
        <v>32</v>
      </c>
      <c r="E2409" t="s">
        <v>720</v>
      </c>
      <c r="F2409" t="s">
        <v>18</v>
      </c>
      <c r="G2409" t="s">
        <v>740</v>
      </c>
      <c r="H2409" s="128">
        <v>0.34460000000000002</v>
      </c>
      <c r="J2409" s="110">
        <v>0.1658</v>
      </c>
      <c r="L2409">
        <v>5000</v>
      </c>
      <c r="M2409">
        <v>500000</v>
      </c>
      <c r="N2409" s="105">
        <v>44378</v>
      </c>
      <c r="O2409" s="105">
        <v>44561</v>
      </c>
      <c r="P2409" t="s">
        <v>718</v>
      </c>
      <c r="R2409" s="154"/>
      <c r="S2409" s="154"/>
      <c r="T2409" s="154"/>
      <c r="U2409" s="154"/>
    </row>
    <row r="2410" spans="1:21" ht="15" customHeight="1" x14ac:dyDescent="0.3">
      <c r="A2410" t="str">
        <f t="shared" si="38"/>
        <v>10-0-HH 1RATE (WC)-SmartFIX – 5 Year (Level 2)</v>
      </c>
      <c r="B2410" t="s">
        <v>13</v>
      </c>
      <c r="C2410">
        <v>10</v>
      </c>
      <c r="D2410" s="100" t="s">
        <v>14</v>
      </c>
      <c r="E2410" t="s">
        <v>732</v>
      </c>
      <c r="F2410" t="s">
        <v>88</v>
      </c>
      <c r="G2410" t="s">
        <v>739</v>
      </c>
      <c r="H2410" s="128">
        <v>0.41920000000000002</v>
      </c>
      <c r="I2410" s="110">
        <v>0.17319999999999999</v>
      </c>
      <c r="L2410">
        <v>5000</v>
      </c>
      <c r="M2410">
        <v>500000</v>
      </c>
      <c r="N2410" s="105">
        <v>44378</v>
      </c>
      <c r="O2410" s="105">
        <v>44561</v>
      </c>
      <c r="P2410" t="s">
        <v>718</v>
      </c>
      <c r="R2410" s="154"/>
      <c r="S2410" s="154"/>
      <c r="T2410" s="154"/>
      <c r="U2410" s="154"/>
    </row>
    <row r="2411" spans="1:21" ht="15" customHeight="1" x14ac:dyDescent="0.3">
      <c r="A2411" t="str">
        <f t="shared" si="38"/>
        <v>11-0-HH 1RATE (WC)-SmartFIX – 5 Year (Level 2)</v>
      </c>
      <c r="B2411" t="s">
        <v>13</v>
      </c>
      <c r="C2411">
        <v>11</v>
      </c>
      <c r="D2411" s="100" t="s">
        <v>20</v>
      </c>
      <c r="E2411" t="s">
        <v>732</v>
      </c>
      <c r="F2411" t="s">
        <v>88</v>
      </c>
      <c r="G2411" t="s">
        <v>739</v>
      </c>
      <c r="H2411" s="128">
        <v>0.42980000000000002</v>
      </c>
      <c r="I2411" s="110">
        <v>0.16619999999999999</v>
      </c>
      <c r="L2411">
        <v>5000</v>
      </c>
      <c r="M2411">
        <v>500000</v>
      </c>
      <c r="N2411" s="105">
        <v>44378</v>
      </c>
      <c r="O2411" s="105">
        <v>44561</v>
      </c>
      <c r="P2411" t="s">
        <v>718</v>
      </c>
      <c r="R2411" s="154"/>
      <c r="S2411" s="154"/>
      <c r="T2411" s="154"/>
      <c r="U2411" s="154"/>
    </row>
    <row r="2412" spans="1:21" ht="15" customHeight="1" x14ac:dyDescent="0.3">
      <c r="A2412" t="str">
        <f t="shared" si="38"/>
        <v>12-0-HH 1RATE (WC)-SmartFIX – 5 Year (Level 2)</v>
      </c>
      <c r="B2412" t="s">
        <v>13</v>
      </c>
      <c r="C2412">
        <v>12</v>
      </c>
      <c r="D2412" s="100" t="s">
        <v>21</v>
      </c>
      <c r="E2412" t="s">
        <v>732</v>
      </c>
      <c r="F2412" t="s">
        <v>88</v>
      </c>
      <c r="G2412" t="s">
        <v>739</v>
      </c>
      <c r="H2412" s="128">
        <v>0.35099999999999998</v>
      </c>
      <c r="I2412" s="110">
        <v>0.1668</v>
      </c>
      <c r="L2412">
        <v>5000</v>
      </c>
      <c r="M2412">
        <v>500000</v>
      </c>
      <c r="N2412" s="105">
        <v>44378</v>
      </c>
      <c r="O2412" s="105">
        <v>44561</v>
      </c>
      <c r="P2412" t="s">
        <v>718</v>
      </c>
      <c r="R2412" s="154"/>
      <c r="S2412" s="154"/>
      <c r="T2412" s="154"/>
      <c r="U2412" s="154"/>
    </row>
    <row r="2413" spans="1:21" ht="15" customHeight="1" x14ac:dyDescent="0.3">
      <c r="A2413" t="str">
        <f t="shared" si="38"/>
        <v>13-0-HH 1RATE (WC)-SmartFIX – 5 Year (Level 2)</v>
      </c>
      <c r="B2413" t="s">
        <v>13</v>
      </c>
      <c r="C2413">
        <v>13</v>
      </c>
      <c r="D2413" s="100" t="s">
        <v>22</v>
      </c>
      <c r="E2413" t="s">
        <v>732</v>
      </c>
      <c r="F2413" t="s">
        <v>88</v>
      </c>
      <c r="G2413" t="s">
        <v>739</v>
      </c>
      <c r="H2413" s="128">
        <v>0.39379999999999998</v>
      </c>
      <c r="I2413" s="110">
        <v>0.18759999999999999</v>
      </c>
      <c r="L2413">
        <v>5000</v>
      </c>
      <c r="M2413">
        <v>500000</v>
      </c>
      <c r="N2413" s="105">
        <v>44378</v>
      </c>
      <c r="O2413" s="105">
        <v>44561</v>
      </c>
      <c r="P2413" t="s">
        <v>718</v>
      </c>
      <c r="R2413" s="154"/>
      <c r="S2413" s="154"/>
      <c r="T2413" s="154"/>
      <c r="U2413" s="154"/>
    </row>
    <row r="2414" spans="1:21" ht="15" customHeight="1" x14ac:dyDescent="0.3">
      <c r="A2414" t="str">
        <f t="shared" si="38"/>
        <v>14-0-HH 1RATE (WC)-SmartFIX – 5 Year (Level 2)</v>
      </c>
      <c r="B2414" t="s">
        <v>13</v>
      </c>
      <c r="C2414">
        <v>14</v>
      </c>
      <c r="D2414" s="100" t="s">
        <v>23</v>
      </c>
      <c r="E2414" t="s">
        <v>732</v>
      </c>
      <c r="F2414" t="s">
        <v>88</v>
      </c>
      <c r="G2414" t="s">
        <v>739</v>
      </c>
      <c r="H2414" s="128">
        <v>0.45290000000000002</v>
      </c>
      <c r="I2414" s="110">
        <v>0.1716</v>
      </c>
      <c r="L2414">
        <v>5000</v>
      </c>
      <c r="M2414">
        <v>500000</v>
      </c>
      <c r="N2414" s="105">
        <v>44378</v>
      </c>
      <c r="O2414" s="105">
        <v>44561</v>
      </c>
      <c r="P2414" t="s">
        <v>718</v>
      </c>
      <c r="R2414" s="154"/>
      <c r="S2414" s="154"/>
      <c r="T2414" s="154"/>
      <c r="U2414" s="154"/>
    </row>
    <row r="2415" spans="1:21" ht="15" customHeight="1" x14ac:dyDescent="0.3">
      <c r="A2415" t="str">
        <f t="shared" si="38"/>
        <v>15-0-HH 1RATE (WC)-SmartFIX – 5 Year (Level 2)</v>
      </c>
      <c r="B2415" t="s">
        <v>13</v>
      </c>
      <c r="C2415">
        <v>15</v>
      </c>
      <c r="D2415" s="100" t="s">
        <v>24</v>
      </c>
      <c r="E2415" t="s">
        <v>732</v>
      </c>
      <c r="F2415" t="s">
        <v>88</v>
      </c>
      <c r="G2415" t="s">
        <v>739</v>
      </c>
      <c r="H2415" s="128">
        <v>0.42909999999999998</v>
      </c>
      <c r="I2415" s="110">
        <v>0.17</v>
      </c>
      <c r="L2415">
        <v>5000</v>
      </c>
      <c r="M2415">
        <v>500000</v>
      </c>
      <c r="N2415" s="105">
        <v>44378</v>
      </c>
      <c r="O2415" s="105">
        <v>44561</v>
      </c>
      <c r="P2415" t="s">
        <v>718</v>
      </c>
      <c r="R2415" s="154"/>
      <c r="S2415" s="154"/>
      <c r="T2415" s="154"/>
      <c r="U2415" s="154"/>
    </row>
    <row r="2416" spans="1:21" ht="15" customHeight="1" x14ac:dyDescent="0.3">
      <c r="A2416" t="str">
        <f t="shared" si="38"/>
        <v>16-0-HH 1RATE (WC)-SmartFIX – 5 Year (Level 2)</v>
      </c>
      <c r="B2416" t="s">
        <v>13</v>
      </c>
      <c r="C2416">
        <v>16</v>
      </c>
      <c r="D2416" s="100" t="s">
        <v>25</v>
      </c>
      <c r="E2416" t="s">
        <v>732</v>
      </c>
      <c r="F2416" t="s">
        <v>88</v>
      </c>
      <c r="G2416" t="s">
        <v>739</v>
      </c>
      <c r="H2416" s="128">
        <v>0.38250000000000001</v>
      </c>
      <c r="I2416" s="110">
        <v>0.17269999999999999</v>
      </c>
      <c r="L2416">
        <v>5000</v>
      </c>
      <c r="M2416">
        <v>500000</v>
      </c>
      <c r="N2416" s="105">
        <v>44378</v>
      </c>
      <c r="O2416" s="105">
        <v>44561</v>
      </c>
      <c r="P2416" t="s">
        <v>718</v>
      </c>
      <c r="R2416" s="154"/>
      <c r="S2416" s="154"/>
      <c r="T2416" s="154"/>
      <c r="U2416" s="154"/>
    </row>
    <row r="2417" spans="1:21" ht="15" customHeight="1" x14ac:dyDescent="0.3">
      <c r="A2417" t="str">
        <f t="shared" si="38"/>
        <v>17-0-HH 1RATE (WC)-SmartFIX – 5 Year (Level 2)</v>
      </c>
      <c r="B2417" t="s">
        <v>13</v>
      </c>
      <c r="C2417">
        <v>17</v>
      </c>
      <c r="D2417" s="100" t="s">
        <v>26</v>
      </c>
      <c r="E2417" t="s">
        <v>732</v>
      </c>
      <c r="F2417" t="s">
        <v>88</v>
      </c>
      <c r="G2417" t="s">
        <v>739</v>
      </c>
      <c r="H2417" s="128">
        <v>0.46820000000000001</v>
      </c>
      <c r="I2417" s="110">
        <v>0.19439999999999999</v>
      </c>
      <c r="L2417">
        <v>5000</v>
      </c>
      <c r="M2417">
        <v>500000</v>
      </c>
      <c r="N2417" s="105">
        <v>44378</v>
      </c>
      <c r="O2417" s="105">
        <v>44561</v>
      </c>
      <c r="P2417" t="s">
        <v>718</v>
      </c>
      <c r="R2417" s="154"/>
      <c r="S2417" s="154"/>
      <c r="T2417" s="154"/>
      <c r="U2417" s="154"/>
    </row>
    <row r="2418" spans="1:21" ht="15" customHeight="1" x14ac:dyDescent="0.3">
      <c r="A2418" t="str">
        <f t="shared" si="38"/>
        <v>18-0-HH 1RATE (WC)-SmartFIX – 5 Year (Level 2)</v>
      </c>
      <c r="B2418" t="s">
        <v>13</v>
      </c>
      <c r="C2418">
        <v>18</v>
      </c>
      <c r="D2418" s="100" t="s">
        <v>27</v>
      </c>
      <c r="E2418" t="s">
        <v>732</v>
      </c>
      <c r="F2418" t="s">
        <v>88</v>
      </c>
      <c r="G2418" t="s">
        <v>739</v>
      </c>
      <c r="H2418" s="128">
        <v>0.41039999999999999</v>
      </c>
      <c r="I2418" s="110">
        <v>0.18559999999999999</v>
      </c>
      <c r="L2418">
        <v>5000</v>
      </c>
      <c r="M2418">
        <v>500000</v>
      </c>
      <c r="N2418" s="105">
        <v>44378</v>
      </c>
      <c r="O2418" s="105">
        <v>44561</v>
      </c>
      <c r="P2418" t="s">
        <v>718</v>
      </c>
      <c r="R2418" s="154"/>
      <c r="S2418" s="154"/>
      <c r="T2418" s="154"/>
      <c r="U2418" s="154"/>
    </row>
    <row r="2419" spans="1:21" ht="15" customHeight="1" x14ac:dyDescent="0.3">
      <c r="A2419" t="str">
        <f t="shared" si="38"/>
        <v>19-0-HH 1RATE (WC)-SmartFIX – 5 Year (Level 2)</v>
      </c>
      <c r="B2419" t="s">
        <v>13</v>
      </c>
      <c r="C2419">
        <v>19</v>
      </c>
      <c r="D2419" s="100" t="s">
        <v>28</v>
      </c>
      <c r="E2419" t="s">
        <v>732</v>
      </c>
      <c r="F2419" t="s">
        <v>88</v>
      </c>
      <c r="G2419" t="s">
        <v>739</v>
      </c>
      <c r="H2419" s="128">
        <v>0.41199999999999998</v>
      </c>
      <c r="I2419" s="110">
        <v>0.17319999999999999</v>
      </c>
      <c r="L2419">
        <v>5000</v>
      </c>
      <c r="M2419">
        <v>500000</v>
      </c>
      <c r="N2419" s="105">
        <v>44378</v>
      </c>
      <c r="O2419" s="105">
        <v>44561</v>
      </c>
      <c r="P2419" t="s">
        <v>718</v>
      </c>
      <c r="R2419" s="154"/>
      <c r="S2419" s="154"/>
      <c r="T2419" s="154"/>
      <c r="U2419" s="154"/>
    </row>
    <row r="2420" spans="1:21" ht="15" customHeight="1" x14ac:dyDescent="0.3">
      <c r="A2420" t="str">
        <f t="shared" si="38"/>
        <v>20-0-HH 1RATE (WC)-SmartFIX – 5 Year (Level 2)</v>
      </c>
      <c r="B2420" t="s">
        <v>13</v>
      </c>
      <c r="C2420">
        <v>20</v>
      </c>
      <c r="D2420" s="100" t="s">
        <v>29</v>
      </c>
      <c r="E2420" t="s">
        <v>732</v>
      </c>
      <c r="F2420" t="s">
        <v>88</v>
      </c>
      <c r="G2420" t="s">
        <v>739</v>
      </c>
      <c r="H2420" s="128">
        <v>0.40510000000000002</v>
      </c>
      <c r="I2420" s="110">
        <v>0.16919999999999999</v>
      </c>
      <c r="L2420">
        <v>5000</v>
      </c>
      <c r="M2420">
        <v>500000</v>
      </c>
      <c r="N2420" s="105">
        <v>44378</v>
      </c>
      <c r="O2420" s="105">
        <v>44561</v>
      </c>
      <c r="P2420" t="s">
        <v>718</v>
      </c>
      <c r="R2420" s="154"/>
      <c r="S2420" s="154"/>
      <c r="T2420" s="154"/>
      <c r="U2420" s="154"/>
    </row>
    <row r="2421" spans="1:21" ht="15" customHeight="1" x14ac:dyDescent="0.3">
      <c r="A2421" t="str">
        <f t="shared" si="38"/>
        <v>21-0-HH 1RATE (WC)-SmartFIX – 5 Year (Level 2)</v>
      </c>
      <c r="B2421" t="s">
        <v>13</v>
      </c>
      <c r="C2421">
        <v>21</v>
      </c>
      <c r="D2421" s="100" t="s">
        <v>30</v>
      </c>
      <c r="E2421" t="s">
        <v>732</v>
      </c>
      <c r="F2421" t="s">
        <v>88</v>
      </c>
      <c r="G2421" t="s">
        <v>739</v>
      </c>
      <c r="H2421" s="128">
        <v>0.51429999999999998</v>
      </c>
      <c r="I2421" s="110">
        <v>0.16930000000000001</v>
      </c>
      <c r="L2421">
        <v>5000</v>
      </c>
      <c r="M2421">
        <v>500000</v>
      </c>
      <c r="N2421" s="105">
        <v>44378</v>
      </c>
      <c r="O2421" s="105">
        <v>44561</v>
      </c>
      <c r="P2421" t="s">
        <v>718</v>
      </c>
      <c r="R2421" s="154"/>
      <c r="S2421" s="154"/>
      <c r="T2421" s="154"/>
      <c r="U2421" s="154"/>
    </row>
    <row r="2422" spans="1:21" ht="15" customHeight="1" x14ac:dyDescent="0.3">
      <c r="A2422" t="str">
        <f t="shared" si="38"/>
        <v>22-0-HH 1RATE (WC)-SmartFIX – 5 Year (Level 2)</v>
      </c>
      <c r="B2422" t="s">
        <v>13</v>
      </c>
      <c r="C2422">
        <v>22</v>
      </c>
      <c r="D2422" s="100" t="s">
        <v>31</v>
      </c>
      <c r="E2422" t="s">
        <v>732</v>
      </c>
      <c r="F2422" t="s">
        <v>88</v>
      </c>
      <c r="G2422" t="s">
        <v>739</v>
      </c>
      <c r="H2422" s="128">
        <v>0.4617</v>
      </c>
      <c r="I2422" s="110">
        <v>0.17069999999999999</v>
      </c>
      <c r="L2422">
        <v>5000</v>
      </c>
      <c r="M2422">
        <v>500000</v>
      </c>
      <c r="N2422" s="105">
        <v>44378</v>
      </c>
      <c r="O2422" s="105">
        <v>44561</v>
      </c>
      <c r="P2422" t="s">
        <v>718</v>
      </c>
      <c r="R2422" s="154"/>
      <c r="S2422" s="154"/>
      <c r="T2422" s="154"/>
      <c r="U2422" s="154"/>
    </row>
    <row r="2423" spans="1:21" ht="15" customHeight="1" x14ac:dyDescent="0.3">
      <c r="A2423" t="str">
        <f t="shared" si="38"/>
        <v>23-0-HH 1RATE (WC)-SmartFIX – 5 Year (Level 2)</v>
      </c>
      <c r="B2423" t="s">
        <v>13</v>
      </c>
      <c r="C2423">
        <v>23</v>
      </c>
      <c r="D2423" s="100" t="s">
        <v>32</v>
      </c>
      <c r="E2423" t="s">
        <v>732</v>
      </c>
      <c r="F2423" t="s">
        <v>88</v>
      </c>
      <c r="G2423" t="s">
        <v>739</v>
      </c>
      <c r="H2423" s="128">
        <v>0.4219</v>
      </c>
      <c r="I2423" s="110">
        <v>0.16650000000000001</v>
      </c>
      <c r="L2423">
        <v>5000</v>
      </c>
      <c r="M2423">
        <v>500000</v>
      </c>
      <c r="N2423" s="105">
        <v>44378</v>
      </c>
      <c r="O2423" s="105">
        <v>44561</v>
      </c>
      <c r="P2423" t="s">
        <v>718</v>
      </c>
      <c r="R2423" s="154"/>
      <c r="S2423" s="154"/>
      <c r="T2423" s="154"/>
      <c r="U2423" s="154"/>
    </row>
    <row r="2424" spans="1:21" ht="15" customHeight="1" x14ac:dyDescent="0.3">
      <c r="A2424" t="str">
        <f t="shared" si="38"/>
        <v>10-0-HH 1RATE (WC)-SmartFIX – 5 Year Renewal (Level 2)</v>
      </c>
      <c r="B2424" t="s">
        <v>13</v>
      </c>
      <c r="C2424">
        <v>10</v>
      </c>
      <c r="D2424" s="100" t="s">
        <v>14</v>
      </c>
      <c r="E2424" t="s">
        <v>732</v>
      </c>
      <c r="F2424" t="s">
        <v>88</v>
      </c>
      <c r="G2424" t="s">
        <v>740</v>
      </c>
      <c r="H2424" s="128">
        <v>0.46110000000000001</v>
      </c>
      <c r="I2424" s="110">
        <v>0.1792</v>
      </c>
      <c r="L2424">
        <v>5000</v>
      </c>
      <c r="M2424">
        <v>500000</v>
      </c>
      <c r="N2424" s="105">
        <v>44378</v>
      </c>
      <c r="O2424" s="105">
        <v>44561</v>
      </c>
      <c r="P2424" t="s">
        <v>718</v>
      </c>
      <c r="R2424" s="154"/>
      <c r="S2424" s="154"/>
      <c r="T2424" s="154"/>
      <c r="U2424" s="154"/>
    </row>
    <row r="2425" spans="1:21" ht="15" customHeight="1" x14ac:dyDescent="0.3">
      <c r="A2425" t="str">
        <f t="shared" si="38"/>
        <v>11-0-HH 1RATE (WC)-SmartFIX – 5 Year Renewal (Level 2)</v>
      </c>
      <c r="B2425" t="s">
        <v>13</v>
      </c>
      <c r="C2425">
        <v>11</v>
      </c>
      <c r="D2425" s="100" t="s">
        <v>20</v>
      </c>
      <c r="E2425" t="s">
        <v>732</v>
      </c>
      <c r="F2425" t="s">
        <v>88</v>
      </c>
      <c r="G2425" t="s">
        <v>740</v>
      </c>
      <c r="H2425" s="128">
        <v>0.47270000000000001</v>
      </c>
      <c r="I2425" s="110">
        <v>0.17219999999999999</v>
      </c>
      <c r="L2425">
        <v>5000</v>
      </c>
      <c r="M2425">
        <v>500000</v>
      </c>
      <c r="N2425" s="105">
        <v>44378</v>
      </c>
      <c r="O2425" s="105">
        <v>44561</v>
      </c>
      <c r="P2425" t="s">
        <v>718</v>
      </c>
      <c r="R2425" s="154"/>
      <c r="S2425" s="154"/>
      <c r="T2425" s="154"/>
      <c r="U2425" s="154"/>
    </row>
    <row r="2426" spans="1:21" ht="15" customHeight="1" x14ac:dyDescent="0.3">
      <c r="A2426" t="str">
        <f t="shared" si="38"/>
        <v>12-0-HH 1RATE (WC)-SmartFIX – 5 Year Renewal (Level 2)</v>
      </c>
      <c r="B2426" t="s">
        <v>13</v>
      </c>
      <c r="C2426">
        <v>12</v>
      </c>
      <c r="D2426" s="100" t="s">
        <v>21</v>
      </c>
      <c r="E2426" t="s">
        <v>732</v>
      </c>
      <c r="F2426" t="s">
        <v>88</v>
      </c>
      <c r="G2426" t="s">
        <v>740</v>
      </c>
      <c r="H2426" s="128">
        <v>0.3861</v>
      </c>
      <c r="I2426" s="110">
        <v>0.17280000000000001</v>
      </c>
      <c r="L2426">
        <v>5000</v>
      </c>
      <c r="M2426">
        <v>500000</v>
      </c>
      <c r="N2426" s="105">
        <v>44378</v>
      </c>
      <c r="O2426" s="105">
        <v>44561</v>
      </c>
      <c r="P2426" t="s">
        <v>718</v>
      </c>
      <c r="R2426" s="154"/>
      <c r="S2426" s="154"/>
      <c r="T2426" s="154"/>
      <c r="U2426" s="154"/>
    </row>
    <row r="2427" spans="1:21" ht="15" customHeight="1" x14ac:dyDescent="0.3">
      <c r="A2427" t="str">
        <f t="shared" si="38"/>
        <v>13-0-HH 1RATE (WC)-SmartFIX – 5 Year Renewal (Level 2)</v>
      </c>
      <c r="B2427" t="s">
        <v>13</v>
      </c>
      <c r="C2427">
        <v>13</v>
      </c>
      <c r="D2427" s="100" t="s">
        <v>22</v>
      </c>
      <c r="E2427" t="s">
        <v>732</v>
      </c>
      <c r="F2427" t="s">
        <v>88</v>
      </c>
      <c r="G2427" t="s">
        <v>740</v>
      </c>
      <c r="H2427" s="128">
        <v>0.43309999999999998</v>
      </c>
      <c r="I2427" s="110">
        <v>0.19359999999999999</v>
      </c>
      <c r="L2427">
        <v>5000</v>
      </c>
      <c r="M2427">
        <v>500000</v>
      </c>
      <c r="N2427" s="105">
        <v>44378</v>
      </c>
      <c r="O2427" s="105">
        <v>44561</v>
      </c>
      <c r="P2427" t="s">
        <v>718</v>
      </c>
      <c r="R2427" s="154"/>
      <c r="S2427" s="154"/>
      <c r="T2427" s="154"/>
      <c r="U2427" s="154"/>
    </row>
    <row r="2428" spans="1:21" ht="15" customHeight="1" x14ac:dyDescent="0.3">
      <c r="A2428" t="str">
        <f t="shared" si="38"/>
        <v>14-0-HH 1RATE (WC)-SmartFIX – 5 Year Renewal (Level 2)</v>
      </c>
      <c r="B2428" t="s">
        <v>13</v>
      </c>
      <c r="C2428">
        <v>14</v>
      </c>
      <c r="D2428" s="100" t="s">
        <v>23</v>
      </c>
      <c r="E2428" t="s">
        <v>732</v>
      </c>
      <c r="F2428" t="s">
        <v>88</v>
      </c>
      <c r="G2428" t="s">
        <v>740</v>
      </c>
      <c r="H2428" s="128">
        <v>0.49819999999999998</v>
      </c>
      <c r="I2428" s="110">
        <v>0.17760000000000001</v>
      </c>
      <c r="L2428">
        <v>5000</v>
      </c>
      <c r="M2428">
        <v>500000</v>
      </c>
      <c r="N2428" s="105">
        <v>44378</v>
      </c>
      <c r="O2428" s="105">
        <v>44561</v>
      </c>
      <c r="P2428" t="s">
        <v>718</v>
      </c>
      <c r="R2428" s="154"/>
      <c r="S2428" s="154"/>
      <c r="T2428" s="154"/>
      <c r="U2428" s="154"/>
    </row>
    <row r="2429" spans="1:21" ht="15" customHeight="1" x14ac:dyDescent="0.3">
      <c r="A2429" t="str">
        <f t="shared" si="38"/>
        <v>15-0-HH 1RATE (WC)-SmartFIX – 5 Year Renewal (Level 2)</v>
      </c>
      <c r="B2429" t="s">
        <v>13</v>
      </c>
      <c r="C2429">
        <v>15</v>
      </c>
      <c r="D2429" s="100" t="s">
        <v>24</v>
      </c>
      <c r="E2429" t="s">
        <v>732</v>
      </c>
      <c r="F2429" t="s">
        <v>88</v>
      </c>
      <c r="G2429" t="s">
        <v>740</v>
      </c>
      <c r="H2429" s="128">
        <v>0.47199999999999998</v>
      </c>
      <c r="I2429" s="110">
        <v>0.17600000000000002</v>
      </c>
      <c r="L2429">
        <v>5000</v>
      </c>
      <c r="M2429">
        <v>500000</v>
      </c>
      <c r="N2429" s="105">
        <v>44378</v>
      </c>
      <c r="O2429" s="105">
        <v>44561</v>
      </c>
      <c r="P2429" t="s">
        <v>718</v>
      </c>
      <c r="R2429" s="154"/>
      <c r="S2429" s="154"/>
      <c r="T2429" s="154"/>
      <c r="U2429" s="154"/>
    </row>
    <row r="2430" spans="1:21" ht="15" customHeight="1" x14ac:dyDescent="0.3">
      <c r="A2430" t="str">
        <f t="shared" si="38"/>
        <v>16-0-HH 1RATE (WC)-SmartFIX – 5 Year Renewal (Level 2)</v>
      </c>
      <c r="B2430" t="s">
        <v>13</v>
      </c>
      <c r="C2430">
        <v>16</v>
      </c>
      <c r="D2430" s="100" t="s">
        <v>25</v>
      </c>
      <c r="E2430" t="s">
        <v>732</v>
      </c>
      <c r="F2430" t="s">
        <v>88</v>
      </c>
      <c r="G2430" t="s">
        <v>740</v>
      </c>
      <c r="H2430" s="128">
        <v>0.42070000000000002</v>
      </c>
      <c r="I2430" s="110">
        <v>0.1787</v>
      </c>
      <c r="L2430">
        <v>5000</v>
      </c>
      <c r="M2430">
        <v>500000</v>
      </c>
      <c r="N2430" s="105">
        <v>44378</v>
      </c>
      <c r="O2430" s="105">
        <v>44561</v>
      </c>
      <c r="P2430" t="s">
        <v>718</v>
      </c>
      <c r="R2430" s="154"/>
      <c r="S2430" s="154"/>
      <c r="T2430" s="154"/>
      <c r="U2430" s="154"/>
    </row>
    <row r="2431" spans="1:21" ht="15" customHeight="1" x14ac:dyDescent="0.3">
      <c r="A2431" t="str">
        <f t="shared" si="38"/>
        <v>17-0-HH 1RATE (WC)-SmartFIX – 5 Year Renewal (Level 2)</v>
      </c>
      <c r="B2431" t="s">
        <v>13</v>
      </c>
      <c r="C2431">
        <v>17</v>
      </c>
      <c r="D2431" s="100" t="s">
        <v>26</v>
      </c>
      <c r="E2431" t="s">
        <v>732</v>
      </c>
      <c r="F2431" t="s">
        <v>88</v>
      </c>
      <c r="G2431" t="s">
        <v>740</v>
      </c>
      <c r="H2431" s="128">
        <v>0.51500000000000001</v>
      </c>
      <c r="I2431" s="110">
        <v>0.20039999999999999</v>
      </c>
      <c r="L2431">
        <v>5000</v>
      </c>
      <c r="M2431">
        <v>500000</v>
      </c>
      <c r="N2431" s="105">
        <v>44378</v>
      </c>
      <c r="O2431" s="105">
        <v>44561</v>
      </c>
      <c r="P2431" t="s">
        <v>718</v>
      </c>
      <c r="R2431" s="154"/>
      <c r="S2431" s="154"/>
      <c r="T2431" s="154"/>
      <c r="U2431" s="154"/>
    </row>
    <row r="2432" spans="1:21" ht="15" customHeight="1" x14ac:dyDescent="0.3">
      <c r="A2432" t="str">
        <f t="shared" si="38"/>
        <v>18-0-HH 1RATE (WC)-SmartFIX – 5 Year Renewal (Level 2)</v>
      </c>
      <c r="B2432" t="s">
        <v>13</v>
      </c>
      <c r="C2432">
        <v>18</v>
      </c>
      <c r="D2432" s="100" t="s">
        <v>27</v>
      </c>
      <c r="E2432" t="s">
        <v>732</v>
      </c>
      <c r="F2432" t="s">
        <v>88</v>
      </c>
      <c r="G2432" t="s">
        <v>740</v>
      </c>
      <c r="H2432" s="128">
        <v>0.45150000000000001</v>
      </c>
      <c r="I2432" s="110">
        <v>0.19159999999999999</v>
      </c>
      <c r="L2432">
        <v>5000</v>
      </c>
      <c r="M2432">
        <v>500000</v>
      </c>
      <c r="N2432" s="105">
        <v>44378</v>
      </c>
      <c r="O2432" s="105">
        <v>44561</v>
      </c>
      <c r="P2432" t="s">
        <v>718</v>
      </c>
      <c r="R2432" s="154"/>
      <c r="S2432" s="154"/>
      <c r="T2432" s="154"/>
      <c r="U2432" s="154"/>
    </row>
    <row r="2433" spans="1:21" ht="15" customHeight="1" x14ac:dyDescent="0.3">
      <c r="A2433" t="str">
        <f t="shared" si="38"/>
        <v>19-0-HH 1RATE (WC)-SmartFIX – 5 Year Renewal (Level 2)</v>
      </c>
      <c r="B2433" t="s">
        <v>13</v>
      </c>
      <c r="C2433">
        <v>19</v>
      </c>
      <c r="D2433" s="100" t="s">
        <v>28</v>
      </c>
      <c r="E2433" t="s">
        <v>732</v>
      </c>
      <c r="F2433" t="s">
        <v>88</v>
      </c>
      <c r="G2433" t="s">
        <v>740</v>
      </c>
      <c r="H2433" s="128">
        <v>0.45319999999999999</v>
      </c>
      <c r="I2433" s="110">
        <v>0.1792</v>
      </c>
      <c r="L2433">
        <v>5000</v>
      </c>
      <c r="M2433">
        <v>500000</v>
      </c>
      <c r="N2433" s="105">
        <v>44378</v>
      </c>
      <c r="O2433" s="105">
        <v>44561</v>
      </c>
      <c r="P2433" t="s">
        <v>718</v>
      </c>
      <c r="R2433" s="154"/>
      <c r="S2433" s="154"/>
      <c r="T2433" s="154"/>
      <c r="U2433" s="154"/>
    </row>
    <row r="2434" spans="1:21" ht="15" customHeight="1" x14ac:dyDescent="0.3">
      <c r="A2434" t="str">
        <f t="shared" si="38"/>
        <v>20-0-HH 1RATE (WC)-SmartFIX – 5 Year Renewal (Level 2)</v>
      </c>
      <c r="B2434" t="s">
        <v>13</v>
      </c>
      <c r="C2434">
        <v>20</v>
      </c>
      <c r="D2434" s="100" t="s">
        <v>29</v>
      </c>
      <c r="E2434" t="s">
        <v>732</v>
      </c>
      <c r="F2434" t="s">
        <v>88</v>
      </c>
      <c r="G2434" t="s">
        <v>740</v>
      </c>
      <c r="H2434" s="128">
        <v>0.44569999999999999</v>
      </c>
      <c r="I2434" s="110">
        <v>0.17519999999999999</v>
      </c>
      <c r="L2434">
        <v>5000</v>
      </c>
      <c r="M2434">
        <v>500000</v>
      </c>
      <c r="N2434" s="105">
        <v>44378</v>
      </c>
      <c r="O2434" s="105">
        <v>44561</v>
      </c>
      <c r="P2434" t="s">
        <v>718</v>
      </c>
      <c r="R2434" s="154"/>
      <c r="S2434" s="154"/>
      <c r="T2434" s="154"/>
      <c r="U2434" s="154"/>
    </row>
    <row r="2435" spans="1:21" ht="15" customHeight="1" x14ac:dyDescent="0.3">
      <c r="A2435" t="str">
        <f t="shared" si="38"/>
        <v>21-0-HH 1RATE (WC)-SmartFIX – 5 Year Renewal (Level 2)</v>
      </c>
      <c r="B2435" t="s">
        <v>13</v>
      </c>
      <c r="C2435">
        <v>21</v>
      </c>
      <c r="D2435" s="100" t="s">
        <v>30</v>
      </c>
      <c r="E2435" t="s">
        <v>732</v>
      </c>
      <c r="F2435" t="s">
        <v>88</v>
      </c>
      <c r="G2435" t="s">
        <v>740</v>
      </c>
      <c r="H2435" s="128">
        <v>0.56569999999999998</v>
      </c>
      <c r="I2435" s="110">
        <v>0.17530000000000001</v>
      </c>
      <c r="L2435">
        <v>5000</v>
      </c>
      <c r="M2435">
        <v>500000</v>
      </c>
      <c r="N2435" s="105">
        <v>44378</v>
      </c>
      <c r="O2435" s="105">
        <v>44561</v>
      </c>
      <c r="P2435" t="s">
        <v>718</v>
      </c>
      <c r="R2435" s="154"/>
      <c r="S2435" s="154"/>
      <c r="T2435" s="154"/>
      <c r="U2435" s="154"/>
    </row>
    <row r="2436" spans="1:21" ht="15" customHeight="1" x14ac:dyDescent="0.3">
      <c r="A2436" t="str">
        <f t="shared" si="38"/>
        <v>22-0-HH 1RATE (WC)-SmartFIX – 5 Year Renewal (Level 2)</v>
      </c>
      <c r="B2436" t="s">
        <v>13</v>
      </c>
      <c r="C2436">
        <v>22</v>
      </c>
      <c r="D2436" s="100" t="s">
        <v>31</v>
      </c>
      <c r="E2436" t="s">
        <v>732</v>
      </c>
      <c r="F2436" t="s">
        <v>88</v>
      </c>
      <c r="G2436" t="s">
        <v>740</v>
      </c>
      <c r="H2436" s="128">
        <v>0.50790000000000002</v>
      </c>
      <c r="I2436" s="110">
        <v>0.1767</v>
      </c>
      <c r="L2436">
        <v>5000</v>
      </c>
      <c r="M2436">
        <v>500000</v>
      </c>
      <c r="N2436" s="105">
        <v>44378</v>
      </c>
      <c r="O2436" s="105">
        <v>44561</v>
      </c>
      <c r="P2436" t="s">
        <v>718</v>
      </c>
      <c r="R2436" s="154"/>
      <c r="S2436" s="154"/>
      <c r="T2436" s="154"/>
      <c r="U2436" s="154"/>
    </row>
    <row r="2437" spans="1:21" ht="15" customHeight="1" x14ac:dyDescent="0.3">
      <c r="A2437" t="str">
        <f t="shared" si="38"/>
        <v>23-0-HH 1RATE (WC)-SmartFIX – 5 Year Renewal (Level 2)</v>
      </c>
      <c r="B2437" t="s">
        <v>13</v>
      </c>
      <c r="C2437">
        <v>23</v>
      </c>
      <c r="D2437" s="100" t="s">
        <v>32</v>
      </c>
      <c r="E2437" t="s">
        <v>732</v>
      </c>
      <c r="F2437" t="s">
        <v>88</v>
      </c>
      <c r="G2437" t="s">
        <v>740</v>
      </c>
      <c r="H2437" s="128">
        <v>0.46410000000000001</v>
      </c>
      <c r="I2437" s="110">
        <v>0.17250000000000001</v>
      </c>
      <c r="L2437">
        <v>5000</v>
      </c>
      <c r="M2437">
        <v>500000</v>
      </c>
      <c r="N2437" s="105">
        <v>44378</v>
      </c>
      <c r="O2437" s="105">
        <v>44561</v>
      </c>
      <c r="P2437" t="s">
        <v>718</v>
      </c>
      <c r="R2437" s="154"/>
      <c r="S2437" s="154"/>
      <c r="T2437" s="154"/>
      <c r="U2437" s="154"/>
    </row>
    <row r="2438" spans="1:21" ht="15" customHeight="1" x14ac:dyDescent="0.3">
      <c r="A2438" t="str">
        <f t="shared" ref="A2438:A2466" si="39">IF(E2438="OP","",CONCATENATE(C2438,"-",RIGHT(F2438,1),"-",IF(OR(E2438="1 Rate MD",E2438="DAY"),"U",IF(OR(E2438="2 Rate MD",E2438="E7"),"E7",IF(OR(E2438="3 Rate MD (EW)",E2438="EW"),"EW",IF(OR(E2438="3 Rate MD",E2438="EWN"),"3RATE",IF(E2438="HH 2RATE (CT)","HH 2RATE (CT)",IF(E2438="HH 2RATE (WC)","HH 2RATE (WC)",IF(E2438="HH 1RATE (CT)","HH 1RATE (CT)",IF(E2438="HH 1RATE (WC)","HH 1RATE (WC)")))))))),"-",G2438))</f>
        <v>10-0-HH 1RATE (CT)-SmartFIX – 5 Year (Level 2)</v>
      </c>
      <c r="B2438" t="s">
        <v>13</v>
      </c>
      <c r="C2438">
        <v>10</v>
      </c>
      <c r="D2438" s="100" t="s">
        <v>14</v>
      </c>
      <c r="E2438" t="s">
        <v>731</v>
      </c>
      <c r="F2438" t="s">
        <v>88</v>
      </c>
      <c r="G2438" t="s">
        <v>739</v>
      </c>
      <c r="H2438" s="128">
        <v>0.52470000000000006</v>
      </c>
      <c r="I2438" s="110">
        <v>0.18559999999999999</v>
      </c>
      <c r="L2438">
        <v>5000</v>
      </c>
      <c r="M2438">
        <v>500000</v>
      </c>
      <c r="N2438" s="105">
        <v>44378</v>
      </c>
      <c r="O2438" s="105">
        <v>44561</v>
      </c>
      <c r="P2438" t="s">
        <v>718</v>
      </c>
      <c r="R2438" s="154"/>
      <c r="S2438" s="154"/>
      <c r="T2438" s="154"/>
      <c r="U2438" s="154"/>
    </row>
    <row r="2439" spans="1:21" ht="15" customHeight="1" x14ac:dyDescent="0.3">
      <c r="A2439" t="str">
        <f t="shared" si="39"/>
        <v>11-0-HH 1RATE (CT)-SmartFIX – 5 Year (Level 2)</v>
      </c>
      <c r="B2439" t="s">
        <v>13</v>
      </c>
      <c r="C2439">
        <v>11</v>
      </c>
      <c r="D2439" s="100" t="s">
        <v>20</v>
      </c>
      <c r="E2439" t="s">
        <v>731</v>
      </c>
      <c r="F2439" t="s">
        <v>88</v>
      </c>
      <c r="G2439" t="s">
        <v>739</v>
      </c>
      <c r="H2439" s="128">
        <v>0.46639999999999998</v>
      </c>
      <c r="I2439" s="110">
        <v>0.18629999999999999</v>
      </c>
      <c r="L2439">
        <v>5000</v>
      </c>
      <c r="M2439">
        <v>500000</v>
      </c>
      <c r="N2439" s="105">
        <v>44378</v>
      </c>
      <c r="O2439" s="105">
        <v>44561</v>
      </c>
      <c r="P2439" t="s">
        <v>718</v>
      </c>
      <c r="R2439" s="154"/>
      <c r="S2439" s="154"/>
      <c r="T2439" s="154"/>
      <c r="U2439" s="154"/>
    </row>
    <row r="2440" spans="1:21" ht="15" customHeight="1" x14ac:dyDescent="0.3">
      <c r="A2440" t="str">
        <f t="shared" si="39"/>
        <v>12-0-HH 1RATE (CT)-SmartFIX – 5 Year (Level 2)</v>
      </c>
      <c r="B2440" t="s">
        <v>13</v>
      </c>
      <c r="C2440">
        <v>12</v>
      </c>
      <c r="D2440" s="100" t="s">
        <v>21</v>
      </c>
      <c r="E2440" t="s">
        <v>731</v>
      </c>
      <c r="F2440" t="s">
        <v>88</v>
      </c>
      <c r="G2440" t="s">
        <v>739</v>
      </c>
      <c r="H2440" s="128">
        <v>0.43059999999999998</v>
      </c>
      <c r="I2440" s="110">
        <v>0.184</v>
      </c>
      <c r="L2440">
        <v>5000</v>
      </c>
      <c r="M2440">
        <v>500000</v>
      </c>
      <c r="N2440" s="105">
        <v>44378</v>
      </c>
      <c r="O2440" s="105">
        <v>44561</v>
      </c>
      <c r="P2440" t="s">
        <v>718</v>
      </c>
      <c r="R2440" s="154"/>
      <c r="S2440" s="154"/>
      <c r="T2440" s="154"/>
      <c r="U2440" s="154"/>
    </row>
    <row r="2441" spans="1:21" ht="15" customHeight="1" x14ac:dyDescent="0.3">
      <c r="A2441" t="str">
        <f t="shared" si="39"/>
        <v>13-0-HH 1RATE (CT)-SmartFIX – 5 Year (Level 2)</v>
      </c>
      <c r="B2441" t="s">
        <v>13</v>
      </c>
      <c r="C2441">
        <v>13</v>
      </c>
      <c r="D2441" s="100" t="s">
        <v>22</v>
      </c>
      <c r="E2441" t="s">
        <v>731</v>
      </c>
      <c r="F2441" t="s">
        <v>88</v>
      </c>
      <c r="G2441" t="s">
        <v>739</v>
      </c>
      <c r="H2441" s="128">
        <v>0.60429999999999995</v>
      </c>
      <c r="I2441" s="110">
        <v>0.23319999999999999</v>
      </c>
      <c r="L2441">
        <v>5000</v>
      </c>
      <c r="M2441">
        <v>500000</v>
      </c>
      <c r="N2441" s="105">
        <v>44378</v>
      </c>
      <c r="O2441" s="105">
        <v>44561</v>
      </c>
      <c r="P2441" t="s">
        <v>718</v>
      </c>
      <c r="R2441" s="154"/>
      <c r="S2441" s="154"/>
      <c r="T2441" s="154"/>
      <c r="U2441" s="154"/>
    </row>
    <row r="2442" spans="1:21" ht="15" customHeight="1" x14ac:dyDescent="0.3">
      <c r="A2442" t="str">
        <f t="shared" si="39"/>
        <v>14-0-HH 1RATE (CT)-SmartFIX – 5 Year (Level 2)</v>
      </c>
      <c r="B2442" t="s">
        <v>13</v>
      </c>
      <c r="C2442">
        <v>14</v>
      </c>
      <c r="D2442" s="100" t="s">
        <v>23</v>
      </c>
      <c r="E2442" t="s">
        <v>731</v>
      </c>
      <c r="F2442" t="s">
        <v>88</v>
      </c>
      <c r="G2442" t="s">
        <v>739</v>
      </c>
      <c r="H2442" s="128">
        <v>0.47920000000000001</v>
      </c>
      <c r="I2442" s="110">
        <v>0.19109999999999999</v>
      </c>
      <c r="L2442">
        <v>5000</v>
      </c>
      <c r="M2442">
        <v>500000</v>
      </c>
      <c r="N2442" s="105">
        <v>44378</v>
      </c>
      <c r="O2442" s="105">
        <v>44561</v>
      </c>
      <c r="P2442" t="s">
        <v>718</v>
      </c>
      <c r="R2442" s="154"/>
      <c r="S2442" s="154"/>
      <c r="T2442" s="154"/>
      <c r="U2442" s="154"/>
    </row>
    <row r="2443" spans="1:21" ht="15" customHeight="1" x14ac:dyDescent="0.3">
      <c r="A2443" t="str">
        <f t="shared" si="39"/>
        <v>15-0-HH 1RATE (CT)-SmartFIX – 5 Year (Level 2)</v>
      </c>
      <c r="B2443" t="s">
        <v>13</v>
      </c>
      <c r="C2443">
        <v>15</v>
      </c>
      <c r="D2443" s="100" t="s">
        <v>24</v>
      </c>
      <c r="E2443" t="s">
        <v>731</v>
      </c>
      <c r="F2443" t="s">
        <v>88</v>
      </c>
      <c r="G2443" t="s">
        <v>739</v>
      </c>
      <c r="H2443" s="128">
        <v>0.5796</v>
      </c>
      <c r="I2443" s="110">
        <v>0.18640000000000001</v>
      </c>
      <c r="L2443">
        <v>5000</v>
      </c>
      <c r="M2443">
        <v>500000</v>
      </c>
      <c r="N2443" s="105">
        <v>44378</v>
      </c>
      <c r="O2443" s="105">
        <v>44561</v>
      </c>
      <c r="P2443" t="s">
        <v>718</v>
      </c>
      <c r="R2443" s="154"/>
      <c r="S2443" s="154"/>
      <c r="T2443" s="154"/>
      <c r="U2443" s="154"/>
    </row>
    <row r="2444" spans="1:21" ht="15" customHeight="1" x14ac:dyDescent="0.3">
      <c r="A2444" t="str">
        <f t="shared" si="39"/>
        <v>16-0-HH 1RATE (CT)-SmartFIX – 5 Year (Level 2)</v>
      </c>
      <c r="B2444" t="s">
        <v>13</v>
      </c>
      <c r="C2444">
        <v>16</v>
      </c>
      <c r="D2444" s="100" t="s">
        <v>25</v>
      </c>
      <c r="E2444" t="s">
        <v>731</v>
      </c>
      <c r="F2444" t="s">
        <v>88</v>
      </c>
      <c r="G2444" t="s">
        <v>739</v>
      </c>
      <c r="H2444" s="128">
        <v>0.53979999999999995</v>
      </c>
      <c r="I2444" s="110">
        <v>0.18909999999999999</v>
      </c>
      <c r="L2444">
        <v>5000</v>
      </c>
      <c r="M2444">
        <v>500000</v>
      </c>
      <c r="N2444" s="105">
        <v>44378</v>
      </c>
      <c r="O2444" s="105">
        <v>44561</v>
      </c>
      <c r="P2444" t="s">
        <v>718</v>
      </c>
      <c r="R2444" s="154"/>
      <c r="S2444" s="154"/>
      <c r="T2444" s="154"/>
      <c r="U2444" s="154"/>
    </row>
    <row r="2445" spans="1:21" ht="15" customHeight="1" x14ac:dyDescent="0.3">
      <c r="A2445" t="str">
        <f t="shared" si="39"/>
        <v>17-0-HH 1RATE (CT)-SmartFIX – 5 Year (Level 2)</v>
      </c>
      <c r="B2445" t="s">
        <v>13</v>
      </c>
      <c r="C2445">
        <v>17</v>
      </c>
      <c r="D2445" s="100" t="s">
        <v>26</v>
      </c>
      <c r="E2445" t="s">
        <v>731</v>
      </c>
      <c r="F2445" t="s">
        <v>88</v>
      </c>
      <c r="G2445" t="s">
        <v>739</v>
      </c>
      <c r="H2445" s="128">
        <v>0.73080000000000001</v>
      </c>
      <c r="I2445" s="110">
        <v>0.20910000000000001</v>
      </c>
      <c r="L2445">
        <v>5000</v>
      </c>
      <c r="M2445">
        <v>500000</v>
      </c>
      <c r="N2445" s="105">
        <v>44378</v>
      </c>
      <c r="O2445" s="105">
        <v>44561</v>
      </c>
      <c r="P2445" t="s">
        <v>718</v>
      </c>
      <c r="R2445" s="154"/>
      <c r="S2445" s="154"/>
      <c r="T2445" s="154"/>
      <c r="U2445" s="154"/>
    </row>
    <row r="2446" spans="1:21" ht="15" customHeight="1" x14ac:dyDescent="0.3">
      <c r="A2446" t="str">
        <f t="shared" si="39"/>
        <v>18-0-HH 1RATE (CT)-SmartFIX – 5 Year (Level 2)</v>
      </c>
      <c r="B2446" t="s">
        <v>13</v>
      </c>
      <c r="C2446">
        <v>18</v>
      </c>
      <c r="D2446" s="100" t="s">
        <v>27</v>
      </c>
      <c r="E2446" t="s">
        <v>731</v>
      </c>
      <c r="F2446" t="s">
        <v>88</v>
      </c>
      <c r="G2446" t="s">
        <v>739</v>
      </c>
      <c r="H2446" s="128">
        <v>0.66990000000000005</v>
      </c>
      <c r="I2446" s="110">
        <v>0.18779999999999999</v>
      </c>
      <c r="L2446">
        <v>5000</v>
      </c>
      <c r="M2446">
        <v>500000</v>
      </c>
      <c r="N2446" s="105">
        <v>44378</v>
      </c>
      <c r="O2446" s="105">
        <v>44561</v>
      </c>
      <c r="P2446" t="s">
        <v>718</v>
      </c>
      <c r="R2446" s="154"/>
      <c r="S2446" s="154"/>
      <c r="T2446" s="154"/>
      <c r="U2446" s="154"/>
    </row>
    <row r="2447" spans="1:21" ht="15" customHeight="1" x14ac:dyDescent="0.3">
      <c r="A2447" t="str">
        <f t="shared" si="39"/>
        <v>19-0-HH 1RATE (CT)-SmartFIX – 5 Year (Level 2)</v>
      </c>
      <c r="B2447" t="s">
        <v>13</v>
      </c>
      <c r="C2447">
        <v>19</v>
      </c>
      <c r="D2447" s="100" t="s">
        <v>28</v>
      </c>
      <c r="E2447" t="s">
        <v>731</v>
      </c>
      <c r="F2447" t="s">
        <v>88</v>
      </c>
      <c r="G2447" t="s">
        <v>739</v>
      </c>
      <c r="H2447" s="128">
        <v>0.52649999999999997</v>
      </c>
      <c r="I2447" s="110">
        <v>0.18940000000000001</v>
      </c>
      <c r="L2447">
        <v>5000</v>
      </c>
      <c r="M2447">
        <v>500000</v>
      </c>
      <c r="N2447" s="105">
        <v>44378</v>
      </c>
      <c r="O2447" s="105">
        <v>44561</v>
      </c>
      <c r="P2447" t="s">
        <v>718</v>
      </c>
      <c r="R2447" s="154"/>
      <c r="S2447" s="154"/>
      <c r="T2447" s="154"/>
      <c r="U2447" s="154"/>
    </row>
    <row r="2448" spans="1:21" ht="15" customHeight="1" x14ac:dyDescent="0.3">
      <c r="A2448" t="str">
        <f t="shared" si="39"/>
        <v>20-0-HH 1RATE (CT)-SmartFIX – 5 Year (Level 2)</v>
      </c>
      <c r="B2448" t="s">
        <v>13</v>
      </c>
      <c r="C2448">
        <v>20</v>
      </c>
      <c r="D2448" s="100" t="s">
        <v>29</v>
      </c>
      <c r="E2448" t="s">
        <v>731</v>
      </c>
      <c r="F2448" t="s">
        <v>88</v>
      </c>
      <c r="G2448" t="s">
        <v>739</v>
      </c>
      <c r="H2448" s="128">
        <v>0.55610000000000004</v>
      </c>
      <c r="I2448" s="110">
        <v>0.19040000000000001</v>
      </c>
      <c r="L2448">
        <v>5000</v>
      </c>
      <c r="M2448">
        <v>500000</v>
      </c>
      <c r="N2448" s="105">
        <v>44378</v>
      </c>
      <c r="O2448" s="105">
        <v>44561</v>
      </c>
      <c r="P2448" t="s">
        <v>718</v>
      </c>
      <c r="R2448" s="154"/>
      <c r="S2448" s="154"/>
      <c r="T2448" s="154"/>
      <c r="U2448" s="154"/>
    </row>
    <row r="2449" spans="1:21" ht="15" customHeight="1" x14ac:dyDescent="0.3">
      <c r="A2449" t="str">
        <f t="shared" si="39"/>
        <v>21-0-HH 1RATE (CT)-SmartFIX – 5 Year (Level 2)</v>
      </c>
      <c r="B2449" t="s">
        <v>13</v>
      </c>
      <c r="C2449">
        <v>21</v>
      </c>
      <c r="D2449" s="100" t="s">
        <v>30</v>
      </c>
      <c r="E2449" t="s">
        <v>731</v>
      </c>
      <c r="F2449" t="s">
        <v>88</v>
      </c>
      <c r="G2449" t="s">
        <v>739</v>
      </c>
      <c r="H2449" s="128">
        <v>0.57110000000000005</v>
      </c>
      <c r="I2449" s="110">
        <v>0.19439999999999999</v>
      </c>
      <c r="L2449">
        <v>5000</v>
      </c>
      <c r="M2449">
        <v>500000</v>
      </c>
      <c r="N2449" s="105">
        <v>44378</v>
      </c>
      <c r="O2449" s="105">
        <v>44561</v>
      </c>
      <c r="P2449" t="s">
        <v>718</v>
      </c>
      <c r="R2449" s="154"/>
      <c r="S2449" s="154"/>
      <c r="T2449" s="154"/>
      <c r="U2449" s="154"/>
    </row>
    <row r="2450" spans="1:21" ht="15" customHeight="1" x14ac:dyDescent="0.3">
      <c r="A2450" t="str">
        <f t="shared" si="39"/>
        <v>22-0-HH 1RATE (CT)-SmartFIX – 5 Year (Level 2)</v>
      </c>
      <c r="B2450" t="s">
        <v>13</v>
      </c>
      <c r="C2450">
        <v>22</v>
      </c>
      <c r="D2450" s="100" t="s">
        <v>31</v>
      </c>
      <c r="E2450" t="s">
        <v>731</v>
      </c>
      <c r="F2450" t="s">
        <v>88</v>
      </c>
      <c r="G2450" t="s">
        <v>739</v>
      </c>
      <c r="H2450" s="128">
        <v>0.50090000000000001</v>
      </c>
      <c r="I2450" s="110">
        <v>0.18590000000000001</v>
      </c>
      <c r="L2450">
        <v>5000</v>
      </c>
      <c r="M2450">
        <v>500000</v>
      </c>
      <c r="N2450" s="105">
        <v>44378</v>
      </c>
      <c r="O2450" s="105">
        <v>44561</v>
      </c>
      <c r="P2450" t="s">
        <v>718</v>
      </c>
      <c r="R2450" s="154"/>
      <c r="S2450" s="154"/>
      <c r="T2450" s="154"/>
      <c r="U2450" s="154"/>
    </row>
    <row r="2451" spans="1:21" ht="15" customHeight="1" x14ac:dyDescent="0.3">
      <c r="A2451" t="str">
        <f t="shared" si="39"/>
        <v>23-0-HH 1RATE (CT)-SmartFIX – 5 Year (Level 2)</v>
      </c>
      <c r="B2451" t="s">
        <v>13</v>
      </c>
      <c r="C2451">
        <v>23</v>
      </c>
      <c r="D2451" s="100" t="s">
        <v>32</v>
      </c>
      <c r="E2451" t="s">
        <v>731</v>
      </c>
      <c r="F2451" t="s">
        <v>88</v>
      </c>
      <c r="G2451" t="s">
        <v>739</v>
      </c>
      <c r="H2451" s="128">
        <v>0.59789999999999999</v>
      </c>
      <c r="I2451" s="110">
        <v>0.187</v>
      </c>
      <c r="L2451">
        <v>5000</v>
      </c>
      <c r="M2451">
        <v>500000</v>
      </c>
      <c r="N2451" s="105">
        <v>44378</v>
      </c>
      <c r="O2451" s="105">
        <v>44561</v>
      </c>
      <c r="P2451" t="s">
        <v>718</v>
      </c>
      <c r="R2451" s="154"/>
      <c r="S2451" s="154"/>
      <c r="T2451" s="154"/>
      <c r="U2451" s="154"/>
    </row>
    <row r="2452" spans="1:21" ht="15" customHeight="1" x14ac:dyDescent="0.3">
      <c r="A2452" t="str">
        <f t="shared" si="39"/>
        <v>10-0-HH 1RATE (CT)-SmartFIX – 5 Year Renewal (Level 2)</v>
      </c>
      <c r="B2452" t="s">
        <v>13</v>
      </c>
      <c r="C2452">
        <v>10</v>
      </c>
      <c r="D2452" s="100" t="s">
        <v>14</v>
      </c>
      <c r="E2452" t="s">
        <v>731</v>
      </c>
      <c r="F2452" t="s">
        <v>88</v>
      </c>
      <c r="G2452" t="s">
        <v>740</v>
      </c>
      <c r="H2452" s="128">
        <v>0.57720000000000005</v>
      </c>
      <c r="I2452" s="110">
        <v>0.18959999999999999</v>
      </c>
      <c r="L2452">
        <v>5000</v>
      </c>
      <c r="M2452">
        <v>500000</v>
      </c>
      <c r="N2452" s="105">
        <v>44378</v>
      </c>
      <c r="O2452" s="105">
        <v>44561</v>
      </c>
      <c r="P2452" t="s">
        <v>718</v>
      </c>
      <c r="R2452" s="154"/>
      <c r="S2452" s="154"/>
      <c r="T2452" s="154"/>
      <c r="U2452" s="154"/>
    </row>
    <row r="2453" spans="1:21" ht="15" customHeight="1" x14ac:dyDescent="0.3">
      <c r="A2453" t="str">
        <f t="shared" si="39"/>
        <v>11-0-HH 1RATE (CT)-SmartFIX – 5 Year Renewal (Level 2)</v>
      </c>
      <c r="B2453" t="s">
        <v>13</v>
      </c>
      <c r="C2453">
        <v>11</v>
      </c>
      <c r="D2453" s="100" t="s">
        <v>20</v>
      </c>
      <c r="E2453" t="s">
        <v>731</v>
      </c>
      <c r="F2453" t="s">
        <v>88</v>
      </c>
      <c r="G2453" t="s">
        <v>740</v>
      </c>
      <c r="H2453" s="128">
        <v>0.5131</v>
      </c>
      <c r="I2453" s="110">
        <v>0.1903</v>
      </c>
      <c r="L2453">
        <v>5000</v>
      </c>
      <c r="M2453">
        <v>500000</v>
      </c>
      <c r="N2453" s="105">
        <v>44378</v>
      </c>
      <c r="O2453" s="105">
        <v>44561</v>
      </c>
      <c r="P2453" t="s">
        <v>718</v>
      </c>
      <c r="R2453" s="154"/>
      <c r="S2453" s="154"/>
      <c r="T2453" s="154"/>
      <c r="U2453" s="154"/>
    </row>
    <row r="2454" spans="1:21" ht="15" customHeight="1" x14ac:dyDescent="0.3">
      <c r="A2454" t="str">
        <f t="shared" si="39"/>
        <v>12-0-HH 1RATE (CT)-SmartFIX – 5 Year Renewal (Level 2)</v>
      </c>
      <c r="B2454" t="s">
        <v>13</v>
      </c>
      <c r="C2454">
        <v>12</v>
      </c>
      <c r="D2454" s="100" t="s">
        <v>21</v>
      </c>
      <c r="E2454" t="s">
        <v>731</v>
      </c>
      <c r="F2454" t="s">
        <v>88</v>
      </c>
      <c r="G2454" t="s">
        <v>740</v>
      </c>
      <c r="H2454" s="128">
        <v>0.47360000000000002</v>
      </c>
      <c r="I2454" s="110">
        <v>0.188</v>
      </c>
      <c r="L2454">
        <v>5000</v>
      </c>
      <c r="M2454">
        <v>500000</v>
      </c>
      <c r="N2454" s="105">
        <v>44378</v>
      </c>
      <c r="O2454" s="105">
        <v>44561</v>
      </c>
      <c r="P2454" t="s">
        <v>718</v>
      </c>
      <c r="R2454" s="154"/>
      <c r="S2454" s="154"/>
      <c r="T2454" s="154"/>
      <c r="U2454" s="154"/>
    </row>
    <row r="2455" spans="1:21" ht="15" customHeight="1" x14ac:dyDescent="0.3">
      <c r="A2455" t="str">
        <f t="shared" si="39"/>
        <v>13-0-HH 1RATE (CT)-SmartFIX – 5 Year Renewal (Level 2)</v>
      </c>
      <c r="B2455" t="s">
        <v>13</v>
      </c>
      <c r="C2455">
        <v>13</v>
      </c>
      <c r="D2455" s="100" t="s">
        <v>22</v>
      </c>
      <c r="E2455" t="s">
        <v>731</v>
      </c>
      <c r="F2455" t="s">
        <v>88</v>
      </c>
      <c r="G2455" t="s">
        <v>740</v>
      </c>
      <c r="H2455" s="128">
        <v>0.66479999999999995</v>
      </c>
      <c r="I2455" s="110">
        <v>0.23719999999999999</v>
      </c>
      <c r="L2455">
        <v>5000</v>
      </c>
      <c r="M2455">
        <v>500000</v>
      </c>
      <c r="N2455" s="105">
        <v>44378</v>
      </c>
      <c r="O2455" s="105">
        <v>44561</v>
      </c>
      <c r="P2455" t="s">
        <v>718</v>
      </c>
      <c r="R2455" s="154"/>
      <c r="S2455" s="154"/>
      <c r="T2455" s="154"/>
      <c r="U2455" s="154"/>
    </row>
    <row r="2456" spans="1:21" ht="15" customHeight="1" x14ac:dyDescent="0.3">
      <c r="A2456" t="str">
        <f t="shared" si="39"/>
        <v>14-0-HH 1RATE (CT)-SmartFIX – 5 Year Renewal (Level 2)</v>
      </c>
      <c r="B2456" t="s">
        <v>13</v>
      </c>
      <c r="C2456">
        <v>14</v>
      </c>
      <c r="D2456" s="100" t="s">
        <v>23</v>
      </c>
      <c r="E2456" t="s">
        <v>731</v>
      </c>
      <c r="F2456" t="s">
        <v>88</v>
      </c>
      <c r="G2456" t="s">
        <v>740</v>
      </c>
      <c r="H2456" s="128">
        <v>0.52710000000000001</v>
      </c>
      <c r="I2456" s="110">
        <v>0.1951</v>
      </c>
      <c r="L2456">
        <v>5000</v>
      </c>
      <c r="M2456">
        <v>500000</v>
      </c>
      <c r="N2456" s="105">
        <v>44378</v>
      </c>
      <c r="O2456" s="105">
        <v>44561</v>
      </c>
      <c r="P2456" t="s">
        <v>718</v>
      </c>
      <c r="R2456" s="154"/>
      <c r="S2456" s="154"/>
      <c r="T2456" s="154"/>
      <c r="U2456" s="154"/>
    </row>
    <row r="2457" spans="1:21" ht="15" customHeight="1" x14ac:dyDescent="0.3">
      <c r="A2457" t="str">
        <f t="shared" si="39"/>
        <v>15-0-HH 1RATE (CT)-SmartFIX – 5 Year Renewal (Level 2)</v>
      </c>
      <c r="B2457" t="s">
        <v>13</v>
      </c>
      <c r="C2457">
        <v>15</v>
      </c>
      <c r="D2457" s="100" t="s">
        <v>24</v>
      </c>
      <c r="E2457" t="s">
        <v>731</v>
      </c>
      <c r="F2457" t="s">
        <v>88</v>
      </c>
      <c r="G2457" t="s">
        <v>740</v>
      </c>
      <c r="H2457" s="128">
        <v>0.63759999999999994</v>
      </c>
      <c r="I2457" s="110">
        <v>0.19040000000000001</v>
      </c>
      <c r="L2457">
        <v>5000</v>
      </c>
      <c r="M2457">
        <v>500000</v>
      </c>
      <c r="N2457" s="105">
        <v>44378</v>
      </c>
      <c r="O2457" s="105">
        <v>44561</v>
      </c>
      <c r="P2457" t="s">
        <v>718</v>
      </c>
      <c r="R2457" s="154"/>
      <c r="S2457" s="154"/>
      <c r="T2457" s="154"/>
      <c r="U2457" s="154"/>
    </row>
    <row r="2458" spans="1:21" ht="15" customHeight="1" x14ac:dyDescent="0.3">
      <c r="A2458" t="str">
        <f t="shared" si="39"/>
        <v>16-0-HH 1RATE (CT)-SmartFIX – 5 Year Renewal (Level 2)</v>
      </c>
      <c r="B2458" t="s">
        <v>13</v>
      </c>
      <c r="C2458">
        <v>16</v>
      </c>
      <c r="D2458" s="100" t="s">
        <v>25</v>
      </c>
      <c r="E2458" t="s">
        <v>731</v>
      </c>
      <c r="F2458" t="s">
        <v>88</v>
      </c>
      <c r="G2458" t="s">
        <v>740</v>
      </c>
      <c r="H2458" s="128">
        <v>0.59379999999999999</v>
      </c>
      <c r="I2458" s="110">
        <v>0.19309999999999999</v>
      </c>
      <c r="L2458">
        <v>5000</v>
      </c>
      <c r="M2458">
        <v>500000</v>
      </c>
      <c r="N2458" s="105">
        <v>44378</v>
      </c>
      <c r="O2458" s="105">
        <v>44561</v>
      </c>
      <c r="P2458" t="s">
        <v>718</v>
      </c>
      <c r="R2458" s="154"/>
      <c r="S2458" s="154"/>
      <c r="T2458" s="154"/>
      <c r="U2458" s="154"/>
    </row>
    <row r="2459" spans="1:21" ht="15" customHeight="1" x14ac:dyDescent="0.3">
      <c r="A2459" t="str">
        <f t="shared" si="39"/>
        <v>17-0-HH 1RATE (CT)-SmartFIX – 5 Year Renewal (Level 2)</v>
      </c>
      <c r="B2459" t="s">
        <v>13</v>
      </c>
      <c r="C2459">
        <v>17</v>
      </c>
      <c r="D2459" s="100" t="s">
        <v>26</v>
      </c>
      <c r="E2459" t="s">
        <v>731</v>
      </c>
      <c r="F2459" t="s">
        <v>88</v>
      </c>
      <c r="G2459" t="s">
        <v>740</v>
      </c>
      <c r="H2459" s="128">
        <v>0.80389999999999995</v>
      </c>
      <c r="I2459" s="110">
        <v>0.21310000000000001</v>
      </c>
      <c r="L2459">
        <v>5000</v>
      </c>
      <c r="M2459">
        <v>500000</v>
      </c>
      <c r="N2459" s="105">
        <v>44378</v>
      </c>
      <c r="O2459" s="105">
        <v>44561</v>
      </c>
      <c r="P2459" t="s">
        <v>718</v>
      </c>
      <c r="R2459" s="154"/>
      <c r="S2459" s="154"/>
      <c r="T2459" s="154"/>
      <c r="U2459" s="154"/>
    </row>
    <row r="2460" spans="1:21" ht="15" customHeight="1" x14ac:dyDescent="0.3">
      <c r="A2460" t="str">
        <f t="shared" si="39"/>
        <v>18-0-HH 1RATE (CT)-SmartFIX – 5 Year Renewal (Level 2)</v>
      </c>
      <c r="B2460" t="s">
        <v>13</v>
      </c>
      <c r="C2460">
        <v>18</v>
      </c>
      <c r="D2460" s="100" t="s">
        <v>27</v>
      </c>
      <c r="E2460" t="s">
        <v>731</v>
      </c>
      <c r="F2460" t="s">
        <v>88</v>
      </c>
      <c r="G2460" t="s">
        <v>740</v>
      </c>
      <c r="H2460" s="128">
        <v>0.7369</v>
      </c>
      <c r="I2460" s="110">
        <v>0.1918</v>
      </c>
      <c r="L2460">
        <v>5000</v>
      </c>
      <c r="M2460">
        <v>500000</v>
      </c>
      <c r="N2460" s="105">
        <v>44378</v>
      </c>
      <c r="O2460" s="105">
        <v>44561</v>
      </c>
      <c r="P2460" t="s">
        <v>718</v>
      </c>
      <c r="R2460" s="154"/>
      <c r="S2460" s="154"/>
      <c r="T2460" s="154"/>
      <c r="U2460" s="154"/>
    </row>
    <row r="2461" spans="1:21" ht="15" customHeight="1" x14ac:dyDescent="0.3">
      <c r="A2461" t="str">
        <f t="shared" si="39"/>
        <v>19-0-HH 1RATE (CT)-SmartFIX – 5 Year Renewal (Level 2)</v>
      </c>
      <c r="B2461" t="s">
        <v>13</v>
      </c>
      <c r="C2461">
        <v>19</v>
      </c>
      <c r="D2461" s="100" t="s">
        <v>28</v>
      </c>
      <c r="E2461" t="s">
        <v>731</v>
      </c>
      <c r="F2461" t="s">
        <v>88</v>
      </c>
      <c r="G2461" t="s">
        <v>740</v>
      </c>
      <c r="H2461" s="128">
        <v>0.57909999999999995</v>
      </c>
      <c r="I2461" s="110">
        <v>0.19340000000000002</v>
      </c>
      <c r="L2461">
        <v>5000</v>
      </c>
      <c r="M2461">
        <v>500000</v>
      </c>
      <c r="N2461" s="105">
        <v>44378</v>
      </c>
      <c r="O2461" s="105">
        <v>44561</v>
      </c>
      <c r="P2461" t="s">
        <v>718</v>
      </c>
      <c r="R2461" s="154"/>
      <c r="S2461" s="154"/>
      <c r="T2461" s="154"/>
      <c r="U2461" s="154"/>
    </row>
    <row r="2462" spans="1:21" ht="15" customHeight="1" x14ac:dyDescent="0.3">
      <c r="A2462" t="str">
        <f t="shared" si="39"/>
        <v>20-0-HH 1RATE (CT)-SmartFIX – 5 Year Renewal (Level 2)</v>
      </c>
      <c r="B2462" t="s">
        <v>13</v>
      </c>
      <c r="C2462">
        <v>20</v>
      </c>
      <c r="D2462" s="100" t="s">
        <v>29</v>
      </c>
      <c r="E2462" t="s">
        <v>731</v>
      </c>
      <c r="F2462" t="s">
        <v>88</v>
      </c>
      <c r="G2462" t="s">
        <v>740</v>
      </c>
      <c r="H2462" s="128">
        <v>0.61180000000000001</v>
      </c>
      <c r="I2462" s="110">
        <v>0.19440000000000002</v>
      </c>
      <c r="L2462">
        <v>5000</v>
      </c>
      <c r="M2462">
        <v>500000</v>
      </c>
      <c r="N2462" s="105">
        <v>44378</v>
      </c>
      <c r="O2462" s="105">
        <v>44561</v>
      </c>
      <c r="P2462" t="s">
        <v>718</v>
      </c>
      <c r="R2462" s="154"/>
      <c r="S2462" s="154"/>
      <c r="T2462" s="154"/>
      <c r="U2462" s="154"/>
    </row>
    <row r="2463" spans="1:21" ht="15" customHeight="1" x14ac:dyDescent="0.3">
      <c r="A2463" t="str">
        <f t="shared" si="39"/>
        <v>21-0-HH 1RATE (CT)-SmartFIX – 5 Year Renewal (Level 2)</v>
      </c>
      <c r="B2463" t="s">
        <v>13</v>
      </c>
      <c r="C2463">
        <v>21</v>
      </c>
      <c r="D2463" s="100" t="s">
        <v>30</v>
      </c>
      <c r="E2463" t="s">
        <v>731</v>
      </c>
      <c r="F2463" t="s">
        <v>88</v>
      </c>
      <c r="G2463" t="s">
        <v>740</v>
      </c>
      <c r="H2463" s="128">
        <v>0.62819999999999998</v>
      </c>
      <c r="I2463" s="110">
        <v>0.19839999999999999</v>
      </c>
      <c r="L2463">
        <v>5000</v>
      </c>
      <c r="M2463">
        <v>500000</v>
      </c>
      <c r="N2463" s="105">
        <v>44378</v>
      </c>
      <c r="O2463" s="105">
        <v>44561</v>
      </c>
      <c r="P2463" t="s">
        <v>718</v>
      </c>
      <c r="R2463" s="154"/>
      <c r="S2463" s="154"/>
      <c r="T2463" s="154"/>
      <c r="U2463" s="154"/>
    </row>
    <row r="2464" spans="1:21" ht="15" customHeight="1" x14ac:dyDescent="0.3">
      <c r="A2464" t="str">
        <f t="shared" si="39"/>
        <v>22-0-HH 1RATE (CT)-SmartFIX – 5 Year Renewal (Level 2)</v>
      </c>
      <c r="B2464" t="s">
        <v>13</v>
      </c>
      <c r="C2464">
        <v>22</v>
      </c>
      <c r="D2464" s="100" t="s">
        <v>31</v>
      </c>
      <c r="E2464" t="s">
        <v>731</v>
      </c>
      <c r="F2464" t="s">
        <v>88</v>
      </c>
      <c r="G2464" t="s">
        <v>740</v>
      </c>
      <c r="H2464" s="128">
        <v>0.55100000000000005</v>
      </c>
      <c r="I2464" s="110">
        <v>0.18990000000000001</v>
      </c>
      <c r="L2464">
        <v>5000</v>
      </c>
      <c r="M2464">
        <v>500000</v>
      </c>
      <c r="N2464" s="105">
        <v>44378</v>
      </c>
      <c r="O2464" s="105">
        <v>44561</v>
      </c>
      <c r="P2464" t="s">
        <v>718</v>
      </c>
      <c r="R2464" s="154"/>
      <c r="S2464" s="154"/>
      <c r="T2464" s="154"/>
      <c r="U2464" s="154"/>
    </row>
    <row r="2465" spans="1:21" ht="15" customHeight="1" x14ac:dyDescent="0.3">
      <c r="A2465" t="str">
        <f t="shared" si="39"/>
        <v>23-0-HH 1RATE (CT)-SmartFIX – 5 Year Renewal (Level 2)</v>
      </c>
      <c r="B2465" t="s">
        <v>13</v>
      </c>
      <c r="C2465">
        <v>23</v>
      </c>
      <c r="D2465" s="100" t="s">
        <v>32</v>
      </c>
      <c r="E2465" t="s">
        <v>731</v>
      </c>
      <c r="F2465" t="s">
        <v>88</v>
      </c>
      <c r="G2465" t="s">
        <v>740</v>
      </c>
      <c r="H2465" s="128">
        <v>0.65769999999999995</v>
      </c>
      <c r="I2465" s="110">
        <v>0.191</v>
      </c>
      <c r="L2465">
        <v>5000</v>
      </c>
      <c r="M2465">
        <v>500000</v>
      </c>
      <c r="N2465" s="105">
        <v>44378</v>
      </c>
      <c r="O2465" s="105">
        <v>44561</v>
      </c>
      <c r="P2465" t="s">
        <v>718</v>
      </c>
      <c r="R2465" s="154"/>
      <c r="S2465" s="154"/>
      <c r="T2465" s="154"/>
      <c r="U2465" s="154"/>
    </row>
    <row r="2466" spans="1:21" ht="15" customHeight="1" x14ac:dyDescent="0.3">
      <c r="A2466" t="str">
        <f t="shared" si="39"/>
        <v>10-0-HH 2RATE (WC)-SmartFIX – 5 Year (Level 2)</v>
      </c>
      <c r="B2466" t="s">
        <v>13</v>
      </c>
      <c r="C2466">
        <v>10</v>
      </c>
      <c r="D2466" s="100" t="s">
        <v>14</v>
      </c>
      <c r="E2466" t="s">
        <v>730</v>
      </c>
      <c r="F2466" t="s">
        <v>88</v>
      </c>
      <c r="G2466" t="s">
        <v>739</v>
      </c>
      <c r="H2466" s="128">
        <v>0.41920000000000002</v>
      </c>
      <c r="I2466" s="110">
        <v>0.17960000000000001</v>
      </c>
      <c r="J2466" s="110">
        <v>0.12470000000000001</v>
      </c>
      <c r="K2466" s="110" t="s">
        <v>717</v>
      </c>
      <c r="L2466">
        <v>5000</v>
      </c>
      <c r="M2466">
        <v>500000</v>
      </c>
      <c r="N2466" s="105">
        <v>44378</v>
      </c>
      <c r="O2466" s="105">
        <v>44561</v>
      </c>
      <c r="P2466" t="s">
        <v>718</v>
      </c>
      <c r="R2466" s="154"/>
      <c r="S2466" s="154"/>
      <c r="T2466" s="154"/>
      <c r="U2466" s="154"/>
    </row>
    <row r="2467" spans="1:21" ht="15" customHeight="1" x14ac:dyDescent="0.3">
      <c r="A2467" t="str">
        <f t="shared" ref="A2467:A2530" si="40">IF(E2467="OP","",CONCATENATE(C2467,"-",RIGHT(F2467,1),"-",IF(OR(E2467="1 Rate MD",E2467="DAY"),"U",IF(OR(E2467="2 Rate MD",E2467="E7"),"E7",IF(OR(E2467="3 Rate MD (EW)",E2467="EW"),"EW",IF(OR(E2467="3 Rate MD",E2467="EWN"),"3RATE",IF(E2467="HH 2RATE (CT)","HH 2RATE (CT)",IF(E2467="HH 2RATE (WC)","HH 2RATE (WC)",IF(E2467="HH 1RATE (CT)","HH 1RATE (CT)",IF(E2467="HH 1RATE (WC)","HH 1RATE (WC)")))))))),"-",G2467))</f>
        <v>11-0-HH 2RATE (WC)-SmartFIX – 5 Year (Level 2)</v>
      </c>
      <c r="B2467" t="s">
        <v>13</v>
      </c>
      <c r="C2467">
        <v>11</v>
      </c>
      <c r="D2467" s="100" t="s">
        <v>20</v>
      </c>
      <c r="E2467" t="s">
        <v>730</v>
      </c>
      <c r="F2467" t="s">
        <v>88</v>
      </c>
      <c r="G2467" t="s">
        <v>739</v>
      </c>
      <c r="H2467" s="128">
        <v>0.42980000000000002</v>
      </c>
      <c r="I2467" s="110">
        <v>0.17560000000000001</v>
      </c>
      <c r="J2467" s="110">
        <v>0.12920000000000001</v>
      </c>
      <c r="K2467" s="110" t="s">
        <v>717</v>
      </c>
      <c r="L2467">
        <v>5000</v>
      </c>
      <c r="M2467">
        <v>500000</v>
      </c>
      <c r="N2467" s="105">
        <v>44378</v>
      </c>
      <c r="O2467" s="105">
        <v>44561</v>
      </c>
      <c r="P2467" t="s">
        <v>718</v>
      </c>
      <c r="R2467" s="154"/>
      <c r="S2467" s="154"/>
      <c r="T2467" s="154"/>
      <c r="U2467" s="154"/>
    </row>
    <row r="2468" spans="1:21" ht="15" customHeight="1" x14ac:dyDescent="0.3">
      <c r="A2468" t="str">
        <f t="shared" si="40"/>
        <v>12-0-HH 2RATE (WC)-SmartFIX – 5 Year (Level 2)</v>
      </c>
      <c r="B2468" t="s">
        <v>13</v>
      </c>
      <c r="C2468">
        <v>12</v>
      </c>
      <c r="D2468" s="100" t="s">
        <v>21</v>
      </c>
      <c r="E2468" t="s">
        <v>730</v>
      </c>
      <c r="F2468" t="s">
        <v>88</v>
      </c>
      <c r="G2468" t="s">
        <v>739</v>
      </c>
      <c r="H2468" s="128">
        <v>0.35099999999999998</v>
      </c>
      <c r="I2468" s="110">
        <v>0.1709</v>
      </c>
      <c r="J2468" s="110">
        <v>0.1178</v>
      </c>
      <c r="K2468" s="110" t="s">
        <v>717</v>
      </c>
      <c r="L2468">
        <v>5000</v>
      </c>
      <c r="M2468">
        <v>500000</v>
      </c>
      <c r="N2468" s="105">
        <v>44378</v>
      </c>
      <c r="O2468" s="105">
        <v>44561</v>
      </c>
      <c r="P2468" t="s">
        <v>718</v>
      </c>
      <c r="R2468" s="154"/>
      <c r="S2468" s="154"/>
      <c r="T2468" s="154"/>
      <c r="U2468" s="154"/>
    </row>
    <row r="2469" spans="1:21" ht="15" customHeight="1" x14ac:dyDescent="0.3">
      <c r="A2469" t="str">
        <f t="shared" si="40"/>
        <v>13-0-HH 2RATE (WC)-SmartFIX – 5 Year (Level 2)</v>
      </c>
      <c r="B2469" t="s">
        <v>13</v>
      </c>
      <c r="C2469">
        <v>13</v>
      </c>
      <c r="D2469" s="100" t="s">
        <v>22</v>
      </c>
      <c r="E2469" t="s">
        <v>730</v>
      </c>
      <c r="F2469" t="s">
        <v>88</v>
      </c>
      <c r="G2469" t="s">
        <v>739</v>
      </c>
      <c r="H2469" s="128">
        <v>0.39379999999999998</v>
      </c>
      <c r="I2469" s="110">
        <v>0.1981</v>
      </c>
      <c r="J2469" s="110">
        <v>0.13969999999999999</v>
      </c>
      <c r="K2469" s="110" t="s">
        <v>717</v>
      </c>
      <c r="L2469">
        <v>5000</v>
      </c>
      <c r="M2469">
        <v>500000</v>
      </c>
      <c r="N2469" s="105">
        <v>44378</v>
      </c>
      <c r="O2469" s="105">
        <v>44561</v>
      </c>
      <c r="P2469" t="s">
        <v>718</v>
      </c>
      <c r="R2469" s="154"/>
      <c r="S2469" s="154"/>
      <c r="T2469" s="154"/>
      <c r="U2469" s="154"/>
    </row>
    <row r="2470" spans="1:21" ht="15" customHeight="1" x14ac:dyDescent="0.3">
      <c r="A2470" t="str">
        <f t="shared" si="40"/>
        <v>14-0-HH 2RATE (WC)-SmartFIX – 5 Year (Level 2)</v>
      </c>
      <c r="B2470" t="s">
        <v>13</v>
      </c>
      <c r="C2470">
        <v>14</v>
      </c>
      <c r="D2470" s="100" t="s">
        <v>23</v>
      </c>
      <c r="E2470" t="s">
        <v>730</v>
      </c>
      <c r="F2470" t="s">
        <v>88</v>
      </c>
      <c r="G2470" t="s">
        <v>739</v>
      </c>
      <c r="H2470" s="128">
        <v>0.45290000000000002</v>
      </c>
      <c r="I2470" s="110">
        <v>0.1782</v>
      </c>
      <c r="J2470" s="110">
        <v>0.1341</v>
      </c>
      <c r="K2470" s="110" t="s">
        <v>717</v>
      </c>
      <c r="L2470">
        <v>5000</v>
      </c>
      <c r="M2470">
        <v>500000</v>
      </c>
      <c r="N2470" s="105">
        <v>44378</v>
      </c>
      <c r="O2470" s="105">
        <v>44561</v>
      </c>
      <c r="P2470" t="s">
        <v>718</v>
      </c>
      <c r="R2470" s="154"/>
      <c r="S2470" s="154"/>
      <c r="T2470" s="154"/>
      <c r="U2470" s="154"/>
    </row>
    <row r="2471" spans="1:21" ht="15" customHeight="1" x14ac:dyDescent="0.3">
      <c r="A2471" t="str">
        <f t="shared" si="40"/>
        <v>15-0-HH 2RATE (WC)-SmartFIX – 5 Year (Level 2)</v>
      </c>
      <c r="B2471" t="s">
        <v>13</v>
      </c>
      <c r="C2471">
        <v>15</v>
      </c>
      <c r="D2471" s="100" t="s">
        <v>24</v>
      </c>
      <c r="E2471" t="s">
        <v>730</v>
      </c>
      <c r="F2471" t="s">
        <v>88</v>
      </c>
      <c r="G2471" t="s">
        <v>739</v>
      </c>
      <c r="H2471" s="128">
        <v>0.42909999999999998</v>
      </c>
      <c r="I2471" s="110">
        <v>0.17799999999999999</v>
      </c>
      <c r="J2471" s="110">
        <v>0.1323</v>
      </c>
      <c r="K2471" s="110" t="s">
        <v>717</v>
      </c>
      <c r="L2471">
        <v>5000</v>
      </c>
      <c r="M2471">
        <v>500000</v>
      </c>
      <c r="N2471" s="105">
        <v>44378</v>
      </c>
      <c r="O2471" s="105">
        <v>44561</v>
      </c>
      <c r="P2471" t="s">
        <v>718</v>
      </c>
      <c r="R2471" s="154"/>
      <c r="S2471" s="154"/>
      <c r="T2471" s="154"/>
      <c r="U2471" s="154"/>
    </row>
    <row r="2472" spans="1:21" ht="15" customHeight="1" x14ac:dyDescent="0.3">
      <c r="A2472" t="str">
        <f t="shared" si="40"/>
        <v>16-0-HH 2RATE (WC)-SmartFIX – 5 Year (Level 2)</v>
      </c>
      <c r="B2472" t="s">
        <v>13</v>
      </c>
      <c r="C2472">
        <v>16</v>
      </c>
      <c r="D2472" s="100" t="s">
        <v>25</v>
      </c>
      <c r="E2472" t="s">
        <v>730</v>
      </c>
      <c r="F2472" t="s">
        <v>88</v>
      </c>
      <c r="G2472" t="s">
        <v>739</v>
      </c>
      <c r="H2472" s="128">
        <v>0.38250000000000001</v>
      </c>
      <c r="I2472" s="110">
        <v>0.18149999999999999</v>
      </c>
      <c r="J2472" s="110">
        <v>0.12989999999999999</v>
      </c>
      <c r="K2472" s="110" t="s">
        <v>717</v>
      </c>
      <c r="L2472">
        <v>5000</v>
      </c>
      <c r="M2472">
        <v>500000</v>
      </c>
      <c r="N2472" s="105">
        <v>44378</v>
      </c>
      <c r="O2472" s="105">
        <v>44561</v>
      </c>
      <c r="P2472" t="s">
        <v>718</v>
      </c>
      <c r="R2472" s="154"/>
      <c r="S2472" s="154"/>
      <c r="T2472" s="154"/>
      <c r="U2472" s="154"/>
    </row>
    <row r="2473" spans="1:21" ht="15" customHeight="1" x14ac:dyDescent="0.3">
      <c r="A2473" t="str">
        <f t="shared" si="40"/>
        <v>17-0-HH 2RATE (WC)-SmartFIX – 5 Year (Level 2)</v>
      </c>
      <c r="B2473" t="s">
        <v>13</v>
      </c>
      <c r="C2473">
        <v>17</v>
      </c>
      <c r="D2473" s="100" t="s">
        <v>26</v>
      </c>
      <c r="E2473" t="s">
        <v>730</v>
      </c>
      <c r="F2473" t="s">
        <v>88</v>
      </c>
      <c r="G2473" t="s">
        <v>739</v>
      </c>
      <c r="H2473" s="128">
        <v>0.46820000000000001</v>
      </c>
      <c r="I2473" s="110">
        <v>0.1943</v>
      </c>
      <c r="J2473" s="110">
        <v>0.14849999999999999</v>
      </c>
      <c r="K2473" s="110" t="s">
        <v>717</v>
      </c>
      <c r="L2473">
        <v>5000</v>
      </c>
      <c r="M2473">
        <v>500000</v>
      </c>
      <c r="N2473" s="105">
        <v>44378</v>
      </c>
      <c r="O2473" s="105">
        <v>44561</v>
      </c>
      <c r="P2473" t="s">
        <v>718</v>
      </c>
      <c r="R2473" s="154"/>
      <c r="S2473" s="154"/>
      <c r="T2473" s="154"/>
      <c r="U2473" s="154"/>
    </row>
    <row r="2474" spans="1:21" ht="15" customHeight="1" x14ac:dyDescent="0.3">
      <c r="A2474" t="str">
        <f t="shared" si="40"/>
        <v>18-0-HH 2RATE (WC)-SmartFIX – 5 Year (Level 2)</v>
      </c>
      <c r="B2474" t="s">
        <v>13</v>
      </c>
      <c r="C2474">
        <v>18</v>
      </c>
      <c r="D2474" s="100" t="s">
        <v>27</v>
      </c>
      <c r="E2474" t="s">
        <v>730</v>
      </c>
      <c r="F2474" t="s">
        <v>88</v>
      </c>
      <c r="G2474" t="s">
        <v>739</v>
      </c>
      <c r="H2474" s="128">
        <v>0.41039999999999999</v>
      </c>
      <c r="I2474" s="110">
        <v>0.19789999999999999</v>
      </c>
      <c r="J2474" s="110">
        <v>0.14749999999999999</v>
      </c>
      <c r="K2474" s="110" t="s">
        <v>717</v>
      </c>
      <c r="L2474">
        <v>5000</v>
      </c>
      <c r="M2474">
        <v>500000</v>
      </c>
      <c r="N2474" s="105">
        <v>44378</v>
      </c>
      <c r="O2474" s="105">
        <v>44561</v>
      </c>
      <c r="P2474" t="s">
        <v>718</v>
      </c>
      <c r="R2474" s="154"/>
      <c r="S2474" s="154"/>
      <c r="T2474" s="154"/>
      <c r="U2474" s="154"/>
    </row>
    <row r="2475" spans="1:21" ht="15" customHeight="1" x14ac:dyDescent="0.3">
      <c r="A2475" t="str">
        <f t="shared" si="40"/>
        <v>19-0-HH 2RATE (WC)-SmartFIX – 5 Year (Level 2)</v>
      </c>
      <c r="B2475" t="s">
        <v>13</v>
      </c>
      <c r="C2475">
        <v>19</v>
      </c>
      <c r="D2475" s="100" t="s">
        <v>28</v>
      </c>
      <c r="E2475" t="s">
        <v>730</v>
      </c>
      <c r="F2475" t="s">
        <v>88</v>
      </c>
      <c r="G2475" t="s">
        <v>739</v>
      </c>
      <c r="H2475" s="128">
        <v>0.41199999999999998</v>
      </c>
      <c r="I2475" s="110">
        <v>0.1817</v>
      </c>
      <c r="J2475" s="110">
        <v>0.12939999999999999</v>
      </c>
      <c r="K2475" s="110" t="s">
        <v>717</v>
      </c>
      <c r="L2475">
        <v>5000</v>
      </c>
      <c r="M2475">
        <v>500000</v>
      </c>
      <c r="N2475" s="105">
        <v>44378</v>
      </c>
      <c r="O2475" s="105">
        <v>44561</v>
      </c>
      <c r="P2475" t="s">
        <v>718</v>
      </c>
      <c r="R2475" s="154"/>
      <c r="S2475" s="154"/>
      <c r="T2475" s="154"/>
      <c r="U2475" s="154"/>
    </row>
    <row r="2476" spans="1:21" ht="15" customHeight="1" x14ac:dyDescent="0.3">
      <c r="A2476" t="str">
        <f t="shared" si="40"/>
        <v>20-0-HH 2RATE (WC)-SmartFIX – 5 Year (Level 2)</v>
      </c>
      <c r="B2476" t="s">
        <v>13</v>
      </c>
      <c r="C2476">
        <v>20</v>
      </c>
      <c r="D2476" s="100" t="s">
        <v>29</v>
      </c>
      <c r="E2476" t="s">
        <v>730</v>
      </c>
      <c r="F2476" t="s">
        <v>88</v>
      </c>
      <c r="G2476" t="s">
        <v>739</v>
      </c>
      <c r="H2476" s="128">
        <v>0.40510000000000002</v>
      </c>
      <c r="I2476" s="110">
        <v>0.1862</v>
      </c>
      <c r="J2476" s="110">
        <v>0.1321</v>
      </c>
      <c r="K2476" s="110" t="s">
        <v>717</v>
      </c>
      <c r="L2476">
        <v>5000</v>
      </c>
      <c r="M2476">
        <v>500000</v>
      </c>
      <c r="N2476" s="105">
        <v>44378</v>
      </c>
      <c r="O2476" s="105">
        <v>44561</v>
      </c>
      <c r="P2476" t="s">
        <v>718</v>
      </c>
      <c r="R2476" s="154"/>
      <c r="S2476" s="154"/>
      <c r="T2476" s="154"/>
      <c r="U2476" s="154"/>
    </row>
    <row r="2477" spans="1:21" ht="15" customHeight="1" x14ac:dyDescent="0.3">
      <c r="A2477" t="str">
        <f t="shared" si="40"/>
        <v>21-0-HH 2RATE (WC)-SmartFIX – 5 Year (Level 2)</v>
      </c>
      <c r="B2477" t="s">
        <v>13</v>
      </c>
      <c r="C2477">
        <v>21</v>
      </c>
      <c r="D2477" s="100" t="s">
        <v>30</v>
      </c>
      <c r="E2477" t="s">
        <v>730</v>
      </c>
      <c r="F2477" t="s">
        <v>88</v>
      </c>
      <c r="G2477" t="s">
        <v>739</v>
      </c>
      <c r="H2477" s="128">
        <v>0.51429999999999998</v>
      </c>
      <c r="I2477" s="110">
        <v>0.17749999999999999</v>
      </c>
      <c r="J2477" s="110">
        <v>0.13320000000000001</v>
      </c>
      <c r="K2477" s="110" t="s">
        <v>717</v>
      </c>
      <c r="L2477">
        <v>5000</v>
      </c>
      <c r="M2477">
        <v>500000</v>
      </c>
      <c r="N2477" s="105">
        <v>44378</v>
      </c>
      <c r="O2477" s="105">
        <v>44561</v>
      </c>
      <c r="P2477" t="s">
        <v>718</v>
      </c>
      <c r="R2477" s="154"/>
      <c r="S2477" s="154"/>
      <c r="T2477" s="154"/>
      <c r="U2477" s="154"/>
    </row>
    <row r="2478" spans="1:21" ht="15" customHeight="1" x14ac:dyDescent="0.3">
      <c r="A2478" t="str">
        <f t="shared" si="40"/>
        <v>22-0-HH 2RATE (WC)-SmartFIX – 5 Year (Level 2)</v>
      </c>
      <c r="B2478" t="s">
        <v>13</v>
      </c>
      <c r="C2478">
        <v>22</v>
      </c>
      <c r="D2478" s="100" t="s">
        <v>31</v>
      </c>
      <c r="E2478" t="s">
        <v>730</v>
      </c>
      <c r="F2478" t="s">
        <v>88</v>
      </c>
      <c r="G2478" t="s">
        <v>739</v>
      </c>
      <c r="H2478" s="128">
        <v>0.4617</v>
      </c>
      <c r="I2478" s="110">
        <v>0.1852</v>
      </c>
      <c r="J2478" s="110">
        <v>0.14319999999999999</v>
      </c>
      <c r="K2478" s="110" t="s">
        <v>717</v>
      </c>
      <c r="L2478">
        <v>5000</v>
      </c>
      <c r="M2478">
        <v>500000</v>
      </c>
      <c r="N2478" s="105">
        <v>44378</v>
      </c>
      <c r="O2478" s="105">
        <v>44561</v>
      </c>
      <c r="P2478" t="s">
        <v>718</v>
      </c>
      <c r="R2478" s="154"/>
      <c r="S2478" s="154"/>
      <c r="T2478" s="154"/>
      <c r="U2478" s="154"/>
    </row>
    <row r="2479" spans="1:21" ht="15" customHeight="1" x14ac:dyDescent="0.3">
      <c r="A2479" t="str">
        <f t="shared" si="40"/>
        <v>23-0-HH 2RATE (WC)-SmartFIX – 5 Year (Level 2)</v>
      </c>
      <c r="B2479" t="s">
        <v>13</v>
      </c>
      <c r="C2479">
        <v>23</v>
      </c>
      <c r="D2479" s="100" t="s">
        <v>32</v>
      </c>
      <c r="E2479" t="s">
        <v>730</v>
      </c>
      <c r="F2479" t="s">
        <v>88</v>
      </c>
      <c r="G2479" t="s">
        <v>739</v>
      </c>
      <c r="H2479" s="128">
        <v>0.4219</v>
      </c>
      <c r="I2479" s="110">
        <v>0.1744</v>
      </c>
      <c r="J2479" s="110">
        <v>0.12970000000000001</v>
      </c>
      <c r="K2479" s="110" t="s">
        <v>717</v>
      </c>
      <c r="L2479">
        <v>5000</v>
      </c>
      <c r="M2479">
        <v>500000</v>
      </c>
      <c r="N2479" s="105">
        <v>44378</v>
      </c>
      <c r="O2479" s="105">
        <v>44561</v>
      </c>
      <c r="P2479" t="s">
        <v>718</v>
      </c>
      <c r="R2479" s="154"/>
      <c r="S2479" s="154"/>
      <c r="T2479" s="154"/>
      <c r="U2479" s="154"/>
    </row>
    <row r="2480" spans="1:21" ht="15" customHeight="1" x14ac:dyDescent="0.3">
      <c r="A2480" t="str">
        <f t="shared" si="40"/>
        <v>10-0-HH 2RATE (WC)-SmartFIX – 5 Year Renewal (Level 2)</v>
      </c>
      <c r="B2480" t="s">
        <v>13</v>
      </c>
      <c r="C2480">
        <v>10</v>
      </c>
      <c r="D2480" s="100" t="s">
        <v>14</v>
      </c>
      <c r="E2480" t="s">
        <v>730</v>
      </c>
      <c r="F2480" t="s">
        <v>88</v>
      </c>
      <c r="G2480" t="s">
        <v>740</v>
      </c>
      <c r="H2480" s="128">
        <v>0.46110000000000001</v>
      </c>
      <c r="I2480" s="110">
        <v>0.18560000000000001</v>
      </c>
      <c r="J2480" s="110">
        <v>0.13070000000000001</v>
      </c>
      <c r="K2480" s="110" t="s">
        <v>717</v>
      </c>
      <c r="L2480">
        <v>5000</v>
      </c>
      <c r="M2480">
        <v>500000</v>
      </c>
      <c r="N2480" s="105">
        <v>44378</v>
      </c>
      <c r="O2480" s="105">
        <v>44561</v>
      </c>
      <c r="P2480" t="s">
        <v>718</v>
      </c>
      <c r="R2480" s="154"/>
      <c r="S2480" s="154"/>
      <c r="T2480" s="154"/>
      <c r="U2480" s="154"/>
    </row>
    <row r="2481" spans="1:21" ht="15" customHeight="1" x14ac:dyDescent="0.3">
      <c r="A2481" t="str">
        <f t="shared" si="40"/>
        <v>11-0-HH 2RATE (WC)-SmartFIX – 5 Year Renewal (Level 2)</v>
      </c>
      <c r="B2481" t="s">
        <v>13</v>
      </c>
      <c r="C2481">
        <v>11</v>
      </c>
      <c r="D2481" s="100" t="s">
        <v>20</v>
      </c>
      <c r="E2481" t="s">
        <v>730</v>
      </c>
      <c r="F2481" t="s">
        <v>88</v>
      </c>
      <c r="G2481" t="s">
        <v>740</v>
      </c>
      <c r="H2481" s="128">
        <v>0.47270000000000001</v>
      </c>
      <c r="I2481" s="110">
        <v>0.18160000000000001</v>
      </c>
      <c r="J2481" s="110">
        <v>0.13520000000000001</v>
      </c>
      <c r="K2481" s="110" t="s">
        <v>717</v>
      </c>
      <c r="L2481">
        <v>5000</v>
      </c>
      <c r="M2481">
        <v>500000</v>
      </c>
      <c r="N2481" s="105">
        <v>44378</v>
      </c>
      <c r="O2481" s="105">
        <v>44561</v>
      </c>
      <c r="P2481" t="s">
        <v>718</v>
      </c>
      <c r="R2481" s="154"/>
      <c r="S2481" s="154"/>
      <c r="T2481" s="154"/>
      <c r="U2481" s="154"/>
    </row>
    <row r="2482" spans="1:21" ht="15" customHeight="1" x14ac:dyDescent="0.3">
      <c r="A2482" t="str">
        <f t="shared" si="40"/>
        <v>12-0-HH 2RATE (WC)-SmartFIX – 5 Year Renewal (Level 2)</v>
      </c>
      <c r="B2482" t="s">
        <v>13</v>
      </c>
      <c r="C2482">
        <v>12</v>
      </c>
      <c r="D2482" s="100" t="s">
        <v>21</v>
      </c>
      <c r="E2482" t="s">
        <v>730</v>
      </c>
      <c r="F2482" t="s">
        <v>88</v>
      </c>
      <c r="G2482" t="s">
        <v>740</v>
      </c>
      <c r="H2482" s="128">
        <v>0.3861</v>
      </c>
      <c r="I2482" s="110">
        <v>0.1769</v>
      </c>
      <c r="J2482" s="110">
        <v>0.12380000000000001</v>
      </c>
      <c r="K2482" s="110" t="s">
        <v>717</v>
      </c>
      <c r="L2482">
        <v>5000</v>
      </c>
      <c r="M2482">
        <v>500000</v>
      </c>
      <c r="N2482" s="105">
        <v>44378</v>
      </c>
      <c r="O2482" s="105">
        <v>44561</v>
      </c>
      <c r="P2482" t="s">
        <v>718</v>
      </c>
      <c r="R2482" s="154"/>
      <c r="S2482" s="154"/>
      <c r="T2482" s="154"/>
      <c r="U2482" s="154"/>
    </row>
    <row r="2483" spans="1:21" ht="15" customHeight="1" x14ac:dyDescent="0.3">
      <c r="A2483" t="str">
        <f t="shared" si="40"/>
        <v>13-0-HH 2RATE (WC)-SmartFIX – 5 Year Renewal (Level 2)</v>
      </c>
      <c r="B2483" t="s">
        <v>13</v>
      </c>
      <c r="C2483">
        <v>13</v>
      </c>
      <c r="D2483" s="100" t="s">
        <v>22</v>
      </c>
      <c r="E2483" t="s">
        <v>730</v>
      </c>
      <c r="F2483" t="s">
        <v>88</v>
      </c>
      <c r="G2483" t="s">
        <v>740</v>
      </c>
      <c r="H2483" s="128">
        <v>0.43309999999999998</v>
      </c>
      <c r="I2483" s="110">
        <v>0.2041</v>
      </c>
      <c r="J2483" s="110">
        <v>0.1457</v>
      </c>
      <c r="K2483" s="110" t="s">
        <v>717</v>
      </c>
      <c r="L2483">
        <v>5000</v>
      </c>
      <c r="M2483">
        <v>500000</v>
      </c>
      <c r="N2483" s="105">
        <v>44378</v>
      </c>
      <c r="O2483" s="105">
        <v>44561</v>
      </c>
      <c r="P2483" t="s">
        <v>718</v>
      </c>
      <c r="R2483" s="154"/>
      <c r="S2483" s="154"/>
      <c r="T2483" s="154"/>
      <c r="U2483" s="154"/>
    </row>
    <row r="2484" spans="1:21" ht="15" customHeight="1" x14ac:dyDescent="0.3">
      <c r="A2484" t="str">
        <f t="shared" si="40"/>
        <v>14-0-HH 2RATE (WC)-SmartFIX – 5 Year Renewal (Level 2)</v>
      </c>
      <c r="B2484" t="s">
        <v>13</v>
      </c>
      <c r="C2484">
        <v>14</v>
      </c>
      <c r="D2484" s="100" t="s">
        <v>23</v>
      </c>
      <c r="E2484" t="s">
        <v>730</v>
      </c>
      <c r="F2484" t="s">
        <v>88</v>
      </c>
      <c r="G2484" t="s">
        <v>740</v>
      </c>
      <c r="H2484" s="128">
        <v>0.49819999999999998</v>
      </c>
      <c r="I2484" s="110">
        <v>0.1842</v>
      </c>
      <c r="J2484" s="110">
        <v>0.1401</v>
      </c>
      <c r="K2484" s="110" t="s">
        <v>717</v>
      </c>
      <c r="L2484">
        <v>5000</v>
      </c>
      <c r="M2484">
        <v>500000</v>
      </c>
      <c r="N2484" s="105">
        <v>44378</v>
      </c>
      <c r="O2484" s="105">
        <v>44561</v>
      </c>
      <c r="P2484" t="s">
        <v>718</v>
      </c>
      <c r="R2484" s="154"/>
      <c r="S2484" s="154"/>
      <c r="T2484" s="154"/>
      <c r="U2484" s="154"/>
    </row>
    <row r="2485" spans="1:21" ht="15" customHeight="1" x14ac:dyDescent="0.3">
      <c r="A2485" t="str">
        <f t="shared" si="40"/>
        <v>15-0-HH 2RATE (WC)-SmartFIX – 5 Year Renewal (Level 2)</v>
      </c>
      <c r="B2485" t="s">
        <v>13</v>
      </c>
      <c r="C2485">
        <v>15</v>
      </c>
      <c r="D2485" s="100" t="s">
        <v>24</v>
      </c>
      <c r="E2485" t="s">
        <v>730</v>
      </c>
      <c r="F2485" t="s">
        <v>88</v>
      </c>
      <c r="G2485" t="s">
        <v>740</v>
      </c>
      <c r="H2485" s="128">
        <v>0.47199999999999998</v>
      </c>
      <c r="I2485" s="110">
        <v>0.184</v>
      </c>
      <c r="J2485" s="110">
        <v>0.13830000000000001</v>
      </c>
      <c r="K2485" s="110" t="s">
        <v>717</v>
      </c>
      <c r="L2485">
        <v>5000</v>
      </c>
      <c r="M2485">
        <v>500000</v>
      </c>
      <c r="N2485" s="105">
        <v>44378</v>
      </c>
      <c r="O2485" s="105">
        <v>44561</v>
      </c>
      <c r="P2485" t="s">
        <v>718</v>
      </c>
      <c r="R2485" s="154"/>
      <c r="S2485" s="154"/>
      <c r="T2485" s="154"/>
      <c r="U2485" s="154"/>
    </row>
    <row r="2486" spans="1:21" ht="15" customHeight="1" x14ac:dyDescent="0.3">
      <c r="A2486" t="str">
        <f t="shared" si="40"/>
        <v>16-0-HH 2RATE (WC)-SmartFIX – 5 Year Renewal (Level 2)</v>
      </c>
      <c r="B2486" t="s">
        <v>13</v>
      </c>
      <c r="C2486">
        <v>16</v>
      </c>
      <c r="D2486" s="100" t="s">
        <v>25</v>
      </c>
      <c r="E2486" t="s">
        <v>730</v>
      </c>
      <c r="F2486" t="s">
        <v>88</v>
      </c>
      <c r="G2486" t="s">
        <v>740</v>
      </c>
      <c r="H2486" s="128">
        <v>0.42070000000000002</v>
      </c>
      <c r="I2486" s="110">
        <v>0.1875</v>
      </c>
      <c r="J2486" s="110">
        <v>0.13589999999999999</v>
      </c>
      <c r="K2486" s="110" t="s">
        <v>717</v>
      </c>
      <c r="L2486">
        <v>5000</v>
      </c>
      <c r="M2486">
        <v>500000</v>
      </c>
      <c r="N2486" s="105">
        <v>44378</v>
      </c>
      <c r="O2486" s="105">
        <v>44561</v>
      </c>
      <c r="P2486" t="s">
        <v>718</v>
      </c>
      <c r="R2486" s="154"/>
      <c r="S2486" s="154"/>
      <c r="T2486" s="154"/>
      <c r="U2486" s="154"/>
    </row>
    <row r="2487" spans="1:21" ht="15" customHeight="1" x14ac:dyDescent="0.3">
      <c r="A2487" t="str">
        <f t="shared" si="40"/>
        <v>17-0-HH 2RATE (WC)-SmartFIX – 5 Year Renewal (Level 2)</v>
      </c>
      <c r="B2487" t="s">
        <v>13</v>
      </c>
      <c r="C2487">
        <v>17</v>
      </c>
      <c r="D2487" s="100" t="s">
        <v>26</v>
      </c>
      <c r="E2487" t="s">
        <v>730</v>
      </c>
      <c r="F2487" t="s">
        <v>88</v>
      </c>
      <c r="G2487" t="s">
        <v>740</v>
      </c>
      <c r="H2487" s="128">
        <v>0.51500000000000001</v>
      </c>
      <c r="I2487" s="110">
        <v>0.20030000000000001</v>
      </c>
      <c r="J2487" s="110">
        <v>0.1545</v>
      </c>
      <c r="K2487" s="110" t="s">
        <v>717</v>
      </c>
      <c r="L2487">
        <v>5000</v>
      </c>
      <c r="M2487">
        <v>500000</v>
      </c>
      <c r="N2487" s="105">
        <v>44378</v>
      </c>
      <c r="O2487" s="105">
        <v>44561</v>
      </c>
      <c r="P2487" t="s">
        <v>718</v>
      </c>
      <c r="R2487" s="154"/>
      <c r="S2487" s="154"/>
      <c r="T2487" s="154"/>
      <c r="U2487" s="154"/>
    </row>
    <row r="2488" spans="1:21" ht="15" customHeight="1" x14ac:dyDescent="0.3">
      <c r="A2488" t="str">
        <f t="shared" si="40"/>
        <v>18-0-HH 2RATE (WC)-SmartFIX – 5 Year Renewal (Level 2)</v>
      </c>
      <c r="B2488" t="s">
        <v>13</v>
      </c>
      <c r="C2488">
        <v>18</v>
      </c>
      <c r="D2488" s="100" t="s">
        <v>27</v>
      </c>
      <c r="E2488" t="s">
        <v>730</v>
      </c>
      <c r="F2488" t="s">
        <v>88</v>
      </c>
      <c r="G2488" t="s">
        <v>740</v>
      </c>
      <c r="H2488" s="128">
        <v>0.45150000000000001</v>
      </c>
      <c r="I2488" s="110">
        <v>0.2039</v>
      </c>
      <c r="J2488" s="110">
        <v>0.1535</v>
      </c>
      <c r="K2488" s="110" t="s">
        <v>717</v>
      </c>
      <c r="L2488">
        <v>5000</v>
      </c>
      <c r="M2488">
        <v>500000</v>
      </c>
      <c r="N2488" s="105">
        <v>44378</v>
      </c>
      <c r="O2488" s="105">
        <v>44561</v>
      </c>
      <c r="P2488" t="s">
        <v>718</v>
      </c>
      <c r="R2488" s="154"/>
      <c r="S2488" s="154"/>
      <c r="T2488" s="154"/>
      <c r="U2488" s="154"/>
    </row>
    <row r="2489" spans="1:21" ht="15" customHeight="1" x14ac:dyDescent="0.3">
      <c r="A2489" t="str">
        <f t="shared" si="40"/>
        <v>19-0-HH 2RATE (WC)-SmartFIX – 5 Year Renewal (Level 2)</v>
      </c>
      <c r="B2489" t="s">
        <v>13</v>
      </c>
      <c r="C2489">
        <v>19</v>
      </c>
      <c r="D2489" s="100" t="s">
        <v>28</v>
      </c>
      <c r="E2489" t="s">
        <v>730</v>
      </c>
      <c r="F2489" t="s">
        <v>88</v>
      </c>
      <c r="G2489" t="s">
        <v>740</v>
      </c>
      <c r="H2489" s="128">
        <v>0.45319999999999999</v>
      </c>
      <c r="I2489" s="110">
        <v>0.18770000000000001</v>
      </c>
      <c r="J2489" s="110">
        <v>0.13539999999999999</v>
      </c>
      <c r="K2489" s="110" t="s">
        <v>717</v>
      </c>
      <c r="L2489">
        <v>5000</v>
      </c>
      <c r="M2489">
        <v>500000</v>
      </c>
      <c r="N2489" s="105">
        <v>44378</v>
      </c>
      <c r="O2489" s="105">
        <v>44561</v>
      </c>
      <c r="P2489" t="s">
        <v>718</v>
      </c>
      <c r="R2489" s="154"/>
      <c r="S2489" s="154"/>
      <c r="T2489" s="154"/>
      <c r="U2489" s="154"/>
    </row>
    <row r="2490" spans="1:21" ht="15" customHeight="1" x14ac:dyDescent="0.3">
      <c r="A2490" t="str">
        <f t="shared" si="40"/>
        <v>20-0-HH 2RATE (WC)-SmartFIX – 5 Year Renewal (Level 2)</v>
      </c>
      <c r="B2490" t="s">
        <v>13</v>
      </c>
      <c r="C2490">
        <v>20</v>
      </c>
      <c r="D2490" s="100" t="s">
        <v>29</v>
      </c>
      <c r="E2490" t="s">
        <v>730</v>
      </c>
      <c r="F2490" t="s">
        <v>88</v>
      </c>
      <c r="G2490" t="s">
        <v>740</v>
      </c>
      <c r="H2490" s="128">
        <v>0.44569999999999999</v>
      </c>
      <c r="I2490" s="110">
        <v>0.19220000000000001</v>
      </c>
      <c r="J2490" s="110">
        <v>0.1381</v>
      </c>
      <c r="K2490" s="110" t="s">
        <v>717</v>
      </c>
      <c r="L2490">
        <v>5000</v>
      </c>
      <c r="M2490">
        <v>500000</v>
      </c>
      <c r="N2490" s="105">
        <v>44378</v>
      </c>
      <c r="O2490" s="105">
        <v>44561</v>
      </c>
      <c r="P2490" t="s">
        <v>718</v>
      </c>
      <c r="R2490" s="154"/>
      <c r="S2490" s="154"/>
      <c r="T2490" s="154"/>
      <c r="U2490" s="154"/>
    </row>
    <row r="2491" spans="1:21" ht="15" customHeight="1" x14ac:dyDescent="0.3">
      <c r="A2491" t="str">
        <f t="shared" si="40"/>
        <v>21-0-HH 2RATE (WC)-SmartFIX – 5 Year Renewal (Level 2)</v>
      </c>
      <c r="B2491" t="s">
        <v>13</v>
      </c>
      <c r="C2491">
        <v>21</v>
      </c>
      <c r="D2491" s="100" t="s">
        <v>30</v>
      </c>
      <c r="E2491" t="s">
        <v>730</v>
      </c>
      <c r="F2491" t="s">
        <v>88</v>
      </c>
      <c r="G2491" t="s">
        <v>740</v>
      </c>
      <c r="H2491" s="128">
        <v>0.56569999999999998</v>
      </c>
      <c r="I2491" s="110">
        <v>0.1835</v>
      </c>
      <c r="J2491" s="110">
        <v>0.13920000000000002</v>
      </c>
      <c r="K2491" s="110" t="s">
        <v>717</v>
      </c>
      <c r="L2491">
        <v>5000</v>
      </c>
      <c r="M2491">
        <v>500000</v>
      </c>
      <c r="N2491" s="105">
        <v>44378</v>
      </c>
      <c r="O2491" s="105">
        <v>44561</v>
      </c>
      <c r="P2491" t="s">
        <v>718</v>
      </c>
      <c r="R2491" s="154"/>
      <c r="S2491" s="154"/>
      <c r="T2491" s="154"/>
      <c r="U2491" s="154"/>
    </row>
    <row r="2492" spans="1:21" ht="15" customHeight="1" x14ac:dyDescent="0.3">
      <c r="A2492" t="str">
        <f t="shared" si="40"/>
        <v>22-0-HH 2RATE (WC)-SmartFIX – 5 Year Renewal (Level 2)</v>
      </c>
      <c r="B2492" t="s">
        <v>13</v>
      </c>
      <c r="C2492">
        <v>22</v>
      </c>
      <c r="D2492" s="100" t="s">
        <v>31</v>
      </c>
      <c r="E2492" t="s">
        <v>730</v>
      </c>
      <c r="F2492" t="s">
        <v>88</v>
      </c>
      <c r="G2492" t="s">
        <v>740</v>
      </c>
      <c r="H2492" s="128">
        <v>0.50790000000000002</v>
      </c>
      <c r="I2492" s="110">
        <v>0.19120000000000001</v>
      </c>
      <c r="J2492" s="110">
        <v>0.1492</v>
      </c>
      <c r="K2492" s="110" t="s">
        <v>717</v>
      </c>
      <c r="L2492">
        <v>5000</v>
      </c>
      <c r="M2492">
        <v>500000</v>
      </c>
      <c r="N2492" s="105">
        <v>44378</v>
      </c>
      <c r="O2492" s="105">
        <v>44561</v>
      </c>
      <c r="P2492" t="s">
        <v>718</v>
      </c>
      <c r="R2492" s="154"/>
      <c r="S2492" s="154"/>
      <c r="T2492" s="154"/>
      <c r="U2492" s="154"/>
    </row>
    <row r="2493" spans="1:21" ht="15" customHeight="1" x14ac:dyDescent="0.3">
      <c r="A2493" t="str">
        <f t="shared" si="40"/>
        <v>23-0-HH 2RATE (WC)-SmartFIX – 5 Year Renewal (Level 2)</v>
      </c>
      <c r="B2493" t="s">
        <v>13</v>
      </c>
      <c r="C2493">
        <v>23</v>
      </c>
      <c r="D2493" s="100" t="s">
        <v>32</v>
      </c>
      <c r="E2493" t="s">
        <v>730</v>
      </c>
      <c r="F2493" t="s">
        <v>88</v>
      </c>
      <c r="G2493" t="s">
        <v>740</v>
      </c>
      <c r="H2493" s="128">
        <v>0.46410000000000001</v>
      </c>
      <c r="I2493" s="110">
        <v>0.1804</v>
      </c>
      <c r="J2493" s="110">
        <v>0.13570000000000002</v>
      </c>
      <c r="K2493" s="110" t="s">
        <v>717</v>
      </c>
      <c r="L2493">
        <v>5000</v>
      </c>
      <c r="M2493">
        <v>500000</v>
      </c>
      <c r="N2493" s="105">
        <v>44378</v>
      </c>
      <c r="O2493" s="105">
        <v>44561</v>
      </c>
      <c r="P2493" t="s">
        <v>718</v>
      </c>
      <c r="R2493" s="154"/>
      <c r="S2493" s="154"/>
      <c r="T2493" s="154"/>
      <c r="U2493" s="154"/>
    </row>
    <row r="2494" spans="1:21" ht="15" customHeight="1" x14ac:dyDescent="0.3">
      <c r="A2494" t="str">
        <f t="shared" si="40"/>
        <v>10-0-HH 2RATE (CT)-SmartFIX – 5 Year (Level 2)</v>
      </c>
      <c r="B2494" t="s">
        <v>13</v>
      </c>
      <c r="C2494">
        <v>10</v>
      </c>
      <c r="D2494" s="100" t="s">
        <v>14</v>
      </c>
      <c r="E2494" t="s">
        <v>729</v>
      </c>
      <c r="F2494" t="s">
        <v>88</v>
      </c>
      <c r="G2494" t="s">
        <v>739</v>
      </c>
      <c r="H2494" s="128">
        <v>0.52470000000000006</v>
      </c>
      <c r="I2494" s="110">
        <v>0.1857</v>
      </c>
      <c r="J2494" s="110">
        <v>0.13320000000000001</v>
      </c>
      <c r="K2494" s="110" t="s">
        <v>717</v>
      </c>
      <c r="L2494">
        <v>5000</v>
      </c>
      <c r="M2494">
        <v>500000</v>
      </c>
      <c r="N2494" s="105">
        <v>44378</v>
      </c>
      <c r="O2494" s="105">
        <v>44561</v>
      </c>
      <c r="P2494" t="s">
        <v>718</v>
      </c>
      <c r="R2494" s="154"/>
      <c r="S2494" s="154"/>
      <c r="T2494" s="154"/>
      <c r="U2494" s="154"/>
    </row>
    <row r="2495" spans="1:21" ht="15" customHeight="1" x14ac:dyDescent="0.3">
      <c r="A2495" t="str">
        <f t="shared" si="40"/>
        <v>11-0-HH 2RATE (CT)-SmartFIX – 5 Year (Level 2)</v>
      </c>
      <c r="B2495" t="s">
        <v>13</v>
      </c>
      <c r="C2495">
        <v>11</v>
      </c>
      <c r="D2495" s="100" t="s">
        <v>20</v>
      </c>
      <c r="E2495" t="s">
        <v>729</v>
      </c>
      <c r="F2495" t="s">
        <v>88</v>
      </c>
      <c r="G2495" t="s">
        <v>739</v>
      </c>
      <c r="H2495" s="128">
        <v>0.46639999999999998</v>
      </c>
      <c r="I2495" s="110">
        <v>0.18609999999999999</v>
      </c>
      <c r="J2495" s="110">
        <v>0.14249999999999999</v>
      </c>
      <c r="K2495" s="110" t="s">
        <v>717</v>
      </c>
      <c r="L2495">
        <v>5000</v>
      </c>
      <c r="M2495">
        <v>500000</v>
      </c>
      <c r="N2495" s="105">
        <v>44378</v>
      </c>
      <c r="O2495" s="105">
        <v>44561</v>
      </c>
      <c r="P2495" t="s">
        <v>718</v>
      </c>
      <c r="R2495" s="154"/>
      <c r="S2495" s="154"/>
      <c r="T2495" s="154"/>
      <c r="U2495" s="154"/>
    </row>
    <row r="2496" spans="1:21" ht="15" customHeight="1" x14ac:dyDescent="0.3">
      <c r="A2496" t="str">
        <f t="shared" si="40"/>
        <v>12-0-HH 2RATE (CT)-SmartFIX – 5 Year (Level 2)</v>
      </c>
      <c r="B2496" t="s">
        <v>13</v>
      </c>
      <c r="C2496">
        <v>12</v>
      </c>
      <c r="D2496" s="100" t="s">
        <v>21</v>
      </c>
      <c r="E2496" t="s">
        <v>729</v>
      </c>
      <c r="F2496" t="s">
        <v>88</v>
      </c>
      <c r="G2496" t="s">
        <v>739</v>
      </c>
      <c r="H2496" s="128">
        <v>0.43059999999999998</v>
      </c>
      <c r="I2496" s="110">
        <v>0.1845</v>
      </c>
      <c r="J2496" s="110">
        <v>0.12909999999999999</v>
      </c>
      <c r="K2496" s="110" t="s">
        <v>717</v>
      </c>
      <c r="L2496">
        <v>5000</v>
      </c>
      <c r="M2496">
        <v>500000</v>
      </c>
      <c r="N2496" s="105">
        <v>44378</v>
      </c>
      <c r="O2496" s="105">
        <v>44561</v>
      </c>
      <c r="P2496" t="s">
        <v>718</v>
      </c>
      <c r="R2496" s="154"/>
      <c r="S2496" s="154"/>
      <c r="T2496" s="154"/>
      <c r="U2496" s="154"/>
    </row>
    <row r="2497" spans="1:21" ht="15" customHeight="1" x14ac:dyDescent="0.3">
      <c r="A2497" t="str">
        <f t="shared" si="40"/>
        <v>13-0-HH 2RATE (CT)-SmartFIX – 5 Year (Level 2)</v>
      </c>
      <c r="B2497" t="s">
        <v>13</v>
      </c>
      <c r="C2497">
        <v>13</v>
      </c>
      <c r="D2497" s="100" t="s">
        <v>22</v>
      </c>
      <c r="E2497" t="s">
        <v>729</v>
      </c>
      <c r="F2497" t="s">
        <v>88</v>
      </c>
      <c r="G2497" t="s">
        <v>739</v>
      </c>
      <c r="H2497" s="128">
        <v>0.60429999999999995</v>
      </c>
      <c r="I2497" s="110">
        <v>0.2069</v>
      </c>
      <c r="J2497" s="110">
        <v>0.15640000000000001</v>
      </c>
      <c r="K2497" s="110" t="s">
        <v>717</v>
      </c>
      <c r="L2497">
        <v>5000</v>
      </c>
      <c r="M2497">
        <v>500000</v>
      </c>
      <c r="N2497" s="105">
        <v>44378</v>
      </c>
      <c r="O2497" s="105">
        <v>44561</v>
      </c>
      <c r="P2497" t="s">
        <v>718</v>
      </c>
      <c r="R2497" s="154"/>
      <c r="S2497" s="154"/>
      <c r="T2497" s="154"/>
      <c r="U2497" s="154"/>
    </row>
    <row r="2498" spans="1:21" ht="15" customHeight="1" x14ac:dyDescent="0.3">
      <c r="A2498" t="str">
        <f t="shared" si="40"/>
        <v>14-0-HH 2RATE (CT)-SmartFIX – 5 Year (Level 2)</v>
      </c>
      <c r="B2498" t="s">
        <v>13</v>
      </c>
      <c r="C2498">
        <v>14</v>
      </c>
      <c r="D2498" s="100" t="s">
        <v>23</v>
      </c>
      <c r="E2498" t="s">
        <v>729</v>
      </c>
      <c r="F2498" t="s">
        <v>88</v>
      </c>
      <c r="G2498" t="s">
        <v>739</v>
      </c>
      <c r="H2498" s="128">
        <v>0.47920000000000001</v>
      </c>
      <c r="I2498" s="110">
        <v>0.1903</v>
      </c>
      <c r="J2498" s="110">
        <v>0.1479</v>
      </c>
      <c r="K2498" s="110" t="s">
        <v>717</v>
      </c>
      <c r="L2498">
        <v>5000</v>
      </c>
      <c r="M2498">
        <v>500000</v>
      </c>
      <c r="N2498" s="105">
        <v>44378</v>
      </c>
      <c r="O2498" s="105">
        <v>44561</v>
      </c>
      <c r="P2498" t="s">
        <v>718</v>
      </c>
      <c r="R2498" s="154"/>
      <c r="S2498" s="154"/>
      <c r="T2498" s="154"/>
      <c r="U2498" s="154"/>
    </row>
    <row r="2499" spans="1:21" ht="15" customHeight="1" x14ac:dyDescent="0.3">
      <c r="A2499" t="str">
        <f t="shared" si="40"/>
        <v>15-0-HH 2RATE (CT)-SmartFIX – 5 Year (Level 2)</v>
      </c>
      <c r="B2499" t="s">
        <v>13</v>
      </c>
      <c r="C2499">
        <v>15</v>
      </c>
      <c r="D2499" s="100" t="s">
        <v>24</v>
      </c>
      <c r="E2499" t="s">
        <v>729</v>
      </c>
      <c r="F2499" t="s">
        <v>88</v>
      </c>
      <c r="G2499" t="s">
        <v>739</v>
      </c>
      <c r="H2499" s="128">
        <v>0.5796</v>
      </c>
      <c r="I2499" s="110">
        <v>0.18759999999999999</v>
      </c>
      <c r="J2499" s="110">
        <v>0.1452</v>
      </c>
      <c r="K2499" s="110" t="s">
        <v>717</v>
      </c>
      <c r="L2499">
        <v>5000</v>
      </c>
      <c r="M2499">
        <v>500000</v>
      </c>
      <c r="N2499" s="105">
        <v>44378</v>
      </c>
      <c r="O2499" s="105">
        <v>44561</v>
      </c>
      <c r="P2499" t="s">
        <v>718</v>
      </c>
      <c r="R2499" s="154"/>
      <c r="S2499" s="154"/>
      <c r="T2499" s="154"/>
      <c r="U2499" s="154"/>
    </row>
    <row r="2500" spans="1:21" ht="15" customHeight="1" x14ac:dyDescent="0.3">
      <c r="A2500" t="str">
        <f t="shared" si="40"/>
        <v>16-0-HH 2RATE (CT)-SmartFIX – 5 Year (Level 2)</v>
      </c>
      <c r="B2500" t="s">
        <v>13</v>
      </c>
      <c r="C2500">
        <v>16</v>
      </c>
      <c r="D2500" s="100" t="s">
        <v>25</v>
      </c>
      <c r="E2500" t="s">
        <v>729</v>
      </c>
      <c r="F2500" t="s">
        <v>88</v>
      </c>
      <c r="G2500" t="s">
        <v>739</v>
      </c>
      <c r="H2500" s="128">
        <v>0.53979999999999995</v>
      </c>
      <c r="I2500" s="110">
        <v>0.18890000000000001</v>
      </c>
      <c r="J2500" s="110">
        <v>0.1409</v>
      </c>
      <c r="K2500" s="110" t="s">
        <v>717</v>
      </c>
      <c r="L2500">
        <v>5000</v>
      </c>
      <c r="M2500">
        <v>500000</v>
      </c>
      <c r="N2500" s="105">
        <v>44378</v>
      </c>
      <c r="O2500" s="105">
        <v>44561</v>
      </c>
      <c r="P2500" t="s">
        <v>718</v>
      </c>
      <c r="R2500" s="154"/>
      <c r="S2500" s="154"/>
      <c r="T2500" s="154"/>
      <c r="U2500" s="154"/>
    </row>
    <row r="2501" spans="1:21" ht="15" customHeight="1" x14ac:dyDescent="0.3">
      <c r="A2501" t="str">
        <f t="shared" si="40"/>
        <v>17-0-HH 2RATE (CT)-SmartFIX – 5 Year (Level 2)</v>
      </c>
      <c r="B2501" t="s">
        <v>13</v>
      </c>
      <c r="C2501">
        <v>17</v>
      </c>
      <c r="D2501" s="100" t="s">
        <v>26</v>
      </c>
      <c r="E2501" t="s">
        <v>729</v>
      </c>
      <c r="F2501" t="s">
        <v>88</v>
      </c>
      <c r="G2501" t="s">
        <v>739</v>
      </c>
      <c r="H2501" s="128">
        <v>0.73080000000000001</v>
      </c>
      <c r="I2501" s="110">
        <v>0.2147</v>
      </c>
      <c r="J2501" s="110">
        <v>0.16900000000000001</v>
      </c>
      <c r="K2501" s="110" t="s">
        <v>717</v>
      </c>
      <c r="L2501">
        <v>5000</v>
      </c>
      <c r="M2501">
        <v>500000</v>
      </c>
      <c r="N2501" s="105">
        <v>44378</v>
      </c>
      <c r="O2501" s="105">
        <v>44561</v>
      </c>
      <c r="P2501" t="s">
        <v>718</v>
      </c>
      <c r="R2501" s="154"/>
      <c r="S2501" s="154"/>
      <c r="T2501" s="154"/>
      <c r="U2501" s="154"/>
    </row>
    <row r="2502" spans="1:21" ht="15" customHeight="1" x14ac:dyDescent="0.3">
      <c r="A2502" t="str">
        <f t="shared" si="40"/>
        <v>18-0-HH 2RATE (CT)-SmartFIX – 5 Year (Level 2)</v>
      </c>
      <c r="B2502" t="s">
        <v>13</v>
      </c>
      <c r="C2502">
        <v>18</v>
      </c>
      <c r="D2502" s="100" t="s">
        <v>27</v>
      </c>
      <c r="E2502" t="s">
        <v>729</v>
      </c>
      <c r="F2502" t="s">
        <v>88</v>
      </c>
      <c r="G2502" t="s">
        <v>739</v>
      </c>
      <c r="H2502" s="128">
        <v>0.66990000000000005</v>
      </c>
      <c r="I2502" s="110">
        <v>0.19370000000000001</v>
      </c>
      <c r="J2502" s="110">
        <v>0.14860000000000001</v>
      </c>
      <c r="K2502" s="110" t="s">
        <v>717</v>
      </c>
      <c r="L2502">
        <v>5000</v>
      </c>
      <c r="M2502">
        <v>500000</v>
      </c>
      <c r="N2502" s="105">
        <v>44378</v>
      </c>
      <c r="O2502" s="105">
        <v>44561</v>
      </c>
      <c r="P2502" t="s">
        <v>718</v>
      </c>
      <c r="R2502" s="154"/>
      <c r="S2502" s="154"/>
      <c r="T2502" s="154"/>
      <c r="U2502" s="154"/>
    </row>
    <row r="2503" spans="1:21" ht="15" customHeight="1" x14ac:dyDescent="0.3">
      <c r="A2503" t="str">
        <f t="shared" si="40"/>
        <v>19-0-HH 2RATE (CT)-SmartFIX – 5 Year (Level 2)</v>
      </c>
      <c r="B2503" t="s">
        <v>13</v>
      </c>
      <c r="C2503">
        <v>19</v>
      </c>
      <c r="D2503" s="100" t="s">
        <v>28</v>
      </c>
      <c r="E2503" t="s">
        <v>729</v>
      </c>
      <c r="F2503" t="s">
        <v>88</v>
      </c>
      <c r="G2503" t="s">
        <v>739</v>
      </c>
      <c r="H2503" s="128">
        <v>0.52649999999999997</v>
      </c>
      <c r="I2503" s="110">
        <v>0.1885</v>
      </c>
      <c r="J2503" s="110">
        <v>0.1411</v>
      </c>
      <c r="K2503" s="110" t="s">
        <v>717</v>
      </c>
      <c r="L2503">
        <v>5000</v>
      </c>
      <c r="M2503">
        <v>500000</v>
      </c>
      <c r="N2503" s="105">
        <v>44378</v>
      </c>
      <c r="O2503" s="105">
        <v>44561</v>
      </c>
      <c r="P2503" t="s">
        <v>718</v>
      </c>
      <c r="R2503" s="154"/>
      <c r="S2503" s="154"/>
      <c r="T2503" s="154"/>
      <c r="U2503" s="154"/>
    </row>
    <row r="2504" spans="1:21" ht="15" customHeight="1" x14ac:dyDescent="0.3">
      <c r="A2504" t="str">
        <f t="shared" si="40"/>
        <v>20-0-HH 2RATE (CT)-SmartFIX – 5 Year (Level 2)</v>
      </c>
      <c r="B2504" t="s">
        <v>13</v>
      </c>
      <c r="C2504">
        <v>20</v>
      </c>
      <c r="D2504" s="100" t="s">
        <v>29</v>
      </c>
      <c r="E2504" t="s">
        <v>729</v>
      </c>
      <c r="F2504" t="s">
        <v>88</v>
      </c>
      <c r="G2504" t="s">
        <v>739</v>
      </c>
      <c r="H2504" s="128">
        <v>0.55610000000000004</v>
      </c>
      <c r="I2504" s="110">
        <v>0.189</v>
      </c>
      <c r="J2504" s="110">
        <v>0.1452</v>
      </c>
      <c r="K2504" s="110" t="s">
        <v>717</v>
      </c>
      <c r="L2504">
        <v>5000</v>
      </c>
      <c r="M2504">
        <v>500000</v>
      </c>
      <c r="N2504" s="105">
        <v>44378</v>
      </c>
      <c r="O2504" s="105">
        <v>44561</v>
      </c>
      <c r="P2504" t="s">
        <v>718</v>
      </c>
      <c r="R2504" s="154"/>
      <c r="S2504" s="154"/>
      <c r="T2504" s="154"/>
      <c r="U2504" s="154"/>
    </row>
    <row r="2505" spans="1:21" ht="15" customHeight="1" x14ac:dyDescent="0.3">
      <c r="A2505" t="str">
        <f t="shared" si="40"/>
        <v>21-0-HH 2RATE (CT)-SmartFIX – 5 Year (Level 2)</v>
      </c>
      <c r="B2505" t="s">
        <v>13</v>
      </c>
      <c r="C2505">
        <v>21</v>
      </c>
      <c r="D2505" s="100" t="s">
        <v>30</v>
      </c>
      <c r="E2505" t="s">
        <v>729</v>
      </c>
      <c r="F2505" t="s">
        <v>88</v>
      </c>
      <c r="G2505" t="s">
        <v>739</v>
      </c>
      <c r="H2505" s="128">
        <v>0.57110000000000005</v>
      </c>
      <c r="I2505" s="110">
        <v>0.19370000000000001</v>
      </c>
      <c r="J2505" s="110">
        <v>0.1527</v>
      </c>
      <c r="K2505" s="110" t="s">
        <v>717</v>
      </c>
      <c r="L2505">
        <v>5000</v>
      </c>
      <c r="M2505">
        <v>500000</v>
      </c>
      <c r="N2505" s="105">
        <v>44378</v>
      </c>
      <c r="O2505" s="105">
        <v>44561</v>
      </c>
      <c r="P2505" t="s">
        <v>718</v>
      </c>
      <c r="R2505" s="154"/>
      <c r="S2505" s="154"/>
      <c r="T2505" s="154"/>
      <c r="U2505" s="154"/>
    </row>
    <row r="2506" spans="1:21" ht="15" customHeight="1" x14ac:dyDescent="0.3">
      <c r="A2506" t="str">
        <f t="shared" si="40"/>
        <v>22-0-HH 2RATE (CT)-SmartFIX – 5 Year (Level 2)</v>
      </c>
      <c r="B2506" t="s">
        <v>13</v>
      </c>
      <c r="C2506">
        <v>22</v>
      </c>
      <c r="D2506" s="100" t="s">
        <v>31</v>
      </c>
      <c r="E2506" t="s">
        <v>729</v>
      </c>
      <c r="F2506" t="s">
        <v>88</v>
      </c>
      <c r="G2506" t="s">
        <v>739</v>
      </c>
      <c r="H2506" s="128">
        <v>0.50090000000000001</v>
      </c>
      <c r="I2506" s="110">
        <v>0.18529999999999999</v>
      </c>
      <c r="J2506" s="110">
        <v>0.14729999999999999</v>
      </c>
      <c r="K2506" s="110" t="s">
        <v>717</v>
      </c>
      <c r="L2506">
        <v>5000</v>
      </c>
      <c r="M2506">
        <v>500000</v>
      </c>
      <c r="N2506" s="105">
        <v>44378</v>
      </c>
      <c r="O2506" s="105">
        <v>44561</v>
      </c>
      <c r="P2506" t="s">
        <v>718</v>
      </c>
      <c r="R2506" s="154"/>
      <c r="S2506" s="154"/>
      <c r="T2506" s="154"/>
      <c r="U2506" s="154"/>
    </row>
    <row r="2507" spans="1:21" ht="15" customHeight="1" x14ac:dyDescent="0.3">
      <c r="A2507" t="str">
        <f t="shared" si="40"/>
        <v>23-0-HH 2RATE (CT)-SmartFIX – 5 Year (Level 2)</v>
      </c>
      <c r="B2507" t="s">
        <v>13</v>
      </c>
      <c r="C2507">
        <v>23</v>
      </c>
      <c r="D2507" s="100" t="s">
        <v>32</v>
      </c>
      <c r="E2507" t="s">
        <v>729</v>
      </c>
      <c r="F2507" t="s">
        <v>88</v>
      </c>
      <c r="G2507" t="s">
        <v>739</v>
      </c>
      <c r="H2507" s="128">
        <v>0.59789999999999999</v>
      </c>
      <c r="I2507" s="110">
        <v>0.18679999999999999</v>
      </c>
      <c r="J2507" s="110">
        <v>0.14369999999999999</v>
      </c>
      <c r="K2507" s="110" t="s">
        <v>717</v>
      </c>
      <c r="L2507">
        <v>5000</v>
      </c>
      <c r="M2507">
        <v>500000</v>
      </c>
      <c r="N2507" s="105">
        <v>44378</v>
      </c>
      <c r="O2507" s="105">
        <v>44561</v>
      </c>
      <c r="P2507" t="s">
        <v>718</v>
      </c>
      <c r="R2507" s="154"/>
      <c r="S2507" s="154"/>
      <c r="T2507" s="154"/>
      <c r="U2507" s="154"/>
    </row>
    <row r="2508" spans="1:21" ht="15" customHeight="1" x14ac:dyDescent="0.3">
      <c r="A2508" t="str">
        <f t="shared" si="40"/>
        <v>10-0-HH 2RATE (CT)-SmartFIX – 5 Year Renewal (Level 2)</v>
      </c>
      <c r="B2508" t="s">
        <v>13</v>
      </c>
      <c r="C2508">
        <v>10</v>
      </c>
      <c r="D2508" s="100" t="s">
        <v>14</v>
      </c>
      <c r="E2508" t="s">
        <v>729</v>
      </c>
      <c r="F2508" t="s">
        <v>88</v>
      </c>
      <c r="G2508" t="s">
        <v>740</v>
      </c>
      <c r="H2508" s="128">
        <v>0.57720000000000005</v>
      </c>
      <c r="I2508" s="110">
        <v>0.18970000000000001</v>
      </c>
      <c r="J2508" s="110">
        <v>0.13720000000000002</v>
      </c>
      <c r="K2508" s="110" t="s">
        <v>717</v>
      </c>
      <c r="L2508">
        <v>5000</v>
      </c>
      <c r="M2508">
        <v>500000</v>
      </c>
      <c r="N2508" s="105">
        <v>44378</v>
      </c>
      <c r="O2508" s="105">
        <v>44561</v>
      </c>
      <c r="P2508" t="s">
        <v>718</v>
      </c>
      <c r="R2508" s="154"/>
      <c r="S2508" s="154"/>
      <c r="T2508" s="154"/>
      <c r="U2508" s="154"/>
    </row>
    <row r="2509" spans="1:21" ht="15" customHeight="1" x14ac:dyDescent="0.3">
      <c r="A2509" t="str">
        <f t="shared" si="40"/>
        <v>11-0-HH 2RATE (CT)-SmartFIX – 5 Year Renewal (Level 2)</v>
      </c>
      <c r="B2509" t="s">
        <v>13</v>
      </c>
      <c r="C2509">
        <v>11</v>
      </c>
      <c r="D2509" s="100" t="s">
        <v>20</v>
      </c>
      <c r="E2509" t="s">
        <v>729</v>
      </c>
      <c r="F2509" t="s">
        <v>88</v>
      </c>
      <c r="G2509" t="s">
        <v>740</v>
      </c>
      <c r="H2509" s="128">
        <v>0.5131</v>
      </c>
      <c r="I2509" s="110">
        <v>0.19009999999999999</v>
      </c>
      <c r="J2509" s="110">
        <v>0.14649999999999999</v>
      </c>
      <c r="K2509" s="110" t="s">
        <v>717</v>
      </c>
      <c r="L2509">
        <v>5000</v>
      </c>
      <c r="M2509">
        <v>500000</v>
      </c>
      <c r="N2509" s="105">
        <v>44378</v>
      </c>
      <c r="O2509" s="105">
        <v>44561</v>
      </c>
      <c r="P2509" t="s">
        <v>718</v>
      </c>
      <c r="R2509" s="154"/>
      <c r="S2509" s="154"/>
      <c r="T2509" s="154"/>
      <c r="U2509" s="154"/>
    </row>
    <row r="2510" spans="1:21" ht="15" customHeight="1" x14ac:dyDescent="0.3">
      <c r="A2510" t="str">
        <f t="shared" si="40"/>
        <v>12-0-HH 2RATE (CT)-SmartFIX – 5 Year Renewal (Level 2)</v>
      </c>
      <c r="B2510" t="s">
        <v>13</v>
      </c>
      <c r="C2510">
        <v>12</v>
      </c>
      <c r="D2510" s="100" t="s">
        <v>21</v>
      </c>
      <c r="E2510" t="s">
        <v>729</v>
      </c>
      <c r="F2510" t="s">
        <v>88</v>
      </c>
      <c r="G2510" t="s">
        <v>740</v>
      </c>
      <c r="H2510" s="128">
        <v>0.47360000000000002</v>
      </c>
      <c r="I2510" s="110">
        <v>0.1885</v>
      </c>
      <c r="J2510" s="110">
        <v>0.1331</v>
      </c>
      <c r="K2510" s="110" t="s">
        <v>717</v>
      </c>
      <c r="L2510">
        <v>5000</v>
      </c>
      <c r="M2510">
        <v>500000</v>
      </c>
      <c r="N2510" s="105">
        <v>44378</v>
      </c>
      <c r="O2510" s="105">
        <v>44561</v>
      </c>
      <c r="P2510" t="s">
        <v>718</v>
      </c>
      <c r="R2510" s="154"/>
      <c r="S2510" s="154"/>
      <c r="T2510" s="154"/>
      <c r="U2510" s="154"/>
    </row>
    <row r="2511" spans="1:21" ht="15" customHeight="1" x14ac:dyDescent="0.3">
      <c r="A2511" t="str">
        <f t="shared" si="40"/>
        <v>13-0-HH 2RATE (CT)-SmartFIX – 5 Year Renewal (Level 2)</v>
      </c>
      <c r="B2511" t="s">
        <v>13</v>
      </c>
      <c r="C2511">
        <v>13</v>
      </c>
      <c r="D2511" s="100" t="s">
        <v>22</v>
      </c>
      <c r="E2511" t="s">
        <v>729</v>
      </c>
      <c r="F2511" t="s">
        <v>88</v>
      </c>
      <c r="G2511" t="s">
        <v>740</v>
      </c>
      <c r="H2511" s="128">
        <v>0.66479999999999995</v>
      </c>
      <c r="I2511" s="110">
        <v>0.2109</v>
      </c>
      <c r="J2511" s="110">
        <v>0.16040000000000001</v>
      </c>
      <c r="K2511" s="110" t="s">
        <v>717</v>
      </c>
      <c r="L2511">
        <v>5000</v>
      </c>
      <c r="M2511">
        <v>500000</v>
      </c>
      <c r="N2511" s="105">
        <v>44378</v>
      </c>
      <c r="O2511" s="105">
        <v>44561</v>
      </c>
      <c r="P2511" t="s">
        <v>718</v>
      </c>
      <c r="R2511" s="154"/>
      <c r="S2511" s="154"/>
      <c r="T2511" s="154"/>
      <c r="U2511" s="154"/>
    </row>
    <row r="2512" spans="1:21" ht="15" customHeight="1" x14ac:dyDescent="0.3">
      <c r="A2512" t="str">
        <f t="shared" si="40"/>
        <v>14-0-HH 2RATE (CT)-SmartFIX – 5 Year Renewal (Level 2)</v>
      </c>
      <c r="B2512" t="s">
        <v>13</v>
      </c>
      <c r="C2512">
        <v>14</v>
      </c>
      <c r="D2512" s="100" t="s">
        <v>23</v>
      </c>
      <c r="E2512" t="s">
        <v>729</v>
      </c>
      <c r="F2512" t="s">
        <v>88</v>
      </c>
      <c r="G2512" t="s">
        <v>740</v>
      </c>
      <c r="H2512" s="128">
        <v>0.52710000000000001</v>
      </c>
      <c r="I2512" s="110">
        <v>0.1943</v>
      </c>
      <c r="J2512" s="110">
        <v>0.15190000000000001</v>
      </c>
      <c r="K2512" s="110" t="s">
        <v>717</v>
      </c>
      <c r="L2512">
        <v>5000</v>
      </c>
      <c r="M2512">
        <v>500000</v>
      </c>
      <c r="N2512" s="105">
        <v>44378</v>
      </c>
      <c r="O2512" s="105">
        <v>44561</v>
      </c>
      <c r="P2512" t="s">
        <v>718</v>
      </c>
      <c r="R2512" s="154"/>
      <c r="S2512" s="154"/>
      <c r="T2512" s="154"/>
      <c r="U2512" s="154"/>
    </row>
    <row r="2513" spans="1:21" ht="15" customHeight="1" x14ac:dyDescent="0.3">
      <c r="A2513" t="str">
        <f t="shared" si="40"/>
        <v>15-0-HH 2RATE (CT)-SmartFIX – 5 Year Renewal (Level 2)</v>
      </c>
      <c r="B2513" t="s">
        <v>13</v>
      </c>
      <c r="C2513">
        <v>15</v>
      </c>
      <c r="D2513" s="100" t="s">
        <v>24</v>
      </c>
      <c r="E2513" t="s">
        <v>729</v>
      </c>
      <c r="F2513" t="s">
        <v>88</v>
      </c>
      <c r="G2513" t="s">
        <v>740</v>
      </c>
      <c r="H2513" s="128">
        <v>0.63759999999999994</v>
      </c>
      <c r="I2513" s="110">
        <v>0.19159999999999999</v>
      </c>
      <c r="J2513" s="110">
        <v>0.1492</v>
      </c>
      <c r="K2513" s="110" t="s">
        <v>717</v>
      </c>
      <c r="L2513">
        <v>5000</v>
      </c>
      <c r="M2513">
        <v>500000</v>
      </c>
      <c r="N2513" s="105">
        <v>44378</v>
      </c>
      <c r="O2513" s="105">
        <v>44561</v>
      </c>
      <c r="P2513" t="s">
        <v>718</v>
      </c>
      <c r="R2513" s="154"/>
      <c r="S2513" s="154"/>
      <c r="T2513" s="154"/>
      <c r="U2513" s="154"/>
    </row>
    <row r="2514" spans="1:21" ht="15" customHeight="1" x14ac:dyDescent="0.3">
      <c r="A2514" t="str">
        <f t="shared" si="40"/>
        <v>16-0-HH 2RATE (CT)-SmartFIX – 5 Year Renewal (Level 2)</v>
      </c>
      <c r="B2514" t="s">
        <v>13</v>
      </c>
      <c r="C2514">
        <v>16</v>
      </c>
      <c r="D2514" s="100" t="s">
        <v>25</v>
      </c>
      <c r="E2514" t="s">
        <v>729</v>
      </c>
      <c r="F2514" t="s">
        <v>88</v>
      </c>
      <c r="G2514" t="s">
        <v>740</v>
      </c>
      <c r="H2514" s="128">
        <v>0.59379999999999999</v>
      </c>
      <c r="I2514" s="110">
        <v>0.19290000000000002</v>
      </c>
      <c r="J2514" s="110">
        <v>0.1449</v>
      </c>
      <c r="K2514" s="110" t="s">
        <v>717</v>
      </c>
      <c r="L2514">
        <v>5000</v>
      </c>
      <c r="M2514">
        <v>500000</v>
      </c>
      <c r="N2514" s="105">
        <v>44378</v>
      </c>
      <c r="O2514" s="105">
        <v>44561</v>
      </c>
      <c r="P2514" t="s">
        <v>718</v>
      </c>
      <c r="R2514" s="154"/>
      <c r="S2514" s="154"/>
      <c r="T2514" s="154"/>
      <c r="U2514" s="154"/>
    </row>
    <row r="2515" spans="1:21" ht="15" customHeight="1" x14ac:dyDescent="0.3">
      <c r="A2515" t="str">
        <f t="shared" si="40"/>
        <v>17-0-HH 2RATE (CT)-SmartFIX – 5 Year Renewal (Level 2)</v>
      </c>
      <c r="B2515" t="s">
        <v>13</v>
      </c>
      <c r="C2515">
        <v>17</v>
      </c>
      <c r="D2515" s="100" t="s">
        <v>26</v>
      </c>
      <c r="E2515" t="s">
        <v>729</v>
      </c>
      <c r="F2515" t="s">
        <v>88</v>
      </c>
      <c r="G2515" t="s">
        <v>740</v>
      </c>
      <c r="H2515" s="128">
        <v>0.80389999999999995</v>
      </c>
      <c r="I2515" s="110">
        <v>0.21870000000000001</v>
      </c>
      <c r="J2515" s="110">
        <v>0.17300000000000001</v>
      </c>
      <c r="K2515" s="110" t="s">
        <v>717</v>
      </c>
      <c r="L2515">
        <v>5000</v>
      </c>
      <c r="M2515">
        <v>500000</v>
      </c>
      <c r="N2515" s="105">
        <v>44378</v>
      </c>
      <c r="O2515" s="105">
        <v>44561</v>
      </c>
      <c r="P2515" t="s">
        <v>718</v>
      </c>
      <c r="R2515" s="154"/>
      <c r="S2515" s="154"/>
      <c r="T2515" s="154"/>
      <c r="U2515" s="154"/>
    </row>
    <row r="2516" spans="1:21" ht="15" customHeight="1" x14ac:dyDescent="0.3">
      <c r="A2516" t="str">
        <f t="shared" si="40"/>
        <v>18-0-HH 2RATE (CT)-SmartFIX – 5 Year Renewal (Level 2)</v>
      </c>
      <c r="B2516" t="s">
        <v>13</v>
      </c>
      <c r="C2516">
        <v>18</v>
      </c>
      <c r="D2516" s="100" t="s">
        <v>27</v>
      </c>
      <c r="E2516" t="s">
        <v>729</v>
      </c>
      <c r="F2516" t="s">
        <v>88</v>
      </c>
      <c r="G2516" t="s">
        <v>740</v>
      </c>
      <c r="H2516" s="128">
        <v>0.7369</v>
      </c>
      <c r="I2516" s="110">
        <v>0.19770000000000001</v>
      </c>
      <c r="J2516" s="110">
        <v>0.15260000000000001</v>
      </c>
      <c r="K2516" s="110" t="s">
        <v>717</v>
      </c>
      <c r="L2516">
        <v>5000</v>
      </c>
      <c r="M2516">
        <v>500000</v>
      </c>
      <c r="N2516" s="105">
        <v>44378</v>
      </c>
      <c r="O2516" s="105">
        <v>44561</v>
      </c>
      <c r="P2516" t="s">
        <v>718</v>
      </c>
      <c r="R2516" s="154"/>
      <c r="S2516" s="154"/>
      <c r="T2516" s="154"/>
      <c r="U2516" s="154"/>
    </row>
    <row r="2517" spans="1:21" ht="15" customHeight="1" x14ac:dyDescent="0.3">
      <c r="A2517" t="str">
        <f t="shared" si="40"/>
        <v>19-0-HH 2RATE (CT)-SmartFIX – 5 Year Renewal (Level 2)</v>
      </c>
      <c r="B2517" t="s">
        <v>13</v>
      </c>
      <c r="C2517">
        <v>19</v>
      </c>
      <c r="D2517" s="100" t="s">
        <v>28</v>
      </c>
      <c r="E2517" t="s">
        <v>729</v>
      </c>
      <c r="F2517" t="s">
        <v>88</v>
      </c>
      <c r="G2517" t="s">
        <v>740</v>
      </c>
      <c r="H2517" s="128">
        <v>0.57909999999999995</v>
      </c>
      <c r="I2517" s="110">
        <v>0.1925</v>
      </c>
      <c r="J2517" s="110">
        <v>0.14510000000000001</v>
      </c>
      <c r="K2517" s="110" t="s">
        <v>717</v>
      </c>
      <c r="L2517">
        <v>5000</v>
      </c>
      <c r="M2517">
        <v>500000</v>
      </c>
      <c r="N2517" s="105">
        <v>44378</v>
      </c>
      <c r="O2517" s="105">
        <v>44561</v>
      </c>
      <c r="P2517" t="s">
        <v>718</v>
      </c>
      <c r="R2517" s="154"/>
      <c r="S2517" s="154"/>
      <c r="T2517" s="154"/>
      <c r="U2517" s="154"/>
    </row>
    <row r="2518" spans="1:21" ht="15" customHeight="1" x14ac:dyDescent="0.3">
      <c r="A2518" t="str">
        <f t="shared" si="40"/>
        <v>20-0-HH 2RATE (CT)-SmartFIX – 5 Year Renewal (Level 2)</v>
      </c>
      <c r="B2518" t="s">
        <v>13</v>
      </c>
      <c r="C2518">
        <v>20</v>
      </c>
      <c r="D2518" s="100" t="s">
        <v>29</v>
      </c>
      <c r="E2518" t="s">
        <v>729</v>
      </c>
      <c r="F2518" t="s">
        <v>88</v>
      </c>
      <c r="G2518" t="s">
        <v>740</v>
      </c>
      <c r="H2518" s="128">
        <v>0.61180000000000001</v>
      </c>
      <c r="I2518" s="110">
        <v>0.193</v>
      </c>
      <c r="J2518" s="110">
        <v>0.1492</v>
      </c>
      <c r="K2518" s="110" t="s">
        <v>717</v>
      </c>
      <c r="L2518">
        <v>5000</v>
      </c>
      <c r="M2518">
        <v>500000</v>
      </c>
      <c r="N2518" s="105">
        <v>44378</v>
      </c>
      <c r="O2518" s="105">
        <v>44561</v>
      </c>
      <c r="P2518" t="s">
        <v>718</v>
      </c>
      <c r="R2518" s="154"/>
      <c r="S2518" s="154"/>
      <c r="T2518" s="154"/>
      <c r="U2518" s="154"/>
    </row>
    <row r="2519" spans="1:21" ht="15" customHeight="1" x14ac:dyDescent="0.3">
      <c r="A2519" t="str">
        <f t="shared" si="40"/>
        <v>21-0-HH 2RATE (CT)-SmartFIX – 5 Year Renewal (Level 2)</v>
      </c>
      <c r="B2519" t="s">
        <v>13</v>
      </c>
      <c r="C2519">
        <v>21</v>
      </c>
      <c r="D2519" s="100" t="s">
        <v>30</v>
      </c>
      <c r="E2519" t="s">
        <v>729</v>
      </c>
      <c r="F2519" t="s">
        <v>88</v>
      </c>
      <c r="G2519" t="s">
        <v>740</v>
      </c>
      <c r="H2519" s="128">
        <v>0.62819999999999998</v>
      </c>
      <c r="I2519" s="110">
        <v>0.19770000000000001</v>
      </c>
      <c r="J2519" s="110">
        <v>0.15670000000000001</v>
      </c>
      <c r="K2519" s="110" t="s">
        <v>717</v>
      </c>
      <c r="L2519">
        <v>5000</v>
      </c>
      <c r="M2519">
        <v>500000</v>
      </c>
      <c r="N2519" s="105">
        <v>44378</v>
      </c>
      <c r="O2519" s="105">
        <v>44561</v>
      </c>
      <c r="P2519" t="s">
        <v>718</v>
      </c>
      <c r="R2519" s="154"/>
      <c r="S2519" s="154"/>
      <c r="T2519" s="154"/>
      <c r="U2519" s="154"/>
    </row>
    <row r="2520" spans="1:21" ht="15" customHeight="1" x14ac:dyDescent="0.3">
      <c r="A2520" t="str">
        <f t="shared" si="40"/>
        <v>22-0-HH 2RATE (CT)-SmartFIX – 5 Year Renewal (Level 2)</v>
      </c>
      <c r="B2520" t="s">
        <v>13</v>
      </c>
      <c r="C2520">
        <v>22</v>
      </c>
      <c r="D2520" s="100" t="s">
        <v>31</v>
      </c>
      <c r="E2520" t="s">
        <v>729</v>
      </c>
      <c r="F2520" t="s">
        <v>88</v>
      </c>
      <c r="G2520" t="s">
        <v>740</v>
      </c>
      <c r="H2520" s="128">
        <v>0.55100000000000005</v>
      </c>
      <c r="I2520" s="110">
        <v>0.1893</v>
      </c>
      <c r="J2520" s="110">
        <v>0.15129999999999999</v>
      </c>
      <c r="K2520" s="110" t="s">
        <v>717</v>
      </c>
      <c r="L2520">
        <v>5000</v>
      </c>
      <c r="M2520">
        <v>500000</v>
      </c>
      <c r="N2520" s="105">
        <v>44378</v>
      </c>
      <c r="O2520" s="105">
        <v>44561</v>
      </c>
      <c r="P2520" t="s">
        <v>718</v>
      </c>
      <c r="R2520" s="154"/>
      <c r="S2520" s="154"/>
      <c r="T2520" s="154"/>
      <c r="U2520" s="154"/>
    </row>
    <row r="2521" spans="1:21" ht="15" customHeight="1" x14ac:dyDescent="0.3">
      <c r="A2521" t="str">
        <f t="shared" si="40"/>
        <v>23-0-HH 2RATE (CT)-SmartFIX – 5 Year Renewal (Level 2)</v>
      </c>
      <c r="B2521" t="s">
        <v>13</v>
      </c>
      <c r="C2521">
        <v>23</v>
      </c>
      <c r="D2521" s="100" t="s">
        <v>32</v>
      </c>
      <c r="E2521" t="s">
        <v>729</v>
      </c>
      <c r="F2521" t="s">
        <v>88</v>
      </c>
      <c r="G2521" t="s">
        <v>740</v>
      </c>
      <c r="H2521" s="128">
        <v>0.65769999999999995</v>
      </c>
      <c r="I2521" s="110">
        <v>0.1908</v>
      </c>
      <c r="J2521" s="110">
        <v>0.1477</v>
      </c>
      <c r="K2521" s="110" t="s">
        <v>717</v>
      </c>
      <c r="L2521">
        <v>5000</v>
      </c>
      <c r="M2521">
        <v>500000</v>
      </c>
      <c r="N2521" s="105">
        <v>44378</v>
      </c>
      <c r="O2521" s="105">
        <v>44561</v>
      </c>
      <c r="P2521" t="s">
        <v>718</v>
      </c>
      <c r="R2521" s="154"/>
      <c r="S2521" s="154"/>
      <c r="T2521" s="154"/>
      <c r="U2521" s="154"/>
    </row>
    <row r="2522" spans="1:21" ht="15" customHeight="1" x14ac:dyDescent="0.3">
      <c r="A2522" t="str">
        <f t="shared" si="40"/>
        <v>10-3-U-SmartPAY12</v>
      </c>
      <c r="B2522" t="s">
        <v>13</v>
      </c>
      <c r="C2522">
        <v>10</v>
      </c>
      <c r="D2522" s="100" t="s">
        <v>14</v>
      </c>
      <c r="E2522" t="s">
        <v>716</v>
      </c>
      <c r="F2522" t="s">
        <v>16</v>
      </c>
      <c r="G2522" t="s">
        <v>697</v>
      </c>
      <c r="H2522" s="128">
        <v>0.29909999999999998</v>
      </c>
      <c r="I2522" s="110">
        <v>0.1595</v>
      </c>
      <c r="L2522">
        <v>5000</v>
      </c>
      <c r="M2522">
        <v>500000</v>
      </c>
      <c r="N2522" s="105">
        <v>44197</v>
      </c>
      <c r="O2522" s="105">
        <v>44377</v>
      </c>
      <c r="P2522" t="s">
        <v>718</v>
      </c>
      <c r="R2522" s="154"/>
      <c r="S2522" s="154"/>
      <c r="T2522" s="154"/>
      <c r="U2522" s="154"/>
    </row>
    <row r="2523" spans="1:21" ht="15" customHeight="1" x14ac:dyDescent="0.3">
      <c r="A2523" t="str">
        <f t="shared" si="40"/>
        <v>10-4-E7-SmartPAY12</v>
      </c>
      <c r="B2523" t="s">
        <v>13</v>
      </c>
      <c r="C2523">
        <v>10</v>
      </c>
      <c r="D2523" s="100" t="s">
        <v>14</v>
      </c>
      <c r="E2523" t="s">
        <v>17</v>
      </c>
      <c r="F2523" t="s">
        <v>18</v>
      </c>
      <c r="G2523" t="s">
        <v>697</v>
      </c>
      <c r="H2523" s="128">
        <v>0.29909999999999998</v>
      </c>
      <c r="I2523" s="110">
        <v>0.1595</v>
      </c>
      <c r="J2523" s="110">
        <v>0.1595</v>
      </c>
      <c r="L2523">
        <v>5000</v>
      </c>
      <c r="M2523">
        <v>500000</v>
      </c>
      <c r="N2523" s="105">
        <v>44197</v>
      </c>
      <c r="O2523" s="105">
        <v>44377</v>
      </c>
      <c r="P2523" t="s">
        <v>718</v>
      </c>
      <c r="R2523" s="154"/>
      <c r="S2523" s="154"/>
      <c r="T2523" s="154"/>
      <c r="U2523" s="154"/>
    </row>
    <row r="2524" spans="1:21" ht="15" customHeight="1" x14ac:dyDescent="0.3">
      <c r="A2524" t="str">
        <f t="shared" si="40"/>
        <v>10-3-EW-SmartPAY12</v>
      </c>
      <c r="B2524" t="s">
        <v>13</v>
      </c>
      <c r="C2524">
        <v>10</v>
      </c>
      <c r="D2524" s="100" t="s">
        <v>14</v>
      </c>
      <c r="E2524" t="s">
        <v>19</v>
      </c>
      <c r="F2524" t="s">
        <v>16</v>
      </c>
      <c r="G2524" t="s">
        <v>697</v>
      </c>
      <c r="H2524" s="128">
        <v>0.29909999999999998</v>
      </c>
      <c r="I2524" s="110">
        <v>0.1595</v>
      </c>
      <c r="K2524" s="110">
        <v>0.1595</v>
      </c>
      <c r="L2524">
        <v>5000</v>
      </c>
      <c r="M2524">
        <v>500000</v>
      </c>
      <c r="N2524" s="105">
        <v>44197</v>
      </c>
      <c r="O2524" s="105">
        <v>44377</v>
      </c>
      <c r="P2524" t="s">
        <v>718</v>
      </c>
      <c r="R2524" s="154"/>
      <c r="S2524" s="154"/>
      <c r="T2524" s="154"/>
      <c r="U2524" s="154"/>
    </row>
    <row r="2525" spans="1:21" ht="15" customHeight="1" x14ac:dyDescent="0.3">
      <c r="A2525" t="str">
        <f t="shared" si="40"/>
        <v>10-4-3RATE-SmartPAY12</v>
      </c>
      <c r="B2525" t="s">
        <v>13</v>
      </c>
      <c r="C2525">
        <v>10</v>
      </c>
      <c r="D2525" s="100" t="s">
        <v>14</v>
      </c>
      <c r="E2525" t="s">
        <v>719</v>
      </c>
      <c r="F2525" t="s">
        <v>18</v>
      </c>
      <c r="G2525" t="s">
        <v>697</v>
      </c>
      <c r="H2525" s="128">
        <v>0.29909999999999998</v>
      </c>
      <c r="I2525" s="110">
        <v>0.1595</v>
      </c>
      <c r="J2525" s="110">
        <v>0.1595</v>
      </c>
      <c r="K2525" s="110">
        <v>0.1595</v>
      </c>
      <c r="L2525">
        <v>5000</v>
      </c>
      <c r="M2525">
        <v>500000</v>
      </c>
      <c r="N2525" s="105">
        <v>44197</v>
      </c>
      <c r="O2525" s="105">
        <v>44377</v>
      </c>
      <c r="P2525" t="s">
        <v>718</v>
      </c>
      <c r="R2525" s="154"/>
      <c r="S2525" s="154"/>
      <c r="T2525" s="154"/>
      <c r="U2525" s="154"/>
    </row>
    <row r="2526" spans="1:21" ht="15" customHeight="1" x14ac:dyDescent="0.3">
      <c r="A2526" t="str">
        <f t="shared" si="40"/>
        <v/>
      </c>
      <c r="B2526" t="s">
        <v>13</v>
      </c>
      <c r="C2526">
        <v>10</v>
      </c>
      <c r="D2526" s="100" t="s">
        <v>14</v>
      </c>
      <c r="E2526" t="s">
        <v>720</v>
      </c>
      <c r="F2526" t="s">
        <v>18</v>
      </c>
      <c r="G2526" t="s">
        <v>697</v>
      </c>
      <c r="H2526" s="128">
        <v>0.29909999999999998</v>
      </c>
      <c r="J2526" s="110">
        <v>0.1595</v>
      </c>
      <c r="L2526">
        <v>5000</v>
      </c>
      <c r="M2526">
        <v>500000</v>
      </c>
      <c r="N2526" s="105">
        <v>44197</v>
      </c>
      <c r="O2526" s="105">
        <v>44377</v>
      </c>
      <c r="P2526" t="s">
        <v>718</v>
      </c>
      <c r="R2526" s="154"/>
      <c r="S2526" s="154"/>
      <c r="T2526" s="154"/>
      <c r="U2526" s="154"/>
    </row>
    <row r="2527" spans="1:21" ht="15" customHeight="1" x14ac:dyDescent="0.3">
      <c r="A2527" t="str">
        <f t="shared" si="40"/>
        <v>11-3-U-SmartPAY12</v>
      </c>
      <c r="B2527" t="s">
        <v>13</v>
      </c>
      <c r="C2527">
        <v>11</v>
      </c>
      <c r="D2527" s="100" t="s">
        <v>20</v>
      </c>
      <c r="E2527" t="s">
        <v>716</v>
      </c>
      <c r="F2527" t="s">
        <v>16</v>
      </c>
      <c r="G2527" t="s">
        <v>697</v>
      </c>
      <c r="H2527" s="128">
        <v>0.30820000000000003</v>
      </c>
      <c r="I2527" s="110">
        <v>0.159</v>
      </c>
      <c r="L2527">
        <v>5000</v>
      </c>
      <c r="M2527">
        <v>500000</v>
      </c>
      <c r="N2527" s="105">
        <v>44197</v>
      </c>
      <c r="O2527" s="105">
        <v>44377</v>
      </c>
      <c r="P2527" t="s">
        <v>718</v>
      </c>
      <c r="R2527" s="154"/>
      <c r="S2527" s="154"/>
      <c r="T2527" s="154"/>
      <c r="U2527" s="154"/>
    </row>
    <row r="2528" spans="1:21" ht="15" customHeight="1" x14ac:dyDescent="0.3">
      <c r="A2528" t="str">
        <f t="shared" si="40"/>
        <v>11-4-E7-SmartPAY12</v>
      </c>
      <c r="B2528" t="s">
        <v>13</v>
      </c>
      <c r="C2528">
        <v>11</v>
      </c>
      <c r="D2528" s="100" t="s">
        <v>20</v>
      </c>
      <c r="E2528" t="s">
        <v>17</v>
      </c>
      <c r="F2528" t="s">
        <v>18</v>
      </c>
      <c r="G2528" t="s">
        <v>697</v>
      </c>
      <c r="H2528" s="128">
        <v>0.30820000000000003</v>
      </c>
      <c r="I2528" s="110">
        <v>0.159</v>
      </c>
      <c r="J2528" s="110">
        <v>0.159</v>
      </c>
      <c r="L2528">
        <v>5000</v>
      </c>
      <c r="M2528">
        <v>500000</v>
      </c>
      <c r="N2528" s="105">
        <v>44197</v>
      </c>
      <c r="O2528" s="105">
        <v>44377</v>
      </c>
      <c r="P2528" t="s">
        <v>718</v>
      </c>
      <c r="R2528" s="154"/>
      <c r="S2528" s="154"/>
      <c r="T2528" s="154"/>
      <c r="U2528" s="154"/>
    </row>
    <row r="2529" spans="1:21" ht="15" customHeight="1" x14ac:dyDescent="0.3">
      <c r="A2529" t="str">
        <f t="shared" si="40"/>
        <v>11-3-EW-SmartPAY12</v>
      </c>
      <c r="B2529" t="s">
        <v>13</v>
      </c>
      <c r="C2529">
        <v>11</v>
      </c>
      <c r="D2529" s="100" t="s">
        <v>20</v>
      </c>
      <c r="E2529" t="s">
        <v>19</v>
      </c>
      <c r="F2529" t="s">
        <v>16</v>
      </c>
      <c r="G2529" t="s">
        <v>697</v>
      </c>
      <c r="H2529" s="128">
        <v>0.30820000000000003</v>
      </c>
      <c r="I2529" s="110">
        <v>0.159</v>
      </c>
      <c r="K2529" s="110">
        <v>0.159</v>
      </c>
      <c r="L2529">
        <v>5000</v>
      </c>
      <c r="M2529">
        <v>500000</v>
      </c>
      <c r="N2529" s="105">
        <v>44197</v>
      </c>
      <c r="O2529" s="105">
        <v>44377</v>
      </c>
      <c r="P2529" t="s">
        <v>718</v>
      </c>
      <c r="R2529" s="154"/>
      <c r="S2529" s="154"/>
      <c r="T2529" s="154"/>
      <c r="U2529" s="154"/>
    </row>
    <row r="2530" spans="1:21" ht="15" customHeight="1" x14ac:dyDescent="0.3">
      <c r="A2530" t="str">
        <f t="shared" si="40"/>
        <v>11-4-3RATE-SmartPAY12</v>
      </c>
      <c r="B2530" t="s">
        <v>13</v>
      </c>
      <c r="C2530">
        <v>11</v>
      </c>
      <c r="D2530" s="100" t="s">
        <v>20</v>
      </c>
      <c r="E2530" t="s">
        <v>719</v>
      </c>
      <c r="F2530" t="s">
        <v>18</v>
      </c>
      <c r="G2530" t="s">
        <v>697</v>
      </c>
      <c r="H2530" s="128">
        <v>0.30820000000000003</v>
      </c>
      <c r="I2530" s="110">
        <v>0.159</v>
      </c>
      <c r="J2530" s="110">
        <v>0.159</v>
      </c>
      <c r="K2530" s="110">
        <v>0.159</v>
      </c>
      <c r="L2530">
        <v>5000</v>
      </c>
      <c r="M2530">
        <v>500000</v>
      </c>
      <c r="N2530" s="105">
        <v>44197</v>
      </c>
      <c r="O2530" s="105">
        <v>44377</v>
      </c>
      <c r="P2530" t="s">
        <v>718</v>
      </c>
      <c r="R2530" s="154"/>
      <c r="S2530" s="154"/>
      <c r="T2530" s="154"/>
      <c r="U2530" s="154"/>
    </row>
    <row r="2531" spans="1:21" ht="15" customHeight="1" x14ac:dyDescent="0.3">
      <c r="A2531" t="str">
        <f t="shared" ref="A2531:A2594" si="41">IF(E2531="OP","",CONCATENATE(C2531,"-",RIGHT(F2531,1),"-",IF(OR(E2531="1 Rate MD",E2531="DAY"),"U",IF(OR(E2531="2 Rate MD",E2531="E7"),"E7",IF(OR(E2531="3 Rate MD (EW)",E2531="EW"),"EW",IF(OR(E2531="3 Rate MD",E2531="EWN"),"3RATE",IF(E2531="HH 2RATE (CT)","HH 2RATE (CT)",IF(E2531="HH 2RATE (WC)","HH 2RATE (WC)",IF(E2531="HH 1RATE (CT)","HH 1RATE (CT)",IF(E2531="HH 1RATE (WC)","HH 1RATE (WC)")))))))),"-",G2531))</f>
        <v/>
      </c>
      <c r="B2531" t="s">
        <v>13</v>
      </c>
      <c r="C2531">
        <v>11</v>
      </c>
      <c r="D2531" s="100" t="s">
        <v>20</v>
      </c>
      <c r="E2531" t="s">
        <v>720</v>
      </c>
      <c r="F2531" t="s">
        <v>18</v>
      </c>
      <c r="G2531" t="s">
        <v>697</v>
      </c>
      <c r="H2531" s="128">
        <v>0.30820000000000003</v>
      </c>
      <c r="J2531" s="110">
        <v>0.159</v>
      </c>
      <c r="L2531">
        <v>5000</v>
      </c>
      <c r="M2531">
        <v>500000</v>
      </c>
      <c r="N2531" s="105">
        <v>44197</v>
      </c>
      <c r="O2531" s="105">
        <v>44377</v>
      </c>
      <c r="P2531" t="s">
        <v>718</v>
      </c>
      <c r="R2531" s="154"/>
      <c r="S2531" s="154"/>
      <c r="T2531" s="154"/>
      <c r="U2531" s="154"/>
    </row>
    <row r="2532" spans="1:21" ht="15" customHeight="1" x14ac:dyDescent="0.3">
      <c r="A2532" t="str">
        <f t="shared" si="41"/>
        <v>12-3-U-SmartPAY12</v>
      </c>
      <c r="B2532" t="s">
        <v>13</v>
      </c>
      <c r="C2532">
        <v>12</v>
      </c>
      <c r="D2532" s="100" t="s">
        <v>21</v>
      </c>
      <c r="E2532" t="s">
        <v>716</v>
      </c>
      <c r="F2532" t="s">
        <v>16</v>
      </c>
      <c r="G2532" t="s">
        <v>697</v>
      </c>
      <c r="H2532" s="128">
        <v>0.23260000000000003</v>
      </c>
      <c r="I2532" s="110">
        <v>0.15190000000000001</v>
      </c>
      <c r="L2532">
        <v>5000</v>
      </c>
      <c r="M2532">
        <v>500000</v>
      </c>
      <c r="N2532" s="105">
        <v>44197</v>
      </c>
      <c r="O2532" s="105">
        <v>44377</v>
      </c>
      <c r="P2532" t="s">
        <v>718</v>
      </c>
      <c r="R2532" s="154"/>
      <c r="S2532" s="154"/>
      <c r="T2532" s="154"/>
      <c r="U2532" s="154"/>
    </row>
    <row r="2533" spans="1:21" ht="15" customHeight="1" x14ac:dyDescent="0.3">
      <c r="A2533" t="str">
        <f t="shared" si="41"/>
        <v>12-4-E7-SmartPAY12</v>
      </c>
      <c r="B2533" t="s">
        <v>13</v>
      </c>
      <c r="C2533">
        <v>12</v>
      </c>
      <c r="D2533" s="100" t="s">
        <v>21</v>
      </c>
      <c r="E2533" t="s">
        <v>17</v>
      </c>
      <c r="F2533" t="s">
        <v>18</v>
      </c>
      <c r="G2533" t="s">
        <v>697</v>
      </c>
      <c r="H2533" s="128">
        <v>0.23260000000000003</v>
      </c>
      <c r="I2533" s="110">
        <v>0.15190000000000001</v>
      </c>
      <c r="J2533" s="110">
        <v>0.15190000000000001</v>
      </c>
      <c r="L2533">
        <v>5000</v>
      </c>
      <c r="M2533">
        <v>500000</v>
      </c>
      <c r="N2533" s="105">
        <v>44197</v>
      </c>
      <c r="O2533" s="105">
        <v>44377</v>
      </c>
      <c r="P2533" t="s">
        <v>718</v>
      </c>
      <c r="R2533" s="154"/>
      <c r="S2533" s="154"/>
      <c r="T2533" s="154"/>
      <c r="U2533" s="154"/>
    </row>
    <row r="2534" spans="1:21" ht="15" customHeight="1" x14ac:dyDescent="0.3">
      <c r="A2534" t="str">
        <f t="shared" si="41"/>
        <v>12-3-EW-SmartPAY12</v>
      </c>
      <c r="B2534" t="s">
        <v>13</v>
      </c>
      <c r="C2534">
        <v>12</v>
      </c>
      <c r="D2534" s="100" t="s">
        <v>21</v>
      </c>
      <c r="E2534" t="s">
        <v>19</v>
      </c>
      <c r="F2534" t="s">
        <v>16</v>
      </c>
      <c r="G2534" t="s">
        <v>697</v>
      </c>
      <c r="H2534" s="128">
        <v>0.23260000000000003</v>
      </c>
      <c r="I2534" s="110">
        <v>0.15190000000000001</v>
      </c>
      <c r="K2534" s="110">
        <v>0.15190000000000001</v>
      </c>
      <c r="L2534">
        <v>5000</v>
      </c>
      <c r="M2534">
        <v>500000</v>
      </c>
      <c r="N2534" s="105">
        <v>44197</v>
      </c>
      <c r="O2534" s="105">
        <v>44377</v>
      </c>
      <c r="P2534" t="s">
        <v>718</v>
      </c>
      <c r="R2534" s="154"/>
      <c r="S2534" s="154"/>
      <c r="T2534" s="154"/>
      <c r="U2534" s="154"/>
    </row>
    <row r="2535" spans="1:21" ht="15" customHeight="1" x14ac:dyDescent="0.3">
      <c r="A2535" t="str">
        <f t="shared" si="41"/>
        <v>12-4-3RATE-SmartPAY12</v>
      </c>
      <c r="B2535" t="s">
        <v>13</v>
      </c>
      <c r="C2535">
        <v>12</v>
      </c>
      <c r="D2535" s="100" t="s">
        <v>21</v>
      </c>
      <c r="E2535" t="s">
        <v>719</v>
      </c>
      <c r="F2535" t="s">
        <v>18</v>
      </c>
      <c r="G2535" t="s">
        <v>697</v>
      </c>
      <c r="H2535" s="128">
        <v>0.23260000000000003</v>
      </c>
      <c r="I2535" s="110">
        <v>0.15190000000000001</v>
      </c>
      <c r="J2535" s="110">
        <v>0.15190000000000001</v>
      </c>
      <c r="K2535" s="110">
        <v>0.15190000000000001</v>
      </c>
      <c r="L2535">
        <v>5000</v>
      </c>
      <c r="M2535">
        <v>500000</v>
      </c>
      <c r="N2535" s="105">
        <v>44197</v>
      </c>
      <c r="O2535" s="105">
        <v>44377</v>
      </c>
      <c r="P2535" t="s">
        <v>718</v>
      </c>
      <c r="R2535" s="154"/>
      <c r="S2535" s="154"/>
      <c r="T2535" s="154"/>
      <c r="U2535" s="154"/>
    </row>
    <row r="2536" spans="1:21" ht="15" customHeight="1" x14ac:dyDescent="0.3">
      <c r="A2536" t="str">
        <f t="shared" si="41"/>
        <v/>
      </c>
      <c r="B2536" t="s">
        <v>13</v>
      </c>
      <c r="C2536">
        <v>12</v>
      </c>
      <c r="D2536" s="100" t="s">
        <v>21</v>
      </c>
      <c r="E2536" t="s">
        <v>720</v>
      </c>
      <c r="F2536" t="s">
        <v>18</v>
      </c>
      <c r="G2536" t="s">
        <v>697</v>
      </c>
      <c r="H2536" s="128">
        <v>0.23260000000000003</v>
      </c>
      <c r="J2536" s="110">
        <v>0.15190000000000001</v>
      </c>
      <c r="L2536">
        <v>5000</v>
      </c>
      <c r="M2536">
        <v>500000</v>
      </c>
      <c r="N2536" s="105">
        <v>44197</v>
      </c>
      <c r="O2536" s="105">
        <v>44377</v>
      </c>
      <c r="P2536" t="s">
        <v>718</v>
      </c>
      <c r="R2536" s="154"/>
      <c r="S2536" s="154"/>
      <c r="T2536" s="154"/>
      <c r="U2536" s="154"/>
    </row>
    <row r="2537" spans="1:21" ht="15" customHeight="1" x14ac:dyDescent="0.3">
      <c r="A2537" t="str">
        <f t="shared" si="41"/>
        <v>13-3-U-SmartPAY12</v>
      </c>
      <c r="B2537" t="s">
        <v>13</v>
      </c>
      <c r="C2537">
        <v>13</v>
      </c>
      <c r="D2537" s="100" t="s">
        <v>22</v>
      </c>
      <c r="E2537" t="s">
        <v>716</v>
      </c>
      <c r="F2537" t="s">
        <v>16</v>
      </c>
      <c r="G2537" t="s">
        <v>697</v>
      </c>
      <c r="H2537" s="128">
        <v>0.2737</v>
      </c>
      <c r="I2537" s="110">
        <v>0.1769</v>
      </c>
      <c r="L2537">
        <v>5000</v>
      </c>
      <c r="M2537">
        <v>500000</v>
      </c>
      <c r="N2537" s="105">
        <v>44197</v>
      </c>
      <c r="O2537" s="105">
        <v>44377</v>
      </c>
      <c r="P2537" t="s">
        <v>718</v>
      </c>
      <c r="R2537" s="154"/>
      <c r="S2537" s="154"/>
      <c r="T2537" s="154"/>
      <c r="U2537" s="154"/>
    </row>
    <row r="2538" spans="1:21" ht="15" customHeight="1" x14ac:dyDescent="0.3">
      <c r="A2538" t="str">
        <f t="shared" si="41"/>
        <v>13-4-E7-SmartPAY12</v>
      </c>
      <c r="B2538" t="s">
        <v>13</v>
      </c>
      <c r="C2538">
        <v>13</v>
      </c>
      <c r="D2538" s="100" t="s">
        <v>22</v>
      </c>
      <c r="E2538" t="s">
        <v>17</v>
      </c>
      <c r="F2538" t="s">
        <v>18</v>
      </c>
      <c r="G2538" t="s">
        <v>697</v>
      </c>
      <c r="H2538" s="128">
        <v>0.2737</v>
      </c>
      <c r="I2538" s="110">
        <v>0.1769</v>
      </c>
      <c r="J2538" s="110">
        <v>0.1769</v>
      </c>
      <c r="L2538">
        <v>5000</v>
      </c>
      <c r="M2538">
        <v>500000</v>
      </c>
      <c r="N2538" s="105">
        <v>44197</v>
      </c>
      <c r="O2538" s="105">
        <v>44377</v>
      </c>
      <c r="P2538" t="s">
        <v>718</v>
      </c>
      <c r="R2538" s="154"/>
      <c r="S2538" s="154"/>
      <c r="T2538" s="154"/>
      <c r="U2538" s="154"/>
    </row>
    <row r="2539" spans="1:21" ht="15" customHeight="1" x14ac:dyDescent="0.3">
      <c r="A2539" t="str">
        <f t="shared" si="41"/>
        <v>13-3-EW-SmartPAY12</v>
      </c>
      <c r="B2539" t="s">
        <v>13</v>
      </c>
      <c r="C2539">
        <v>13</v>
      </c>
      <c r="D2539" s="100" t="s">
        <v>22</v>
      </c>
      <c r="E2539" t="s">
        <v>19</v>
      </c>
      <c r="F2539" t="s">
        <v>16</v>
      </c>
      <c r="G2539" t="s">
        <v>697</v>
      </c>
      <c r="H2539" s="128">
        <v>0.2737</v>
      </c>
      <c r="I2539" s="110">
        <v>0.1769</v>
      </c>
      <c r="K2539" s="110">
        <v>0.1769</v>
      </c>
      <c r="L2539">
        <v>5000</v>
      </c>
      <c r="M2539">
        <v>500000</v>
      </c>
      <c r="N2539" s="105">
        <v>44197</v>
      </c>
      <c r="O2539" s="105">
        <v>44377</v>
      </c>
      <c r="P2539" t="s">
        <v>718</v>
      </c>
      <c r="R2539" s="154"/>
      <c r="S2539" s="154"/>
      <c r="T2539" s="154"/>
      <c r="U2539" s="154"/>
    </row>
    <row r="2540" spans="1:21" ht="15" customHeight="1" x14ac:dyDescent="0.3">
      <c r="A2540" t="str">
        <f t="shared" si="41"/>
        <v>13-4-3RATE-SmartPAY12</v>
      </c>
      <c r="B2540" t="s">
        <v>13</v>
      </c>
      <c r="C2540">
        <v>13</v>
      </c>
      <c r="D2540" s="100" t="s">
        <v>22</v>
      </c>
      <c r="E2540" t="s">
        <v>719</v>
      </c>
      <c r="F2540" t="s">
        <v>18</v>
      </c>
      <c r="G2540" t="s">
        <v>697</v>
      </c>
      <c r="H2540" s="128">
        <v>0.2737</v>
      </c>
      <c r="I2540" s="110">
        <v>0.1769</v>
      </c>
      <c r="J2540" s="110">
        <v>0.1769</v>
      </c>
      <c r="K2540" s="110">
        <v>0.1769</v>
      </c>
      <c r="L2540">
        <v>5000</v>
      </c>
      <c r="M2540">
        <v>500000</v>
      </c>
      <c r="N2540" s="105">
        <v>44197</v>
      </c>
      <c r="O2540" s="105">
        <v>44377</v>
      </c>
      <c r="P2540" t="s">
        <v>718</v>
      </c>
      <c r="R2540" s="154"/>
      <c r="S2540" s="154"/>
      <c r="T2540" s="154"/>
      <c r="U2540" s="154"/>
    </row>
    <row r="2541" spans="1:21" ht="15" customHeight="1" x14ac:dyDescent="0.3">
      <c r="A2541" t="str">
        <f t="shared" si="41"/>
        <v/>
      </c>
      <c r="B2541" t="s">
        <v>13</v>
      </c>
      <c r="C2541">
        <v>13</v>
      </c>
      <c r="D2541" s="100" t="s">
        <v>22</v>
      </c>
      <c r="E2541" t="s">
        <v>720</v>
      </c>
      <c r="F2541" t="s">
        <v>18</v>
      </c>
      <c r="G2541" t="s">
        <v>697</v>
      </c>
      <c r="H2541" s="128">
        <v>0.2737</v>
      </c>
      <c r="J2541" s="110">
        <v>0.1769</v>
      </c>
      <c r="L2541">
        <v>5000</v>
      </c>
      <c r="M2541">
        <v>500000</v>
      </c>
      <c r="N2541" s="105">
        <v>44197</v>
      </c>
      <c r="O2541" s="105">
        <v>44377</v>
      </c>
      <c r="P2541" t="s">
        <v>718</v>
      </c>
      <c r="R2541" s="154"/>
      <c r="S2541" s="154"/>
      <c r="T2541" s="154"/>
      <c r="U2541" s="154"/>
    </row>
    <row r="2542" spans="1:21" ht="15" customHeight="1" x14ac:dyDescent="0.3">
      <c r="A2542" t="str">
        <f t="shared" si="41"/>
        <v>14-3-U-SmartPAY12</v>
      </c>
      <c r="B2542" t="s">
        <v>13</v>
      </c>
      <c r="C2542">
        <v>14</v>
      </c>
      <c r="D2542" s="100" t="s">
        <v>23</v>
      </c>
      <c r="E2542" t="s">
        <v>716</v>
      </c>
      <c r="F2542" t="s">
        <v>16</v>
      </c>
      <c r="G2542" t="s">
        <v>697</v>
      </c>
      <c r="H2542" s="128">
        <v>0.33779999999999999</v>
      </c>
      <c r="I2542" s="110">
        <v>0.16200000000000001</v>
      </c>
      <c r="L2542">
        <v>5000</v>
      </c>
      <c r="M2542">
        <v>500000</v>
      </c>
      <c r="N2542" s="105">
        <v>44197</v>
      </c>
      <c r="O2542" s="105">
        <v>44377</v>
      </c>
      <c r="P2542" t="s">
        <v>718</v>
      </c>
      <c r="R2542" s="154"/>
      <c r="S2542" s="154"/>
      <c r="T2542" s="154"/>
      <c r="U2542" s="154"/>
    </row>
    <row r="2543" spans="1:21" ht="15" customHeight="1" x14ac:dyDescent="0.3">
      <c r="A2543" t="str">
        <f t="shared" si="41"/>
        <v>14-4-E7-SmartPAY12</v>
      </c>
      <c r="B2543" t="s">
        <v>13</v>
      </c>
      <c r="C2543">
        <v>14</v>
      </c>
      <c r="D2543" s="100" t="s">
        <v>23</v>
      </c>
      <c r="E2543" t="s">
        <v>17</v>
      </c>
      <c r="F2543" t="s">
        <v>18</v>
      </c>
      <c r="G2543" t="s">
        <v>697</v>
      </c>
      <c r="H2543" s="128">
        <v>0.33779999999999999</v>
      </c>
      <c r="I2543" s="110">
        <v>0.16200000000000001</v>
      </c>
      <c r="J2543" s="110">
        <v>0.16200000000000001</v>
      </c>
      <c r="L2543">
        <v>5000</v>
      </c>
      <c r="M2543">
        <v>500000</v>
      </c>
      <c r="N2543" s="105">
        <v>44197</v>
      </c>
      <c r="O2543" s="105">
        <v>44377</v>
      </c>
      <c r="P2543" t="s">
        <v>718</v>
      </c>
      <c r="R2543" s="154"/>
      <c r="S2543" s="154"/>
      <c r="T2543" s="154"/>
      <c r="U2543" s="154"/>
    </row>
    <row r="2544" spans="1:21" ht="15" customHeight="1" x14ac:dyDescent="0.3">
      <c r="A2544" t="str">
        <f t="shared" si="41"/>
        <v>14-3-EW-SmartPAY12</v>
      </c>
      <c r="B2544" t="s">
        <v>13</v>
      </c>
      <c r="C2544">
        <v>14</v>
      </c>
      <c r="D2544" s="100" t="s">
        <v>23</v>
      </c>
      <c r="E2544" t="s">
        <v>19</v>
      </c>
      <c r="F2544" t="s">
        <v>16</v>
      </c>
      <c r="G2544" t="s">
        <v>697</v>
      </c>
      <c r="H2544" s="128">
        <v>0.33779999999999999</v>
      </c>
      <c r="I2544" s="110">
        <v>0.16200000000000001</v>
      </c>
      <c r="K2544" s="110">
        <v>0.16200000000000001</v>
      </c>
      <c r="L2544">
        <v>5000</v>
      </c>
      <c r="M2544">
        <v>500000</v>
      </c>
      <c r="N2544" s="105">
        <v>44197</v>
      </c>
      <c r="O2544" s="105">
        <v>44377</v>
      </c>
      <c r="P2544" t="s">
        <v>718</v>
      </c>
      <c r="R2544" s="154"/>
      <c r="S2544" s="154"/>
      <c r="T2544" s="154"/>
      <c r="U2544" s="154"/>
    </row>
    <row r="2545" spans="1:21" ht="15" customHeight="1" x14ac:dyDescent="0.3">
      <c r="A2545" t="str">
        <f t="shared" si="41"/>
        <v>14-4-3RATE-SmartPAY12</v>
      </c>
      <c r="B2545" t="s">
        <v>13</v>
      </c>
      <c r="C2545">
        <v>14</v>
      </c>
      <c r="D2545" s="100" t="s">
        <v>23</v>
      </c>
      <c r="E2545" t="s">
        <v>719</v>
      </c>
      <c r="F2545" t="s">
        <v>18</v>
      </c>
      <c r="G2545" t="s">
        <v>697</v>
      </c>
      <c r="H2545" s="128">
        <v>0.33779999999999999</v>
      </c>
      <c r="I2545" s="110">
        <v>0.16200000000000001</v>
      </c>
      <c r="J2545" s="110">
        <v>0.16200000000000001</v>
      </c>
      <c r="K2545" s="110">
        <v>0.16200000000000001</v>
      </c>
      <c r="L2545">
        <v>5000</v>
      </c>
      <c r="M2545">
        <v>500000</v>
      </c>
      <c r="N2545" s="105">
        <v>44197</v>
      </c>
      <c r="O2545" s="105">
        <v>44377</v>
      </c>
      <c r="P2545" t="s">
        <v>718</v>
      </c>
      <c r="R2545" s="154"/>
      <c r="S2545" s="154"/>
      <c r="T2545" s="154"/>
      <c r="U2545" s="154"/>
    </row>
    <row r="2546" spans="1:21" ht="15" customHeight="1" x14ac:dyDescent="0.3">
      <c r="A2546" t="str">
        <f t="shared" si="41"/>
        <v/>
      </c>
      <c r="B2546" t="s">
        <v>13</v>
      </c>
      <c r="C2546">
        <v>14</v>
      </c>
      <c r="D2546" s="100" t="s">
        <v>23</v>
      </c>
      <c r="E2546" t="s">
        <v>720</v>
      </c>
      <c r="F2546" t="s">
        <v>18</v>
      </c>
      <c r="G2546" t="s">
        <v>697</v>
      </c>
      <c r="H2546" s="128">
        <v>0.33779999999999999</v>
      </c>
      <c r="J2546" s="110">
        <v>0.16200000000000001</v>
      </c>
      <c r="L2546">
        <v>5000</v>
      </c>
      <c r="M2546">
        <v>500000</v>
      </c>
      <c r="N2546" s="105">
        <v>44197</v>
      </c>
      <c r="O2546" s="105">
        <v>44377</v>
      </c>
      <c r="P2546" t="s">
        <v>718</v>
      </c>
      <c r="R2546" s="154"/>
      <c r="S2546" s="154"/>
      <c r="T2546" s="154"/>
      <c r="U2546" s="154"/>
    </row>
    <row r="2547" spans="1:21" ht="15" customHeight="1" x14ac:dyDescent="0.3">
      <c r="A2547" t="str">
        <f t="shared" si="41"/>
        <v>15-3-U-SmartPAY12</v>
      </c>
      <c r="B2547" t="s">
        <v>13</v>
      </c>
      <c r="C2547">
        <v>15</v>
      </c>
      <c r="D2547" s="100" t="s">
        <v>24</v>
      </c>
      <c r="E2547" t="s">
        <v>716</v>
      </c>
      <c r="F2547" t="s">
        <v>16</v>
      </c>
      <c r="G2547" t="s">
        <v>697</v>
      </c>
      <c r="H2547" s="128">
        <v>0.3135</v>
      </c>
      <c r="I2547" s="110">
        <v>0.16089999999999999</v>
      </c>
      <c r="L2547">
        <v>5000</v>
      </c>
      <c r="M2547">
        <v>500000</v>
      </c>
      <c r="N2547" s="105">
        <v>44197</v>
      </c>
      <c r="O2547" s="105">
        <v>44377</v>
      </c>
      <c r="P2547" t="s">
        <v>718</v>
      </c>
      <c r="R2547" s="154"/>
      <c r="S2547" s="154"/>
      <c r="T2547" s="154"/>
      <c r="U2547" s="154"/>
    </row>
    <row r="2548" spans="1:21" ht="15" customHeight="1" x14ac:dyDescent="0.3">
      <c r="A2548" t="str">
        <f t="shared" si="41"/>
        <v>15-4-E7-SmartPAY12</v>
      </c>
      <c r="B2548" t="s">
        <v>13</v>
      </c>
      <c r="C2548">
        <v>15</v>
      </c>
      <c r="D2548" s="100" t="s">
        <v>24</v>
      </c>
      <c r="E2548" t="s">
        <v>17</v>
      </c>
      <c r="F2548" t="s">
        <v>18</v>
      </c>
      <c r="G2548" t="s">
        <v>697</v>
      </c>
      <c r="H2548" s="128">
        <v>0.3135</v>
      </c>
      <c r="I2548" s="110">
        <v>0.16089999999999999</v>
      </c>
      <c r="J2548" s="110">
        <v>0.16089999999999999</v>
      </c>
      <c r="L2548">
        <v>5000</v>
      </c>
      <c r="M2548">
        <v>500000</v>
      </c>
      <c r="N2548" s="105">
        <v>44197</v>
      </c>
      <c r="O2548" s="105">
        <v>44377</v>
      </c>
      <c r="P2548" t="s">
        <v>718</v>
      </c>
      <c r="R2548" s="154"/>
      <c r="S2548" s="154"/>
      <c r="T2548" s="154"/>
      <c r="U2548" s="154"/>
    </row>
    <row r="2549" spans="1:21" ht="15" customHeight="1" x14ac:dyDescent="0.3">
      <c r="A2549" t="str">
        <f t="shared" si="41"/>
        <v>15-3-EW-SmartPAY12</v>
      </c>
      <c r="B2549" t="s">
        <v>13</v>
      </c>
      <c r="C2549">
        <v>15</v>
      </c>
      <c r="D2549" s="100" t="s">
        <v>24</v>
      </c>
      <c r="E2549" t="s">
        <v>19</v>
      </c>
      <c r="F2549" t="s">
        <v>16</v>
      </c>
      <c r="G2549" t="s">
        <v>697</v>
      </c>
      <c r="H2549" s="128">
        <v>0.3135</v>
      </c>
      <c r="I2549" s="110">
        <v>0.16089999999999999</v>
      </c>
      <c r="K2549" s="110">
        <v>0.16089999999999999</v>
      </c>
      <c r="L2549">
        <v>5000</v>
      </c>
      <c r="M2549">
        <v>500000</v>
      </c>
      <c r="N2549" s="105">
        <v>44197</v>
      </c>
      <c r="O2549" s="105">
        <v>44377</v>
      </c>
      <c r="P2549" t="s">
        <v>718</v>
      </c>
      <c r="R2549" s="154"/>
      <c r="S2549" s="154"/>
      <c r="T2549" s="154"/>
      <c r="U2549" s="154"/>
    </row>
    <row r="2550" spans="1:21" ht="15" customHeight="1" x14ac:dyDescent="0.3">
      <c r="A2550" t="str">
        <f t="shared" si="41"/>
        <v>15-4-3RATE-SmartPAY12</v>
      </c>
      <c r="B2550" t="s">
        <v>13</v>
      </c>
      <c r="C2550">
        <v>15</v>
      </c>
      <c r="D2550" s="100" t="s">
        <v>24</v>
      </c>
      <c r="E2550" t="s">
        <v>719</v>
      </c>
      <c r="F2550" t="s">
        <v>18</v>
      </c>
      <c r="G2550" t="s">
        <v>697</v>
      </c>
      <c r="H2550" s="128">
        <v>0.3135</v>
      </c>
      <c r="I2550" s="110">
        <v>0.16089999999999999</v>
      </c>
      <c r="J2550" s="110">
        <v>0.16089999999999999</v>
      </c>
      <c r="K2550" s="110">
        <v>0.16089999999999999</v>
      </c>
      <c r="L2550">
        <v>5000</v>
      </c>
      <c r="M2550">
        <v>500000</v>
      </c>
      <c r="N2550" s="105">
        <v>44197</v>
      </c>
      <c r="O2550" s="105">
        <v>44377</v>
      </c>
      <c r="P2550" t="s">
        <v>718</v>
      </c>
      <c r="R2550" s="154"/>
      <c r="S2550" s="154"/>
      <c r="T2550" s="154"/>
      <c r="U2550" s="154"/>
    </row>
    <row r="2551" spans="1:21" ht="15" customHeight="1" x14ac:dyDescent="0.3">
      <c r="A2551" t="str">
        <f t="shared" si="41"/>
        <v/>
      </c>
      <c r="B2551" t="s">
        <v>13</v>
      </c>
      <c r="C2551">
        <v>15</v>
      </c>
      <c r="D2551" s="100" t="s">
        <v>24</v>
      </c>
      <c r="E2551" t="s">
        <v>720</v>
      </c>
      <c r="F2551" t="s">
        <v>18</v>
      </c>
      <c r="G2551" t="s">
        <v>697</v>
      </c>
      <c r="H2551" s="128">
        <v>0.3135</v>
      </c>
      <c r="J2551" s="110">
        <v>0.16089999999999999</v>
      </c>
      <c r="L2551">
        <v>5000</v>
      </c>
      <c r="M2551">
        <v>500000</v>
      </c>
      <c r="N2551" s="105">
        <v>44197</v>
      </c>
      <c r="O2551" s="105">
        <v>44377</v>
      </c>
      <c r="P2551" t="s">
        <v>718</v>
      </c>
      <c r="R2551" s="154"/>
      <c r="S2551" s="154"/>
      <c r="T2551" s="154"/>
      <c r="U2551" s="154"/>
    </row>
    <row r="2552" spans="1:21" ht="15" customHeight="1" x14ac:dyDescent="0.3">
      <c r="A2552" t="str">
        <f t="shared" si="41"/>
        <v>16-3-U-SmartPAY12</v>
      </c>
      <c r="B2552" t="s">
        <v>13</v>
      </c>
      <c r="C2552">
        <v>16</v>
      </c>
      <c r="D2552" s="100" t="s">
        <v>25</v>
      </c>
      <c r="E2552" t="s">
        <v>716</v>
      </c>
      <c r="F2552" t="s">
        <v>16</v>
      </c>
      <c r="G2552" t="s">
        <v>697</v>
      </c>
      <c r="H2552" s="128">
        <v>0.26539999999999997</v>
      </c>
      <c r="I2552" s="110">
        <v>0.16329999999999997</v>
      </c>
      <c r="L2552">
        <v>5000</v>
      </c>
      <c r="M2552">
        <v>500000</v>
      </c>
      <c r="N2552" s="105">
        <v>44197</v>
      </c>
      <c r="O2552" s="105">
        <v>44377</v>
      </c>
      <c r="P2552" t="s">
        <v>718</v>
      </c>
      <c r="R2552" s="154"/>
      <c r="S2552" s="154"/>
      <c r="T2552" s="154"/>
      <c r="U2552" s="154"/>
    </row>
    <row r="2553" spans="1:21" ht="15" customHeight="1" x14ac:dyDescent="0.3">
      <c r="A2553" t="str">
        <f t="shared" si="41"/>
        <v>16-4-E7-SmartPAY12</v>
      </c>
      <c r="B2553" t="s">
        <v>13</v>
      </c>
      <c r="C2553">
        <v>16</v>
      </c>
      <c r="D2553" s="100" t="s">
        <v>25</v>
      </c>
      <c r="E2553" t="s">
        <v>17</v>
      </c>
      <c r="F2553" t="s">
        <v>18</v>
      </c>
      <c r="G2553" t="s">
        <v>697</v>
      </c>
      <c r="H2553" s="128">
        <v>0.26539999999999997</v>
      </c>
      <c r="I2553" s="110">
        <v>0.16329999999999997</v>
      </c>
      <c r="J2553" s="110">
        <v>0.16329999999999997</v>
      </c>
      <c r="L2553">
        <v>5000</v>
      </c>
      <c r="M2553">
        <v>500000</v>
      </c>
      <c r="N2553" s="105">
        <v>44197</v>
      </c>
      <c r="O2553" s="105">
        <v>44377</v>
      </c>
      <c r="P2553" t="s">
        <v>718</v>
      </c>
      <c r="R2553" s="154"/>
      <c r="S2553" s="154"/>
      <c r="T2553" s="154"/>
      <c r="U2553" s="154"/>
    </row>
    <row r="2554" spans="1:21" ht="15" customHeight="1" x14ac:dyDescent="0.3">
      <c r="A2554" t="str">
        <f t="shared" si="41"/>
        <v>16-3-EW-SmartPAY12</v>
      </c>
      <c r="B2554" t="s">
        <v>13</v>
      </c>
      <c r="C2554">
        <v>16</v>
      </c>
      <c r="D2554" s="100" t="s">
        <v>25</v>
      </c>
      <c r="E2554" t="s">
        <v>19</v>
      </c>
      <c r="F2554" t="s">
        <v>16</v>
      </c>
      <c r="G2554" t="s">
        <v>697</v>
      </c>
      <c r="H2554" s="128">
        <v>0.26539999999999997</v>
      </c>
      <c r="I2554" s="110">
        <v>0.16329999999999997</v>
      </c>
      <c r="K2554" s="110">
        <v>0.16329999999999997</v>
      </c>
      <c r="L2554">
        <v>5000</v>
      </c>
      <c r="M2554">
        <v>500000</v>
      </c>
      <c r="N2554" s="105">
        <v>44197</v>
      </c>
      <c r="O2554" s="105">
        <v>44377</v>
      </c>
      <c r="P2554" t="s">
        <v>718</v>
      </c>
      <c r="R2554" s="154"/>
      <c r="S2554" s="154"/>
      <c r="T2554" s="154"/>
      <c r="U2554" s="154"/>
    </row>
    <row r="2555" spans="1:21" ht="15" customHeight="1" x14ac:dyDescent="0.3">
      <c r="A2555" t="str">
        <f t="shared" si="41"/>
        <v>16-4-3RATE-SmartPAY12</v>
      </c>
      <c r="B2555" t="s">
        <v>13</v>
      </c>
      <c r="C2555">
        <v>16</v>
      </c>
      <c r="D2555" s="100" t="s">
        <v>25</v>
      </c>
      <c r="E2555" t="s">
        <v>719</v>
      </c>
      <c r="F2555" t="s">
        <v>18</v>
      </c>
      <c r="G2555" t="s">
        <v>697</v>
      </c>
      <c r="H2555" s="128">
        <v>0.26539999999999997</v>
      </c>
      <c r="I2555" s="110">
        <v>0.16329999999999997</v>
      </c>
      <c r="J2555" s="110">
        <v>0.16329999999999997</v>
      </c>
      <c r="K2555" s="110">
        <v>0.16329999999999997</v>
      </c>
      <c r="L2555">
        <v>5000</v>
      </c>
      <c r="M2555">
        <v>500000</v>
      </c>
      <c r="N2555" s="105">
        <v>44197</v>
      </c>
      <c r="O2555" s="105">
        <v>44377</v>
      </c>
      <c r="P2555" t="s">
        <v>718</v>
      </c>
      <c r="R2555" s="154"/>
      <c r="S2555" s="154"/>
      <c r="T2555" s="154"/>
      <c r="U2555" s="154"/>
    </row>
    <row r="2556" spans="1:21" ht="15" customHeight="1" x14ac:dyDescent="0.3">
      <c r="A2556" t="str">
        <f t="shared" si="41"/>
        <v/>
      </c>
      <c r="B2556" t="s">
        <v>13</v>
      </c>
      <c r="C2556">
        <v>16</v>
      </c>
      <c r="D2556" s="100" t="s">
        <v>25</v>
      </c>
      <c r="E2556" t="s">
        <v>720</v>
      </c>
      <c r="F2556" t="s">
        <v>18</v>
      </c>
      <c r="G2556" t="s">
        <v>697</v>
      </c>
      <c r="H2556" s="128">
        <v>0.26539999999999997</v>
      </c>
      <c r="J2556" s="110">
        <v>0.16329999999999997</v>
      </c>
      <c r="L2556">
        <v>5000</v>
      </c>
      <c r="M2556">
        <v>500000</v>
      </c>
      <c r="N2556" s="105">
        <v>44197</v>
      </c>
      <c r="O2556" s="105">
        <v>44377</v>
      </c>
      <c r="P2556" t="s">
        <v>718</v>
      </c>
      <c r="R2556" s="154"/>
      <c r="S2556" s="154"/>
      <c r="T2556" s="154"/>
      <c r="U2556" s="154"/>
    </row>
    <row r="2557" spans="1:21" ht="15" customHeight="1" x14ac:dyDescent="0.3">
      <c r="A2557" t="str">
        <f t="shared" si="41"/>
        <v>17-3-U-SmartPAY12</v>
      </c>
      <c r="B2557" t="s">
        <v>13</v>
      </c>
      <c r="C2557">
        <v>17</v>
      </c>
      <c r="D2557" s="100" t="s">
        <v>26</v>
      </c>
      <c r="E2557" t="s">
        <v>716</v>
      </c>
      <c r="F2557" t="s">
        <v>16</v>
      </c>
      <c r="G2557" t="s">
        <v>697</v>
      </c>
      <c r="H2557" s="128">
        <v>0.34960000000000002</v>
      </c>
      <c r="I2557" s="110">
        <v>0.16600000000000001</v>
      </c>
      <c r="L2557">
        <v>5000</v>
      </c>
      <c r="M2557">
        <v>500000</v>
      </c>
      <c r="N2557" s="105">
        <v>44197</v>
      </c>
      <c r="O2557" s="105">
        <v>44377</v>
      </c>
      <c r="P2557" t="s">
        <v>718</v>
      </c>
      <c r="R2557" s="154"/>
      <c r="S2557" s="154"/>
      <c r="T2557" s="154"/>
      <c r="U2557" s="154"/>
    </row>
    <row r="2558" spans="1:21" ht="15" customHeight="1" x14ac:dyDescent="0.3">
      <c r="A2558" t="str">
        <f t="shared" si="41"/>
        <v>17-4-E7-SmartPAY12</v>
      </c>
      <c r="B2558" t="s">
        <v>13</v>
      </c>
      <c r="C2558">
        <v>17</v>
      </c>
      <c r="D2558" s="100" t="s">
        <v>26</v>
      </c>
      <c r="E2558" t="s">
        <v>17</v>
      </c>
      <c r="F2558" t="s">
        <v>18</v>
      </c>
      <c r="G2558" t="s">
        <v>697</v>
      </c>
      <c r="H2558" s="128">
        <v>0.34960000000000002</v>
      </c>
      <c r="I2558" s="110">
        <v>0.16600000000000001</v>
      </c>
      <c r="J2558" s="110">
        <v>0.16600000000000001</v>
      </c>
      <c r="L2558">
        <v>5000</v>
      </c>
      <c r="M2558">
        <v>500000</v>
      </c>
      <c r="N2558" s="105">
        <v>44197</v>
      </c>
      <c r="O2558" s="105">
        <v>44377</v>
      </c>
      <c r="P2558" t="s">
        <v>718</v>
      </c>
      <c r="R2558" s="154"/>
      <c r="S2558" s="154"/>
      <c r="T2558" s="154"/>
      <c r="U2558" s="154"/>
    </row>
    <row r="2559" spans="1:21" ht="15" customHeight="1" x14ac:dyDescent="0.3">
      <c r="A2559" t="str">
        <f t="shared" si="41"/>
        <v>17-3-EW-SmartPAY12</v>
      </c>
      <c r="B2559" t="s">
        <v>13</v>
      </c>
      <c r="C2559">
        <v>17</v>
      </c>
      <c r="D2559" s="100" t="s">
        <v>26</v>
      </c>
      <c r="E2559" t="s">
        <v>19</v>
      </c>
      <c r="F2559" t="s">
        <v>16</v>
      </c>
      <c r="G2559" t="s">
        <v>697</v>
      </c>
      <c r="H2559" s="128">
        <v>0.34960000000000002</v>
      </c>
      <c r="I2559" s="110">
        <v>0.16600000000000001</v>
      </c>
      <c r="K2559" s="110">
        <v>0.16600000000000001</v>
      </c>
      <c r="L2559">
        <v>5000</v>
      </c>
      <c r="M2559">
        <v>500000</v>
      </c>
      <c r="N2559" s="105">
        <v>44197</v>
      </c>
      <c r="O2559" s="105">
        <v>44377</v>
      </c>
      <c r="P2559" t="s">
        <v>718</v>
      </c>
      <c r="R2559" s="154"/>
      <c r="S2559" s="154"/>
      <c r="T2559" s="154"/>
      <c r="U2559" s="154"/>
    </row>
    <row r="2560" spans="1:21" ht="15" customHeight="1" x14ac:dyDescent="0.3">
      <c r="A2560" t="str">
        <f t="shared" si="41"/>
        <v>17-4-3RATE-SmartPAY12</v>
      </c>
      <c r="B2560" t="s">
        <v>13</v>
      </c>
      <c r="C2560">
        <v>17</v>
      </c>
      <c r="D2560" s="100" t="s">
        <v>26</v>
      </c>
      <c r="E2560" t="s">
        <v>719</v>
      </c>
      <c r="F2560" t="s">
        <v>18</v>
      </c>
      <c r="G2560" t="s">
        <v>697</v>
      </c>
      <c r="H2560" s="128">
        <v>0.34960000000000002</v>
      </c>
      <c r="I2560" s="110">
        <v>0.16600000000000001</v>
      </c>
      <c r="J2560" s="110">
        <v>0.16600000000000001</v>
      </c>
      <c r="K2560" s="110">
        <v>0.16600000000000001</v>
      </c>
      <c r="L2560">
        <v>5000</v>
      </c>
      <c r="M2560">
        <v>500000</v>
      </c>
      <c r="N2560" s="105">
        <v>44197</v>
      </c>
      <c r="O2560" s="105">
        <v>44377</v>
      </c>
      <c r="P2560" t="s">
        <v>718</v>
      </c>
      <c r="R2560" s="154"/>
      <c r="S2560" s="154"/>
      <c r="T2560" s="154"/>
      <c r="U2560" s="154"/>
    </row>
    <row r="2561" spans="1:21" ht="15" customHeight="1" x14ac:dyDescent="0.3">
      <c r="A2561" t="str">
        <f t="shared" si="41"/>
        <v/>
      </c>
      <c r="B2561" t="s">
        <v>13</v>
      </c>
      <c r="C2561">
        <v>17</v>
      </c>
      <c r="D2561" s="100" t="s">
        <v>26</v>
      </c>
      <c r="E2561" t="s">
        <v>720</v>
      </c>
      <c r="F2561" t="s">
        <v>18</v>
      </c>
      <c r="G2561" t="s">
        <v>697</v>
      </c>
      <c r="H2561" s="128">
        <v>0.34960000000000002</v>
      </c>
      <c r="J2561" s="110">
        <v>0.16600000000000001</v>
      </c>
      <c r="L2561">
        <v>5000</v>
      </c>
      <c r="M2561">
        <v>500000</v>
      </c>
      <c r="N2561" s="105">
        <v>44197</v>
      </c>
      <c r="O2561" s="105">
        <v>44377</v>
      </c>
      <c r="P2561" t="s">
        <v>718</v>
      </c>
      <c r="R2561" s="154"/>
      <c r="S2561" s="154"/>
      <c r="T2561" s="154"/>
      <c r="U2561" s="154"/>
    </row>
    <row r="2562" spans="1:21" ht="15" customHeight="1" x14ac:dyDescent="0.3">
      <c r="A2562" t="str">
        <f t="shared" si="41"/>
        <v>18-3-U-SmartPAY12</v>
      </c>
      <c r="B2562" t="s">
        <v>13</v>
      </c>
      <c r="C2562">
        <v>18</v>
      </c>
      <c r="D2562" s="100" t="s">
        <v>27</v>
      </c>
      <c r="E2562" t="s">
        <v>716</v>
      </c>
      <c r="F2562" t="s">
        <v>16</v>
      </c>
      <c r="G2562" t="s">
        <v>697</v>
      </c>
      <c r="H2562" s="128">
        <v>0.30499999999999999</v>
      </c>
      <c r="I2562" s="110">
        <v>0.1613</v>
      </c>
      <c r="L2562">
        <v>5000</v>
      </c>
      <c r="M2562">
        <v>500000</v>
      </c>
      <c r="N2562" s="105">
        <v>44197</v>
      </c>
      <c r="O2562" s="105">
        <v>44377</v>
      </c>
      <c r="P2562" t="s">
        <v>718</v>
      </c>
      <c r="R2562" s="154"/>
      <c r="S2562" s="154"/>
      <c r="T2562" s="154"/>
      <c r="U2562" s="154"/>
    </row>
    <row r="2563" spans="1:21" ht="15" customHeight="1" x14ac:dyDescent="0.3">
      <c r="A2563" t="str">
        <f t="shared" si="41"/>
        <v>18-4-E7-SmartPAY12</v>
      </c>
      <c r="B2563" t="s">
        <v>13</v>
      </c>
      <c r="C2563">
        <v>18</v>
      </c>
      <c r="D2563" s="100" t="s">
        <v>27</v>
      </c>
      <c r="E2563" t="s">
        <v>17</v>
      </c>
      <c r="F2563" t="s">
        <v>18</v>
      </c>
      <c r="G2563" t="s">
        <v>697</v>
      </c>
      <c r="H2563" s="128">
        <v>0.30499999999999999</v>
      </c>
      <c r="I2563" s="110">
        <v>0.1613</v>
      </c>
      <c r="J2563" s="110">
        <v>0.1613</v>
      </c>
      <c r="L2563">
        <v>5000</v>
      </c>
      <c r="M2563">
        <v>500000</v>
      </c>
      <c r="N2563" s="105">
        <v>44197</v>
      </c>
      <c r="O2563" s="105">
        <v>44377</v>
      </c>
      <c r="P2563" t="s">
        <v>718</v>
      </c>
      <c r="R2563" s="154"/>
      <c r="S2563" s="154"/>
      <c r="T2563" s="154"/>
      <c r="U2563" s="154"/>
    </row>
    <row r="2564" spans="1:21" ht="15" customHeight="1" x14ac:dyDescent="0.3">
      <c r="A2564" t="str">
        <f t="shared" si="41"/>
        <v>18-3-EW-SmartPAY12</v>
      </c>
      <c r="B2564" t="s">
        <v>13</v>
      </c>
      <c r="C2564">
        <v>18</v>
      </c>
      <c r="D2564" s="100" t="s">
        <v>27</v>
      </c>
      <c r="E2564" t="s">
        <v>19</v>
      </c>
      <c r="F2564" t="s">
        <v>16</v>
      </c>
      <c r="G2564" t="s">
        <v>697</v>
      </c>
      <c r="H2564" s="128">
        <v>0.30499999999999999</v>
      </c>
      <c r="I2564" s="110">
        <v>0.1613</v>
      </c>
      <c r="K2564" s="110">
        <v>0.1613</v>
      </c>
      <c r="L2564">
        <v>5000</v>
      </c>
      <c r="M2564">
        <v>500000</v>
      </c>
      <c r="N2564" s="105">
        <v>44197</v>
      </c>
      <c r="O2564" s="105">
        <v>44377</v>
      </c>
      <c r="P2564" t="s">
        <v>718</v>
      </c>
      <c r="R2564" s="154"/>
      <c r="S2564" s="154"/>
      <c r="T2564" s="154"/>
      <c r="U2564" s="154"/>
    </row>
    <row r="2565" spans="1:21" ht="15" customHeight="1" x14ac:dyDescent="0.3">
      <c r="A2565" t="str">
        <f t="shared" si="41"/>
        <v>18-4-3RATE-SmartPAY12</v>
      </c>
      <c r="B2565" t="s">
        <v>13</v>
      </c>
      <c r="C2565">
        <v>18</v>
      </c>
      <c r="D2565" s="100" t="s">
        <v>27</v>
      </c>
      <c r="E2565" t="s">
        <v>719</v>
      </c>
      <c r="F2565" t="s">
        <v>18</v>
      </c>
      <c r="G2565" t="s">
        <v>697</v>
      </c>
      <c r="H2565" s="128">
        <v>0.30499999999999999</v>
      </c>
      <c r="I2565" s="110">
        <v>0.1613</v>
      </c>
      <c r="J2565" s="110">
        <v>0.1613</v>
      </c>
      <c r="K2565" s="110">
        <v>0.1613</v>
      </c>
      <c r="L2565">
        <v>5000</v>
      </c>
      <c r="M2565">
        <v>500000</v>
      </c>
      <c r="N2565" s="105">
        <v>44197</v>
      </c>
      <c r="O2565" s="105">
        <v>44377</v>
      </c>
      <c r="P2565" t="s">
        <v>718</v>
      </c>
      <c r="R2565" s="154"/>
      <c r="S2565" s="154"/>
      <c r="T2565" s="154"/>
      <c r="U2565" s="154"/>
    </row>
    <row r="2566" spans="1:21" ht="15" customHeight="1" x14ac:dyDescent="0.3">
      <c r="A2566" t="str">
        <f t="shared" si="41"/>
        <v/>
      </c>
      <c r="B2566" t="s">
        <v>13</v>
      </c>
      <c r="C2566">
        <v>18</v>
      </c>
      <c r="D2566" s="100" t="s">
        <v>27</v>
      </c>
      <c r="E2566" t="s">
        <v>720</v>
      </c>
      <c r="F2566" t="s">
        <v>18</v>
      </c>
      <c r="G2566" t="s">
        <v>697</v>
      </c>
      <c r="H2566" s="128">
        <v>0.30499999999999999</v>
      </c>
      <c r="J2566" s="110">
        <v>0.1613</v>
      </c>
      <c r="L2566">
        <v>5000</v>
      </c>
      <c r="M2566">
        <v>500000</v>
      </c>
      <c r="N2566" s="105">
        <v>44197</v>
      </c>
      <c r="O2566" s="105">
        <v>44377</v>
      </c>
      <c r="P2566" t="s">
        <v>718</v>
      </c>
      <c r="R2566" s="154"/>
      <c r="S2566" s="154"/>
      <c r="T2566" s="154"/>
      <c r="U2566" s="154"/>
    </row>
    <row r="2567" spans="1:21" ht="15" customHeight="1" x14ac:dyDescent="0.3">
      <c r="A2567" t="str">
        <f t="shared" si="41"/>
        <v>19-3-U-SmartPAY12</v>
      </c>
      <c r="B2567" t="s">
        <v>13</v>
      </c>
      <c r="C2567">
        <v>19</v>
      </c>
      <c r="D2567" s="100" t="s">
        <v>28</v>
      </c>
      <c r="E2567" t="s">
        <v>716</v>
      </c>
      <c r="F2567" t="s">
        <v>16</v>
      </c>
      <c r="G2567" t="s">
        <v>697</v>
      </c>
      <c r="H2567" s="128">
        <v>0.28989999999999999</v>
      </c>
      <c r="I2567" s="110">
        <v>0.1618</v>
      </c>
      <c r="L2567">
        <v>5000</v>
      </c>
      <c r="M2567">
        <v>500000</v>
      </c>
      <c r="N2567" s="105">
        <v>44197</v>
      </c>
      <c r="O2567" s="105">
        <v>44377</v>
      </c>
      <c r="P2567" t="s">
        <v>718</v>
      </c>
      <c r="R2567" s="154"/>
      <c r="S2567" s="154"/>
      <c r="T2567" s="154"/>
      <c r="U2567" s="154"/>
    </row>
    <row r="2568" spans="1:21" ht="15" customHeight="1" x14ac:dyDescent="0.3">
      <c r="A2568" t="str">
        <f t="shared" si="41"/>
        <v>19-4-E7-SmartPAY12</v>
      </c>
      <c r="B2568" t="s">
        <v>13</v>
      </c>
      <c r="C2568">
        <v>19</v>
      </c>
      <c r="D2568" s="100" t="s">
        <v>28</v>
      </c>
      <c r="E2568" t="s">
        <v>17</v>
      </c>
      <c r="F2568" t="s">
        <v>18</v>
      </c>
      <c r="G2568" t="s">
        <v>697</v>
      </c>
      <c r="H2568" s="128">
        <v>0.28989999999999999</v>
      </c>
      <c r="I2568" s="110">
        <v>0.1618</v>
      </c>
      <c r="J2568" s="110">
        <v>0.1618</v>
      </c>
      <c r="L2568">
        <v>5000</v>
      </c>
      <c r="M2568">
        <v>500000</v>
      </c>
      <c r="N2568" s="105">
        <v>44197</v>
      </c>
      <c r="O2568" s="105">
        <v>44377</v>
      </c>
      <c r="P2568" t="s">
        <v>718</v>
      </c>
      <c r="R2568" s="154"/>
      <c r="S2568" s="154"/>
      <c r="T2568" s="154"/>
      <c r="U2568" s="154"/>
    </row>
    <row r="2569" spans="1:21" ht="15" customHeight="1" x14ac:dyDescent="0.3">
      <c r="A2569" t="str">
        <f t="shared" si="41"/>
        <v>19-3-EW-SmartPAY12</v>
      </c>
      <c r="B2569" t="s">
        <v>13</v>
      </c>
      <c r="C2569">
        <v>19</v>
      </c>
      <c r="D2569" s="100" t="s">
        <v>28</v>
      </c>
      <c r="E2569" t="s">
        <v>19</v>
      </c>
      <c r="F2569" t="s">
        <v>16</v>
      </c>
      <c r="G2569" t="s">
        <v>697</v>
      </c>
      <c r="H2569" s="128">
        <v>0.28989999999999999</v>
      </c>
      <c r="I2569" s="110">
        <v>0.1618</v>
      </c>
      <c r="K2569" s="110">
        <v>0.1618</v>
      </c>
      <c r="L2569">
        <v>5000</v>
      </c>
      <c r="M2569">
        <v>500000</v>
      </c>
      <c r="N2569" s="105">
        <v>44197</v>
      </c>
      <c r="O2569" s="105">
        <v>44377</v>
      </c>
      <c r="P2569" t="s">
        <v>718</v>
      </c>
      <c r="R2569" s="154"/>
      <c r="S2569" s="154"/>
      <c r="T2569" s="154"/>
      <c r="U2569" s="154"/>
    </row>
    <row r="2570" spans="1:21" ht="15" customHeight="1" x14ac:dyDescent="0.3">
      <c r="A2570" t="str">
        <f t="shared" si="41"/>
        <v>19-4-3RATE-SmartPAY12</v>
      </c>
      <c r="B2570" t="s">
        <v>13</v>
      </c>
      <c r="C2570">
        <v>19</v>
      </c>
      <c r="D2570" s="100" t="s">
        <v>28</v>
      </c>
      <c r="E2570" t="s">
        <v>719</v>
      </c>
      <c r="F2570" t="s">
        <v>18</v>
      </c>
      <c r="G2570" t="s">
        <v>697</v>
      </c>
      <c r="H2570" s="128">
        <v>0.28989999999999999</v>
      </c>
      <c r="I2570" s="110">
        <v>0.1618</v>
      </c>
      <c r="J2570" s="110">
        <v>0.1618</v>
      </c>
      <c r="K2570" s="110">
        <v>0.1618</v>
      </c>
      <c r="L2570">
        <v>5000</v>
      </c>
      <c r="M2570">
        <v>500000</v>
      </c>
      <c r="N2570" s="105">
        <v>44197</v>
      </c>
      <c r="O2570" s="105">
        <v>44377</v>
      </c>
      <c r="P2570" t="s">
        <v>718</v>
      </c>
      <c r="R2570" s="154"/>
      <c r="S2570" s="154"/>
      <c r="T2570" s="154"/>
      <c r="U2570" s="154"/>
    </row>
    <row r="2571" spans="1:21" ht="15" customHeight="1" x14ac:dyDescent="0.3">
      <c r="A2571" t="str">
        <f t="shared" si="41"/>
        <v/>
      </c>
      <c r="B2571" t="s">
        <v>13</v>
      </c>
      <c r="C2571">
        <v>19</v>
      </c>
      <c r="D2571" s="100" t="s">
        <v>28</v>
      </c>
      <c r="E2571" t="s">
        <v>720</v>
      </c>
      <c r="F2571" t="s">
        <v>18</v>
      </c>
      <c r="G2571" t="s">
        <v>697</v>
      </c>
      <c r="H2571" s="128">
        <v>0.28989999999999999</v>
      </c>
      <c r="J2571" s="110">
        <v>0.1618</v>
      </c>
      <c r="L2571">
        <v>5000</v>
      </c>
      <c r="M2571">
        <v>500000</v>
      </c>
      <c r="N2571" s="105">
        <v>44197</v>
      </c>
      <c r="O2571" s="105">
        <v>44377</v>
      </c>
      <c r="P2571" t="s">
        <v>718</v>
      </c>
      <c r="R2571" s="154"/>
      <c r="S2571" s="154"/>
      <c r="T2571" s="154"/>
      <c r="U2571" s="154"/>
    </row>
    <row r="2572" spans="1:21" ht="15" customHeight="1" x14ac:dyDescent="0.3">
      <c r="A2572" t="str">
        <f t="shared" si="41"/>
        <v>20-3-U-SmartPAY12</v>
      </c>
      <c r="B2572" t="s">
        <v>13</v>
      </c>
      <c r="C2572">
        <v>20</v>
      </c>
      <c r="D2572" s="100" t="s">
        <v>29</v>
      </c>
      <c r="E2572" t="s">
        <v>716</v>
      </c>
      <c r="F2572" t="s">
        <v>16</v>
      </c>
      <c r="G2572" t="s">
        <v>697</v>
      </c>
      <c r="H2572" s="128">
        <v>0.2873</v>
      </c>
      <c r="I2572" s="110">
        <v>0.1575</v>
      </c>
      <c r="L2572">
        <v>5000</v>
      </c>
      <c r="M2572">
        <v>500000</v>
      </c>
      <c r="N2572" s="105">
        <v>44197</v>
      </c>
      <c r="O2572" s="105">
        <v>44377</v>
      </c>
      <c r="P2572" t="s">
        <v>718</v>
      </c>
      <c r="R2572" s="154"/>
      <c r="S2572" s="154"/>
      <c r="T2572" s="154"/>
      <c r="U2572" s="154"/>
    </row>
    <row r="2573" spans="1:21" ht="15" customHeight="1" x14ac:dyDescent="0.3">
      <c r="A2573" t="str">
        <f t="shared" si="41"/>
        <v>20-4-E7-SmartPAY12</v>
      </c>
      <c r="B2573" t="s">
        <v>13</v>
      </c>
      <c r="C2573">
        <v>20</v>
      </c>
      <c r="D2573" s="100" t="s">
        <v>29</v>
      </c>
      <c r="E2573" t="s">
        <v>17</v>
      </c>
      <c r="F2573" t="s">
        <v>18</v>
      </c>
      <c r="G2573" t="s">
        <v>697</v>
      </c>
      <c r="H2573" s="128">
        <v>0.2873</v>
      </c>
      <c r="I2573" s="110">
        <v>0.1575</v>
      </c>
      <c r="J2573" s="110">
        <v>0.1575</v>
      </c>
      <c r="L2573">
        <v>5000</v>
      </c>
      <c r="M2573">
        <v>500000</v>
      </c>
      <c r="N2573" s="105">
        <v>44197</v>
      </c>
      <c r="O2573" s="105">
        <v>44377</v>
      </c>
      <c r="P2573" t="s">
        <v>718</v>
      </c>
      <c r="R2573" s="154"/>
      <c r="S2573" s="154"/>
      <c r="T2573" s="154"/>
      <c r="U2573" s="154"/>
    </row>
    <row r="2574" spans="1:21" ht="15" customHeight="1" x14ac:dyDescent="0.3">
      <c r="A2574" t="str">
        <f t="shared" si="41"/>
        <v>20-3-EW-SmartPAY12</v>
      </c>
      <c r="B2574" t="s">
        <v>13</v>
      </c>
      <c r="C2574">
        <v>20</v>
      </c>
      <c r="D2574" s="100" t="s">
        <v>29</v>
      </c>
      <c r="E2574" t="s">
        <v>19</v>
      </c>
      <c r="F2574" t="s">
        <v>16</v>
      </c>
      <c r="G2574" t="s">
        <v>697</v>
      </c>
      <c r="H2574" s="128">
        <v>0.2873</v>
      </c>
      <c r="I2574" s="110">
        <v>0.1575</v>
      </c>
      <c r="K2574" s="110">
        <v>0.1575</v>
      </c>
      <c r="L2574">
        <v>5000</v>
      </c>
      <c r="M2574">
        <v>500000</v>
      </c>
      <c r="N2574" s="105">
        <v>44197</v>
      </c>
      <c r="O2574" s="105">
        <v>44377</v>
      </c>
      <c r="P2574" t="s">
        <v>718</v>
      </c>
      <c r="R2574" s="154"/>
      <c r="S2574" s="154"/>
      <c r="T2574" s="154"/>
      <c r="U2574" s="154"/>
    </row>
    <row r="2575" spans="1:21" ht="15" customHeight="1" x14ac:dyDescent="0.3">
      <c r="A2575" t="str">
        <f t="shared" si="41"/>
        <v>20-4-3RATE-SmartPAY12</v>
      </c>
      <c r="B2575" t="s">
        <v>13</v>
      </c>
      <c r="C2575">
        <v>20</v>
      </c>
      <c r="D2575" s="100" t="s">
        <v>29</v>
      </c>
      <c r="E2575" t="s">
        <v>719</v>
      </c>
      <c r="F2575" t="s">
        <v>18</v>
      </c>
      <c r="G2575" t="s">
        <v>697</v>
      </c>
      <c r="H2575" s="128">
        <v>0.2873</v>
      </c>
      <c r="I2575" s="110">
        <v>0.1575</v>
      </c>
      <c r="J2575" s="110">
        <v>0.1575</v>
      </c>
      <c r="K2575" s="110">
        <v>0.1575</v>
      </c>
      <c r="L2575">
        <v>5000</v>
      </c>
      <c r="M2575">
        <v>500000</v>
      </c>
      <c r="N2575" s="105">
        <v>44197</v>
      </c>
      <c r="O2575" s="105">
        <v>44377</v>
      </c>
      <c r="P2575" t="s">
        <v>718</v>
      </c>
      <c r="R2575" s="154"/>
      <c r="S2575" s="154"/>
      <c r="T2575" s="154"/>
      <c r="U2575" s="154"/>
    </row>
    <row r="2576" spans="1:21" ht="15" customHeight="1" x14ac:dyDescent="0.3">
      <c r="A2576" t="str">
        <f t="shared" si="41"/>
        <v/>
      </c>
      <c r="B2576" t="s">
        <v>13</v>
      </c>
      <c r="C2576">
        <v>20</v>
      </c>
      <c r="D2576" s="100" t="s">
        <v>29</v>
      </c>
      <c r="E2576" t="s">
        <v>720</v>
      </c>
      <c r="F2576" t="s">
        <v>18</v>
      </c>
      <c r="G2576" t="s">
        <v>697</v>
      </c>
      <c r="H2576" s="128">
        <v>0.2873</v>
      </c>
      <c r="J2576" s="110">
        <v>0.1575</v>
      </c>
      <c r="L2576">
        <v>5000</v>
      </c>
      <c r="M2576">
        <v>500000</v>
      </c>
      <c r="N2576" s="105">
        <v>44197</v>
      </c>
      <c r="O2576" s="105">
        <v>44377</v>
      </c>
      <c r="P2576" t="s">
        <v>718</v>
      </c>
      <c r="R2576" s="154"/>
      <c r="S2576" s="154"/>
      <c r="T2576" s="154"/>
      <c r="U2576" s="154"/>
    </row>
    <row r="2577" spans="1:21" ht="15" customHeight="1" x14ac:dyDescent="0.3">
      <c r="A2577" t="str">
        <f t="shared" si="41"/>
        <v>21-3-U-SmartPAY12</v>
      </c>
      <c r="B2577" t="s">
        <v>13</v>
      </c>
      <c r="C2577">
        <v>21</v>
      </c>
      <c r="D2577" s="100" t="s">
        <v>30</v>
      </c>
      <c r="E2577" t="s">
        <v>716</v>
      </c>
      <c r="F2577" t="s">
        <v>16</v>
      </c>
      <c r="G2577" t="s">
        <v>697</v>
      </c>
      <c r="H2577" s="128">
        <v>0.39759999999999995</v>
      </c>
      <c r="I2577" s="110">
        <v>0.1593</v>
      </c>
      <c r="L2577">
        <v>5000</v>
      </c>
      <c r="M2577">
        <v>500000</v>
      </c>
      <c r="N2577" s="105">
        <v>44197</v>
      </c>
      <c r="O2577" s="105">
        <v>44377</v>
      </c>
      <c r="P2577" t="s">
        <v>718</v>
      </c>
      <c r="R2577" s="154"/>
      <c r="S2577" s="154"/>
      <c r="T2577" s="154"/>
      <c r="U2577" s="154"/>
    </row>
    <row r="2578" spans="1:21" ht="15" customHeight="1" x14ac:dyDescent="0.3">
      <c r="A2578" t="str">
        <f t="shared" si="41"/>
        <v>21-4-E7-SmartPAY12</v>
      </c>
      <c r="B2578" t="s">
        <v>13</v>
      </c>
      <c r="C2578">
        <v>21</v>
      </c>
      <c r="D2578" s="100" t="s">
        <v>30</v>
      </c>
      <c r="E2578" t="s">
        <v>17</v>
      </c>
      <c r="F2578" t="s">
        <v>18</v>
      </c>
      <c r="G2578" t="s">
        <v>697</v>
      </c>
      <c r="H2578" s="128">
        <v>0.39759999999999995</v>
      </c>
      <c r="I2578" s="110">
        <v>0.1593</v>
      </c>
      <c r="J2578" s="110">
        <v>0.1593</v>
      </c>
      <c r="L2578">
        <v>5000</v>
      </c>
      <c r="M2578">
        <v>500000</v>
      </c>
      <c r="N2578" s="105">
        <v>44197</v>
      </c>
      <c r="O2578" s="105">
        <v>44377</v>
      </c>
      <c r="P2578" t="s">
        <v>718</v>
      </c>
      <c r="R2578" s="154"/>
      <c r="S2578" s="154"/>
      <c r="T2578" s="154"/>
      <c r="U2578" s="154"/>
    </row>
    <row r="2579" spans="1:21" ht="15" customHeight="1" x14ac:dyDescent="0.3">
      <c r="A2579" t="str">
        <f t="shared" si="41"/>
        <v>21-3-EW-SmartPAY12</v>
      </c>
      <c r="B2579" t="s">
        <v>13</v>
      </c>
      <c r="C2579">
        <v>21</v>
      </c>
      <c r="D2579" s="100" t="s">
        <v>30</v>
      </c>
      <c r="E2579" t="s">
        <v>19</v>
      </c>
      <c r="F2579" t="s">
        <v>16</v>
      </c>
      <c r="G2579" t="s">
        <v>697</v>
      </c>
      <c r="H2579" s="128">
        <v>0.39759999999999995</v>
      </c>
      <c r="I2579" s="110">
        <v>0.1593</v>
      </c>
      <c r="K2579" s="110">
        <v>0.1593</v>
      </c>
      <c r="L2579">
        <v>5000</v>
      </c>
      <c r="M2579">
        <v>500000</v>
      </c>
      <c r="N2579" s="105">
        <v>44197</v>
      </c>
      <c r="O2579" s="105">
        <v>44377</v>
      </c>
      <c r="P2579" t="s">
        <v>718</v>
      </c>
      <c r="R2579" s="154"/>
      <c r="S2579" s="154"/>
      <c r="T2579" s="154"/>
      <c r="U2579" s="154"/>
    </row>
    <row r="2580" spans="1:21" ht="15" customHeight="1" x14ac:dyDescent="0.3">
      <c r="A2580" t="str">
        <f t="shared" si="41"/>
        <v>21-4-3RATE-SmartPAY12</v>
      </c>
      <c r="B2580" t="s">
        <v>13</v>
      </c>
      <c r="C2580">
        <v>21</v>
      </c>
      <c r="D2580" s="100" t="s">
        <v>30</v>
      </c>
      <c r="E2580" t="s">
        <v>719</v>
      </c>
      <c r="F2580" t="s">
        <v>18</v>
      </c>
      <c r="G2580" t="s">
        <v>697</v>
      </c>
      <c r="H2580" s="128">
        <v>0.39759999999999995</v>
      </c>
      <c r="I2580" s="110">
        <v>0.1593</v>
      </c>
      <c r="J2580" s="110">
        <v>0.1593</v>
      </c>
      <c r="K2580" s="110">
        <v>0.1593</v>
      </c>
      <c r="L2580">
        <v>5000</v>
      </c>
      <c r="M2580">
        <v>500000</v>
      </c>
      <c r="N2580" s="105">
        <v>44197</v>
      </c>
      <c r="O2580" s="105">
        <v>44377</v>
      </c>
      <c r="P2580" t="s">
        <v>718</v>
      </c>
      <c r="R2580" s="154"/>
      <c r="S2580" s="154"/>
      <c r="T2580" s="154"/>
      <c r="U2580" s="154"/>
    </row>
    <row r="2581" spans="1:21" ht="15" customHeight="1" x14ac:dyDescent="0.3">
      <c r="A2581" t="str">
        <f t="shared" si="41"/>
        <v/>
      </c>
      <c r="B2581" t="s">
        <v>13</v>
      </c>
      <c r="C2581">
        <v>21</v>
      </c>
      <c r="D2581" s="100" t="s">
        <v>30</v>
      </c>
      <c r="E2581" t="s">
        <v>720</v>
      </c>
      <c r="F2581" t="s">
        <v>18</v>
      </c>
      <c r="G2581" t="s">
        <v>697</v>
      </c>
      <c r="H2581" s="128">
        <v>0.39759999999999995</v>
      </c>
      <c r="J2581" s="110">
        <v>0.1593</v>
      </c>
      <c r="L2581">
        <v>5000</v>
      </c>
      <c r="M2581">
        <v>500000</v>
      </c>
      <c r="N2581" s="105">
        <v>44197</v>
      </c>
      <c r="O2581" s="105">
        <v>44377</v>
      </c>
      <c r="P2581" t="s">
        <v>718</v>
      </c>
      <c r="R2581" s="154"/>
      <c r="S2581" s="154"/>
      <c r="T2581" s="154"/>
      <c r="U2581" s="154"/>
    </row>
    <row r="2582" spans="1:21" ht="15" customHeight="1" x14ac:dyDescent="0.3">
      <c r="A2582" t="str">
        <f t="shared" si="41"/>
        <v>22-3-U-SmartPAY12</v>
      </c>
      <c r="B2582" t="s">
        <v>13</v>
      </c>
      <c r="C2582">
        <v>22</v>
      </c>
      <c r="D2582" s="100" t="s">
        <v>31</v>
      </c>
      <c r="E2582" t="s">
        <v>716</v>
      </c>
      <c r="F2582" t="s">
        <v>16</v>
      </c>
      <c r="G2582" t="s">
        <v>697</v>
      </c>
      <c r="H2582" s="128">
        <v>0.34279999999999999</v>
      </c>
      <c r="I2582" s="110">
        <v>0.16570000000000001</v>
      </c>
      <c r="L2582">
        <v>5000</v>
      </c>
      <c r="M2582">
        <v>500000</v>
      </c>
      <c r="N2582" s="105">
        <v>44197</v>
      </c>
      <c r="O2582" s="105">
        <v>44377</v>
      </c>
      <c r="P2582" t="s">
        <v>718</v>
      </c>
      <c r="R2582" s="154"/>
      <c r="S2582" s="154"/>
      <c r="T2582" s="154"/>
      <c r="U2582" s="154"/>
    </row>
    <row r="2583" spans="1:21" ht="15" customHeight="1" x14ac:dyDescent="0.3">
      <c r="A2583" t="str">
        <f t="shared" si="41"/>
        <v>22-4-E7-SmartPAY12</v>
      </c>
      <c r="B2583" t="s">
        <v>13</v>
      </c>
      <c r="C2583">
        <v>22</v>
      </c>
      <c r="D2583" s="100" t="s">
        <v>31</v>
      </c>
      <c r="E2583" t="s">
        <v>17</v>
      </c>
      <c r="F2583" t="s">
        <v>18</v>
      </c>
      <c r="G2583" t="s">
        <v>697</v>
      </c>
      <c r="H2583" s="128">
        <v>0.34279999999999999</v>
      </c>
      <c r="I2583" s="110">
        <v>0.16570000000000001</v>
      </c>
      <c r="J2583" s="110">
        <v>0.16570000000000001</v>
      </c>
      <c r="L2583">
        <v>5000</v>
      </c>
      <c r="M2583">
        <v>500000</v>
      </c>
      <c r="N2583" s="105">
        <v>44197</v>
      </c>
      <c r="O2583" s="105">
        <v>44377</v>
      </c>
      <c r="P2583" t="s">
        <v>718</v>
      </c>
      <c r="R2583" s="154"/>
      <c r="S2583" s="154"/>
      <c r="T2583" s="154"/>
      <c r="U2583" s="154"/>
    </row>
    <row r="2584" spans="1:21" ht="15" customHeight="1" x14ac:dyDescent="0.3">
      <c r="A2584" t="str">
        <f t="shared" si="41"/>
        <v>22-3-EW-SmartPAY12</v>
      </c>
      <c r="B2584" t="s">
        <v>13</v>
      </c>
      <c r="C2584">
        <v>22</v>
      </c>
      <c r="D2584" s="100" t="s">
        <v>31</v>
      </c>
      <c r="E2584" t="s">
        <v>19</v>
      </c>
      <c r="F2584" t="s">
        <v>16</v>
      </c>
      <c r="G2584" t="s">
        <v>697</v>
      </c>
      <c r="H2584" s="128">
        <v>0.34279999999999999</v>
      </c>
      <c r="I2584" s="110">
        <v>0.16570000000000001</v>
      </c>
      <c r="K2584" s="110">
        <v>0.16570000000000001</v>
      </c>
      <c r="L2584">
        <v>5000</v>
      </c>
      <c r="M2584">
        <v>500000</v>
      </c>
      <c r="N2584" s="105">
        <v>44197</v>
      </c>
      <c r="O2584" s="105">
        <v>44377</v>
      </c>
      <c r="P2584" t="s">
        <v>718</v>
      </c>
      <c r="R2584" s="154"/>
      <c r="S2584" s="154"/>
      <c r="T2584" s="154"/>
      <c r="U2584" s="154"/>
    </row>
    <row r="2585" spans="1:21" ht="15" customHeight="1" x14ac:dyDescent="0.3">
      <c r="A2585" t="str">
        <f t="shared" si="41"/>
        <v>22-4-3RATE-SmartPAY12</v>
      </c>
      <c r="B2585" t="s">
        <v>13</v>
      </c>
      <c r="C2585">
        <v>22</v>
      </c>
      <c r="D2585" s="100" t="s">
        <v>31</v>
      </c>
      <c r="E2585" t="s">
        <v>719</v>
      </c>
      <c r="F2585" t="s">
        <v>18</v>
      </c>
      <c r="G2585" t="s">
        <v>697</v>
      </c>
      <c r="H2585" s="128">
        <v>0.34279999999999999</v>
      </c>
      <c r="I2585" s="110">
        <v>0.16570000000000001</v>
      </c>
      <c r="J2585" s="110">
        <v>0.16570000000000001</v>
      </c>
      <c r="K2585" s="110">
        <v>0.16570000000000001</v>
      </c>
      <c r="L2585">
        <v>5000</v>
      </c>
      <c r="M2585">
        <v>500000</v>
      </c>
      <c r="N2585" s="105">
        <v>44197</v>
      </c>
      <c r="O2585" s="105">
        <v>44377</v>
      </c>
      <c r="P2585" t="s">
        <v>718</v>
      </c>
      <c r="R2585" s="154"/>
      <c r="S2585" s="154"/>
      <c r="T2585" s="154"/>
      <c r="U2585" s="154"/>
    </row>
    <row r="2586" spans="1:21" ht="15" customHeight="1" x14ac:dyDescent="0.3">
      <c r="A2586" t="str">
        <f t="shared" si="41"/>
        <v/>
      </c>
      <c r="B2586" t="s">
        <v>13</v>
      </c>
      <c r="C2586">
        <v>22</v>
      </c>
      <c r="D2586" s="100" t="s">
        <v>31</v>
      </c>
      <c r="E2586" t="s">
        <v>720</v>
      </c>
      <c r="F2586" t="s">
        <v>18</v>
      </c>
      <c r="G2586" t="s">
        <v>697</v>
      </c>
      <c r="H2586" s="128">
        <v>0.34279999999999999</v>
      </c>
      <c r="J2586" s="110">
        <v>0.16570000000000001</v>
      </c>
      <c r="L2586">
        <v>5000</v>
      </c>
      <c r="M2586">
        <v>500000</v>
      </c>
      <c r="N2586" s="105">
        <v>44197</v>
      </c>
      <c r="O2586" s="105">
        <v>44377</v>
      </c>
      <c r="P2586" t="s">
        <v>718</v>
      </c>
      <c r="R2586" s="154"/>
      <c r="S2586" s="154"/>
      <c r="T2586" s="154"/>
      <c r="U2586" s="154"/>
    </row>
    <row r="2587" spans="1:21" ht="15" customHeight="1" x14ac:dyDescent="0.3">
      <c r="A2587" t="str">
        <f t="shared" si="41"/>
        <v>23-3-U-SmartPAY12</v>
      </c>
      <c r="B2587" t="s">
        <v>13</v>
      </c>
      <c r="C2587">
        <v>23</v>
      </c>
      <c r="D2587" s="100" t="s">
        <v>32</v>
      </c>
      <c r="E2587" t="s">
        <v>716</v>
      </c>
      <c r="F2587" t="s">
        <v>16</v>
      </c>
      <c r="G2587" t="s">
        <v>697</v>
      </c>
      <c r="H2587" s="128">
        <v>0.30120000000000002</v>
      </c>
      <c r="I2587" s="110">
        <v>0.15909999999999999</v>
      </c>
      <c r="L2587">
        <v>5000</v>
      </c>
      <c r="M2587">
        <v>500000</v>
      </c>
      <c r="N2587" s="105">
        <v>44197</v>
      </c>
      <c r="O2587" s="105">
        <v>44377</v>
      </c>
      <c r="P2587" t="s">
        <v>718</v>
      </c>
      <c r="R2587" s="154"/>
      <c r="S2587" s="154"/>
      <c r="T2587" s="154"/>
      <c r="U2587" s="154"/>
    </row>
    <row r="2588" spans="1:21" ht="15" customHeight="1" x14ac:dyDescent="0.3">
      <c r="A2588" t="str">
        <f t="shared" si="41"/>
        <v>23-4-E7-SmartPAY12</v>
      </c>
      <c r="B2588" t="s">
        <v>13</v>
      </c>
      <c r="C2588">
        <v>23</v>
      </c>
      <c r="D2588" s="100" t="s">
        <v>32</v>
      </c>
      <c r="E2588" t="s">
        <v>17</v>
      </c>
      <c r="F2588" t="s">
        <v>18</v>
      </c>
      <c r="G2588" t="s">
        <v>697</v>
      </c>
      <c r="H2588" s="128">
        <v>0.30120000000000002</v>
      </c>
      <c r="I2588" s="110">
        <v>0.15909999999999999</v>
      </c>
      <c r="J2588" s="110">
        <v>0.15909999999999999</v>
      </c>
      <c r="L2588">
        <v>5000</v>
      </c>
      <c r="M2588">
        <v>500000</v>
      </c>
      <c r="N2588" s="105">
        <v>44197</v>
      </c>
      <c r="O2588" s="105">
        <v>44377</v>
      </c>
      <c r="P2588" t="s">
        <v>718</v>
      </c>
      <c r="R2588" s="154"/>
      <c r="S2588" s="154"/>
      <c r="T2588" s="154"/>
      <c r="U2588" s="154"/>
    </row>
    <row r="2589" spans="1:21" ht="15" customHeight="1" x14ac:dyDescent="0.3">
      <c r="A2589" t="str">
        <f t="shared" si="41"/>
        <v>23-3-EW-SmartPAY12</v>
      </c>
      <c r="B2589" t="s">
        <v>13</v>
      </c>
      <c r="C2589">
        <v>23</v>
      </c>
      <c r="D2589" s="100" t="s">
        <v>32</v>
      </c>
      <c r="E2589" t="s">
        <v>19</v>
      </c>
      <c r="F2589" t="s">
        <v>16</v>
      </c>
      <c r="G2589" t="s">
        <v>697</v>
      </c>
      <c r="H2589" s="128">
        <v>0.30120000000000002</v>
      </c>
      <c r="I2589" s="110">
        <v>0.15909999999999999</v>
      </c>
      <c r="K2589" s="110">
        <v>0.15909999999999999</v>
      </c>
      <c r="L2589">
        <v>5000</v>
      </c>
      <c r="M2589">
        <v>500000</v>
      </c>
      <c r="N2589" s="105">
        <v>44197</v>
      </c>
      <c r="O2589" s="105">
        <v>44377</v>
      </c>
      <c r="P2589" t="s">
        <v>718</v>
      </c>
      <c r="R2589" s="154"/>
      <c r="S2589" s="154"/>
      <c r="T2589" s="154"/>
      <c r="U2589" s="154"/>
    </row>
    <row r="2590" spans="1:21" ht="15" customHeight="1" x14ac:dyDescent="0.3">
      <c r="A2590" t="str">
        <f t="shared" si="41"/>
        <v>23-4-3RATE-SmartPAY12</v>
      </c>
      <c r="B2590" t="s">
        <v>13</v>
      </c>
      <c r="C2590">
        <v>23</v>
      </c>
      <c r="D2590" s="100" t="s">
        <v>32</v>
      </c>
      <c r="E2590" t="s">
        <v>719</v>
      </c>
      <c r="F2590" t="s">
        <v>18</v>
      </c>
      <c r="G2590" t="s">
        <v>697</v>
      </c>
      <c r="H2590" s="128">
        <v>0.30120000000000002</v>
      </c>
      <c r="I2590" s="110">
        <v>0.15909999999999999</v>
      </c>
      <c r="J2590" s="110">
        <v>0.15909999999999999</v>
      </c>
      <c r="K2590" s="110">
        <v>0.15909999999999999</v>
      </c>
      <c r="L2590">
        <v>5000</v>
      </c>
      <c r="M2590">
        <v>500000</v>
      </c>
      <c r="N2590" s="105">
        <v>44197</v>
      </c>
      <c r="O2590" s="105">
        <v>44377</v>
      </c>
      <c r="P2590" t="s">
        <v>718</v>
      </c>
      <c r="R2590" s="154"/>
      <c r="S2590" s="154"/>
      <c r="T2590" s="154"/>
      <c r="U2590" s="154"/>
    </row>
    <row r="2591" spans="1:21" ht="15" customHeight="1" x14ac:dyDescent="0.3">
      <c r="A2591" t="str">
        <f t="shared" si="41"/>
        <v/>
      </c>
      <c r="B2591" t="s">
        <v>13</v>
      </c>
      <c r="C2591">
        <v>23</v>
      </c>
      <c r="D2591" s="100" t="s">
        <v>32</v>
      </c>
      <c r="E2591" t="s">
        <v>720</v>
      </c>
      <c r="F2591" t="s">
        <v>18</v>
      </c>
      <c r="G2591" t="s">
        <v>697</v>
      </c>
      <c r="H2591" s="128">
        <v>0.30120000000000002</v>
      </c>
      <c r="J2591" s="110">
        <v>0.15909999999999999</v>
      </c>
      <c r="L2591">
        <v>5000</v>
      </c>
      <c r="M2591">
        <v>500000</v>
      </c>
      <c r="N2591" s="105">
        <v>44197</v>
      </c>
      <c r="O2591" s="105">
        <v>44377</v>
      </c>
      <c r="P2591" t="s">
        <v>718</v>
      </c>
      <c r="R2591" s="154"/>
      <c r="S2591" s="154"/>
      <c r="T2591" s="154"/>
      <c r="U2591" s="154"/>
    </row>
    <row r="2592" spans="1:21" ht="15" customHeight="1" x14ac:dyDescent="0.3">
      <c r="A2592" t="str">
        <f t="shared" si="41"/>
        <v>10-3-U-SmartPAY24</v>
      </c>
      <c r="B2592" t="s">
        <v>13</v>
      </c>
      <c r="C2592">
        <v>10</v>
      </c>
      <c r="D2592" s="100" t="s">
        <v>14</v>
      </c>
      <c r="E2592" t="s">
        <v>716</v>
      </c>
      <c r="F2592" t="s">
        <v>16</v>
      </c>
      <c r="G2592" t="s">
        <v>698</v>
      </c>
      <c r="H2592" s="128">
        <v>0.30510000000000004</v>
      </c>
      <c r="I2592" s="110">
        <v>0.1595</v>
      </c>
      <c r="L2592">
        <v>5000</v>
      </c>
      <c r="M2592">
        <v>500000</v>
      </c>
      <c r="N2592" s="105">
        <v>44197</v>
      </c>
      <c r="O2592" s="105">
        <v>44377</v>
      </c>
      <c r="P2592" t="s">
        <v>718</v>
      </c>
      <c r="R2592" s="154"/>
      <c r="S2592" s="154"/>
      <c r="T2592" s="154"/>
      <c r="U2592" s="154"/>
    </row>
    <row r="2593" spans="1:21" ht="15" customHeight="1" x14ac:dyDescent="0.3">
      <c r="A2593" t="str">
        <f t="shared" si="41"/>
        <v>10-4-E7-SmartPAY24</v>
      </c>
      <c r="B2593" t="s">
        <v>13</v>
      </c>
      <c r="C2593">
        <v>10</v>
      </c>
      <c r="D2593" s="100" t="s">
        <v>14</v>
      </c>
      <c r="E2593" t="s">
        <v>17</v>
      </c>
      <c r="F2593" t="s">
        <v>18</v>
      </c>
      <c r="G2593" t="s">
        <v>698</v>
      </c>
      <c r="H2593" s="128">
        <v>0.30510000000000004</v>
      </c>
      <c r="I2593" s="110">
        <v>0.1595</v>
      </c>
      <c r="J2593" s="110">
        <v>0.1595</v>
      </c>
      <c r="L2593">
        <v>5000</v>
      </c>
      <c r="M2593">
        <v>500000</v>
      </c>
      <c r="N2593" s="105">
        <v>44197</v>
      </c>
      <c r="O2593" s="105">
        <v>44377</v>
      </c>
      <c r="P2593" t="s">
        <v>718</v>
      </c>
      <c r="R2593" s="154"/>
      <c r="S2593" s="154"/>
      <c r="T2593" s="154"/>
      <c r="U2593" s="154"/>
    </row>
    <row r="2594" spans="1:21" ht="15" customHeight="1" x14ac:dyDescent="0.3">
      <c r="A2594" t="str">
        <f t="shared" si="41"/>
        <v>10-3-EW-SmartPAY24</v>
      </c>
      <c r="B2594" t="s">
        <v>13</v>
      </c>
      <c r="C2594">
        <v>10</v>
      </c>
      <c r="D2594" s="100" t="s">
        <v>14</v>
      </c>
      <c r="E2594" t="s">
        <v>19</v>
      </c>
      <c r="F2594" t="s">
        <v>16</v>
      </c>
      <c r="G2594" t="s">
        <v>698</v>
      </c>
      <c r="H2594" s="128">
        <v>0.30510000000000004</v>
      </c>
      <c r="I2594" s="110">
        <v>0.1595</v>
      </c>
      <c r="K2594" s="110">
        <v>0.1595</v>
      </c>
      <c r="L2594">
        <v>5000</v>
      </c>
      <c r="M2594">
        <v>500000</v>
      </c>
      <c r="N2594" s="105">
        <v>44197</v>
      </c>
      <c r="O2594" s="105">
        <v>44377</v>
      </c>
      <c r="P2594" t="s">
        <v>718</v>
      </c>
      <c r="R2594" s="154"/>
      <c r="S2594" s="154"/>
      <c r="T2594" s="154"/>
      <c r="U2594" s="154"/>
    </row>
    <row r="2595" spans="1:21" ht="15" customHeight="1" x14ac:dyDescent="0.3">
      <c r="A2595" t="str">
        <f t="shared" ref="A2595:A2658" si="42">IF(E2595="OP","",CONCATENATE(C2595,"-",RIGHT(F2595,1),"-",IF(OR(E2595="1 Rate MD",E2595="DAY"),"U",IF(OR(E2595="2 Rate MD",E2595="E7"),"E7",IF(OR(E2595="3 Rate MD (EW)",E2595="EW"),"EW",IF(OR(E2595="3 Rate MD",E2595="EWN"),"3RATE",IF(E2595="HH 2RATE (CT)","HH 2RATE (CT)",IF(E2595="HH 2RATE (WC)","HH 2RATE (WC)",IF(E2595="HH 1RATE (CT)","HH 1RATE (CT)",IF(E2595="HH 1RATE (WC)","HH 1RATE (WC)")))))))),"-",G2595))</f>
        <v>10-4-3RATE-SmartPAY24</v>
      </c>
      <c r="B2595" t="s">
        <v>13</v>
      </c>
      <c r="C2595">
        <v>10</v>
      </c>
      <c r="D2595" s="100" t="s">
        <v>14</v>
      </c>
      <c r="E2595" t="s">
        <v>719</v>
      </c>
      <c r="F2595" t="s">
        <v>18</v>
      </c>
      <c r="G2595" t="s">
        <v>698</v>
      </c>
      <c r="H2595" s="128">
        <v>0.30510000000000004</v>
      </c>
      <c r="I2595" s="110">
        <v>0.1595</v>
      </c>
      <c r="J2595" s="110">
        <v>0.1595</v>
      </c>
      <c r="K2595" s="110">
        <v>0.1595</v>
      </c>
      <c r="L2595">
        <v>5000</v>
      </c>
      <c r="M2595">
        <v>500000</v>
      </c>
      <c r="N2595" s="105">
        <v>44197</v>
      </c>
      <c r="O2595" s="105">
        <v>44377</v>
      </c>
      <c r="P2595" t="s">
        <v>718</v>
      </c>
      <c r="R2595" s="154"/>
      <c r="S2595" s="154"/>
      <c r="T2595" s="154"/>
      <c r="U2595" s="154"/>
    </row>
    <row r="2596" spans="1:21" ht="15" customHeight="1" x14ac:dyDescent="0.3">
      <c r="A2596" t="str">
        <f t="shared" si="42"/>
        <v/>
      </c>
      <c r="B2596" t="s">
        <v>13</v>
      </c>
      <c r="C2596">
        <v>10</v>
      </c>
      <c r="D2596" s="100" t="s">
        <v>14</v>
      </c>
      <c r="E2596" t="s">
        <v>720</v>
      </c>
      <c r="F2596" t="s">
        <v>18</v>
      </c>
      <c r="G2596" t="s">
        <v>698</v>
      </c>
      <c r="H2596" s="128">
        <v>0.30510000000000004</v>
      </c>
      <c r="J2596" s="110">
        <v>0.1595</v>
      </c>
      <c r="L2596">
        <v>5000</v>
      </c>
      <c r="M2596">
        <v>500000</v>
      </c>
      <c r="N2596" s="105">
        <v>44197</v>
      </c>
      <c r="O2596" s="105">
        <v>44377</v>
      </c>
      <c r="P2596" t="s">
        <v>718</v>
      </c>
      <c r="R2596" s="154"/>
      <c r="S2596" s="154"/>
      <c r="T2596" s="154"/>
      <c r="U2596" s="154"/>
    </row>
    <row r="2597" spans="1:21" ht="15" customHeight="1" x14ac:dyDescent="0.3">
      <c r="A2597" t="str">
        <f t="shared" si="42"/>
        <v>11-3-U-SmartPAY24</v>
      </c>
      <c r="B2597" t="s">
        <v>13</v>
      </c>
      <c r="C2597">
        <v>11</v>
      </c>
      <c r="D2597" s="100" t="s">
        <v>20</v>
      </c>
      <c r="E2597" t="s">
        <v>716</v>
      </c>
      <c r="F2597" t="s">
        <v>16</v>
      </c>
      <c r="G2597" t="s">
        <v>698</v>
      </c>
      <c r="H2597" s="128">
        <v>0.31440000000000001</v>
      </c>
      <c r="I2597" s="110">
        <v>0.1598</v>
      </c>
      <c r="L2597">
        <v>5000</v>
      </c>
      <c r="M2597">
        <v>500000</v>
      </c>
      <c r="N2597" s="105">
        <v>44197</v>
      </c>
      <c r="O2597" s="105">
        <v>44377</v>
      </c>
      <c r="P2597" t="s">
        <v>718</v>
      </c>
      <c r="R2597" s="154"/>
      <c r="S2597" s="154"/>
      <c r="T2597" s="154"/>
      <c r="U2597" s="154"/>
    </row>
    <row r="2598" spans="1:21" ht="15" customHeight="1" x14ac:dyDescent="0.3">
      <c r="A2598" t="str">
        <f t="shared" si="42"/>
        <v>11-4-E7-SmartPAY24</v>
      </c>
      <c r="B2598" t="s">
        <v>13</v>
      </c>
      <c r="C2598">
        <v>11</v>
      </c>
      <c r="D2598" s="100" t="s">
        <v>20</v>
      </c>
      <c r="E2598" t="s">
        <v>17</v>
      </c>
      <c r="F2598" t="s">
        <v>18</v>
      </c>
      <c r="G2598" t="s">
        <v>698</v>
      </c>
      <c r="H2598" s="128">
        <v>0.31440000000000001</v>
      </c>
      <c r="I2598" s="110">
        <v>0.1598</v>
      </c>
      <c r="J2598" s="110">
        <v>0.1598</v>
      </c>
      <c r="L2598">
        <v>5000</v>
      </c>
      <c r="M2598">
        <v>500000</v>
      </c>
      <c r="N2598" s="105">
        <v>44197</v>
      </c>
      <c r="O2598" s="105">
        <v>44377</v>
      </c>
      <c r="P2598" t="s">
        <v>718</v>
      </c>
      <c r="R2598" s="154"/>
      <c r="S2598" s="154"/>
      <c r="T2598" s="154"/>
      <c r="U2598" s="154"/>
    </row>
    <row r="2599" spans="1:21" ht="15" customHeight="1" x14ac:dyDescent="0.3">
      <c r="A2599" t="str">
        <f t="shared" si="42"/>
        <v>11-3-EW-SmartPAY24</v>
      </c>
      <c r="B2599" t="s">
        <v>13</v>
      </c>
      <c r="C2599">
        <v>11</v>
      </c>
      <c r="D2599" s="100" t="s">
        <v>20</v>
      </c>
      <c r="E2599" t="s">
        <v>19</v>
      </c>
      <c r="F2599" t="s">
        <v>16</v>
      </c>
      <c r="G2599" t="s">
        <v>698</v>
      </c>
      <c r="H2599" s="128">
        <v>0.31440000000000001</v>
      </c>
      <c r="I2599" s="110">
        <v>0.1598</v>
      </c>
      <c r="K2599" s="110">
        <v>0.1598</v>
      </c>
      <c r="L2599">
        <v>5000</v>
      </c>
      <c r="M2599">
        <v>500000</v>
      </c>
      <c r="N2599" s="105">
        <v>44197</v>
      </c>
      <c r="O2599" s="105">
        <v>44377</v>
      </c>
      <c r="P2599" t="s">
        <v>718</v>
      </c>
      <c r="R2599" s="154"/>
      <c r="S2599" s="154"/>
      <c r="T2599" s="154"/>
      <c r="U2599" s="154"/>
    </row>
    <row r="2600" spans="1:21" ht="15" customHeight="1" x14ac:dyDescent="0.3">
      <c r="A2600" t="str">
        <f t="shared" si="42"/>
        <v>11-4-3RATE-SmartPAY24</v>
      </c>
      <c r="B2600" t="s">
        <v>13</v>
      </c>
      <c r="C2600">
        <v>11</v>
      </c>
      <c r="D2600" s="100" t="s">
        <v>20</v>
      </c>
      <c r="E2600" t="s">
        <v>719</v>
      </c>
      <c r="F2600" t="s">
        <v>18</v>
      </c>
      <c r="G2600" t="s">
        <v>698</v>
      </c>
      <c r="H2600" s="128">
        <v>0.31440000000000001</v>
      </c>
      <c r="I2600" s="110">
        <v>0.1598</v>
      </c>
      <c r="J2600" s="110">
        <v>0.1598</v>
      </c>
      <c r="K2600" s="110">
        <v>0.1598</v>
      </c>
      <c r="L2600">
        <v>5000</v>
      </c>
      <c r="M2600">
        <v>500000</v>
      </c>
      <c r="N2600" s="105">
        <v>44197</v>
      </c>
      <c r="O2600" s="105">
        <v>44377</v>
      </c>
      <c r="P2600" t="s">
        <v>718</v>
      </c>
      <c r="R2600" s="154"/>
      <c r="S2600" s="154"/>
      <c r="T2600" s="154"/>
      <c r="U2600" s="154"/>
    </row>
    <row r="2601" spans="1:21" ht="15" customHeight="1" x14ac:dyDescent="0.3">
      <c r="A2601" t="str">
        <f t="shared" si="42"/>
        <v/>
      </c>
      <c r="B2601" t="s">
        <v>13</v>
      </c>
      <c r="C2601">
        <v>11</v>
      </c>
      <c r="D2601" s="100" t="s">
        <v>20</v>
      </c>
      <c r="E2601" t="s">
        <v>720</v>
      </c>
      <c r="F2601" t="s">
        <v>18</v>
      </c>
      <c r="G2601" t="s">
        <v>698</v>
      </c>
      <c r="H2601" s="128">
        <v>0.31440000000000001</v>
      </c>
      <c r="J2601" s="110">
        <v>0.1598</v>
      </c>
      <c r="L2601">
        <v>5000</v>
      </c>
      <c r="M2601">
        <v>500000</v>
      </c>
      <c r="N2601" s="105">
        <v>44197</v>
      </c>
      <c r="O2601" s="105">
        <v>44377</v>
      </c>
      <c r="P2601" t="s">
        <v>718</v>
      </c>
      <c r="R2601" s="154"/>
      <c r="S2601" s="154"/>
      <c r="T2601" s="154"/>
      <c r="U2601" s="154"/>
    </row>
    <row r="2602" spans="1:21" ht="15" customHeight="1" x14ac:dyDescent="0.3">
      <c r="A2602" t="str">
        <f t="shared" si="42"/>
        <v>12-3-U-SmartPAY24</v>
      </c>
      <c r="B2602" t="s">
        <v>13</v>
      </c>
      <c r="C2602">
        <v>12</v>
      </c>
      <c r="D2602" s="100" t="s">
        <v>21</v>
      </c>
      <c r="E2602" t="s">
        <v>716</v>
      </c>
      <c r="F2602" t="s">
        <v>16</v>
      </c>
      <c r="G2602" t="s">
        <v>698</v>
      </c>
      <c r="H2602" s="128">
        <v>0.23719999999999999</v>
      </c>
      <c r="I2602" s="110">
        <v>0.1537</v>
      </c>
      <c r="L2602">
        <v>5000</v>
      </c>
      <c r="M2602">
        <v>500000</v>
      </c>
      <c r="N2602" s="105">
        <v>44197</v>
      </c>
      <c r="O2602" s="105">
        <v>44377</v>
      </c>
      <c r="P2602" t="s">
        <v>718</v>
      </c>
      <c r="R2602" s="154"/>
      <c r="S2602" s="154"/>
      <c r="T2602" s="154"/>
      <c r="U2602" s="154"/>
    </row>
    <row r="2603" spans="1:21" ht="15" customHeight="1" x14ac:dyDescent="0.3">
      <c r="A2603" t="str">
        <f t="shared" si="42"/>
        <v>12-4-E7-SmartPAY24</v>
      </c>
      <c r="B2603" t="s">
        <v>13</v>
      </c>
      <c r="C2603">
        <v>12</v>
      </c>
      <c r="D2603" s="100" t="s">
        <v>21</v>
      </c>
      <c r="E2603" t="s">
        <v>17</v>
      </c>
      <c r="F2603" t="s">
        <v>18</v>
      </c>
      <c r="G2603" t="s">
        <v>698</v>
      </c>
      <c r="H2603" s="128">
        <v>0.23719999999999999</v>
      </c>
      <c r="I2603" s="110">
        <v>0.1537</v>
      </c>
      <c r="J2603" s="110">
        <v>0.1537</v>
      </c>
      <c r="L2603">
        <v>5000</v>
      </c>
      <c r="M2603">
        <v>500000</v>
      </c>
      <c r="N2603" s="105">
        <v>44197</v>
      </c>
      <c r="O2603" s="105">
        <v>44377</v>
      </c>
      <c r="P2603" t="s">
        <v>718</v>
      </c>
      <c r="R2603" s="154"/>
      <c r="S2603" s="154"/>
      <c r="T2603" s="154"/>
      <c r="U2603" s="154"/>
    </row>
    <row r="2604" spans="1:21" ht="15" customHeight="1" x14ac:dyDescent="0.3">
      <c r="A2604" t="str">
        <f t="shared" si="42"/>
        <v>12-3-EW-SmartPAY24</v>
      </c>
      <c r="B2604" t="s">
        <v>13</v>
      </c>
      <c r="C2604">
        <v>12</v>
      </c>
      <c r="D2604" s="100" t="s">
        <v>21</v>
      </c>
      <c r="E2604" t="s">
        <v>19</v>
      </c>
      <c r="F2604" t="s">
        <v>16</v>
      </c>
      <c r="G2604" t="s">
        <v>698</v>
      </c>
      <c r="H2604" s="128">
        <v>0.23719999999999999</v>
      </c>
      <c r="I2604" s="110">
        <v>0.1537</v>
      </c>
      <c r="K2604" s="110">
        <v>0.1537</v>
      </c>
      <c r="L2604">
        <v>5000</v>
      </c>
      <c r="M2604">
        <v>500000</v>
      </c>
      <c r="N2604" s="105">
        <v>44197</v>
      </c>
      <c r="O2604" s="105">
        <v>44377</v>
      </c>
      <c r="P2604" t="s">
        <v>718</v>
      </c>
      <c r="R2604" s="154"/>
      <c r="S2604" s="154"/>
      <c r="T2604" s="154"/>
      <c r="U2604" s="154"/>
    </row>
    <row r="2605" spans="1:21" ht="15" customHeight="1" x14ac:dyDescent="0.3">
      <c r="A2605" t="str">
        <f t="shared" si="42"/>
        <v>12-4-3RATE-SmartPAY24</v>
      </c>
      <c r="B2605" t="s">
        <v>13</v>
      </c>
      <c r="C2605">
        <v>12</v>
      </c>
      <c r="D2605" s="100" t="s">
        <v>21</v>
      </c>
      <c r="E2605" t="s">
        <v>719</v>
      </c>
      <c r="F2605" t="s">
        <v>18</v>
      </c>
      <c r="G2605" t="s">
        <v>698</v>
      </c>
      <c r="H2605" s="128">
        <v>0.23719999999999999</v>
      </c>
      <c r="I2605" s="110">
        <v>0.1537</v>
      </c>
      <c r="J2605" s="110">
        <v>0.1537</v>
      </c>
      <c r="K2605" s="110">
        <v>0.1537</v>
      </c>
      <c r="L2605">
        <v>5000</v>
      </c>
      <c r="M2605">
        <v>500000</v>
      </c>
      <c r="N2605" s="105">
        <v>44197</v>
      </c>
      <c r="O2605" s="105">
        <v>44377</v>
      </c>
      <c r="P2605" t="s">
        <v>718</v>
      </c>
      <c r="R2605" s="154"/>
      <c r="S2605" s="154"/>
      <c r="T2605" s="154"/>
      <c r="U2605" s="154"/>
    </row>
    <row r="2606" spans="1:21" ht="15" customHeight="1" x14ac:dyDescent="0.3">
      <c r="A2606" t="str">
        <f t="shared" si="42"/>
        <v/>
      </c>
      <c r="B2606" t="s">
        <v>13</v>
      </c>
      <c r="C2606">
        <v>12</v>
      </c>
      <c r="D2606" s="100" t="s">
        <v>21</v>
      </c>
      <c r="E2606" t="s">
        <v>720</v>
      </c>
      <c r="F2606" t="s">
        <v>18</v>
      </c>
      <c r="G2606" t="s">
        <v>698</v>
      </c>
      <c r="H2606" s="128">
        <v>0.23719999999999999</v>
      </c>
      <c r="J2606" s="110">
        <v>0.1537</v>
      </c>
      <c r="L2606">
        <v>5000</v>
      </c>
      <c r="M2606">
        <v>500000</v>
      </c>
      <c r="N2606" s="105">
        <v>44197</v>
      </c>
      <c r="O2606" s="105">
        <v>44377</v>
      </c>
      <c r="P2606" t="s">
        <v>718</v>
      </c>
      <c r="R2606" s="154"/>
      <c r="S2606" s="154"/>
      <c r="T2606" s="154"/>
      <c r="U2606" s="154"/>
    </row>
    <row r="2607" spans="1:21" ht="15" customHeight="1" x14ac:dyDescent="0.3">
      <c r="A2607" t="str">
        <f t="shared" si="42"/>
        <v>13-3-U-SmartPAY24</v>
      </c>
      <c r="B2607" t="s">
        <v>13</v>
      </c>
      <c r="C2607">
        <v>13</v>
      </c>
      <c r="D2607" s="100" t="s">
        <v>22</v>
      </c>
      <c r="E2607" t="s">
        <v>716</v>
      </c>
      <c r="F2607" t="s">
        <v>16</v>
      </c>
      <c r="G2607" t="s">
        <v>698</v>
      </c>
      <c r="H2607" s="128">
        <v>0.2792</v>
      </c>
      <c r="I2607" s="110">
        <v>0.17929999999999999</v>
      </c>
      <c r="L2607">
        <v>5000</v>
      </c>
      <c r="M2607">
        <v>500000</v>
      </c>
      <c r="N2607" s="105">
        <v>44197</v>
      </c>
      <c r="O2607" s="105">
        <v>44377</v>
      </c>
      <c r="P2607" t="s">
        <v>718</v>
      </c>
      <c r="R2607" s="154"/>
      <c r="S2607" s="154"/>
      <c r="T2607" s="154"/>
      <c r="U2607" s="154"/>
    </row>
    <row r="2608" spans="1:21" ht="15" customHeight="1" x14ac:dyDescent="0.3">
      <c r="A2608" t="str">
        <f t="shared" si="42"/>
        <v>13-4-E7-SmartPAY24</v>
      </c>
      <c r="B2608" t="s">
        <v>13</v>
      </c>
      <c r="C2608">
        <v>13</v>
      </c>
      <c r="D2608" s="100" t="s">
        <v>22</v>
      </c>
      <c r="E2608" t="s">
        <v>17</v>
      </c>
      <c r="F2608" t="s">
        <v>18</v>
      </c>
      <c r="G2608" t="s">
        <v>698</v>
      </c>
      <c r="H2608" s="128">
        <v>0.2792</v>
      </c>
      <c r="I2608" s="110">
        <v>0.17929999999999999</v>
      </c>
      <c r="J2608" s="110">
        <v>0.17929999999999999</v>
      </c>
      <c r="L2608">
        <v>5000</v>
      </c>
      <c r="M2608">
        <v>500000</v>
      </c>
      <c r="N2608" s="105">
        <v>44197</v>
      </c>
      <c r="O2608" s="105">
        <v>44377</v>
      </c>
      <c r="P2608" t="s">
        <v>718</v>
      </c>
      <c r="R2608" s="154"/>
      <c r="S2608" s="154"/>
      <c r="T2608" s="154"/>
      <c r="U2608" s="154"/>
    </row>
    <row r="2609" spans="1:21" ht="15" customHeight="1" x14ac:dyDescent="0.3">
      <c r="A2609" t="str">
        <f t="shared" si="42"/>
        <v>13-3-EW-SmartPAY24</v>
      </c>
      <c r="B2609" t="s">
        <v>13</v>
      </c>
      <c r="C2609">
        <v>13</v>
      </c>
      <c r="D2609" s="100" t="s">
        <v>22</v>
      </c>
      <c r="E2609" t="s">
        <v>19</v>
      </c>
      <c r="F2609" t="s">
        <v>16</v>
      </c>
      <c r="G2609" t="s">
        <v>698</v>
      </c>
      <c r="H2609" s="128">
        <v>0.2792</v>
      </c>
      <c r="I2609" s="110">
        <v>0.17929999999999999</v>
      </c>
      <c r="K2609" s="110">
        <v>0.17929999999999999</v>
      </c>
      <c r="L2609">
        <v>5000</v>
      </c>
      <c r="M2609">
        <v>500000</v>
      </c>
      <c r="N2609" s="105">
        <v>44197</v>
      </c>
      <c r="O2609" s="105">
        <v>44377</v>
      </c>
      <c r="P2609" t="s">
        <v>718</v>
      </c>
      <c r="R2609" s="154"/>
      <c r="S2609" s="154"/>
      <c r="T2609" s="154"/>
      <c r="U2609" s="154"/>
    </row>
    <row r="2610" spans="1:21" ht="15" customHeight="1" x14ac:dyDescent="0.3">
      <c r="A2610" t="str">
        <f t="shared" si="42"/>
        <v>13-4-3RATE-SmartPAY24</v>
      </c>
      <c r="B2610" t="s">
        <v>13</v>
      </c>
      <c r="C2610">
        <v>13</v>
      </c>
      <c r="D2610" s="100" t="s">
        <v>22</v>
      </c>
      <c r="E2610" t="s">
        <v>719</v>
      </c>
      <c r="F2610" t="s">
        <v>18</v>
      </c>
      <c r="G2610" t="s">
        <v>698</v>
      </c>
      <c r="H2610" s="128">
        <v>0.2792</v>
      </c>
      <c r="I2610" s="110">
        <v>0.17929999999999999</v>
      </c>
      <c r="J2610" s="110">
        <v>0.17929999999999999</v>
      </c>
      <c r="K2610" s="110">
        <v>0.17929999999999999</v>
      </c>
      <c r="L2610">
        <v>5000</v>
      </c>
      <c r="M2610">
        <v>500000</v>
      </c>
      <c r="N2610" s="105">
        <v>44197</v>
      </c>
      <c r="O2610" s="105">
        <v>44377</v>
      </c>
      <c r="P2610" t="s">
        <v>718</v>
      </c>
      <c r="R2610" s="154"/>
      <c r="S2610" s="154"/>
      <c r="T2610" s="154"/>
      <c r="U2610" s="154"/>
    </row>
    <row r="2611" spans="1:21" ht="15" customHeight="1" x14ac:dyDescent="0.3">
      <c r="A2611" t="str">
        <f t="shared" si="42"/>
        <v/>
      </c>
      <c r="B2611" t="s">
        <v>13</v>
      </c>
      <c r="C2611">
        <v>13</v>
      </c>
      <c r="D2611" s="100" t="s">
        <v>22</v>
      </c>
      <c r="E2611" t="s">
        <v>720</v>
      </c>
      <c r="F2611" t="s">
        <v>18</v>
      </c>
      <c r="G2611" t="s">
        <v>698</v>
      </c>
      <c r="H2611" s="128">
        <v>0.2792</v>
      </c>
      <c r="J2611" s="110">
        <v>0.17929999999999999</v>
      </c>
      <c r="L2611">
        <v>5000</v>
      </c>
      <c r="M2611">
        <v>500000</v>
      </c>
      <c r="N2611" s="105">
        <v>44197</v>
      </c>
      <c r="O2611" s="105">
        <v>44377</v>
      </c>
      <c r="P2611" t="s">
        <v>718</v>
      </c>
      <c r="R2611" s="154"/>
      <c r="S2611" s="154"/>
      <c r="T2611" s="154"/>
      <c r="U2611" s="154"/>
    </row>
    <row r="2612" spans="1:21" ht="15" customHeight="1" x14ac:dyDescent="0.3">
      <c r="A2612" t="str">
        <f t="shared" si="42"/>
        <v>14-3-U-SmartPAY24</v>
      </c>
      <c r="B2612" t="s">
        <v>13</v>
      </c>
      <c r="C2612">
        <v>14</v>
      </c>
      <c r="D2612" s="100" t="s">
        <v>23</v>
      </c>
      <c r="E2612" t="s">
        <v>716</v>
      </c>
      <c r="F2612" t="s">
        <v>16</v>
      </c>
      <c r="G2612" t="s">
        <v>698</v>
      </c>
      <c r="H2612" s="128">
        <v>0.34450000000000003</v>
      </c>
      <c r="I2612" s="110">
        <v>0.16300000000000001</v>
      </c>
      <c r="L2612">
        <v>5000</v>
      </c>
      <c r="M2612">
        <v>500000</v>
      </c>
      <c r="N2612" s="105">
        <v>44197</v>
      </c>
      <c r="O2612" s="105">
        <v>44377</v>
      </c>
      <c r="P2612" t="s">
        <v>718</v>
      </c>
      <c r="R2612" s="154"/>
      <c r="S2612" s="154"/>
      <c r="T2612" s="154"/>
      <c r="U2612" s="154"/>
    </row>
    <row r="2613" spans="1:21" ht="15" customHeight="1" x14ac:dyDescent="0.3">
      <c r="A2613" t="str">
        <f t="shared" si="42"/>
        <v>14-4-E7-SmartPAY24</v>
      </c>
      <c r="B2613" t="s">
        <v>13</v>
      </c>
      <c r="C2613">
        <v>14</v>
      </c>
      <c r="D2613" s="100" t="s">
        <v>23</v>
      </c>
      <c r="E2613" t="s">
        <v>17</v>
      </c>
      <c r="F2613" t="s">
        <v>18</v>
      </c>
      <c r="G2613" t="s">
        <v>698</v>
      </c>
      <c r="H2613" s="128">
        <v>0.34450000000000003</v>
      </c>
      <c r="I2613" s="110">
        <v>0.16300000000000001</v>
      </c>
      <c r="J2613" s="110">
        <v>0.16300000000000001</v>
      </c>
      <c r="L2613">
        <v>5000</v>
      </c>
      <c r="M2613">
        <v>500000</v>
      </c>
      <c r="N2613" s="105">
        <v>44197</v>
      </c>
      <c r="O2613" s="105">
        <v>44377</v>
      </c>
      <c r="P2613" t="s">
        <v>718</v>
      </c>
      <c r="R2613" s="154"/>
      <c r="S2613" s="154"/>
      <c r="T2613" s="154"/>
      <c r="U2613" s="154"/>
    </row>
    <row r="2614" spans="1:21" ht="15" customHeight="1" x14ac:dyDescent="0.3">
      <c r="A2614" t="str">
        <f t="shared" si="42"/>
        <v>14-3-EW-SmartPAY24</v>
      </c>
      <c r="B2614" t="s">
        <v>13</v>
      </c>
      <c r="C2614">
        <v>14</v>
      </c>
      <c r="D2614" s="100" t="s">
        <v>23</v>
      </c>
      <c r="E2614" t="s">
        <v>19</v>
      </c>
      <c r="F2614" t="s">
        <v>16</v>
      </c>
      <c r="G2614" t="s">
        <v>698</v>
      </c>
      <c r="H2614" s="128">
        <v>0.34450000000000003</v>
      </c>
      <c r="I2614" s="110">
        <v>0.16300000000000001</v>
      </c>
      <c r="K2614" s="110">
        <v>0.16300000000000001</v>
      </c>
      <c r="L2614">
        <v>5000</v>
      </c>
      <c r="M2614">
        <v>500000</v>
      </c>
      <c r="N2614" s="105">
        <v>44197</v>
      </c>
      <c r="O2614" s="105">
        <v>44377</v>
      </c>
      <c r="P2614" t="s">
        <v>718</v>
      </c>
      <c r="R2614" s="154"/>
      <c r="S2614" s="154"/>
      <c r="T2614" s="154"/>
      <c r="U2614" s="154"/>
    </row>
    <row r="2615" spans="1:21" ht="15" customHeight="1" x14ac:dyDescent="0.3">
      <c r="A2615" t="str">
        <f t="shared" si="42"/>
        <v>14-4-3RATE-SmartPAY24</v>
      </c>
      <c r="B2615" t="s">
        <v>13</v>
      </c>
      <c r="C2615">
        <v>14</v>
      </c>
      <c r="D2615" s="100" t="s">
        <v>23</v>
      </c>
      <c r="E2615" t="s">
        <v>719</v>
      </c>
      <c r="F2615" t="s">
        <v>18</v>
      </c>
      <c r="G2615" t="s">
        <v>698</v>
      </c>
      <c r="H2615" s="128">
        <v>0.34450000000000003</v>
      </c>
      <c r="I2615" s="110">
        <v>0.16300000000000001</v>
      </c>
      <c r="J2615" s="110">
        <v>0.16300000000000001</v>
      </c>
      <c r="K2615" s="110">
        <v>0.16300000000000001</v>
      </c>
      <c r="L2615">
        <v>5000</v>
      </c>
      <c r="M2615">
        <v>500000</v>
      </c>
      <c r="N2615" s="105">
        <v>44197</v>
      </c>
      <c r="O2615" s="105">
        <v>44377</v>
      </c>
      <c r="P2615" t="s">
        <v>718</v>
      </c>
      <c r="R2615" s="154"/>
      <c r="S2615" s="154"/>
      <c r="T2615" s="154"/>
      <c r="U2615" s="154"/>
    </row>
    <row r="2616" spans="1:21" ht="15" customHeight="1" x14ac:dyDescent="0.3">
      <c r="A2616" t="str">
        <f t="shared" si="42"/>
        <v/>
      </c>
      <c r="B2616" t="s">
        <v>13</v>
      </c>
      <c r="C2616">
        <v>14</v>
      </c>
      <c r="D2616" s="100" t="s">
        <v>23</v>
      </c>
      <c r="E2616" t="s">
        <v>720</v>
      </c>
      <c r="F2616" t="s">
        <v>18</v>
      </c>
      <c r="G2616" t="s">
        <v>698</v>
      </c>
      <c r="H2616" s="128">
        <v>0.34450000000000003</v>
      </c>
      <c r="J2616" s="110">
        <v>0.16300000000000001</v>
      </c>
      <c r="L2616">
        <v>5000</v>
      </c>
      <c r="M2616">
        <v>500000</v>
      </c>
      <c r="N2616" s="105">
        <v>44197</v>
      </c>
      <c r="O2616" s="105">
        <v>44377</v>
      </c>
      <c r="P2616" t="s">
        <v>718</v>
      </c>
      <c r="R2616" s="154"/>
      <c r="S2616" s="154"/>
      <c r="T2616" s="154"/>
      <c r="U2616" s="154"/>
    </row>
    <row r="2617" spans="1:21" ht="15" customHeight="1" x14ac:dyDescent="0.3">
      <c r="A2617" t="str">
        <f t="shared" si="42"/>
        <v>15-3-U-SmartPAY24</v>
      </c>
      <c r="B2617" t="s">
        <v>13</v>
      </c>
      <c r="C2617">
        <v>15</v>
      </c>
      <c r="D2617" s="100" t="s">
        <v>24</v>
      </c>
      <c r="E2617" t="s">
        <v>716</v>
      </c>
      <c r="F2617" t="s">
        <v>16</v>
      </c>
      <c r="G2617" t="s">
        <v>698</v>
      </c>
      <c r="H2617" s="128">
        <v>0.31980000000000003</v>
      </c>
      <c r="I2617" s="110">
        <v>0.16269999999999998</v>
      </c>
      <c r="L2617">
        <v>5000</v>
      </c>
      <c r="M2617">
        <v>500000</v>
      </c>
      <c r="N2617" s="105">
        <v>44197</v>
      </c>
      <c r="O2617" s="105">
        <v>44377</v>
      </c>
      <c r="P2617" t="s">
        <v>718</v>
      </c>
      <c r="R2617" s="154"/>
      <c r="S2617" s="154"/>
      <c r="T2617" s="154"/>
      <c r="U2617" s="154"/>
    </row>
    <row r="2618" spans="1:21" ht="15" customHeight="1" x14ac:dyDescent="0.3">
      <c r="A2618" t="str">
        <f t="shared" si="42"/>
        <v>15-4-E7-SmartPAY24</v>
      </c>
      <c r="B2618" t="s">
        <v>13</v>
      </c>
      <c r="C2618">
        <v>15</v>
      </c>
      <c r="D2618" s="100" t="s">
        <v>24</v>
      </c>
      <c r="E2618" t="s">
        <v>17</v>
      </c>
      <c r="F2618" t="s">
        <v>18</v>
      </c>
      <c r="G2618" t="s">
        <v>698</v>
      </c>
      <c r="H2618" s="128">
        <v>0.31980000000000003</v>
      </c>
      <c r="I2618" s="110">
        <v>0.16269999999999998</v>
      </c>
      <c r="J2618" s="110">
        <v>0.16269999999999998</v>
      </c>
      <c r="L2618">
        <v>5000</v>
      </c>
      <c r="M2618">
        <v>500000</v>
      </c>
      <c r="N2618" s="105">
        <v>44197</v>
      </c>
      <c r="O2618" s="105">
        <v>44377</v>
      </c>
      <c r="P2618" t="s">
        <v>718</v>
      </c>
      <c r="R2618" s="154"/>
      <c r="S2618" s="154"/>
      <c r="T2618" s="154"/>
      <c r="U2618" s="154"/>
    </row>
    <row r="2619" spans="1:21" ht="15" customHeight="1" x14ac:dyDescent="0.3">
      <c r="A2619" t="str">
        <f t="shared" si="42"/>
        <v>15-3-EW-SmartPAY24</v>
      </c>
      <c r="B2619" t="s">
        <v>13</v>
      </c>
      <c r="C2619">
        <v>15</v>
      </c>
      <c r="D2619" s="100" t="s">
        <v>24</v>
      </c>
      <c r="E2619" t="s">
        <v>19</v>
      </c>
      <c r="F2619" t="s">
        <v>16</v>
      </c>
      <c r="G2619" t="s">
        <v>698</v>
      </c>
      <c r="H2619" s="128">
        <v>0.31980000000000003</v>
      </c>
      <c r="I2619" s="110">
        <v>0.16269999999999998</v>
      </c>
      <c r="K2619" s="110">
        <v>0.16269999999999998</v>
      </c>
      <c r="L2619">
        <v>5000</v>
      </c>
      <c r="M2619">
        <v>500000</v>
      </c>
      <c r="N2619" s="105">
        <v>44197</v>
      </c>
      <c r="O2619" s="105">
        <v>44377</v>
      </c>
      <c r="P2619" t="s">
        <v>718</v>
      </c>
      <c r="R2619" s="154"/>
      <c r="S2619" s="154"/>
      <c r="T2619" s="154"/>
      <c r="U2619" s="154"/>
    </row>
    <row r="2620" spans="1:21" ht="15" customHeight="1" x14ac:dyDescent="0.3">
      <c r="A2620" t="str">
        <f t="shared" si="42"/>
        <v>15-4-3RATE-SmartPAY24</v>
      </c>
      <c r="B2620" t="s">
        <v>13</v>
      </c>
      <c r="C2620">
        <v>15</v>
      </c>
      <c r="D2620" s="100" t="s">
        <v>24</v>
      </c>
      <c r="E2620" t="s">
        <v>719</v>
      </c>
      <c r="F2620" t="s">
        <v>18</v>
      </c>
      <c r="G2620" t="s">
        <v>698</v>
      </c>
      <c r="H2620" s="128">
        <v>0.31980000000000003</v>
      </c>
      <c r="I2620" s="110">
        <v>0.16269999999999998</v>
      </c>
      <c r="J2620" s="110">
        <v>0.16269999999999998</v>
      </c>
      <c r="K2620" s="110">
        <v>0.16269999999999998</v>
      </c>
      <c r="L2620">
        <v>5000</v>
      </c>
      <c r="M2620">
        <v>500000</v>
      </c>
      <c r="N2620" s="105">
        <v>44197</v>
      </c>
      <c r="O2620" s="105">
        <v>44377</v>
      </c>
      <c r="P2620" t="s">
        <v>718</v>
      </c>
      <c r="R2620" s="154"/>
      <c r="S2620" s="154"/>
      <c r="T2620" s="154"/>
      <c r="U2620" s="154"/>
    </row>
    <row r="2621" spans="1:21" ht="15" customHeight="1" x14ac:dyDescent="0.3">
      <c r="A2621" t="str">
        <f t="shared" si="42"/>
        <v/>
      </c>
      <c r="B2621" t="s">
        <v>13</v>
      </c>
      <c r="C2621">
        <v>15</v>
      </c>
      <c r="D2621" s="100" t="s">
        <v>24</v>
      </c>
      <c r="E2621" t="s">
        <v>720</v>
      </c>
      <c r="F2621" t="s">
        <v>18</v>
      </c>
      <c r="G2621" t="s">
        <v>698</v>
      </c>
      <c r="H2621" s="128">
        <v>0.31980000000000003</v>
      </c>
      <c r="J2621" s="110">
        <v>0.16269999999999998</v>
      </c>
      <c r="L2621">
        <v>5000</v>
      </c>
      <c r="M2621">
        <v>500000</v>
      </c>
      <c r="N2621" s="105">
        <v>44197</v>
      </c>
      <c r="O2621" s="105">
        <v>44377</v>
      </c>
      <c r="P2621" t="s">
        <v>718</v>
      </c>
      <c r="R2621" s="154"/>
      <c r="S2621" s="154"/>
      <c r="T2621" s="154"/>
      <c r="U2621" s="154"/>
    </row>
    <row r="2622" spans="1:21" ht="15" customHeight="1" x14ac:dyDescent="0.3">
      <c r="A2622" t="str">
        <f t="shared" si="42"/>
        <v>16-3-U-SmartPAY24</v>
      </c>
      <c r="B2622" t="s">
        <v>13</v>
      </c>
      <c r="C2622">
        <v>16</v>
      </c>
      <c r="D2622" s="100" t="s">
        <v>25</v>
      </c>
      <c r="E2622" t="s">
        <v>716</v>
      </c>
      <c r="F2622" t="s">
        <v>16</v>
      </c>
      <c r="G2622" t="s">
        <v>698</v>
      </c>
      <c r="H2622" s="128">
        <v>0.2707</v>
      </c>
      <c r="I2622" s="110">
        <v>0.16489999999999999</v>
      </c>
      <c r="L2622">
        <v>5000</v>
      </c>
      <c r="M2622">
        <v>500000</v>
      </c>
      <c r="N2622" s="105">
        <v>44197</v>
      </c>
      <c r="O2622" s="105">
        <v>44377</v>
      </c>
      <c r="P2622" t="s">
        <v>718</v>
      </c>
      <c r="R2622" s="154"/>
      <c r="S2622" s="154"/>
      <c r="T2622" s="154"/>
      <c r="U2622" s="154"/>
    </row>
    <row r="2623" spans="1:21" ht="15" customHeight="1" x14ac:dyDescent="0.3">
      <c r="A2623" t="str">
        <f t="shared" si="42"/>
        <v>16-4-E7-SmartPAY24</v>
      </c>
      <c r="B2623" t="s">
        <v>13</v>
      </c>
      <c r="C2623">
        <v>16</v>
      </c>
      <c r="D2623" s="100" t="s">
        <v>25</v>
      </c>
      <c r="E2623" t="s">
        <v>17</v>
      </c>
      <c r="F2623" t="s">
        <v>18</v>
      </c>
      <c r="G2623" t="s">
        <v>698</v>
      </c>
      <c r="H2623" s="128">
        <v>0.2707</v>
      </c>
      <c r="I2623" s="110">
        <v>0.16489999999999999</v>
      </c>
      <c r="J2623" s="110">
        <v>0.16489999999999999</v>
      </c>
      <c r="L2623">
        <v>5000</v>
      </c>
      <c r="M2623">
        <v>500000</v>
      </c>
      <c r="N2623" s="105">
        <v>44197</v>
      </c>
      <c r="O2623" s="105">
        <v>44377</v>
      </c>
      <c r="P2623" t="s">
        <v>718</v>
      </c>
      <c r="R2623" s="154"/>
      <c r="S2623" s="154"/>
      <c r="T2623" s="154"/>
      <c r="U2623" s="154"/>
    </row>
    <row r="2624" spans="1:21" ht="15" customHeight="1" x14ac:dyDescent="0.3">
      <c r="A2624" t="str">
        <f t="shared" si="42"/>
        <v>16-3-EW-SmartPAY24</v>
      </c>
      <c r="B2624" t="s">
        <v>13</v>
      </c>
      <c r="C2624">
        <v>16</v>
      </c>
      <c r="D2624" s="100" t="s">
        <v>25</v>
      </c>
      <c r="E2624" t="s">
        <v>19</v>
      </c>
      <c r="F2624" t="s">
        <v>16</v>
      </c>
      <c r="G2624" t="s">
        <v>698</v>
      </c>
      <c r="H2624" s="128">
        <v>0.2707</v>
      </c>
      <c r="I2624" s="110">
        <v>0.16489999999999999</v>
      </c>
      <c r="K2624" s="110">
        <v>0.16489999999999999</v>
      </c>
      <c r="L2624">
        <v>5000</v>
      </c>
      <c r="M2624">
        <v>500000</v>
      </c>
      <c r="N2624" s="105">
        <v>44197</v>
      </c>
      <c r="O2624" s="105">
        <v>44377</v>
      </c>
      <c r="P2624" t="s">
        <v>718</v>
      </c>
      <c r="R2624" s="154"/>
      <c r="S2624" s="154"/>
      <c r="T2624" s="154"/>
      <c r="U2624" s="154"/>
    </row>
    <row r="2625" spans="1:21" ht="15" customHeight="1" x14ac:dyDescent="0.3">
      <c r="A2625" t="str">
        <f t="shared" si="42"/>
        <v>16-4-3RATE-SmartPAY24</v>
      </c>
      <c r="B2625" t="s">
        <v>13</v>
      </c>
      <c r="C2625">
        <v>16</v>
      </c>
      <c r="D2625" s="100" t="s">
        <v>25</v>
      </c>
      <c r="E2625" t="s">
        <v>719</v>
      </c>
      <c r="F2625" t="s">
        <v>18</v>
      </c>
      <c r="G2625" t="s">
        <v>698</v>
      </c>
      <c r="H2625" s="128">
        <v>0.2707</v>
      </c>
      <c r="I2625" s="110">
        <v>0.16489999999999999</v>
      </c>
      <c r="J2625" s="110">
        <v>0.16489999999999999</v>
      </c>
      <c r="K2625" s="110">
        <v>0.16489999999999999</v>
      </c>
      <c r="L2625">
        <v>5000</v>
      </c>
      <c r="M2625">
        <v>500000</v>
      </c>
      <c r="N2625" s="105">
        <v>44197</v>
      </c>
      <c r="O2625" s="105">
        <v>44377</v>
      </c>
      <c r="P2625" t="s">
        <v>718</v>
      </c>
      <c r="R2625" s="154"/>
      <c r="S2625" s="154"/>
      <c r="T2625" s="154"/>
      <c r="U2625" s="154"/>
    </row>
    <row r="2626" spans="1:21" ht="15" customHeight="1" x14ac:dyDescent="0.3">
      <c r="A2626" t="str">
        <f t="shared" si="42"/>
        <v/>
      </c>
      <c r="B2626" t="s">
        <v>13</v>
      </c>
      <c r="C2626">
        <v>16</v>
      </c>
      <c r="D2626" s="100" t="s">
        <v>25</v>
      </c>
      <c r="E2626" t="s">
        <v>720</v>
      </c>
      <c r="F2626" t="s">
        <v>18</v>
      </c>
      <c r="G2626" t="s">
        <v>698</v>
      </c>
      <c r="H2626" s="128">
        <v>0.2707</v>
      </c>
      <c r="J2626" s="110">
        <v>0.16489999999999999</v>
      </c>
      <c r="L2626">
        <v>5000</v>
      </c>
      <c r="M2626">
        <v>500000</v>
      </c>
      <c r="N2626" s="105">
        <v>44197</v>
      </c>
      <c r="O2626" s="105">
        <v>44377</v>
      </c>
      <c r="P2626" t="s">
        <v>718</v>
      </c>
      <c r="R2626" s="154"/>
      <c r="S2626" s="154"/>
      <c r="T2626" s="154"/>
      <c r="U2626" s="154"/>
    </row>
    <row r="2627" spans="1:21" ht="15" customHeight="1" x14ac:dyDescent="0.3">
      <c r="A2627" t="str">
        <f t="shared" si="42"/>
        <v>17-3-U-SmartPAY24</v>
      </c>
      <c r="B2627" t="s">
        <v>13</v>
      </c>
      <c r="C2627">
        <v>17</v>
      </c>
      <c r="D2627" s="100" t="s">
        <v>26</v>
      </c>
      <c r="E2627" t="s">
        <v>716</v>
      </c>
      <c r="F2627" t="s">
        <v>16</v>
      </c>
      <c r="G2627" t="s">
        <v>698</v>
      </c>
      <c r="H2627" s="128">
        <v>0.35659999999999997</v>
      </c>
      <c r="I2627" s="110">
        <v>0.1678</v>
      </c>
      <c r="L2627">
        <v>5000</v>
      </c>
      <c r="M2627">
        <v>500000</v>
      </c>
      <c r="N2627" s="105">
        <v>44197</v>
      </c>
      <c r="O2627" s="105">
        <v>44377</v>
      </c>
      <c r="P2627" t="s">
        <v>718</v>
      </c>
      <c r="R2627" s="154"/>
      <c r="S2627" s="154"/>
      <c r="T2627" s="154"/>
      <c r="U2627" s="154"/>
    </row>
    <row r="2628" spans="1:21" ht="15" customHeight="1" x14ac:dyDescent="0.3">
      <c r="A2628" t="str">
        <f t="shared" si="42"/>
        <v>17-4-E7-SmartPAY24</v>
      </c>
      <c r="B2628" t="s">
        <v>13</v>
      </c>
      <c r="C2628">
        <v>17</v>
      </c>
      <c r="D2628" s="100" t="s">
        <v>26</v>
      </c>
      <c r="E2628" t="s">
        <v>17</v>
      </c>
      <c r="F2628" t="s">
        <v>18</v>
      </c>
      <c r="G2628" t="s">
        <v>698</v>
      </c>
      <c r="H2628" s="128">
        <v>0.35659999999999997</v>
      </c>
      <c r="I2628" s="110">
        <v>0.1678</v>
      </c>
      <c r="J2628" s="110">
        <v>0.1678</v>
      </c>
      <c r="L2628">
        <v>5000</v>
      </c>
      <c r="M2628">
        <v>500000</v>
      </c>
      <c r="N2628" s="105">
        <v>44197</v>
      </c>
      <c r="O2628" s="105">
        <v>44377</v>
      </c>
      <c r="P2628" t="s">
        <v>718</v>
      </c>
      <c r="R2628" s="154"/>
      <c r="S2628" s="154"/>
      <c r="T2628" s="154"/>
      <c r="U2628" s="154"/>
    </row>
    <row r="2629" spans="1:21" ht="15" customHeight="1" x14ac:dyDescent="0.3">
      <c r="A2629" t="str">
        <f t="shared" si="42"/>
        <v>17-3-EW-SmartPAY24</v>
      </c>
      <c r="B2629" t="s">
        <v>13</v>
      </c>
      <c r="C2629">
        <v>17</v>
      </c>
      <c r="D2629" s="100" t="s">
        <v>26</v>
      </c>
      <c r="E2629" t="s">
        <v>19</v>
      </c>
      <c r="F2629" t="s">
        <v>16</v>
      </c>
      <c r="G2629" t="s">
        <v>698</v>
      </c>
      <c r="H2629" s="128">
        <v>0.35659999999999997</v>
      </c>
      <c r="I2629" s="110">
        <v>0.1678</v>
      </c>
      <c r="K2629" s="110">
        <v>0.1678</v>
      </c>
      <c r="L2629">
        <v>5000</v>
      </c>
      <c r="M2629">
        <v>500000</v>
      </c>
      <c r="N2629" s="105">
        <v>44197</v>
      </c>
      <c r="O2629" s="105">
        <v>44377</v>
      </c>
      <c r="P2629" t="s">
        <v>718</v>
      </c>
      <c r="R2629" s="154"/>
      <c r="S2629" s="154"/>
      <c r="T2629" s="154"/>
      <c r="U2629" s="154"/>
    </row>
    <row r="2630" spans="1:21" ht="15" customHeight="1" x14ac:dyDescent="0.3">
      <c r="A2630" t="str">
        <f t="shared" si="42"/>
        <v>17-4-3RATE-SmartPAY24</v>
      </c>
      <c r="B2630" t="s">
        <v>13</v>
      </c>
      <c r="C2630">
        <v>17</v>
      </c>
      <c r="D2630" s="100" t="s">
        <v>26</v>
      </c>
      <c r="E2630" t="s">
        <v>719</v>
      </c>
      <c r="F2630" t="s">
        <v>18</v>
      </c>
      <c r="G2630" t="s">
        <v>698</v>
      </c>
      <c r="H2630" s="128">
        <v>0.35659999999999997</v>
      </c>
      <c r="I2630" s="110">
        <v>0.1678</v>
      </c>
      <c r="J2630" s="110">
        <v>0.1678</v>
      </c>
      <c r="K2630" s="110">
        <v>0.1678</v>
      </c>
      <c r="L2630">
        <v>5000</v>
      </c>
      <c r="M2630">
        <v>500000</v>
      </c>
      <c r="N2630" s="105">
        <v>44197</v>
      </c>
      <c r="O2630" s="105">
        <v>44377</v>
      </c>
      <c r="P2630" t="s">
        <v>718</v>
      </c>
      <c r="R2630" s="154"/>
      <c r="S2630" s="154"/>
      <c r="T2630" s="154"/>
      <c r="U2630" s="154"/>
    </row>
    <row r="2631" spans="1:21" ht="15" customHeight="1" x14ac:dyDescent="0.3">
      <c r="A2631" t="str">
        <f t="shared" si="42"/>
        <v/>
      </c>
      <c r="B2631" t="s">
        <v>13</v>
      </c>
      <c r="C2631">
        <v>17</v>
      </c>
      <c r="D2631" s="100" t="s">
        <v>26</v>
      </c>
      <c r="E2631" t="s">
        <v>720</v>
      </c>
      <c r="F2631" t="s">
        <v>18</v>
      </c>
      <c r="G2631" t="s">
        <v>698</v>
      </c>
      <c r="H2631" s="128">
        <v>0.35659999999999997</v>
      </c>
      <c r="J2631" s="110">
        <v>0.1678</v>
      </c>
      <c r="L2631">
        <v>5000</v>
      </c>
      <c r="M2631">
        <v>500000</v>
      </c>
      <c r="N2631" s="105">
        <v>44197</v>
      </c>
      <c r="O2631" s="105">
        <v>44377</v>
      </c>
      <c r="P2631" t="s">
        <v>718</v>
      </c>
      <c r="R2631" s="154"/>
      <c r="S2631" s="154"/>
      <c r="T2631" s="154"/>
      <c r="U2631" s="154"/>
    </row>
    <row r="2632" spans="1:21" ht="15" customHeight="1" x14ac:dyDescent="0.3">
      <c r="A2632" t="str">
        <f t="shared" si="42"/>
        <v>18-3-U-SmartPAY24</v>
      </c>
      <c r="B2632" t="s">
        <v>13</v>
      </c>
      <c r="C2632">
        <v>18</v>
      </c>
      <c r="D2632" s="100" t="s">
        <v>27</v>
      </c>
      <c r="E2632" t="s">
        <v>716</v>
      </c>
      <c r="F2632" t="s">
        <v>16</v>
      </c>
      <c r="G2632" t="s">
        <v>698</v>
      </c>
      <c r="H2632" s="128">
        <v>0.31109999999999999</v>
      </c>
      <c r="I2632" s="110">
        <v>0.1643</v>
      </c>
      <c r="L2632">
        <v>5000</v>
      </c>
      <c r="M2632">
        <v>500000</v>
      </c>
      <c r="N2632" s="105">
        <v>44197</v>
      </c>
      <c r="O2632" s="105">
        <v>44377</v>
      </c>
      <c r="P2632" t="s">
        <v>718</v>
      </c>
      <c r="R2632" s="154"/>
      <c r="S2632" s="154"/>
      <c r="T2632" s="154"/>
      <c r="U2632" s="154"/>
    </row>
    <row r="2633" spans="1:21" ht="15" customHeight="1" x14ac:dyDescent="0.3">
      <c r="A2633" t="str">
        <f t="shared" si="42"/>
        <v>18-4-E7-SmartPAY24</v>
      </c>
      <c r="B2633" t="s">
        <v>13</v>
      </c>
      <c r="C2633">
        <v>18</v>
      </c>
      <c r="D2633" s="100" t="s">
        <v>27</v>
      </c>
      <c r="E2633" t="s">
        <v>17</v>
      </c>
      <c r="F2633" t="s">
        <v>18</v>
      </c>
      <c r="G2633" t="s">
        <v>698</v>
      </c>
      <c r="H2633" s="128">
        <v>0.31109999999999999</v>
      </c>
      <c r="I2633" s="110">
        <v>0.1643</v>
      </c>
      <c r="J2633" s="110">
        <v>0.1643</v>
      </c>
      <c r="L2633">
        <v>5000</v>
      </c>
      <c r="M2633">
        <v>500000</v>
      </c>
      <c r="N2633" s="105">
        <v>44197</v>
      </c>
      <c r="O2633" s="105">
        <v>44377</v>
      </c>
      <c r="P2633" t="s">
        <v>718</v>
      </c>
      <c r="R2633" s="154"/>
      <c r="S2633" s="154"/>
      <c r="T2633" s="154"/>
      <c r="U2633" s="154"/>
    </row>
    <row r="2634" spans="1:21" ht="15" customHeight="1" x14ac:dyDescent="0.3">
      <c r="A2634" t="str">
        <f t="shared" si="42"/>
        <v>18-3-EW-SmartPAY24</v>
      </c>
      <c r="B2634" t="s">
        <v>13</v>
      </c>
      <c r="C2634">
        <v>18</v>
      </c>
      <c r="D2634" s="100" t="s">
        <v>27</v>
      </c>
      <c r="E2634" t="s">
        <v>19</v>
      </c>
      <c r="F2634" t="s">
        <v>16</v>
      </c>
      <c r="G2634" t="s">
        <v>698</v>
      </c>
      <c r="H2634" s="128">
        <v>0.31109999999999999</v>
      </c>
      <c r="I2634" s="110">
        <v>0.1643</v>
      </c>
      <c r="K2634" s="110">
        <v>0.1643</v>
      </c>
      <c r="L2634">
        <v>5000</v>
      </c>
      <c r="M2634">
        <v>500000</v>
      </c>
      <c r="N2634" s="105">
        <v>44197</v>
      </c>
      <c r="O2634" s="105">
        <v>44377</v>
      </c>
      <c r="P2634" t="s">
        <v>718</v>
      </c>
      <c r="R2634" s="154"/>
      <c r="S2634" s="154"/>
      <c r="T2634" s="154"/>
      <c r="U2634" s="154"/>
    </row>
    <row r="2635" spans="1:21" ht="15" customHeight="1" x14ac:dyDescent="0.3">
      <c r="A2635" t="str">
        <f t="shared" si="42"/>
        <v>18-4-3RATE-SmartPAY24</v>
      </c>
      <c r="B2635" t="s">
        <v>13</v>
      </c>
      <c r="C2635">
        <v>18</v>
      </c>
      <c r="D2635" s="100" t="s">
        <v>27</v>
      </c>
      <c r="E2635" t="s">
        <v>719</v>
      </c>
      <c r="F2635" t="s">
        <v>18</v>
      </c>
      <c r="G2635" t="s">
        <v>698</v>
      </c>
      <c r="H2635" s="128">
        <v>0.31109999999999999</v>
      </c>
      <c r="I2635" s="110">
        <v>0.1643</v>
      </c>
      <c r="J2635" s="110">
        <v>0.1643</v>
      </c>
      <c r="K2635" s="110">
        <v>0.1643</v>
      </c>
      <c r="L2635">
        <v>5000</v>
      </c>
      <c r="M2635">
        <v>500000</v>
      </c>
      <c r="N2635" s="105">
        <v>44197</v>
      </c>
      <c r="O2635" s="105">
        <v>44377</v>
      </c>
      <c r="P2635" t="s">
        <v>718</v>
      </c>
      <c r="R2635" s="154"/>
      <c r="S2635" s="154"/>
      <c r="T2635" s="154"/>
      <c r="U2635" s="154"/>
    </row>
    <row r="2636" spans="1:21" ht="15" customHeight="1" x14ac:dyDescent="0.3">
      <c r="A2636" t="str">
        <f t="shared" si="42"/>
        <v/>
      </c>
      <c r="B2636" t="s">
        <v>13</v>
      </c>
      <c r="C2636">
        <v>18</v>
      </c>
      <c r="D2636" s="100" t="s">
        <v>27</v>
      </c>
      <c r="E2636" t="s">
        <v>720</v>
      </c>
      <c r="F2636" t="s">
        <v>18</v>
      </c>
      <c r="G2636" t="s">
        <v>698</v>
      </c>
      <c r="H2636" s="128">
        <v>0.31109999999999999</v>
      </c>
      <c r="J2636" s="110">
        <v>0.1643</v>
      </c>
      <c r="L2636">
        <v>5000</v>
      </c>
      <c r="M2636">
        <v>500000</v>
      </c>
      <c r="N2636" s="105">
        <v>44197</v>
      </c>
      <c r="O2636" s="105">
        <v>44377</v>
      </c>
      <c r="P2636" t="s">
        <v>718</v>
      </c>
      <c r="R2636" s="154"/>
      <c r="S2636" s="154"/>
      <c r="T2636" s="154"/>
      <c r="U2636" s="154"/>
    </row>
    <row r="2637" spans="1:21" ht="15" customHeight="1" x14ac:dyDescent="0.3">
      <c r="A2637" t="str">
        <f t="shared" si="42"/>
        <v>19-3-U-SmartPAY24</v>
      </c>
      <c r="B2637" t="s">
        <v>13</v>
      </c>
      <c r="C2637">
        <v>19</v>
      </c>
      <c r="D2637" s="100" t="s">
        <v>28</v>
      </c>
      <c r="E2637" t="s">
        <v>716</v>
      </c>
      <c r="F2637" t="s">
        <v>16</v>
      </c>
      <c r="G2637" t="s">
        <v>698</v>
      </c>
      <c r="H2637" s="128">
        <v>0.29570000000000002</v>
      </c>
      <c r="I2637" s="110">
        <v>0.16210000000000002</v>
      </c>
      <c r="L2637">
        <v>5000</v>
      </c>
      <c r="M2637">
        <v>500000</v>
      </c>
      <c r="N2637" s="105">
        <v>44197</v>
      </c>
      <c r="O2637" s="105">
        <v>44377</v>
      </c>
      <c r="P2637" t="s">
        <v>718</v>
      </c>
      <c r="R2637" s="154"/>
      <c r="S2637" s="154"/>
      <c r="T2637" s="154"/>
      <c r="U2637" s="154"/>
    </row>
    <row r="2638" spans="1:21" ht="15" customHeight="1" x14ac:dyDescent="0.3">
      <c r="A2638" t="str">
        <f t="shared" si="42"/>
        <v>19-4-E7-SmartPAY24</v>
      </c>
      <c r="B2638" t="s">
        <v>13</v>
      </c>
      <c r="C2638">
        <v>19</v>
      </c>
      <c r="D2638" s="100" t="s">
        <v>28</v>
      </c>
      <c r="E2638" t="s">
        <v>17</v>
      </c>
      <c r="F2638" t="s">
        <v>18</v>
      </c>
      <c r="G2638" t="s">
        <v>698</v>
      </c>
      <c r="H2638" s="128">
        <v>0.29570000000000002</v>
      </c>
      <c r="I2638" s="110">
        <v>0.16210000000000002</v>
      </c>
      <c r="J2638" s="110">
        <v>0.16210000000000002</v>
      </c>
      <c r="L2638">
        <v>5000</v>
      </c>
      <c r="M2638">
        <v>500000</v>
      </c>
      <c r="N2638" s="105">
        <v>44197</v>
      </c>
      <c r="O2638" s="105">
        <v>44377</v>
      </c>
      <c r="P2638" t="s">
        <v>718</v>
      </c>
      <c r="R2638" s="154"/>
      <c r="S2638" s="154"/>
      <c r="T2638" s="154"/>
      <c r="U2638" s="154"/>
    </row>
    <row r="2639" spans="1:21" ht="15" customHeight="1" x14ac:dyDescent="0.3">
      <c r="A2639" t="str">
        <f t="shared" si="42"/>
        <v>19-3-EW-SmartPAY24</v>
      </c>
      <c r="B2639" t="s">
        <v>13</v>
      </c>
      <c r="C2639">
        <v>19</v>
      </c>
      <c r="D2639" s="100" t="s">
        <v>28</v>
      </c>
      <c r="E2639" t="s">
        <v>19</v>
      </c>
      <c r="F2639" t="s">
        <v>16</v>
      </c>
      <c r="G2639" t="s">
        <v>698</v>
      </c>
      <c r="H2639" s="128">
        <v>0.29570000000000002</v>
      </c>
      <c r="I2639" s="110">
        <v>0.16210000000000002</v>
      </c>
      <c r="K2639" s="110">
        <v>0.16210000000000002</v>
      </c>
      <c r="L2639">
        <v>5000</v>
      </c>
      <c r="M2639">
        <v>500000</v>
      </c>
      <c r="N2639" s="105">
        <v>44197</v>
      </c>
      <c r="O2639" s="105">
        <v>44377</v>
      </c>
      <c r="P2639" t="s">
        <v>718</v>
      </c>
      <c r="R2639" s="154"/>
      <c r="S2639" s="154"/>
      <c r="T2639" s="154"/>
      <c r="U2639" s="154"/>
    </row>
    <row r="2640" spans="1:21" ht="15" customHeight="1" x14ac:dyDescent="0.3">
      <c r="A2640" t="str">
        <f t="shared" si="42"/>
        <v>19-4-3RATE-SmartPAY24</v>
      </c>
      <c r="B2640" t="s">
        <v>13</v>
      </c>
      <c r="C2640">
        <v>19</v>
      </c>
      <c r="D2640" s="100" t="s">
        <v>28</v>
      </c>
      <c r="E2640" t="s">
        <v>719</v>
      </c>
      <c r="F2640" t="s">
        <v>18</v>
      </c>
      <c r="G2640" t="s">
        <v>698</v>
      </c>
      <c r="H2640" s="128">
        <v>0.29570000000000002</v>
      </c>
      <c r="I2640" s="110">
        <v>0.16210000000000002</v>
      </c>
      <c r="J2640" s="110">
        <v>0.16210000000000002</v>
      </c>
      <c r="K2640" s="110">
        <v>0.16210000000000002</v>
      </c>
      <c r="L2640">
        <v>5000</v>
      </c>
      <c r="M2640">
        <v>500000</v>
      </c>
      <c r="N2640" s="105">
        <v>44197</v>
      </c>
      <c r="O2640" s="105">
        <v>44377</v>
      </c>
      <c r="P2640" t="s">
        <v>718</v>
      </c>
      <c r="R2640" s="154"/>
      <c r="S2640" s="154"/>
      <c r="T2640" s="154"/>
      <c r="U2640" s="154"/>
    </row>
    <row r="2641" spans="1:21" ht="15" customHeight="1" x14ac:dyDescent="0.3">
      <c r="A2641" t="str">
        <f t="shared" si="42"/>
        <v/>
      </c>
      <c r="B2641" t="s">
        <v>13</v>
      </c>
      <c r="C2641">
        <v>19</v>
      </c>
      <c r="D2641" s="100" t="s">
        <v>28</v>
      </c>
      <c r="E2641" t="s">
        <v>720</v>
      </c>
      <c r="F2641" t="s">
        <v>18</v>
      </c>
      <c r="G2641" t="s">
        <v>698</v>
      </c>
      <c r="H2641" s="128">
        <v>0.29570000000000002</v>
      </c>
      <c r="J2641" s="110">
        <v>0.16210000000000002</v>
      </c>
      <c r="L2641">
        <v>5000</v>
      </c>
      <c r="M2641">
        <v>500000</v>
      </c>
      <c r="N2641" s="105">
        <v>44197</v>
      </c>
      <c r="O2641" s="105">
        <v>44377</v>
      </c>
      <c r="P2641" t="s">
        <v>718</v>
      </c>
      <c r="R2641" s="154"/>
      <c r="S2641" s="154"/>
      <c r="T2641" s="154"/>
      <c r="U2641" s="154"/>
    </row>
    <row r="2642" spans="1:21" ht="15" customHeight="1" x14ac:dyDescent="0.3">
      <c r="A2642" t="str">
        <f t="shared" si="42"/>
        <v>20-3-U-SmartPAY24</v>
      </c>
      <c r="B2642" t="s">
        <v>13</v>
      </c>
      <c r="C2642">
        <v>20</v>
      </c>
      <c r="D2642" s="100" t="s">
        <v>29</v>
      </c>
      <c r="E2642" t="s">
        <v>716</v>
      </c>
      <c r="F2642" t="s">
        <v>16</v>
      </c>
      <c r="G2642" t="s">
        <v>698</v>
      </c>
      <c r="H2642" s="128">
        <v>0.29299999999999998</v>
      </c>
      <c r="I2642" s="110">
        <v>0.15990000000000001</v>
      </c>
      <c r="L2642">
        <v>5000</v>
      </c>
      <c r="M2642">
        <v>500000</v>
      </c>
      <c r="N2642" s="105">
        <v>44197</v>
      </c>
      <c r="O2642" s="105">
        <v>44377</v>
      </c>
      <c r="P2642" t="s">
        <v>718</v>
      </c>
      <c r="R2642" s="154"/>
      <c r="S2642" s="154"/>
      <c r="T2642" s="154"/>
      <c r="U2642" s="154"/>
    </row>
    <row r="2643" spans="1:21" ht="15" customHeight="1" x14ac:dyDescent="0.3">
      <c r="A2643" t="str">
        <f t="shared" si="42"/>
        <v>20-4-E7-SmartPAY24</v>
      </c>
      <c r="B2643" t="s">
        <v>13</v>
      </c>
      <c r="C2643">
        <v>20</v>
      </c>
      <c r="D2643" s="100" t="s">
        <v>29</v>
      </c>
      <c r="E2643" t="s">
        <v>17</v>
      </c>
      <c r="F2643" t="s">
        <v>18</v>
      </c>
      <c r="G2643" t="s">
        <v>698</v>
      </c>
      <c r="H2643" s="128">
        <v>0.29299999999999998</v>
      </c>
      <c r="I2643" s="110">
        <v>0.15990000000000001</v>
      </c>
      <c r="J2643" s="110">
        <v>0.15990000000000001</v>
      </c>
      <c r="L2643">
        <v>5000</v>
      </c>
      <c r="M2643">
        <v>500000</v>
      </c>
      <c r="N2643" s="105">
        <v>44197</v>
      </c>
      <c r="O2643" s="105">
        <v>44377</v>
      </c>
      <c r="P2643" t="s">
        <v>718</v>
      </c>
      <c r="R2643" s="154"/>
      <c r="S2643" s="154"/>
      <c r="T2643" s="154"/>
      <c r="U2643" s="154"/>
    </row>
    <row r="2644" spans="1:21" ht="15" customHeight="1" x14ac:dyDescent="0.3">
      <c r="A2644" t="str">
        <f t="shared" si="42"/>
        <v>20-3-EW-SmartPAY24</v>
      </c>
      <c r="B2644" t="s">
        <v>13</v>
      </c>
      <c r="C2644">
        <v>20</v>
      </c>
      <c r="D2644" s="100" t="s">
        <v>29</v>
      </c>
      <c r="E2644" t="s">
        <v>19</v>
      </c>
      <c r="F2644" t="s">
        <v>16</v>
      </c>
      <c r="G2644" t="s">
        <v>698</v>
      </c>
      <c r="H2644" s="128">
        <v>0.29299999999999998</v>
      </c>
      <c r="I2644" s="110">
        <v>0.15990000000000001</v>
      </c>
      <c r="K2644" s="110">
        <v>0.15990000000000001</v>
      </c>
      <c r="L2644">
        <v>5000</v>
      </c>
      <c r="M2644">
        <v>500000</v>
      </c>
      <c r="N2644" s="105">
        <v>44197</v>
      </c>
      <c r="O2644" s="105">
        <v>44377</v>
      </c>
      <c r="P2644" t="s">
        <v>718</v>
      </c>
      <c r="R2644" s="154"/>
      <c r="S2644" s="154"/>
      <c r="T2644" s="154"/>
      <c r="U2644" s="154"/>
    </row>
    <row r="2645" spans="1:21" ht="15" customHeight="1" x14ac:dyDescent="0.3">
      <c r="A2645" t="str">
        <f t="shared" si="42"/>
        <v>20-4-3RATE-SmartPAY24</v>
      </c>
      <c r="B2645" t="s">
        <v>13</v>
      </c>
      <c r="C2645">
        <v>20</v>
      </c>
      <c r="D2645" s="100" t="s">
        <v>29</v>
      </c>
      <c r="E2645" t="s">
        <v>719</v>
      </c>
      <c r="F2645" t="s">
        <v>18</v>
      </c>
      <c r="G2645" t="s">
        <v>698</v>
      </c>
      <c r="H2645" s="128">
        <v>0.29299999999999998</v>
      </c>
      <c r="I2645" s="110">
        <v>0.15990000000000001</v>
      </c>
      <c r="J2645" s="110">
        <v>0.15990000000000001</v>
      </c>
      <c r="K2645" s="110">
        <v>0.15990000000000001</v>
      </c>
      <c r="L2645">
        <v>5000</v>
      </c>
      <c r="M2645">
        <v>500000</v>
      </c>
      <c r="N2645" s="105">
        <v>44197</v>
      </c>
      <c r="O2645" s="105">
        <v>44377</v>
      </c>
      <c r="P2645" t="s">
        <v>718</v>
      </c>
      <c r="R2645" s="154"/>
      <c r="S2645" s="154"/>
      <c r="T2645" s="154"/>
      <c r="U2645" s="154"/>
    </row>
    <row r="2646" spans="1:21" ht="15" customHeight="1" x14ac:dyDescent="0.3">
      <c r="A2646" t="str">
        <f t="shared" si="42"/>
        <v/>
      </c>
      <c r="B2646" t="s">
        <v>13</v>
      </c>
      <c r="C2646">
        <v>20</v>
      </c>
      <c r="D2646" s="100" t="s">
        <v>29</v>
      </c>
      <c r="E2646" t="s">
        <v>720</v>
      </c>
      <c r="F2646" t="s">
        <v>18</v>
      </c>
      <c r="G2646" t="s">
        <v>698</v>
      </c>
      <c r="H2646" s="128">
        <v>0.29299999999999998</v>
      </c>
      <c r="J2646" s="110">
        <v>0.15990000000000001</v>
      </c>
      <c r="L2646">
        <v>5000</v>
      </c>
      <c r="M2646">
        <v>500000</v>
      </c>
      <c r="N2646" s="105">
        <v>44197</v>
      </c>
      <c r="O2646" s="105">
        <v>44377</v>
      </c>
      <c r="P2646" t="s">
        <v>718</v>
      </c>
      <c r="R2646" s="154"/>
      <c r="S2646" s="154"/>
      <c r="T2646" s="154"/>
      <c r="U2646" s="154"/>
    </row>
    <row r="2647" spans="1:21" ht="15" customHeight="1" x14ac:dyDescent="0.3">
      <c r="A2647" t="str">
        <f t="shared" si="42"/>
        <v>21-3-U-SmartPAY24</v>
      </c>
      <c r="B2647" t="s">
        <v>13</v>
      </c>
      <c r="C2647">
        <v>21</v>
      </c>
      <c r="D2647" s="100" t="s">
        <v>30</v>
      </c>
      <c r="E2647" t="s">
        <v>716</v>
      </c>
      <c r="F2647" t="s">
        <v>16</v>
      </c>
      <c r="G2647" t="s">
        <v>698</v>
      </c>
      <c r="H2647" s="128">
        <v>0.40549999999999997</v>
      </c>
      <c r="I2647" s="110">
        <v>0.16200000000000001</v>
      </c>
      <c r="L2647">
        <v>5000</v>
      </c>
      <c r="M2647">
        <v>500000</v>
      </c>
      <c r="N2647" s="105">
        <v>44197</v>
      </c>
      <c r="O2647" s="105">
        <v>44377</v>
      </c>
      <c r="P2647" t="s">
        <v>718</v>
      </c>
      <c r="R2647" s="154"/>
      <c r="S2647" s="154"/>
      <c r="T2647" s="154"/>
      <c r="U2647" s="154"/>
    </row>
    <row r="2648" spans="1:21" ht="15" customHeight="1" x14ac:dyDescent="0.3">
      <c r="A2648" t="str">
        <f t="shared" si="42"/>
        <v>21-4-E7-SmartPAY24</v>
      </c>
      <c r="B2648" t="s">
        <v>13</v>
      </c>
      <c r="C2648">
        <v>21</v>
      </c>
      <c r="D2648" s="100" t="s">
        <v>30</v>
      </c>
      <c r="E2648" t="s">
        <v>17</v>
      </c>
      <c r="F2648" t="s">
        <v>18</v>
      </c>
      <c r="G2648" t="s">
        <v>698</v>
      </c>
      <c r="H2648" s="128">
        <v>0.40549999999999997</v>
      </c>
      <c r="I2648" s="110">
        <v>0.16200000000000001</v>
      </c>
      <c r="J2648" s="110">
        <v>0.16200000000000001</v>
      </c>
      <c r="L2648">
        <v>5000</v>
      </c>
      <c r="M2648">
        <v>500000</v>
      </c>
      <c r="N2648" s="105">
        <v>44197</v>
      </c>
      <c r="O2648" s="105">
        <v>44377</v>
      </c>
      <c r="P2648" t="s">
        <v>718</v>
      </c>
      <c r="R2648" s="154"/>
      <c r="S2648" s="154"/>
      <c r="T2648" s="154"/>
      <c r="U2648" s="154"/>
    </row>
    <row r="2649" spans="1:21" ht="15" customHeight="1" x14ac:dyDescent="0.3">
      <c r="A2649" t="str">
        <f t="shared" si="42"/>
        <v>21-3-EW-SmartPAY24</v>
      </c>
      <c r="B2649" t="s">
        <v>13</v>
      </c>
      <c r="C2649">
        <v>21</v>
      </c>
      <c r="D2649" s="100" t="s">
        <v>30</v>
      </c>
      <c r="E2649" t="s">
        <v>19</v>
      </c>
      <c r="F2649" t="s">
        <v>16</v>
      </c>
      <c r="G2649" t="s">
        <v>698</v>
      </c>
      <c r="H2649" s="128">
        <v>0.40549999999999997</v>
      </c>
      <c r="I2649" s="110">
        <v>0.16200000000000001</v>
      </c>
      <c r="K2649" s="110">
        <v>0.16200000000000001</v>
      </c>
      <c r="L2649">
        <v>5000</v>
      </c>
      <c r="M2649">
        <v>500000</v>
      </c>
      <c r="N2649" s="105">
        <v>44197</v>
      </c>
      <c r="O2649" s="105">
        <v>44377</v>
      </c>
      <c r="P2649" t="s">
        <v>718</v>
      </c>
      <c r="R2649" s="154"/>
      <c r="S2649" s="154"/>
      <c r="T2649" s="154"/>
      <c r="U2649" s="154"/>
    </row>
    <row r="2650" spans="1:21" ht="15" customHeight="1" x14ac:dyDescent="0.3">
      <c r="A2650" t="str">
        <f t="shared" si="42"/>
        <v>21-4-3RATE-SmartPAY24</v>
      </c>
      <c r="B2650" t="s">
        <v>13</v>
      </c>
      <c r="C2650">
        <v>21</v>
      </c>
      <c r="D2650" s="100" t="s">
        <v>30</v>
      </c>
      <c r="E2650" t="s">
        <v>719</v>
      </c>
      <c r="F2650" t="s">
        <v>18</v>
      </c>
      <c r="G2650" t="s">
        <v>698</v>
      </c>
      <c r="H2650" s="128">
        <v>0.40549999999999997</v>
      </c>
      <c r="I2650" s="110">
        <v>0.16200000000000001</v>
      </c>
      <c r="J2650" s="110">
        <v>0.16200000000000001</v>
      </c>
      <c r="K2650" s="110">
        <v>0.16200000000000001</v>
      </c>
      <c r="L2650">
        <v>5000</v>
      </c>
      <c r="M2650">
        <v>500000</v>
      </c>
      <c r="N2650" s="105">
        <v>44197</v>
      </c>
      <c r="O2650" s="105">
        <v>44377</v>
      </c>
      <c r="P2650" t="s">
        <v>718</v>
      </c>
      <c r="R2650" s="154"/>
      <c r="S2650" s="154"/>
      <c r="T2650" s="154"/>
      <c r="U2650" s="154"/>
    </row>
    <row r="2651" spans="1:21" ht="15" customHeight="1" x14ac:dyDescent="0.3">
      <c r="A2651" t="str">
        <f t="shared" si="42"/>
        <v/>
      </c>
      <c r="B2651" t="s">
        <v>13</v>
      </c>
      <c r="C2651">
        <v>21</v>
      </c>
      <c r="D2651" s="100" t="s">
        <v>30</v>
      </c>
      <c r="E2651" t="s">
        <v>720</v>
      </c>
      <c r="F2651" t="s">
        <v>18</v>
      </c>
      <c r="G2651" t="s">
        <v>698</v>
      </c>
      <c r="H2651" s="128">
        <v>0.40549999999999997</v>
      </c>
      <c r="J2651" s="110">
        <v>0.16200000000000001</v>
      </c>
      <c r="L2651">
        <v>5000</v>
      </c>
      <c r="M2651">
        <v>500000</v>
      </c>
      <c r="N2651" s="105">
        <v>44197</v>
      </c>
      <c r="O2651" s="105">
        <v>44377</v>
      </c>
      <c r="P2651" t="s">
        <v>718</v>
      </c>
      <c r="R2651" s="154"/>
      <c r="S2651" s="154"/>
      <c r="T2651" s="154"/>
      <c r="U2651" s="154"/>
    </row>
    <row r="2652" spans="1:21" ht="15" customHeight="1" x14ac:dyDescent="0.3">
      <c r="A2652" t="str">
        <f t="shared" si="42"/>
        <v>22-3-U-SmartPAY24</v>
      </c>
      <c r="B2652" t="s">
        <v>13</v>
      </c>
      <c r="C2652">
        <v>22</v>
      </c>
      <c r="D2652" s="100" t="s">
        <v>31</v>
      </c>
      <c r="E2652" t="s">
        <v>716</v>
      </c>
      <c r="F2652" t="s">
        <v>16</v>
      </c>
      <c r="G2652" t="s">
        <v>698</v>
      </c>
      <c r="H2652" s="128">
        <v>0.34970000000000001</v>
      </c>
      <c r="I2652" s="110">
        <v>0.1653</v>
      </c>
      <c r="L2652">
        <v>5000</v>
      </c>
      <c r="M2652">
        <v>500000</v>
      </c>
      <c r="N2652" s="105">
        <v>44197</v>
      </c>
      <c r="O2652" s="105">
        <v>44377</v>
      </c>
      <c r="P2652" t="s">
        <v>718</v>
      </c>
      <c r="R2652" s="154"/>
      <c r="S2652" s="154"/>
      <c r="T2652" s="154"/>
      <c r="U2652" s="154"/>
    </row>
    <row r="2653" spans="1:21" ht="15" customHeight="1" x14ac:dyDescent="0.3">
      <c r="A2653" t="str">
        <f t="shared" si="42"/>
        <v>22-4-E7-SmartPAY24</v>
      </c>
      <c r="B2653" t="s">
        <v>13</v>
      </c>
      <c r="C2653">
        <v>22</v>
      </c>
      <c r="D2653" s="100" t="s">
        <v>31</v>
      </c>
      <c r="E2653" t="s">
        <v>17</v>
      </c>
      <c r="F2653" t="s">
        <v>18</v>
      </c>
      <c r="G2653" t="s">
        <v>698</v>
      </c>
      <c r="H2653" s="128">
        <v>0.34970000000000001</v>
      </c>
      <c r="I2653" s="110">
        <v>0.1653</v>
      </c>
      <c r="J2653" s="110">
        <v>0.1653</v>
      </c>
      <c r="L2653">
        <v>5000</v>
      </c>
      <c r="M2653">
        <v>500000</v>
      </c>
      <c r="N2653" s="105">
        <v>44197</v>
      </c>
      <c r="O2653" s="105">
        <v>44377</v>
      </c>
      <c r="P2653" t="s">
        <v>718</v>
      </c>
      <c r="R2653" s="154"/>
      <c r="S2653" s="154"/>
      <c r="T2653" s="154"/>
      <c r="U2653" s="154"/>
    </row>
    <row r="2654" spans="1:21" ht="15" customHeight="1" x14ac:dyDescent="0.3">
      <c r="A2654" t="str">
        <f t="shared" si="42"/>
        <v>22-3-EW-SmartPAY24</v>
      </c>
      <c r="B2654" t="s">
        <v>13</v>
      </c>
      <c r="C2654">
        <v>22</v>
      </c>
      <c r="D2654" s="100" t="s">
        <v>31</v>
      </c>
      <c r="E2654" t="s">
        <v>19</v>
      </c>
      <c r="F2654" t="s">
        <v>16</v>
      </c>
      <c r="G2654" t="s">
        <v>698</v>
      </c>
      <c r="H2654" s="128">
        <v>0.34970000000000001</v>
      </c>
      <c r="I2654" s="110">
        <v>0.1653</v>
      </c>
      <c r="K2654" s="110">
        <v>0.1653</v>
      </c>
      <c r="L2654">
        <v>5000</v>
      </c>
      <c r="M2654">
        <v>500000</v>
      </c>
      <c r="N2654" s="105">
        <v>44197</v>
      </c>
      <c r="O2654" s="105">
        <v>44377</v>
      </c>
      <c r="P2654" t="s">
        <v>718</v>
      </c>
      <c r="R2654" s="154"/>
      <c r="S2654" s="154"/>
      <c r="T2654" s="154"/>
      <c r="U2654" s="154"/>
    </row>
    <row r="2655" spans="1:21" ht="15" customHeight="1" x14ac:dyDescent="0.3">
      <c r="A2655" t="str">
        <f t="shared" si="42"/>
        <v>22-4-3RATE-SmartPAY24</v>
      </c>
      <c r="B2655" t="s">
        <v>13</v>
      </c>
      <c r="C2655">
        <v>22</v>
      </c>
      <c r="D2655" s="100" t="s">
        <v>31</v>
      </c>
      <c r="E2655" t="s">
        <v>719</v>
      </c>
      <c r="F2655" t="s">
        <v>18</v>
      </c>
      <c r="G2655" t="s">
        <v>698</v>
      </c>
      <c r="H2655" s="128">
        <v>0.34970000000000001</v>
      </c>
      <c r="I2655" s="110">
        <v>0.1653</v>
      </c>
      <c r="J2655" s="110">
        <v>0.1653</v>
      </c>
      <c r="K2655" s="110">
        <v>0.1653</v>
      </c>
      <c r="L2655">
        <v>5000</v>
      </c>
      <c r="M2655">
        <v>500000</v>
      </c>
      <c r="N2655" s="105">
        <v>44197</v>
      </c>
      <c r="O2655" s="105">
        <v>44377</v>
      </c>
      <c r="P2655" t="s">
        <v>718</v>
      </c>
      <c r="R2655" s="154"/>
      <c r="S2655" s="154"/>
      <c r="T2655" s="154"/>
      <c r="U2655" s="154"/>
    </row>
    <row r="2656" spans="1:21" ht="15" customHeight="1" x14ac:dyDescent="0.3">
      <c r="A2656" t="str">
        <f t="shared" si="42"/>
        <v/>
      </c>
      <c r="B2656" t="s">
        <v>13</v>
      </c>
      <c r="C2656">
        <v>22</v>
      </c>
      <c r="D2656" s="100" t="s">
        <v>31</v>
      </c>
      <c r="E2656" t="s">
        <v>720</v>
      </c>
      <c r="F2656" t="s">
        <v>18</v>
      </c>
      <c r="G2656" t="s">
        <v>698</v>
      </c>
      <c r="H2656" s="128">
        <v>0.34970000000000001</v>
      </c>
      <c r="J2656" s="110">
        <v>0.1653</v>
      </c>
      <c r="L2656">
        <v>5000</v>
      </c>
      <c r="M2656">
        <v>500000</v>
      </c>
      <c r="N2656" s="105">
        <v>44197</v>
      </c>
      <c r="O2656" s="105">
        <v>44377</v>
      </c>
      <c r="P2656" t="s">
        <v>718</v>
      </c>
      <c r="R2656" s="154"/>
      <c r="S2656" s="154"/>
      <c r="T2656" s="154"/>
      <c r="U2656" s="154"/>
    </row>
    <row r="2657" spans="1:21" ht="15" customHeight="1" x14ac:dyDescent="0.3">
      <c r="A2657" t="str">
        <f t="shared" si="42"/>
        <v>23-3-U-SmartPAY24</v>
      </c>
      <c r="B2657" t="s">
        <v>13</v>
      </c>
      <c r="C2657">
        <v>23</v>
      </c>
      <c r="D2657" s="100" t="s">
        <v>32</v>
      </c>
      <c r="E2657" t="s">
        <v>716</v>
      </c>
      <c r="F2657" t="s">
        <v>16</v>
      </c>
      <c r="G2657" t="s">
        <v>698</v>
      </c>
      <c r="H2657" s="128">
        <v>0.30719999999999997</v>
      </c>
      <c r="I2657" s="110">
        <v>0.16079999999999997</v>
      </c>
      <c r="L2657">
        <v>5000</v>
      </c>
      <c r="M2657">
        <v>500000</v>
      </c>
      <c r="N2657" s="105">
        <v>44197</v>
      </c>
      <c r="O2657" s="105">
        <v>44377</v>
      </c>
      <c r="P2657" t="s">
        <v>718</v>
      </c>
      <c r="R2657" s="154"/>
      <c r="S2657" s="154"/>
      <c r="T2657" s="154"/>
      <c r="U2657" s="154"/>
    </row>
    <row r="2658" spans="1:21" ht="15" customHeight="1" x14ac:dyDescent="0.3">
      <c r="A2658" t="str">
        <f t="shared" si="42"/>
        <v>23-4-E7-SmartPAY24</v>
      </c>
      <c r="B2658" t="s">
        <v>13</v>
      </c>
      <c r="C2658">
        <v>23</v>
      </c>
      <c r="D2658" s="100" t="s">
        <v>32</v>
      </c>
      <c r="E2658" t="s">
        <v>17</v>
      </c>
      <c r="F2658" t="s">
        <v>18</v>
      </c>
      <c r="G2658" t="s">
        <v>698</v>
      </c>
      <c r="H2658" s="128">
        <v>0.30719999999999997</v>
      </c>
      <c r="I2658" s="110">
        <v>0.16079999999999997</v>
      </c>
      <c r="J2658" s="110">
        <v>0.16079999999999997</v>
      </c>
      <c r="L2658">
        <v>5000</v>
      </c>
      <c r="M2658">
        <v>500000</v>
      </c>
      <c r="N2658" s="105">
        <v>44197</v>
      </c>
      <c r="O2658" s="105">
        <v>44377</v>
      </c>
      <c r="P2658" t="s">
        <v>718</v>
      </c>
      <c r="R2658" s="154"/>
      <c r="S2658" s="154"/>
      <c r="T2658" s="154"/>
      <c r="U2658" s="154"/>
    </row>
    <row r="2659" spans="1:21" ht="15" customHeight="1" x14ac:dyDescent="0.3">
      <c r="A2659" t="str">
        <f t="shared" ref="A2659:A2722" si="43">IF(E2659="OP","",CONCATENATE(C2659,"-",RIGHT(F2659,1),"-",IF(OR(E2659="1 Rate MD",E2659="DAY"),"U",IF(OR(E2659="2 Rate MD",E2659="E7"),"E7",IF(OR(E2659="3 Rate MD (EW)",E2659="EW"),"EW",IF(OR(E2659="3 Rate MD",E2659="EWN"),"3RATE",IF(E2659="HH 2RATE (CT)","HH 2RATE (CT)",IF(E2659="HH 2RATE (WC)","HH 2RATE (WC)",IF(E2659="HH 1RATE (CT)","HH 1RATE (CT)",IF(E2659="HH 1RATE (WC)","HH 1RATE (WC)")))))))),"-",G2659))</f>
        <v>23-3-EW-SmartPAY24</v>
      </c>
      <c r="B2659" t="s">
        <v>13</v>
      </c>
      <c r="C2659">
        <v>23</v>
      </c>
      <c r="D2659" s="100" t="s">
        <v>32</v>
      </c>
      <c r="E2659" t="s">
        <v>19</v>
      </c>
      <c r="F2659" t="s">
        <v>16</v>
      </c>
      <c r="G2659" t="s">
        <v>698</v>
      </c>
      <c r="H2659" s="128">
        <v>0.30719999999999997</v>
      </c>
      <c r="I2659" s="110">
        <v>0.16079999999999997</v>
      </c>
      <c r="K2659" s="110">
        <v>0.16079999999999997</v>
      </c>
      <c r="L2659">
        <v>5000</v>
      </c>
      <c r="M2659">
        <v>500000</v>
      </c>
      <c r="N2659" s="105">
        <v>44197</v>
      </c>
      <c r="O2659" s="105">
        <v>44377</v>
      </c>
      <c r="P2659" t="s">
        <v>718</v>
      </c>
      <c r="R2659" s="154"/>
      <c r="S2659" s="154"/>
      <c r="T2659" s="154"/>
      <c r="U2659" s="154"/>
    </row>
    <row r="2660" spans="1:21" ht="15" customHeight="1" x14ac:dyDescent="0.3">
      <c r="A2660" t="str">
        <f t="shared" si="43"/>
        <v>23-4-3RATE-SmartPAY24</v>
      </c>
      <c r="B2660" t="s">
        <v>13</v>
      </c>
      <c r="C2660">
        <v>23</v>
      </c>
      <c r="D2660" s="100" t="s">
        <v>32</v>
      </c>
      <c r="E2660" t="s">
        <v>719</v>
      </c>
      <c r="F2660" t="s">
        <v>18</v>
      </c>
      <c r="G2660" t="s">
        <v>698</v>
      </c>
      <c r="H2660" s="128">
        <v>0.30719999999999997</v>
      </c>
      <c r="I2660" s="110">
        <v>0.16079999999999997</v>
      </c>
      <c r="J2660" s="110">
        <v>0.16079999999999997</v>
      </c>
      <c r="K2660" s="110">
        <v>0.16079999999999997</v>
      </c>
      <c r="L2660">
        <v>5000</v>
      </c>
      <c r="M2660">
        <v>500000</v>
      </c>
      <c r="N2660" s="105">
        <v>44197</v>
      </c>
      <c r="O2660" s="105">
        <v>44377</v>
      </c>
      <c r="P2660" t="s">
        <v>718</v>
      </c>
      <c r="R2660" s="154"/>
      <c r="S2660" s="154"/>
      <c r="T2660" s="154"/>
      <c r="U2660" s="154"/>
    </row>
    <row r="2661" spans="1:21" ht="15" customHeight="1" x14ac:dyDescent="0.3">
      <c r="A2661" t="str">
        <f t="shared" si="43"/>
        <v/>
      </c>
      <c r="B2661" t="s">
        <v>13</v>
      </c>
      <c r="C2661">
        <v>23</v>
      </c>
      <c r="D2661" s="100" t="s">
        <v>32</v>
      </c>
      <c r="E2661" t="s">
        <v>720</v>
      </c>
      <c r="F2661" t="s">
        <v>18</v>
      </c>
      <c r="G2661" t="s">
        <v>698</v>
      </c>
      <c r="H2661" s="128">
        <v>0.30719999999999997</v>
      </c>
      <c r="J2661" s="110">
        <v>0.16079999999999997</v>
      </c>
      <c r="L2661">
        <v>5000</v>
      </c>
      <c r="M2661">
        <v>500000</v>
      </c>
      <c r="N2661" s="105">
        <v>44197</v>
      </c>
      <c r="O2661" s="105">
        <v>44377</v>
      </c>
      <c r="P2661" t="s">
        <v>718</v>
      </c>
      <c r="R2661" s="154"/>
      <c r="S2661" s="154"/>
      <c r="T2661" s="154"/>
      <c r="U2661" s="154"/>
    </row>
    <row r="2662" spans="1:21" ht="15" customHeight="1" x14ac:dyDescent="0.3">
      <c r="A2662" t="str">
        <f t="shared" si="43"/>
        <v>10-3-U-SmartPAY36</v>
      </c>
      <c r="B2662" t="s">
        <v>13</v>
      </c>
      <c r="C2662">
        <v>10</v>
      </c>
      <c r="D2662" s="100" t="s">
        <v>14</v>
      </c>
      <c r="E2662" t="s">
        <v>716</v>
      </c>
      <c r="F2662" t="s">
        <v>16</v>
      </c>
      <c r="G2662" t="s">
        <v>699</v>
      </c>
      <c r="H2662" s="128">
        <v>0.31120000000000003</v>
      </c>
      <c r="I2662" s="110">
        <v>0.16500000000000001</v>
      </c>
      <c r="L2662">
        <v>5000</v>
      </c>
      <c r="M2662">
        <v>500000</v>
      </c>
      <c r="N2662" s="105">
        <v>44197</v>
      </c>
      <c r="O2662" s="105">
        <v>44377</v>
      </c>
      <c r="P2662" t="s">
        <v>718</v>
      </c>
      <c r="R2662" s="154"/>
      <c r="S2662" s="154"/>
      <c r="T2662" s="154"/>
      <c r="U2662" s="154"/>
    </row>
    <row r="2663" spans="1:21" ht="15" customHeight="1" x14ac:dyDescent="0.3">
      <c r="A2663" t="str">
        <f t="shared" si="43"/>
        <v>10-4-E7-SmartPAY36</v>
      </c>
      <c r="B2663" t="s">
        <v>13</v>
      </c>
      <c r="C2663">
        <v>10</v>
      </c>
      <c r="D2663" s="100" t="s">
        <v>14</v>
      </c>
      <c r="E2663" t="s">
        <v>17</v>
      </c>
      <c r="F2663" t="s">
        <v>18</v>
      </c>
      <c r="G2663" t="s">
        <v>699</v>
      </c>
      <c r="H2663" s="128">
        <v>0.31120000000000003</v>
      </c>
      <c r="I2663" s="110">
        <v>0.16500000000000001</v>
      </c>
      <c r="J2663" s="110">
        <v>0.16500000000000001</v>
      </c>
      <c r="L2663">
        <v>5000</v>
      </c>
      <c r="M2663">
        <v>500000</v>
      </c>
      <c r="N2663" s="105">
        <v>44197</v>
      </c>
      <c r="O2663" s="105">
        <v>44377</v>
      </c>
      <c r="P2663" t="s">
        <v>718</v>
      </c>
      <c r="R2663" s="154"/>
      <c r="S2663" s="154"/>
      <c r="T2663" s="154"/>
      <c r="U2663" s="154"/>
    </row>
    <row r="2664" spans="1:21" ht="15" customHeight="1" x14ac:dyDescent="0.3">
      <c r="A2664" t="str">
        <f t="shared" si="43"/>
        <v>10-3-EW-SmartPAY36</v>
      </c>
      <c r="B2664" t="s">
        <v>13</v>
      </c>
      <c r="C2664">
        <v>10</v>
      </c>
      <c r="D2664" s="100" t="s">
        <v>14</v>
      </c>
      <c r="E2664" t="s">
        <v>19</v>
      </c>
      <c r="F2664" t="s">
        <v>16</v>
      </c>
      <c r="G2664" t="s">
        <v>699</v>
      </c>
      <c r="H2664" s="128">
        <v>0.31120000000000003</v>
      </c>
      <c r="I2664" s="110">
        <v>0.16500000000000001</v>
      </c>
      <c r="K2664" s="110">
        <v>0.16500000000000001</v>
      </c>
      <c r="L2664">
        <v>5000</v>
      </c>
      <c r="M2664">
        <v>500000</v>
      </c>
      <c r="N2664" s="105">
        <v>44197</v>
      </c>
      <c r="O2664" s="105">
        <v>44377</v>
      </c>
      <c r="P2664" t="s">
        <v>718</v>
      </c>
      <c r="R2664" s="154"/>
      <c r="S2664" s="154"/>
      <c r="T2664" s="154"/>
      <c r="U2664" s="154"/>
    </row>
    <row r="2665" spans="1:21" ht="15" customHeight="1" x14ac:dyDescent="0.3">
      <c r="A2665" t="str">
        <f t="shared" si="43"/>
        <v>10-4-3RATE-SmartPAY36</v>
      </c>
      <c r="B2665" t="s">
        <v>13</v>
      </c>
      <c r="C2665">
        <v>10</v>
      </c>
      <c r="D2665" s="100" t="s">
        <v>14</v>
      </c>
      <c r="E2665" t="s">
        <v>719</v>
      </c>
      <c r="F2665" t="s">
        <v>18</v>
      </c>
      <c r="G2665" t="s">
        <v>699</v>
      </c>
      <c r="H2665" s="128">
        <v>0.31120000000000003</v>
      </c>
      <c r="I2665" s="110">
        <v>0.16500000000000001</v>
      </c>
      <c r="J2665" s="110">
        <v>0.16500000000000001</v>
      </c>
      <c r="K2665" s="110">
        <v>0.16500000000000001</v>
      </c>
      <c r="L2665">
        <v>5000</v>
      </c>
      <c r="M2665">
        <v>500000</v>
      </c>
      <c r="N2665" s="105">
        <v>44197</v>
      </c>
      <c r="O2665" s="105">
        <v>44377</v>
      </c>
      <c r="P2665" t="s">
        <v>718</v>
      </c>
      <c r="R2665" s="154"/>
      <c r="S2665" s="154"/>
      <c r="T2665" s="154"/>
      <c r="U2665" s="154"/>
    </row>
    <row r="2666" spans="1:21" ht="15" customHeight="1" x14ac:dyDescent="0.3">
      <c r="A2666" t="str">
        <f t="shared" si="43"/>
        <v/>
      </c>
      <c r="B2666" t="s">
        <v>13</v>
      </c>
      <c r="C2666">
        <v>10</v>
      </c>
      <c r="D2666" s="100" t="s">
        <v>14</v>
      </c>
      <c r="E2666" t="s">
        <v>720</v>
      </c>
      <c r="F2666" t="s">
        <v>18</v>
      </c>
      <c r="G2666" t="s">
        <v>699</v>
      </c>
      <c r="H2666" s="128">
        <v>0.31120000000000003</v>
      </c>
      <c r="J2666" s="110">
        <v>0.16500000000000001</v>
      </c>
      <c r="L2666">
        <v>5000</v>
      </c>
      <c r="M2666">
        <v>500000</v>
      </c>
      <c r="N2666" s="105">
        <v>44197</v>
      </c>
      <c r="O2666" s="105">
        <v>44377</v>
      </c>
      <c r="P2666" t="s">
        <v>718</v>
      </c>
      <c r="R2666" s="154"/>
      <c r="S2666" s="154"/>
      <c r="T2666" s="154"/>
      <c r="U2666" s="154"/>
    </row>
    <row r="2667" spans="1:21" ht="15" customHeight="1" x14ac:dyDescent="0.3">
      <c r="A2667" t="str">
        <f t="shared" si="43"/>
        <v>11-3-U-SmartPAY36</v>
      </c>
      <c r="B2667" t="s">
        <v>13</v>
      </c>
      <c r="C2667">
        <v>11</v>
      </c>
      <c r="D2667" s="100" t="s">
        <v>20</v>
      </c>
      <c r="E2667" t="s">
        <v>716</v>
      </c>
      <c r="F2667" t="s">
        <v>16</v>
      </c>
      <c r="G2667" t="s">
        <v>699</v>
      </c>
      <c r="H2667" s="128">
        <v>0.32069999999999999</v>
      </c>
      <c r="I2667" s="110">
        <v>0.1653</v>
      </c>
      <c r="L2667">
        <v>5000</v>
      </c>
      <c r="M2667">
        <v>500000</v>
      </c>
      <c r="N2667" s="105">
        <v>44197</v>
      </c>
      <c r="O2667" s="105">
        <v>44377</v>
      </c>
      <c r="P2667" t="s">
        <v>718</v>
      </c>
      <c r="R2667" s="154"/>
      <c r="S2667" s="154"/>
      <c r="T2667" s="154"/>
      <c r="U2667" s="154"/>
    </row>
    <row r="2668" spans="1:21" ht="15" customHeight="1" x14ac:dyDescent="0.3">
      <c r="A2668" t="str">
        <f t="shared" si="43"/>
        <v>11-4-E7-SmartPAY36</v>
      </c>
      <c r="B2668" t="s">
        <v>13</v>
      </c>
      <c r="C2668">
        <v>11</v>
      </c>
      <c r="D2668" s="100" t="s">
        <v>20</v>
      </c>
      <c r="E2668" t="s">
        <v>17</v>
      </c>
      <c r="F2668" t="s">
        <v>18</v>
      </c>
      <c r="G2668" t="s">
        <v>699</v>
      </c>
      <c r="H2668" s="128">
        <v>0.32069999999999999</v>
      </c>
      <c r="I2668" s="110">
        <v>0.1653</v>
      </c>
      <c r="J2668" s="110">
        <v>0.1653</v>
      </c>
      <c r="L2668">
        <v>5000</v>
      </c>
      <c r="M2668">
        <v>500000</v>
      </c>
      <c r="N2668" s="105">
        <v>44197</v>
      </c>
      <c r="O2668" s="105">
        <v>44377</v>
      </c>
      <c r="P2668" t="s">
        <v>718</v>
      </c>
      <c r="R2668" s="154"/>
      <c r="S2668" s="154"/>
      <c r="T2668" s="154"/>
      <c r="U2668" s="154"/>
    </row>
    <row r="2669" spans="1:21" ht="15" customHeight="1" x14ac:dyDescent="0.3">
      <c r="A2669" t="str">
        <f t="shared" si="43"/>
        <v>11-3-EW-SmartPAY36</v>
      </c>
      <c r="B2669" t="s">
        <v>13</v>
      </c>
      <c r="C2669">
        <v>11</v>
      </c>
      <c r="D2669" s="100" t="s">
        <v>20</v>
      </c>
      <c r="E2669" t="s">
        <v>19</v>
      </c>
      <c r="F2669" t="s">
        <v>16</v>
      </c>
      <c r="G2669" t="s">
        <v>699</v>
      </c>
      <c r="H2669" s="128">
        <v>0.32069999999999999</v>
      </c>
      <c r="I2669" s="110">
        <v>0.1653</v>
      </c>
      <c r="K2669" s="110">
        <v>0.1653</v>
      </c>
      <c r="L2669">
        <v>5000</v>
      </c>
      <c r="M2669">
        <v>500000</v>
      </c>
      <c r="N2669" s="105">
        <v>44197</v>
      </c>
      <c r="O2669" s="105">
        <v>44377</v>
      </c>
      <c r="P2669" t="s">
        <v>718</v>
      </c>
      <c r="R2669" s="154"/>
      <c r="S2669" s="154"/>
      <c r="T2669" s="154"/>
      <c r="U2669" s="154"/>
    </row>
    <row r="2670" spans="1:21" ht="15" customHeight="1" x14ac:dyDescent="0.3">
      <c r="A2670" t="str">
        <f t="shared" si="43"/>
        <v>11-4-3RATE-SmartPAY36</v>
      </c>
      <c r="B2670" t="s">
        <v>13</v>
      </c>
      <c r="C2670">
        <v>11</v>
      </c>
      <c r="D2670" s="100" t="s">
        <v>20</v>
      </c>
      <c r="E2670" t="s">
        <v>719</v>
      </c>
      <c r="F2670" t="s">
        <v>18</v>
      </c>
      <c r="G2670" t="s">
        <v>699</v>
      </c>
      <c r="H2670" s="128">
        <v>0.32069999999999999</v>
      </c>
      <c r="I2670" s="110">
        <v>0.1653</v>
      </c>
      <c r="J2670" s="110">
        <v>0.1653</v>
      </c>
      <c r="K2670" s="110">
        <v>0.1653</v>
      </c>
      <c r="L2670">
        <v>5000</v>
      </c>
      <c r="M2670">
        <v>500000</v>
      </c>
      <c r="N2670" s="105">
        <v>44197</v>
      </c>
      <c r="O2670" s="105">
        <v>44377</v>
      </c>
      <c r="P2670" t="s">
        <v>718</v>
      </c>
      <c r="R2670" s="154"/>
      <c r="S2670" s="154"/>
      <c r="T2670" s="154"/>
      <c r="U2670" s="154"/>
    </row>
    <row r="2671" spans="1:21" ht="15" customHeight="1" x14ac:dyDescent="0.3">
      <c r="A2671" t="str">
        <f t="shared" si="43"/>
        <v/>
      </c>
      <c r="B2671" t="s">
        <v>13</v>
      </c>
      <c r="C2671">
        <v>11</v>
      </c>
      <c r="D2671" s="100" t="s">
        <v>20</v>
      </c>
      <c r="E2671" t="s">
        <v>720</v>
      </c>
      <c r="F2671" t="s">
        <v>18</v>
      </c>
      <c r="G2671" t="s">
        <v>699</v>
      </c>
      <c r="H2671" s="128">
        <v>0.32069999999999999</v>
      </c>
      <c r="J2671" s="110">
        <v>0.1653</v>
      </c>
      <c r="L2671">
        <v>5000</v>
      </c>
      <c r="M2671">
        <v>500000</v>
      </c>
      <c r="N2671" s="105">
        <v>44197</v>
      </c>
      <c r="O2671" s="105">
        <v>44377</v>
      </c>
      <c r="P2671" t="s">
        <v>718</v>
      </c>
      <c r="R2671" s="154"/>
      <c r="S2671" s="154"/>
      <c r="T2671" s="154"/>
      <c r="U2671" s="154"/>
    </row>
    <row r="2672" spans="1:21" ht="15" customHeight="1" x14ac:dyDescent="0.3">
      <c r="A2672" t="str">
        <f t="shared" si="43"/>
        <v>12-3-U-SmartPAY36</v>
      </c>
      <c r="B2672" t="s">
        <v>13</v>
      </c>
      <c r="C2672">
        <v>12</v>
      </c>
      <c r="D2672" s="100" t="s">
        <v>21</v>
      </c>
      <c r="E2672" t="s">
        <v>716</v>
      </c>
      <c r="F2672" t="s">
        <v>16</v>
      </c>
      <c r="G2672" t="s">
        <v>699</v>
      </c>
      <c r="H2672" s="128">
        <v>0.24199999999999999</v>
      </c>
      <c r="I2672" s="110">
        <v>0.15920000000000001</v>
      </c>
      <c r="L2672">
        <v>5000</v>
      </c>
      <c r="M2672">
        <v>500000</v>
      </c>
      <c r="N2672" s="105">
        <v>44197</v>
      </c>
      <c r="O2672" s="105">
        <v>44377</v>
      </c>
      <c r="P2672" t="s">
        <v>718</v>
      </c>
      <c r="R2672" s="154"/>
      <c r="S2672" s="154"/>
      <c r="T2672" s="154"/>
      <c r="U2672" s="154"/>
    </row>
    <row r="2673" spans="1:21" ht="15" customHeight="1" x14ac:dyDescent="0.3">
      <c r="A2673" t="str">
        <f t="shared" si="43"/>
        <v>12-4-E7-SmartPAY36</v>
      </c>
      <c r="B2673" t="s">
        <v>13</v>
      </c>
      <c r="C2673">
        <v>12</v>
      </c>
      <c r="D2673" s="100" t="s">
        <v>21</v>
      </c>
      <c r="E2673" t="s">
        <v>17</v>
      </c>
      <c r="F2673" t="s">
        <v>18</v>
      </c>
      <c r="G2673" t="s">
        <v>699</v>
      </c>
      <c r="H2673" s="128">
        <v>0.24199999999999999</v>
      </c>
      <c r="I2673" s="110">
        <v>0.15920000000000001</v>
      </c>
      <c r="J2673" s="110">
        <v>0.15920000000000001</v>
      </c>
      <c r="L2673">
        <v>5000</v>
      </c>
      <c r="M2673">
        <v>500000</v>
      </c>
      <c r="N2673" s="105">
        <v>44197</v>
      </c>
      <c r="O2673" s="105">
        <v>44377</v>
      </c>
      <c r="P2673" t="s">
        <v>718</v>
      </c>
      <c r="R2673" s="154"/>
      <c r="S2673" s="154"/>
      <c r="T2673" s="154"/>
      <c r="U2673" s="154"/>
    </row>
    <row r="2674" spans="1:21" ht="15" customHeight="1" x14ac:dyDescent="0.3">
      <c r="A2674" t="str">
        <f t="shared" si="43"/>
        <v>12-3-EW-SmartPAY36</v>
      </c>
      <c r="B2674" t="s">
        <v>13</v>
      </c>
      <c r="C2674">
        <v>12</v>
      </c>
      <c r="D2674" s="100" t="s">
        <v>21</v>
      </c>
      <c r="E2674" t="s">
        <v>19</v>
      </c>
      <c r="F2674" t="s">
        <v>16</v>
      </c>
      <c r="G2674" t="s">
        <v>699</v>
      </c>
      <c r="H2674" s="128">
        <v>0.24199999999999999</v>
      </c>
      <c r="I2674" s="110">
        <v>0.15920000000000001</v>
      </c>
      <c r="K2674" s="110">
        <v>0.15920000000000001</v>
      </c>
      <c r="L2674">
        <v>5000</v>
      </c>
      <c r="M2674">
        <v>500000</v>
      </c>
      <c r="N2674" s="105">
        <v>44197</v>
      </c>
      <c r="O2674" s="105">
        <v>44377</v>
      </c>
      <c r="P2674" t="s">
        <v>718</v>
      </c>
      <c r="R2674" s="154"/>
      <c r="S2674" s="154"/>
      <c r="T2674" s="154"/>
      <c r="U2674" s="154"/>
    </row>
    <row r="2675" spans="1:21" ht="15" customHeight="1" x14ac:dyDescent="0.3">
      <c r="A2675" t="str">
        <f t="shared" si="43"/>
        <v>12-4-3RATE-SmartPAY36</v>
      </c>
      <c r="B2675" t="s">
        <v>13</v>
      </c>
      <c r="C2675">
        <v>12</v>
      </c>
      <c r="D2675" s="100" t="s">
        <v>21</v>
      </c>
      <c r="E2675" t="s">
        <v>719</v>
      </c>
      <c r="F2675" t="s">
        <v>18</v>
      </c>
      <c r="G2675" t="s">
        <v>699</v>
      </c>
      <c r="H2675" s="128">
        <v>0.24199999999999999</v>
      </c>
      <c r="I2675" s="110">
        <v>0.15920000000000001</v>
      </c>
      <c r="J2675" s="110">
        <v>0.15920000000000001</v>
      </c>
      <c r="K2675" s="110">
        <v>0.15920000000000001</v>
      </c>
      <c r="L2675">
        <v>5000</v>
      </c>
      <c r="M2675">
        <v>500000</v>
      </c>
      <c r="N2675" s="105">
        <v>44197</v>
      </c>
      <c r="O2675" s="105">
        <v>44377</v>
      </c>
      <c r="P2675" t="s">
        <v>718</v>
      </c>
      <c r="R2675" s="154"/>
      <c r="S2675" s="154"/>
      <c r="T2675" s="154"/>
      <c r="U2675" s="154"/>
    </row>
    <row r="2676" spans="1:21" ht="15" customHeight="1" x14ac:dyDescent="0.3">
      <c r="A2676" t="str">
        <f t="shared" si="43"/>
        <v/>
      </c>
      <c r="B2676" t="s">
        <v>13</v>
      </c>
      <c r="C2676">
        <v>12</v>
      </c>
      <c r="D2676" s="100" t="s">
        <v>21</v>
      </c>
      <c r="E2676" t="s">
        <v>720</v>
      </c>
      <c r="F2676" t="s">
        <v>18</v>
      </c>
      <c r="G2676" t="s">
        <v>699</v>
      </c>
      <c r="H2676" s="128">
        <v>0.24199999999999999</v>
      </c>
      <c r="J2676" s="110">
        <v>0.15920000000000001</v>
      </c>
      <c r="L2676">
        <v>5000</v>
      </c>
      <c r="M2676">
        <v>500000</v>
      </c>
      <c r="N2676" s="105">
        <v>44197</v>
      </c>
      <c r="O2676" s="105">
        <v>44377</v>
      </c>
      <c r="P2676" t="s">
        <v>718</v>
      </c>
      <c r="R2676" s="154"/>
      <c r="S2676" s="154"/>
      <c r="T2676" s="154"/>
      <c r="U2676" s="154"/>
    </row>
    <row r="2677" spans="1:21" ht="15" customHeight="1" x14ac:dyDescent="0.3">
      <c r="A2677" t="str">
        <f t="shared" si="43"/>
        <v>13-3-U-SmartPAY36</v>
      </c>
      <c r="B2677" t="s">
        <v>13</v>
      </c>
      <c r="C2677">
        <v>13</v>
      </c>
      <c r="D2677" s="100" t="s">
        <v>22</v>
      </c>
      <c r="E2677" t="s">
        <v>716</v>
      </c>
      <c r="F2677" t="s">
        <v>16</v>
      </c>
      <c r="G2677" t="s">
        <v>699</v>
      </c>
      <c r="H2677" s="128">
        <v>0.28489999999999999</v>
      </c>
      <c r="I2677" s="110">
        <v>0.1845</v>
      </c>
      <c r="L2677">
        <v>5000</v>
      </c>
      <c r="M2677">
        <v>500000</v>
      </c>
      <c r="N2677" s="105">
        <v>44197</v>
      </c>
      <c r="O2677" s="105">
        <v>44377</v>
      </c>
      <c r="P2677" t="s">
        <v>718</v>
      </c>
      <c r="R2677" s="154"/>
      <c r="S2677" s="154"/>
      <c r="T2677" s="154"/>
      <c r="U2677" s="154"/>
    </row>
    <row r="2678" spans="1:21" ht="15" customHeight="1" x14ac:dyDescent="0.3">
      <c r="A2678" t="str">
        <f t="shared" si="43"/>
        <v>13-4-E7-SmartPAY36</v>
      </c>
      <c r="B2678" t="s">
        <v>13</v>
      </c>
      <c r="C2678">
        <v>13</v>
      </c>
      <c r="D2678" s="100" t="s">
        <v>22</v>
      </c>
      <c r="E2678" t="s">
        <v>17</v>
      </c>
      <c r="F2678" t="s">
        <v>18</v>
      </c>
      <c r="G2678" t="s">
        <v>699</v>
      </c>
      <c r="H2678" s="128">
        <v>0.28489999999999999</v>
      </c>
      <c r="I2678" s="110">
        <v>0.1845</v>
      </c>
      <c r="J2678" s="110">
        <v>0.1845</v>
      </c>
      <c r="L2678">
        <v>5000</v>
      </c>
      <c r="M2678">
        <v>500000</v>
      </c>
      <c r="N2678" s="105">
        <v>44197</v>
      </c>
      <c r="O2678" s="105">
        <v>44377</v>
      </c>
      <c r="P2678" t="s">
        <v>718</v>
      </c>
      <c r="R2678" s="154"/>
      <c r="S2678" s="154"/>
      <c r="T2678" s="154"/>
      <c r="U2678" s="154"/>
    </row>
    <row r="2679" spans="1:21" ht="15" customHeight="1" x14ac:dyDescent="0.3">
      <c r="A2679" t="str">
        <f t="shared" si="43"/>
        <v>13-3-EW-SmartPAY36</v>
      </c>
      <c r="B2679" t="s">
        <v>13</v>
      </c>
      <c r="C2679">
        <v>13</v>
      </c>
      <c r="D2679" s="100" t="s">
        <v>22</v>
      </c>
      <c r="E2679" t="s">
        <v>19</v>
      </c>
      <c r="F2679" t="s">
        <v>16</v>
      </c>
      <c r="G2679" t="s">
        <v>699</v>
      </c>
      <c r="H2679" s="128">
        <v>0.28489999999999999</v>
      </c>
      <c r="I2679" s="110">
        <v>0.1845</v>
      </c>
      <c r="K2679" s="110">
        <v>0.1845</v>
      </c>
      <c r="L2679">
        <v>5000</v>
      </c>
      <c r="M2679">
        <v>500000</v>
      </c>
      <c r="N2679" s="105">
        <v>44197</v>
      </c>
      <c r="O2679" s="105">
        <v>44377</v>
      </c>
      <c r="P2679" t="s">
        <v>718</v>
      </c>
      <c r="R2679" s="154"/>
      <c r="S2679" s="154"/>
      <c r="T2679" s="154"/>
      <c r="U2679" s="154"/>
    </row>
    <row r="2680" spans="1:21" ht="15" customHeight="1" x14ac:dyDescent="0.3">
      <c r="A2680" t="str">
        <f t="shared" si="43"/>
        <v>13-4-3RATE-SmartPAY36</v>
      </c>
      <c r="B2680" t="s">
        <v>13</v>
      </c>
      <c r="C2680">
        <v>13</v>
      </c>
      <c r="D2680" s="100" t="s">
        <v>22</v>
      </c>
      <c r="E2680" t="s">
        <v>719</v>
      </c>
      <c r="F2680" t="s">
        <v>18</v>
      </c>
      <c r="G2680" t="s">
        <v>699</v>
      </c>
      <c r="H2680" s="128">
        <v>0.28489999999999999</v>
      </c>
      <c r="I2680" s="110">
        <v>0.1845</v>
      </c>
      <c r="J2680" s="110">
        <v>0.1845</v>
      </c>
      <c r="K2680" s="110">
        <v>0.1845</v>
      </c>
      <c r="L2680">
        <v>5000</v>
      </c>
      <c r="M2680">
        <v>500000</v>
      </c>
      <c r="N2680" s="105">
        <v>44197</v>
      </c>
      <c r="O2680" s="105">
        <v>44377</v>
      </c>
      <c r="P2680" t="s">
        <v>718</v>
      </c>
      <c r="R2680" s="154"/>
      <c r="S2680" s="154"/>
      <c r="T2680" s="154"/>
      <c r="U2680" s="154"/>
    </row>
    <row r="2681" spans="1:21" ht="15" customHeight="1" x14ac:dyDescent="0.3">
      <c r="A2681" t="str">
        <f t="shared" si="43"/>
        <v/>
      </c>
      <c r="B2681" t="s">
        <v>13</v>
      </c>
      <c r="C2681">
        <v>13</v>
      </c>
      <c r="D2681" s="100" t="s">
        <v>22</v>
      </c>
      <c r="E2681" t="s">
        <v>720</v>
      </c>
      <c r="F2681" t="s">
        <v>18</v>
      </c>
      <c r="G2681" t="s">
        <v>699</v>
      </c>
      <c r="H2681" s="128">
        <v>0.28489999999999999</v>
      </c>
      <c r="J2681" s="110">
        <v>0.1845</v>
      </c>
      <c r="L2681">
        <v>5000</v>
      </c>
      <c r="M2681">
        <v>500000</v>
      </c>
      <c r="N2681" s="105">
        <v>44197</v>
      </c>
      <c r="O2681" s="105">
        <v>44377</v>
      </c>
      <c r="P2681" t="s">
        <v>718</v>
      </c>
      <c r="R2681" s="154"/>
      <c r="S2681" s="154"/>
      <c r="T2681" s="154"/>
      <c r="U2681" s="154"/>
    </row>
    <row r="2682" spans="1:21" ht="15" customHeight="1" x14ac:dyDescent="0.3">
      <c r="A2682" t="str">
        <f t="shared" si="43"/>
        <v>14-3-U-SmartPAY36</v>
      </c>
      <c r="B2682" t="s">
        <v>13</v>
      </c>
      <c r="C2682">
        <v>14</v>
      </c>
      <c r="D2682" s="100" t="s">
        <v>23</v>
      </c>
      <c r="E2682" t="s">
        <v>716</v>
      </c>
      <c r="F2682" t="s">
        <v>16</v>
      </c>
      <c r="G2682" t="s">
        <v>699</v>
      </c>
      <c r="H2682" s="128">
        <v>0.35139999999999999</v>
      </c>
      <c r="I2682" s="110">
        <v>0.16920000000000002</v>
      </c>
      <c r="L2682">
        <v>5000</v>
      </c>
      <c r="M2682">
        <v>500000</v>
      </c>
      <c r="N2682" s="105">
        <v>44197</v>
      </c>
      <c r="O2682" s="105">
        <v>44377</v>
      </c>
      <c r="P2682" t="s">
        <v>718</v>
      </c>
      <c r="R2682" s="154"/>
      <c r="S2682" s="154"/>
      <c r="T2682" s="154"/>
      <c r="U2682" s="154"/>
    </row>
    <row r="2683" spans="1:21" ht="15" customHeight="1" x14ac:dyDescent="0.3">
      <c r="A2683" t="str">
        <f t="shared" si="43"/>
        <v>14-4-E7-SmartPAY36</v>
      </c>
      <c r="B2683" t="s">
        <v>13</v>
      </c>
      <c r="C2683">
        <v>14</v>
      </c>
      <c r="D2683" s="100" t="s">
        <v>23</v>
      </c>
      <c r="E2683" t="s">
        <v>17</v>
      </c>
      <c r="F2683" t="s">
        <v>18</v>
      </c>
      <c r="G2683" t="s">
        <v>699</v>
      </c>
      <c r="H2683" s="128">
        <v>0.35139999999999999</v>
      </c>
      <c r="I2683" s="110">
        <v>0.16920000000000002</v>
      </c>
      <c r="J2683" s="110">
        <v>0.16920000000000002</v>
      </c>
      <c r="L2683">
        <v>5000</v>
      </c>
      <c r="M2683">
        <v>500000</v>
      </c>
      <c r="N2683" s="105">
        <v>44197</v>
      </c>
      <c r="O2683" s="105">
        <v>44377</v>
      </c>
      <c r="P2683" t="s">
        <v>718</v>
      </c>
      <c r="R2683" s="154"/>
      <c r="S2683" s="154"/>
      <c r="T2683" s="154"/>
      <c r="U2683" s="154"/>
    </row>
    <row r="2684" spans="1:21" ht="15" customHeight="1" x14ac:dyDescent="0.3">
      <c r="A2684" t="str">
        <f t="shared" si="43"/>
        <v>14-3-EW-SmartPAY36</v>
      </c>
      <c r="B2684" t="s">
        <v>13</v>
      </c>
      <c r="C2684">
        <v>14</v>
      </c>
      <c r="D2684" s="100" t="s">
        <v>23</v>
      </c>
      <c r="E2684" t="s">
        <v>19</v>
      </c>
      <c r="F2684" t="s">
        <v>16</v>
      </c>
      <c r="G2684" t="s">
        <v>699</v>
      </c>
      <c r="H2684" s="128">
        <v>0.35139999999999999</v>
      </c>
      <c r="I2684" s="110">
        <v>0.16920000000000002</v>
      </c>
      <c r="K2684" s="110">
        <v>0.16920000000000002</v>
      </c>
      <c r="L2684">
        <v>5000</v>
      </c>
      <c r="M2684">
        <v>500000</v>
      </c>
      <c r="N2684" s="105">
        <v>44197</v>
      </c>
      <c r="O2684" s="105">
        <v>44377</v>
      </c>
      <c r="P2684" t="s">
        <v>718</v>
      </c>
      <c r="R2684" s="154"/>
      <c r="S2684" s="154"/>
      <c r="T2684" s="154"/>
      <c r="U2684" s="154"/>
    </row>
    <row r="2685" spans="1:21" ht="15" customHeight="1" x14ac:dyDescent="0.3">
      <c r="A2685" t="str">
        <f t="shared" si="43"/>
        <v>14-4-3RATE-SmartPAY36</v>
      </c>
      <c r="B2685" t="s">
        <v>13</v>
      </c>
      <c r="C2685">
        <v>14</v>
      </c>
      <c r="D2685" s="100" t="s">
        <v>23</v>
      </c>
      <c r="E2685" t="s">
        <v>719</v>
      </c>
      <c r="F2685" t="s">
        <v>18</v>
      </c>
      <c r="G2685" t="s">
        <v>699</v>
      </c>
      <c r="H2685" s="128">
        <v>0.35139999999999999</v>
      </c>
      <c r="I2685" s="110">
        <v>0.16920000000000002</v>
      </c>
      <c r="J2685" s="110">
        <v>0.16920000000000002</v>
      </c>
      <c r="K2685" s="110">
        <v>0.16920000000000002</v>
      </c>
      <c r="L2685">
        <v>5000</v>
      </c>
      <c r="M2685">
        <v>500000</v>
      </c>
      <c r="N2685" s="105">
        <v>44197</v>
      </c>
      <c r="O2685" s="105">
        <v>44377</v>
      </c>
      <c r="P2685" t="s">
        <v>718</v>
      </c>
      <c r="R2685" s="154"/>
      <c r="S2685" s="154"/>
      <c r="T2685" s="154"/>
      <c r="U2685" s="154"/>
    </row>
    <row r="2686" spans="1:21" ht="15" customHeight="1" x14ac:dyDescent="0.3">
      <c r="A2686" t="str">
        <f t="shared" si="43"/>
        <v/>
      </c>
      <c r="B2686" t="s">
        <v>13</v>
      </c>
      <c r="C2686">
        <v>14</v>
      </c>
      <c r="D2686" s="100" t="s">
        <v>23</v>
      </c>
      <c r="E2686" t="s">
        <v>720</v>
      </c>
      <c r="F2686" t="s">
        <v>18</v>
      </c>
      <c r="G2686" t="s">
        <v>699</v>
      </c>
      <c r="H2686" s="128">
        <v>0.35139999999999999</v>
      </c>
      <c r="J2686" s="110">
        <v>0.16920000000000002</v>
      </c>
      <c r="L2686">
        <v>5000</v>
      </c>
      <c r="M2686">
        <v>500000</v>
      </c>
      <c r="N2686" s="105">
        <v>44197</v>
      </c>
      <c r="O2686" s="105">
        <v>44377</v>
      </c>
      <c r="P2686" t="s">
        <v>718</v>
      </c>
      <c r="R2686" s="154"/>
      <c r="S2686" s="154"/>
      <c r="T2686" s="154"/>
      <c r="U2686" s="154"/>
    </row>
    <row r="2687" spans="1:21" ht="15" customHeight="1" x14ac:dyDescent="0.3">
      <c r="A2687" t="str">
        <f t="shared" si="43"/>
        <v>15-3-U-SmartPAY36</v>
      </c>
      <c r="B2687" t="s">
        <v>13</v>
      </c>
      <c r="C2687">
        <v>15</v>
      </c>
      <c r="D2687" s="100" t="s">
        <v>24</v>
      </c>
      <c r="E2687" t="s">
        <v>716</v>
      </c>
      <c r="F2687" t="s">
        <v>16</v>
      </c>
      <c r="G2687" t="s">
        <v>699</v>
      </c>
      <c r="H2687" s="128">
        <v>0.32630000000000003</v>
      </c>
      <c r="I2687" s="110">
        <v>0.1678</v>
      </c>
      <c r="L2687">
        <v>5000</v>
      </c>
      <c r="M2687">
        <v>500000</v>
      </c>
      <c r="N2687" s="105">
        <v>44197</v>
      </c>
      <c r="O2687" s="105">
        <v>44377</v>
      </c>
      <c r="P2687" t="s">
        <v>718</v>
      </c>
      <c r="R2687" s="154"/>
      <c r="S2687" s="154"/>
      <c r="T2687" s="154"/>
      <c r="U2687" s="154"/>
    </row>
    <row r="2688" spans="1:21" ht="15" customHeight="1" x14ac:dyDescent="0.3">
      <c r="A2688" t="str">
        <f t="shared" si="43"/>
        <v>15-4-E7-SmartPAY36</v>
      </c>
      <c r="B2688" t="s">
        <v>13</v>
      </c>
      <c r="C2688">
        <v>15</v>
      </c>
      <c r="D2688" s="100" t="s">
        <v>24</v>
      </c>
      <c r="E2688" t="s">
        <v>17</v>
      </c>
      <c r="F2688" t="s">
        <v>18</v>
      </c>
      <c r="G2688" t="s">
        <v>699</v>
      </c>
      <c r="H2688" s="128">
        <v>0.32630000000000003</v>
      </c>
      <c r="I2688" s="110">
        <v>0.1678</v>
      </c>
      <c r="J2688" s="110">
        <v>0.1678</v>
      </c>
      <c r="L2688">
        <v>5000</v>
      </c>
      <c r="M2688">
        <v>500000</v>
      </c>
      <c r="N2688" s="105">
        <v>44197</v>
      </c>
      <c r="O2688" s="105">
        <v>44377</v>
      </c>
      <c r="P2688" t="s">
        <v>718</v>
      </c>
      <c r="R2688" s="154"/>
      <c r="S2688" s="154"/>
      <c r="T2688" s="154"/>
      <c r="U2688" s="154"/>
    </row>
    <row r="2689" spans="1:21" ht="15" customHeight="1" x14ac:dyDescent="0.3">
      <c r="A2689" t="str">
        <f t="shared" si="43"/>
        <v>15-3-EW-SmartPAY36</v>
      </c>
      <c r="B2689" t="s">
        <v>13</v>
      </c>
      <c r="C2689">
        <v>15</v>
      </c>
      <c r="D2689" s="100" t="s">
        <v>24</v>
      </c>
      <c r="E2689" t="s">
        <v>19</v>
      </c>
      <c r="F2689" t="s">
        <v>16</v>
      </c>
      <c r="G2689" t="s">
        <v>699</v>
      </c>
      <c r="H2689" s="128">
        <v>0.32630000000000003</v>
      </c>
      <c r="I2689" s="110">
        <v>0.1678</v>
      </c>
      <c r="K2689" s="110">
        <v>0.1678</v>
      </c>
      <c r="L2689">
        <v>5000</v>
      </c>
      <c r="M2689">
        <v>500000</v>
      </c>
      <c r="N2689" s="105">
        <v>44197</v>
      </c>
      <c r="O2689" s="105">
        <v>44377</v>
      </c>
      <c r="P2689" t="s">
        <v>718</v>
      </c>
      <c r="R2689" s="154"/>
      <c r="S2689" s="154"/>
      <c r="T2689" s="154"/>
      <c r="U2689" s="154"/>
    </row>
    <row r="2690" spans="1:21" ht="15" customHeight="1" x14ac:dyDescent="0.3">
      <c r="A2690" t="str">
        <f t="shared" si="43"/>
        <v>15-4-3RATE-SmartPAY36</v>
      </c>
      <c r="B2690" t="s">
        <v>13</v>
      </c>
      <c r="C2690">
        <v>15</v>
      </c>
      <c r="D2690" s="100" t="s">
        <v>24</v>
      </c>
      <c r="E2690" t="s">
        <v>719</v>
      </c>
      <c r="F2690" t="s">
        <v>18</v>
      </c>
      <c r="G2690" t="s">
        <v>699</v>
      </c>
      <c r="H2690" s="128">
        <v>0.32630000000000003</v>
      </c>
      <c r="I2690" s="110">
        <v>0.1678</v>
      </c>
      <c r="J2690" s="110">
        <v>0.1678</v>
      </c>
      <c r="K2690" s="110">
        <v>0.1678</v>
      </c>
      <c r="L2690">
        <v>5000</v>
      </c>
      <c r="M2690">
        <v>500000</v>
      </c>
      <c r="N2690" s="105">
        <v>44197</v>
      </c>
      <c r="O2690" s="105">
        <v>44377</v>
      </c>
      <c r="P2690" t="s">
        <v>718</v>
      </c>
      <c r="R2690" s="154"/>
      <c r="S2690" s="154"/>
      <c r="T2690" s="154"/>
      <c r="U2690" s="154"/>
    </row>
    <row r="2691" spans="1:21" ht="15" customHeight="1" x14ac:dyDescent="0.3">
      <c r="A2691" t="str">
        <f t="shared" si="43"/>
        <v/>
      </c>
      <c r="B2691" t="s">
        <v>13</v>
      </c>
      <c r="C2691">
        <v>15</v>
      </c>
      <c r="D2691" s="100" t="s">
        <v>24</v>
      </c>
      <c r="E2691" t="s">
        <v>720</v>
      </c>
      <c r="F2691" t="s">
        <v>18</v>
      </c>
      <c r="G2691" t="s">
        <v>699</v>
      </c>
      <c r="H2691" s="128">
        <v>0.32630000000000003</v>
      </c>
      <c r="J2691" s="110">
        <v>0.1678</v>
      </c>
      <c r="L2691">
        <v>5000</v>
      </c>
      <c r="M2691">
        <v>500000</v>
      </c>
      <c r="N2691" s="105">
        <v>44197</v>
      </c>
      <c r="O2691" s="105">
        <v>44377</v>
      </c>
      <c r="P2691" t="s">
        <v>718</v>
      </c>
      <c r="R2691" s="154"/>
      <c r="S2691" s="154"/>
      <c r="T2691" s="154"/>
      <c r="U2691" s="154"/>
    </row>
    <row r="2692" spans="1:21" ht="15" customHeight="1" x14ac:dyDescent="0.3">
      <c r="A2692" t="str">
        <f t="shared" si="43"/>
        <v>16-3-U-SmartPAY36</v>
      </c>
      <c r="B2692" t="s">
        <v>13</v>
      </c>
      <c r="C2692">
        <v>16</v>
      </c>
      <c r="D2692" s="100" t="s">
        <v>25</v>
      </c>
      <c r="E2692" t="s">
        <v>716</v>
      </c>
      <c r="F2692" t="s">
        <v>16</v>
      </c>
      <c r="G2692" t="s">
        <v>699</v>
      </c>
      <c r="H2692" s="128">
        <v>0.27610000000000001</v>
      </c>
      <c r="I2692" s="110">
        <v>0.16920000000000002</v>
      </c>
      <c r="L2692">
        <v>5000</v>
      </c>
      <c r="M2692">
        <v>500000</v>
      </c>
      <c r="N2692" s="105">
        <v>44197</v>
      </c>
      <c r="O2692" s="105">
        <v>44377</v>
      </c>
      <c r="P2692" t="s">
        <v>718</v>
      </c>
      <c r="R2692" s="154"/>
      <c r="S2692" s="154"/>
      <c r="T2692" s="154"/>
      <c r="U2692" s="154"/>
    </row>
    <row r="2693" spans="1:21" ht="15" customHeight="1" x14ac:dyDescent="0.3">
      <c r="A2693" t="str">
        <f t="shared" si="43"/>
        <v>16-4-E7-SmartPAY36</v>
      </c>
      <c r="B2693" t="s">
        <v>13</v>
      </c>
      <c r="C2693">
        <v>16</v>
      </c>
      <c r="D2693" s="100" t="s">
        <v>25</v>
      </c>
      <c r="E2693" t="s">
        <v>17</v>
      </c>
      <c r="F2693" t="s">
        <v>18</v>
      </c>
      <c r="G2693" t="s">
        <v>699</v>
      </c>
      <c r="H2693" s="128">
        <v>0.27610000000000001</v>
      </c>
      <c r="I2693" s="110">
        <v>0.16920000000000002</v>
      </c>
      <c r="J2693" s="110">
        <v>0.16920000000000002</v>
      </c>
      <c r="L2693">
        <v>5000</v>
      </c>
      <c r="M2693">
        <v>500000</v>
      </c>
      <c r="N2693" s="105">
        <v>44197</v>
      </c>
      <c r="O2693" s="105">
        <v>44377</v>
      </c>
      <c r="P2693" t="s">
        <v>718</v>
      </c>
      <c r="R2693" s="154"/>
      <c r="S2693" s="154"/>
      <c r="T2693" s="154"/>
      <c r="U2693" s="154"/>
    </row>
    <row r="2694" spans="1:21" ht="15" customHeight="1" x14ac:dyDescent="0.3">
      <c r="A2694" t="str">
        <f t="shared" si="43"/>
        <v>16-3-EW-SmartPAY36</v>
      </c>
      <c r="B2694" t="s">
        <v>13</v>
      </c>
      <c r="C2694">
        <v>16</v>
      </c>
      <c r="D2694" s="100" t="s">
        <v>25</v>
      </c>
      <c r="E2694" t="s">
        <v>19</v>
      </c>
      <c r="F2694" t="s">
        <v>16</v>
      </c>
      <c r="G2694" t="s">
        <v>699</v>
      </c>
      <c r="H2694" s="128">
        <v>0.27610000000000001</v>
      </c>
      <c r="I2694" s="110">
        <v>0.16920000000000002</v>
      </c>
      <c r="K2694" s="110">
        <v>0.16920000000000002</v>
      </c>
      <c r="L2694">
        <v>5000</v>
      </c>
      <c r="M2694">
        <v>500000</v>
      </c>
      <c r="N2694" s="105">
        <v>44197</v>
      </c>
      <c r="O2694" s="105">
        <v>44377</v>
      </c>
      <c r="P2694" t="s">
        <v>718</v>
      </c>
      <c r="R2694" s="154"/>
      <c r="S2694" s="154"/>
      <c r="T2694" s="154"/>
      <c r="U2694" s="154"/>
    </row>
    <row r="2695" spans="1:21" ht="15" customHeight="1" x14ac:dyDescent="0.3">
      <c r="A2695" t="str">
        <f t="shared" si="43"/>
        <v>16-4-3RATE-SmartPAY36</v>
      </c>
      <c r="B2695" t="s">
        <v>13</v>
      </c>
      <c r="C2695">
        <v>16</v>
      </c>
      <c r="D2695" s="100" t="s">
        <v>25</v>
      </c>
      <c r="E2695" t="s">
        <v>719</v>
      </c>
      <c r="F2695" t="s">
        <v>18</v>
      </c>
      <c r="G2695" t="s">
        <v>699</v>
      </c>
      <c r="H2695" s="128">
        <v>0.27610000000000001</v>
      </c>
      <c r="I2695" s="110">
        <v>0.16920000000000002</v>
      </c>
      <c r="J2695" s="110">
        <v>0.16920000000000002</v>
      </c>
      <c r="K2695" s="110">
        <v>0.16920000000000002</v>
      </c>
      <c r="L2695">
        <v>5000</v>
      </c>
      <c r="M2695">
        <v>500000</v>
      </c>
      <c r="N2695" s="105">
        <v>44197</v>
      </c>
      <c r="O2695" s="105">
        <v>44377</v>
      </c>
      <c r="P2695" t="s">
        <v>718</v>
      </c>
      <c r="R2695" s="154"/>
      <c r="S2695" s="154"/>
      <c r="T2695" s="154"/>
      <c r="U2695" s="154"/>
    </row>
    <row r="2696" spans="1:21" ht="15" customHeight="1" x14ac:dyDescent="0.3">
      <c r="A2696" t="str">
        <f t="shared" si="43"/>
        <v/>
      </c>
      <c r="B2696" t="s">
        <v>13</v>
      </c>
      <c r="C2696">
        <v>16</v>
      </c>
      <c r="D2696" s="100" t="s">
        <v>25</v>
      </c>
      <c r="E2696" t="s">
        <v>720</v>
      </c>
      <c r="F2696" t="s">
        <v>18</v>
      </c>
      <c r="G2696" t="s">
        <v>699</v>
      </c>
      <c r="H2696" s="128">
        <v>0.27610000000000001</v>
      </c>
      <c r="J2696" s="110">
        <v>0.16920000000000002</v>
      </c>
      <c r="L2696">
        <v>5000</v>
      </c>
      <c r="M2696">
        <v>500000</v>
      </c>
      <c r="N2696" s="105">
        <v>44197</v>
      </c>
      <c r="O2696" s="105">
        <v>44377</v>
      </c>
      <c r="P2696" t="s">
        <v>718</v>
      </c>
      <c r="R2696" s="154"/>
      <c r="S2696" s="154"/>
      <c r="T2696" s="154"/>
      <c r="U2696" s="154"/>
    </row>
    <row r="2697" spans="1:21" ht="15" customHeight="1" x14ac:dyDescent="0.3">
      <c r="A2697" t="str">
        <f t="shared" si="43"/>
        <v>17-3-U-SmartPAY36</v>
      </c>
      <c r="B2697" t="s">
        <v>13</v>
      </c>
      <c r="C2697">
        <v>17</v>
      </c>
      <c r="D2697" s="100" t="s">
        <v>26</v>
      </c>
      <c r="E2697" t="s">
        <v>716</v>
      </c>
      <c r="F2697" t="s">
        <v>16</v>
      </c>
      <c r="G2697" t="s">
        <v>699</v>
      </c>
      <c r="H2697" s="128">
        <v>0.36369999999999997</v>
      </c>
      <c r="I2697" s="110">
        <v>0.1759</v>
      </c>
      <c r="L2697">
        <v>5000</v>
      </c>
      <c r="M2697">
        <v>500000</v>
      </c>
      <c r="N2697" s="105">
        <v>44197</v>
      </c>
      <c r="O2697" s="105">
        <v>44377</v>
      </c>
      <c r="P2697" t="s">
        <v>718</v>
      </c>
      <c r="R2697" s="154"/>
      <c r="S2697" s="154"/>
      <c r="T2697" s="154"/>
      <c r="U2697" s="154"/>
    </row>
    <row r="2698" spans="1:21" ht="15" customHeight="1" x14ac:dyDescent="0.3">
      <c r="A2698" t="str">
        <f t="shared" si="43"/>
        <v>17-4-E7-SmartPAY36</v>
      </c>
      <c r="B2698" t="s">
        <v>13</v>
      </c>
      <c r="C2698">
        <v>17</v>
      </c>
      <c r="D2698" s="100" t="s">
        <v>26</v>
      </c>
      <c r="E2698" t="s">
        <v>17</v>
      </c>
      <c r="F2698" t="s">
        <v>18</v>
      </c>
      <c r="G2698" t="s">
        <v>699</v>
      </c>
      <c r="H2698" s="128">
        <v>0.36369999999999997</v>
      </c>
      <c r="I2698" s="110">
        <v>0.1759</v>
      </c>
      <c r="J2698" s="110">
        <v>0.1759</v>
      </c>
      <c r="L2698">
        <v>5000</v>
      </c>
      <c r="M2698">
        <v>500000</v>
      </c>
      <c r="N2698" s="105">
        <v>44197</v>
      </c>
      <c r="O2698" s="105">
        <v>44377</v>
      </c>
      <c r="P2698" t="s">
        <v>718</v>
      </c>
      <c r="R2698" s="154"/>
      <c r="S2698" s="154"/>
      <c r="T2698" s="154"/>
      <c r="U2698" s="154"/>
    </row>
    <row r="2699" spans="1:21" ht="15" customHeight="1" x14ac:dyDescent="0.3">
      <c r="A2699" t="str">
        <f t="shared" si="43"/>
        <v>17-3-EW-SmartPAY36</v>
      </c>
      <c r="B2699" t="s">
        <v>13</v>
      </c>
      <c r="C2699">
        <v>17</v>
      </c>
      <c r="D2699" s="100" t="s">
        <v>26</v>
      </c>
      <c r="E2699" t="s">
        <v>19</v>
      </c>
      <c r="F2699" t="s">
        <v>16</v>
      </c>
      <c r="G2699" t="s">
        <v>699</v>
      </c>
      <c r="H2699" s="128">
        <v>0.36369999999999997</v>
      </c>
      <c r="I2699" s="110">
        <v>0.1759</v>
      </c>
      <c r="K2699" s="110">
        <v>0.1759</v>
      </c>
      <c r="L2699">
        <v>5000</v>
      </c>
      <c r="M2699">
        <v>500000</v>
      </c>
      <c r="N2699" s="105">
        <v>44197</v>
      </c>
      <c r="O2699" s="105">
        <v>44377</v>
      </c>
      <c r="P2699" t="s">
        <v>718</v>
      </c>
      <c r="R2699" s="154"/>
      <c r="S2699" s="154"/>
      <c r="T2699" s="154"/>
      <c r="U2699" s="154"/>
    </row>
    <row r="2700" spans="1:21" ht="15" customHeight="1" x14ac:dyDescent="0.3">
      <c r="A2700" t="str">
        <f t="shared" si="43"/>
        <v>17-4-3RATE-SmartPAY36</v>
      </c>
      <c r="B2700" t="s">
        <v>13</v>
      </c>
      <c r="C2700">
        <v>17</v>
      </c>
      <c r="D2700" s="100" t="s">
        <v>26</v>
      </c>
      <c r="E2700" t="s">
        <v>719</v>
      </c>
      <c r="F2700" t="s">
        <v>18</v>
      </c>
      <c r="G2700" t="s">
        <v>699</v>
      </c>
      <c r="H2700" s="128">
        <v>0.36369999999999997</v>
      </c>
      <c r="I2700" s="110">
        <v>0.1759</v>
      </c>
      <c r="J2700" s="110">
        <v>0.1759</v>
      </c>
      <c r="K2700" s="110">
        <v>0.1759</v>
      </c>
      <c r="L2700">
        <v>5000</v>
      </c>
      <c r="M2700">
        <v>500000</v>
      </c>
      <c r="N2700" s="105">
        <v>44197</v>
      </c>
      <c r="O2700" s="105">
        <v>44377</v>
      </c>
      <c r="P2700" t="s">
        <v>718</v>
      </c>
      <c r="R2700" s="154"/>
      <c r="S2700" s="154"/>
      <c r="T2700" s="154"/>
      <c r="U2700" s="154"/>
    </row>
    <row r="2701" spans="1:21" ht="15" customHeight="1" x14ac:dyDescent="0.3">
      <c r="A2701" t="str">
        <f t="shared" si="43"/>
        <v/>
      </c>
      <c r="B2701" t="s">
        <v>13</v>
      </c>
      <c r="C2701">
        <v>17</v>
      </c>
      <c r="D2701" s="100" t="s">
        <v>26</v>
      </c>
      <c r="E2701" t="s">
        <v>720</v>
      </c>
      <c r="F2701" t="s">
        <v>18</v>
      </c>
      <c r="G2701" t="s">
        <v>699</v>
      </c>
      <c r="H2701" s="128">
        <v>0.36369999999999997</v>
      </c>
      <c r="J2701" s="110">
        <v>0.1759</v>
      </c>
      <c r="L2701">
        <v>5000</v>
      </c>
      <c r="M2701">
        <v>500000</v>
      </c>
      <c r="N2701" s="105">
        <v>44197</v>
      </c>
      <c r="O2701" s="105">
        <v>44377</v>
      </c>
      <c r="P2701" t="s">
        <v>718</v>
      </c>
      <c r="R2701" s="154"/>
      <c r="S2701" s="154"/>
      <c r="T2701" s="154"/>
      <c r="U2701" s="154"/>
    </row>
    <row r="2702" spans="1:21" ht="15" customHeight="1" x14ac:dyDescent="0.3">
      <c r="A2702" t="str">
        <f t="shared" si="43"/>
        <v>18-3-U-SmartPAY36</v>
      </c>
      <c r="B2702" t="s">
        <v>13</v>
      </c>
      <c r="C2702">
        <v>18</v>
      </c>
      <c r="D2702" s="100" t="s">
        <v>27</v>
      </c>
      <c r="E2702" t="s">
        <v>716</v>
      </c>
      <c r="F2702" t="s">
        <v>16</v>
      </c>
      <c r="G2702" t="s">
        <v>699</v>
      </c>
      <c r="H2702" s="128">
        <v>0.31730000000000003</v>
      </c>
      <c r="I2702" s="110">
        <v>0.16879999999999998</v>
      </c>
      <c r="L2702">
        <v>5000</v>
      </c>
      <c r="M2702">
        <v>500000</v>
      </c>
      <c r="N2702" s="105">
        <v>44197</v>
      </c>
      <c r="O2702" s="105">
        <v>44377</v>
      </c>
      <c r="P2702" t="s">
        <v>718</v>
      </c>
      <c r="R2702" s="154"/>
      <c r="S2702" s="154"/>
      <c r="T2702" s="154"/>
      <c r="U2702" s="154"/>
    </row>
    <row r="2703" spans="1:21" ht="15" customHeight="1" x14ac:dyDescent="0.3">
      <c r="A2703" t="str">
        <f t="shared" si="43"/>
        <v>18-4-E7-SmartPAY36</v>
      </c>
      <c r="B2703" t="s">
        <v>13</v>
      </c>
      <c r="C2703">
        <v>18</v>
      </c>
      <c r="D2703" s="100" t="s">
        <v>27</v>
      </c>
      <c r="E2703" t="s">
        <v>17</v>
      </c>
      <c r="F2703" t="s">
        <v>18</v>
      </c>
      <c r="G2703" t="s">
        <v>699</v>
      </c>
      <c r="H2703" s="128">
        <v>0.31730000000000003</v>
      </c>
      <c r="I2703" s="110">
        <v>0.16879999999999998</v>
      </c>
      <c r="J2703" s="110">
        <v>0.16879999999999998</v>
      </c>
      <c r="L2703">
        <v>5000</v>
      </c>
      <c r="M2703">
        <v>500000</v>
      </c>
      <c r="N2703" s="105">
        <v>44197</v>
      </c>
      <c r="O2703" s="105">
        <v>44377</v>
      </c>
      <c r="P2703" t="s">
        <v>718</v>
      </c>
      <c r="R2703" s="154"/>
      <c r="S2703" s="154"/>
      <c r="T2703" s="154"/>
      <c r="U2703" s="154"/>
    </row>
    <row r="2704" spans="1:21" ht="15" customHeight="1" x14ac:dyDescent="0.3">
      <c r="A2704" t="str">
        <f t="shared" si="43"/>
        <v>18-3-EW-SmartPAY36</v>
      </c>
      <c r="B2704" t="s">
        <v>13</v>
      </c>
      <c r="C2704">
        <v>18</v>
      </c>
      <c r="D2704" s="100" t="s">
        <v>27</v>
      </c>
      <c r="E2704" t="s">
        <v>19</v>
      </c>
      <c r="F2704" t="s">
        <v>16</v>
      </c>
      <c r="G2704" t="s">
        <v>699</v>
      </c>
      <c r="H2704" s="128">
        <v>0.31730000000000003</v>
      </c>
      <c r="I2704" s="110">
        <v>0.16879999999999998</v>
      </c>
      <c r="K2704" s="110">
        <v>0.16879999999999998</v>
      </c>
      <c r="L2704">
        <v>5000</v>
      </c>
      <c r="M2704">
        <v>500000</v>
      </c>
      <c r="N2704" s="105">
        <v>44197</v>
      </c>
      <c r="O2704" s="105">
        <v>44377</v>
      </c>
      <c r="P2704" t="s">
        <v>718</v>
      </c>
      <c r="R2704" s="154"/>
      <c r="S2704" s="154"/>
      <c r="T2704" s="154"/>
      <c r="U2704" s="154"/>
    </row>
    <row r="2705" spans="1:21" ht="15" customHeight="1" x14ac:dyDescent="0.3">
      <c r="A2705" t="str">
        <f t="shared" si="43"/>
        <v>18-4-3RATE-SmartPAY36</v>
      </c>
      <c r="B2705" t="s">
        <v>13</v>
      </c>
      <c r="C2705">
        <v>18</v>
      </c>
      <c r="D2705" s="100" t="s">
        <v>27</v>
      </c>
      <c r="E2705" t="s">
        <v>719</v>
      </c>
      <c r="F2705" t="s">
        <v>18</v>
      </c>
      <c r="G2705" t="s">
        <v>699</v>
      </c>
      <c r="H2705" s="128">
        <v>0.31730000000000003</v>
      </c>
      <c r="I2705" s="110">
        <v>0.16879999999999998</v>
      </c>
      <c r="J2705" s="110">
        <v>0.16879999999999998</v>
      </c>
      <c r="K2705" s="110">
        <v>0.16879999999999998</v>
      </c>
      <c r="L2705">
        <v>5000</v>
      </c>
      <c r="M2705">
        <v>500000</v>
      </c>
      <c r="N2705" s="105">
        <v>44197</v>
      </c>
      <c r="O2705" s="105">
        <v>44377</v>
      </c>
      <c r="P2705" t="s">
        <v>718</v>
      </c>
      <c r="R2705" s="154"/>
      <c r="S2705" s="154"/>
      <c r="T2705" s="154"/>
      <c r="U2705" s="154"/>
    </row>
    <row r="2706" spans="1:21" ht="15" customHeight="1" x14ac:dyDescent="0.3">
      <c r="A2706" t="str">
        <f t="shared" si="43"/>
        <v/>
      </c>
      <c r="B2706" t="s">
        <v>13</v>
      </c>
      <c r="C2706">
        <v>18</v>
      </c>
      <c r="D2706" s="100" t="s">
        <v>27</v>
      </c>
      <c r="E2706" t="s">
        <v>720</v>
      </c>
      <c r="F2706" t="s">
        <v>18</v>
      </c>
      <c r="G2706" t="s">
        <v>699</v>
      </c>
      <c r="H2706" s="128">
        <v>0.31730000000000003</v>
      </c>
      <c r="J2706" s="110">
        <v>0.16879999999999998</v>
      </c>
      <c r="L2706">
        <v>5000</v>
      </c>
      <c r="M2706">
        <v>500000</v>
      </c>
      <c r="N2706" s="105">
        <v>44197</v>
      </c>
      <c r="O2706" s="105">
        <v>44377</v>
      </c>
      <c r="P2706" t="s">
        <v>718</v>
      </c>
      <c r="R2706" s="154"/>
      <c r="S2706" s="154"/>
      <c r="T2706" s="154"/>
      <c r="U2706" s="154"/>
    </row>
    <row r="2707" spans="1:21" ht="15" customHeight="1" x14ac:dyDescent="0.3">
      <c r="A2707" t="str">
        <f t="shared" si="43"/>
        <v>19-3-U-SmartPAY36</v>
      </c>
      <c r="B2707" t="s">
        <v>13</v>
      </c>
      <c r="C2707">
        <v>19</v>
      </c>
      <c r="D2707" s="100" t="s">
        <v>28</v>
      </c>
      <c r="E2707" t="s">
        <v>716</v>
      </c>
      <c r="F2707" t="s">
        <v>16</v>
      </c>
      <c r="G2707" t="s">
        <v>699</v>
      </c>
      <c r="H2707" s="128">
        <v>0.30149999999999999</v>
      </c>
      <c r="I2707" s="110">
        <v>0.16620000000000001</v>
      </c>
      <c r="L2707">
        <v>5000</v>
      </c>
      <c r="M2707">
        <v>500000</v>
      </c>
      <c r="N2707" s="105">
        <v>44197</v>
      </c>
      <c r="O2707" s="105">
        <v>44377</v>
      </c>
      <c r="P2707" t="s">
        <v>718</v>
      </c>
      <c r="R2707" s="154"/>
      <c r="S2707" s="154"/>
      <c r="T2707" s="154"/>
      <c r="U2707" s="154"/>
    </row>
    <row r="2708" spans="1:21" ht="15" customHeight="1" x14ac:dyDescent="0.3">
      <c r="A2708" t="str">
        <f t="shared" si="43"/>
        <v>19-4-E7-SmartPAY36</v>
      </c>
      <c r="B2708" t="s">
        <v>13</v>
      </c>
      <c r="C2708">
        <v>19</v>
      </c>
      <c r="D2708" s="100" t="s">
        <v>28</v>
      </c>
      <c r="E2708" t="s">
        <v>17</v>
      </c>
      <c r="F2708" t="s">
        <v>18</v>
      </c>
      <c r="G2708" t="s">
        <v>699</v>
      </c>
      <c r="H2708" s="128">
        <v>0.30149999999999999</v>
      </c>
      <c r="I2708" s="110">
        <v>0.16620000000000001</v>
      </c>
      <c r="J2708" s="110">
        <v>0.16620000000000001</v>
      </c>
      <c r="L2708">
        <v>5000</v>
      </c>
      <c r="M2708">
        <v>500000</v>
      </c>
      <c r="N2708" s="105">
        <v>44197</v>
      </c>
      <c r="O2708" s="105">
        <v>44377</v>
      </c>
      <c r="P2708" t="s">
        <v>718</v>
      </c>
      <c r="R2708" s="154"/>
      <c r="S2708" s="154"/>
      <c r="T2708" s="154"/>
      <c r="U2708" s="154"/>
    </row>
    <row r="2709" spans="1:21" ht="15" customHeight="1" x14ac:dyDescent="0.3">
      <c r="A2709" t="str">
        <f t="shared" si="43"/>
        <v>19-3-EW-SmartPAY36</v>
      </c>
      <c r="B2709" t="s">
        <v>13</v>
      </c>
      <c r="C2709">
        <v>19</v>
      </c>
      <c r="D2709" s="100" t="s">
        <v>28</v>
      </c>
      <c r="E2709" t="s">
        <v>19</v>
      </c>
      <c r="F2709" t="s">
        <v>16</v>
      </c>
      <c r="G2709" t="s">
        <v>699</v>
      </c>
      <c r="H2709" s="128">
        <v>0.30149999999999999</v>
      </c>
      <c r="I2709" s="110">
        <v>0.16620000000000001</v>
      </c>
      <c r="K2709" s="110">
        <v>0.16620000000000001</v>
      </c>
      <c r="L2709">
        <v>5000</v>
      </c>
      <c r="M2709">
        <v>500000</v>
      </c>
      <c r="N2709" s="105">
        <v>44197</v>
      </c>
      <c r="O2709" s="105">
        <v>44377</v>
      </c>
      <c r="P2709" t="s">
        <v>718</v>
      </c>
      <c r="R2709" s="154"/>
      <c r="S2709" s="154"/>
      <c r="T2709" s="154"/>
      <c r="U2709" s="154"/>
    </row>
    <row r="2710" spans="1:21" ht="15" customHeight="1" x14ac:dyDescent="0.3">
      <c r="A2710" t="str">
        <f t="shared" si="43"/>
        <v>19-4-3RATE-SmartPAY36</v>
      </c>
      <c r="B2710" t="s">
        <v>13</v>
      </c>
      <c r="C2710">
        <v>19</v>
      </c>
      <c r="D2710" s="100" t="s">
        <v>28</v>
      </c>
      <c r="E2710" t="s">
        <v>719</v>
      </c>
      <c r="F2710" t="s">
        <v>18</v>
      </c>
      <c r="G2710" t="s">
        <v>699</v>
      </c>
      <c r="H2710" s="128">
        <v>0.30149999999999999</v>
      </c>
      <c r="I2710" s="110">
        <v>0.16620000000000001</v>
      </c>
      <c r="J2710" s="110">
        <v>0.16620000000000001</v>
      </c>
      <c r="K2710" s="110">
        <v>0.16620000000000001</v>
      </c>
      <c r="L2710">
        <v>5000</v>
      </c>
      <c r="M2710">
        <v>500000</v>
      </c>
      <c r="N2710" s="105">
        <v>44197</v>
      </c>
      <c r="O2710" s="105">
        <v>44377</v>
      </c>
      <c r="P2710" t="s">
        <v>718</v>
      </c>
      <c r="R2710" s="154"/>
      <c r="S2710" s="154"/>
      <c r="T2710" s="154"/>
      <c r="U2710" s="154"/>
    </row>
    <row r="2711" spans="1:21" ht="15" customHeight="1" x14ac:dyDescent="0.3">
      <c r="A2711" t="str">
        <f t="shared" si="43"/>
        <v/>
      </c>
      <c r="B2711" t="s">
        <v>13</v>
      </c>
      <c r="C2711">
        <v>19</v>
      </c>
      <c r="D2711" s="100" t="s">
        <v>28</v>
      </c>
      <c r="E2711" t="s">
        <v>720</v>
      </c>
      <c r="F2711" t="s">
        <v>18</v>
      </c>
      <c r="G2711" t="s">
        <v>699</v>
      </c>
      <c r="H2711" s="128">
        <v>0.30149999999999999</v>
      </c>
      <c r="J2711" s="110">
        <v>0.16620000000000001</v>
      </c>
      <c r="L2711">
        <v>5000</v>
      </c>
      <c r="M2711">
        <v>500000</v>
      </c>
      <c r="N2711" s="105">
        <v>44197</v>
      </c>
      <c r="O2711" s="105">
        <v>44377</v>
      </c>
      <c r="P2711" t="s">
        <v>718</v>
      </c>
      <c r="R2711" s="154"/>
      <c r="S2711" s="154"/>
      <c r="T2711" s="154"/>
      <c r="U2711" s="154"/>
    </row>
    <row r="2712" spans="1:21" ht="15" customHeight="1" x14ac:dyDescent="0.3">
      <c r="A2712" t="str">
        <f t="shared" si="43"/>
        <v>20-3-U-SmartPAY36</v>
      </c>
      <c r="B2712" t="s">
        <v>13</v>
      </c>
      <c r="C2712">
        <v>20</v>
      </c>
      <c r="D2712" s="100" t="s">
        <v>29</v>
      </c>
      <c r="E2712" t="s">
        <v>716</v>
      </c>
      <c r="F2712" t="s">
        <v>16</v>
      </c>
      <c r="G2712" t="s">
        <v>699</v>
      </c>
      <c r="H2712" s="128">
        <v>0.2989</v>
      </c>
      <c r="I2712" s="110">
        <v>0.1653</v>
      </c>
      <c r="L2712">
        <v>5000</v>
      </c>
      <c r="M2712">
        <v>500000</v>
      </c>
      <c r="N2712" s="105">
        <v>44197</v>
      </c>
      <c r="O2712" s="105">
        <v>44377</v>
      </c>
      <c r="P2712" t="s">
        <v>718</v>
      </c>
      <c r="R2712" s="154"/>
      <c r="S2712" s="154"/>
      <c r="T2712" s="154"/>
      <c r="U2712" s="154"/>
    </row>
    <row r="2713" spans="1:21" ht="15" customHeight="1" x14ac:dyDescent="0.3">
      <c r="A2713" t="str">
        <f t="shared" si="43"/>
        <v>20-4-E7-SmartPAY36</v>
      </c>
      <c r="B2713" t="s">
        <v>13</v>
      </c>
      <c r="C2713">
        <v>20</v>
      </c>
      <c r="D2713" s="100" t="s">
        <v>29</v>
      </c>
      <c r="E2713" t="s">
        <v>17</v>
      </c>
      <c r="F2713" t="s">
        <v>18</v>
      </c>
      <c r="G2713" t="s">
        <v>699</v>
      </c>
      <c r="H2713" s="128">
        <v>0.2989</v>
      </c>
      <c r="I2713" s="110">
        <v>0.1653</v>
      </c>
      <c r="J2713" s="110">
        <v>0.1653</v>
      </c>
      <c r="L2713">
        <v>5000</v>
      </c>
      <c r="M2713">
        <v>500000</v>
      </c>
      <c r="N2713" s="105">
        <v>44197</v>
      </c>
      <c r="O2713" s="105">
        <v>44377</v>
      </c>
      <c r="P2713" t="s">
        <v>718</v>
      </c>
      <c r="R2713" s="154"/>
      <c r="S2713" s="154"/>
      <c r="T2713" s="154"/>
      <c r="U2713" s="154"/>
    </row>
    <row r="2714" spans="1:21" ht="15" customHeight="1" x14ac:dyDescent="0.3">
      <c r="A2714" t="str">
        <f t="shared" si="43"/>
        <v>20-3-EW-SmartPAY36</v>
      </c>
      <c r="B2714" t="s">
        <v>13</v>
      </c>
      <c r="C2714">
        <v>20</v>
      </c>
      <c r="D2714" s="100" t="s">
        <v>29</v>
      </c>
      <c r="E2714" t="s">
        <v>19</v>
      </c>
      <c r="F2714" t="s">
        <v>16</v>
      </c>
      <c r="G2714" t="s">
        <v>699</v>
      </c>
      <c r="H2714" s="128">
        <v>0.2989</v>
      </c>
      <c r="I2714" s="110">
        <v>0.1653</v>
      </c>
      <c r="K2714" s="110">
        <v>0.1653</v>
      </c>
      <c r="L2714">
        <v>5000</v>
      </c>
      <c r="M2714">
        <v>500000</v>
      </c>
      <c r="N2714" s="105">
        <v>44197</v>
      </c>
      <c r="O2714" s="105">
        <v>44377</v>
      </c>
      <c r="P2714" t="s">
        <v>718</v>
      </c>
      <c r="R2714" s="154"/>
      <c r="S2714" s="154"/>
      <c r="T2714" s="154"/>
      <c r="U2714" s="154"/>
    </row>
    <row r="2715" spans="1:21" ht="15" customHeight="1" x14ac:dyDescent="0.3">
      <c r="A2715" t="str">
        <f t="shared" si="43"/>
        <v>20-4-3RATE-SmartPAY36</v>
      </c>
      <c r="B2715" t="s">
        <v>13</v>
      </c>
      <c r="C2715">
        <v>20</v>
      </c>
      <c r="D2715" s="100" t="s">
        <v>29</v>
      </c>
      <c r="E2715" t="s">
        <v>719</v>
      </c>
      <c r="F2715" t="s">
        <v>18</v>
      </c>
      <c r="G2715" t="s">
        <v>699</v>
      </c>
      <c r="H2715" s="128">
        <v>0.2989</v>
      </c>
      <c r="I2715" s="110">
        <v>0.1653</v>
      </c>
      <c r="J2715" s="110">
        <v>0.1653</v>
      </c>
      <c r="K2715" s="110">
        <v>0.1653</v>
      </c>
      <c r="L2715">
        <v>5000</v>
      </c>
      <c r="M2715">
        <v>500000</v>
      </c>
      <c r="N2715" s="105">
        <v>44197</v>
      </c>
      <c r="O2715" s="105">
        <v>44377</v>
      </c>
      <c r="P2715" t="s">
        <v>718</v>
      </c>
      <c r="R2715" s="154"/>
      <c r="S2715" s="154"/>
      <c r="T2715" s="154"/>
      <c r="U2715" s="154"/>
    </row>
    <row r="2716" spans="1:21" ht="15" customHeight="1" x14ac:dyDescent="0.3">
      <c r="A2716" t="str">
        <f t="shared" si="43"/>
        <v/>
      </c>
      <c r="B2716" t="s">
        <v>13</v>
      </c>
      <c r="C2716">
        <v>20</v>
      </c>
      <c r="D2716" s="100" t="s">
        <v>29</v>
      </c>
      <c r="E2716" t="s">
        <v>720</v>
      </c>
      <c r="F2716" t="s">
        <v>18</v>
      </c>
      <c r="G2716" t="s">
        <v>699</v>
      </c>
      <c r="H2716" s="128">
        <v>0.2989</v>
      </c>
      <c r="J2716" s="110">
        <v>0.1653</v>
      </c>
      <c r="L2716">
        <v>5000</v>
      </c>
      <c r="M2716">
        <v>500000</v>
      </c>
      <c r="N2716" s="105">
        <v>44197</v>
      </c>
      <c r="O2716" s="105">
        <v>44377</v>
      </c>
      <c r="P2716" t="s">
        <v>718</v>
      </c>
      <c r="R2716" s="154"/>
      <c r="S2716" s="154"/>
      <c r="T2716" s="154"/>
      <c r="U2716" s="154"/>
    </row>
    <row r="2717" spans="1:21" ht="15" customHeight="1" x14ac:dyDescent="0.3">
      <c r="A2717" t="str">
        <f t="shared" si="43"/>
        <v>21-3-U-SmartPAY36</v>
      </c>
      <c r="B2717" t="s">
        <v>13</v>
      </c>
      <c r="C2717">
        <v>21</v>
      </c>
      <c r="D2717" s="100" t="s">
        <v>30</v>
      </c>
      <c r="E2717" t="s">
        <v>716</v>
      </c>
      <c r="F2717" t="s">
        <v>16</v>
      </c>
      <c r="G2717" t="s">
        <v>699</v>
      </c>
      <c r="H2717" s="128">
        <v>0.41369999999999996</v>
      </c>
      <c r="I2717" s="110">
        <v>0.1663</v>
      </c>
      <c r="L2717">
        <v>5000</v>
      </c>
      <c r="M2717">
        <v>500000</v>
      </c>
      <c r="N2717" s="105">
        <v>44197</v>
      </c>
      <c r="O2717" s="105">
        <v>44377</v>
      </c>
      <c r="P2717" t="s">
        <v>718</v>
      </c>
      <c r="R2717" s="154"/>
      <c r="S2717" s="154"/>
      <c r="T2717" s="154"/>
      <c r="U2717" s="154"/>
    </row>
    <row r="2718" spans="1:21" ht="15" customHeight="1" x14ac:dyDescent="0.3">
      <c r="A2718" t="str">
        <f t="shared" si="43"/>
        <v>21-4-E7-SmartPAY36</v>
      </c>
      <c r="B2718" t="s">
        <v>13</v>
      </c>
      <c r="C2718">
        <v>21</v>
      </c>
      <c r="D2718" s="100" t="s">
        <v>30</v>
      </c>
      <c r="E2718" t="s">
        <v>17</v>
      </c>
      <c r="F2718" t="s">
        <v>18</v>
      </c>
      <c r="G2718" t="s">
        <v>699</v>
      </c>
      <c r="H2718" s="128">
        <v>0.41369999999999996</v>
      </c>
      <c r="I2718" s="110">
        <v>0.1663</v>
      </c>
      <c r="J2718" s="110">
        <v>0.1663</v>
      </c>
      <c r="L2718">
        <v>5000</v>
      </c>
      <c r="M2718">
        <v>500000</v>
      </c>
      <c r="N2718" s="105">
        <v>44197</v>
      </c>
      <c r="O2718" s="105">
        <v>44377</v>
      </c>
      <c r="P2718" t="s">
        <v>718</v>
      </c>
      <c r="R2718" s="154"/>
      <c r="S2718" s="154"/>
      <c r="T2718" s="154"/>
      <c r="U2718" s="154"/>
    </row>
    <row r="2719" spans="1:21" ht="15" customHeight="1" x14ac:dyDescent="0.3">
      <c r="A2719" t="str">
        <f t="shared" si="43"/>
        <v>21-3-EW-SmartPAY36</v>
      </c>
      <c r="B2719" t="s">
        <v>13</v>
      </c>
      <c r="C2719">
        <v>21</v>
      </c>
      <c r="D2719" s="100" t="s">
        <v>30</v>
      </c>
      <c r="E2719" t="s">
        <v>19</v>
      </c>
      <c r="F2719" t="s">
        <v>16</v>
      </c>
      <c r="G2719" t="s">
        <v>699</v>
      </c>
      <c r="H2719" s="128">
        <v>0.41369999999999996</v>
      </c>
      <c r="I2719" s="110">
        <v>0.1663</v>
      </c>
      <c r="K2719" s="110">
        <v>0.1663</v>
      </c>
      <c r="L2719">
        <v>5000</v>
      </c>
      <c r="M2719">
        <v>500000</v>
      </c>
      <c r="N2719" s="105">
        <v>44197</v>
      </c>
      <c r="O2719" s="105">
        <v>44377</v>
      </c>
      <c r="P2719" t="s">
        <v>718</v>
      </c>
      <c r="R2719" s="154"/>
      <c r="S2719" s="154"/>
      <c r="T2719" s="154"/>
      <c r="U2719" s="154"/>
    </row>
    <row r="2720" spans="1:21" ht="15" customHeight="1" x14ac:dyDescent="0.3">
      <c r="A2720" t="str">
        <f t="shared" si="43"/>
        <v>21-4-3RATE-SmartPAY36</v>
      </c>
      <c r="B2720" t="s">
        <v>13</v>
      </c>
      <c r="C2720">
        <v>21</v>
      </c>
      <c r="D2720" s="100" t="s">
        <v>30</v>
      </c>
      <c r="E2720" t="s">
        <v>719</v>
      </c>
      <c r="F2720" t="s">
        <v>18</v>
      </c>
      <c r="G2720" t="s">
        <v>699</v>
      </c>
      <c r="H2720" s="128">
        <v>0.41369999999999996</v>
      </c>
      <c r="I2720" s="110">
        <v>0.1663</v>
      </c>
      <c r="J2720" s="110">
        <v>0.1663</v>
      </c>
      <c r="K2720" s="110">
        <v>0.1663</v>
      </c>
      <c r="L2720">
        <v>5000</v>
      </c>
      <c r="M2720">
        <v>500000</v>
      </c>
      <c r="N2720" s="105">
        <v>44197</v>
      </c>
      <c r="O2720" s="105">
        <v>44377</v>
      </c>
      <c r="P2720" t="s">
        <v>718</v>
      </c>
      <c r="R2720" s="154"/>
      <c r="S2720" s="154"/>
      <c r="T2720" s="154"/>
      <c r="U2720" s="154"/>
    </row>
    <row r="2721" spans="1:21" ht="15" customHeight="1" x14ac:dyDescent="0.3">
      <c r="A2721" t="str">
        <f t="shared" si="43"/>
        <v/>
      </c>
      <c r="B2721" t="s">
        <v>13</v>
      </c>
      <c r="C2721">
        <v>21</v>
      </c>
      <c r="D2721" s="100" t="s">
        <v>30</v>
      </c>
      <c r="E2721" t="s">
        <v>720</v>
      </c>
      <c r="F2721" t="s">
        <v>18</v>
      </c>
      <c r="G2721" t="s">
        <v>699</v>
      </c>
      <c r="H2721" s="128">
        <v>0.41369999999999996</v>
      </c>
      <c r="J2721" s="110">
        <v>0.1663</v>
      </c>
      <c r="L2721">
        <v>5000</v>
      </c>
      <c r="M2721">
        <v>500000</v>
      </c>
      <c r="N2721" s="105">
        <v>44197</v>
      </c>
      <c r="O2721" s="105">
        <v>44377</v>
      </c>
      <c r="P2721" t="s">
        <v>718</v>
      </c>
      <c r="R2721" s="154"/>
      <c r="S2721" s="154"/>
      <c r="T2721" s="154"/>
      <c r="U2721" s="154"/>
    </row>
    <row r="2722" spans="1:21" ht="15" customHeight="1" x14ac:dyDescent="0.3">
      <c r="A2722" t="str">
        <f t="shared" si="43"/>
        <v>22-3-U-SmartPAY36</v>
      </c>
      <c r="B2722" t="s">
        <v>13</v>
      </c>
      <c r="C2722">
        <v>22</v>
      </c>
      <c r="D2722" s="100" t="s">
        <v>31</v>
      </c>
      <c r="E2722" t="s">
        <v>716</v>
      </c>
      <c r="F2722" t="s">
        <v>16</v>
      </c>
      <c r="G2722" t="s">
        <v>699</v>
      </c>
      <c r="H2722" s="128">
        <v>0.35670000000000002</v>
      </c>
      <c r="I2722" s="110">
        <v>0.17190000000000003</v>
      </c>
      <c r="L2722">
        <v>5000</v>
      </c>
      <c r="M2722">
        <v>500000</v>
      </c>
      <c r="N2722" s="105">
        <v>44197</v>
      </c>
      <c r="O2722" s="105">
        <v>44377</v>
      </c>
      <c r="P2722" t="s">
        <v>718</v>
      </c>
      <c r="R2722" s="154"/>
      <c r="S2722" s="154"/>
      <c r="T2722" s="154"/>
      <c r="U2722" s="154"/>
    </row>
    <row r="2723" spans="1:21" ht="15" customHeight="1" x14ac:dyDescent="0.3">
      <c r="A2723" t="str">
        <f t="shared" ref="A2723:A2786" si="44">IF(E2723="OP","",CONCATENATE(C2723,"-",RIGHT(F2723,1),"-",IF(OR(E2723="1 Rate MD",E2723="DAY"),"U",IF(OR(E2723="2 Rate MD",E2723="E7"),"E7",IF(OR(E2723="3 Rate MD (EW)",E2723="EW"),"EW",IF(OR(E2723="3 Rate MD",E2723="EWN"),"3RATE",IF(E2723="HH 2RATE (CT)","HH 2RATE (CT)",IF(E2723="HH 2RATE (WC)","HH 2RATE (WC)",IF(E2723="HH 1RATE (CT)","HH 1RATE (CT)",IF(E2723="HH 1RATE (WC)","HH 1RATE (WC)")))))))),"-",G2723))</f>
        <v>22-4-E7-SmartPAY36</v>
      </c>
      <c r="B2723" t="s">
        <v>13</v>
      </c>
      <c r="C2723">
        <v>22</v>
      </c>
      <c r="D2723" s="100" t="s">
        <v>31</v>
      </c>
      <c r="E2723" t="s">
        <v>17</v>
      </c>
      <c r="F2723" t="s">
        <v>18</v>
      </c>
      <c r="G2723" t="s">
        <v>699</v>
      </c>
      <c r="H2723" s="128">
        <v>0.35670000000000002</v>
      </c>
      <c r="I2723" s="110">
        <v>0.17190000000000003</v>
      </c>
      <c r="J2723" s="110">
        <v>0.17190000000000003</v>
      </c>
      <c r="L2723">
        <v>5000</v>
      </c>
      <c r="M2723">
        <v>500000</v>
      </c>
      <c r="N2723" s="105">
        <v>44197</v>
      </c>
      <c r="O2723" s="105">
        <v>44377</v>
      </c>
      <c r="P2723" t="s">
        <v>718</v>
      </c>
      <c r="R2723" s="154"/>
      <c r="S2723" s="154"/>
      <c r="T2723" s="154"/>
      <c r="U2723" s="154"/>
    </row>
    <row r="2724" spans="1:21" ht="15" customHeight="1" x14ac:dyDescent="0.3">
      <c r="A2724" t="str">
        <f t="shared" si="44"/>
        <v>22-3-EW-SmartPAY36</v>
      </c>
      <c r="B2724" t="s">
        <v>13</v>
      </c>
      <c r="C2724">
        <v>22</v>
      </c>
      <c r="D2724" s="100" t="s">
        <v>31</v>
      </c>
      <c r="E2724" t="s">
        <v>19</v>
      </c>
      <c r="F2724" t="s">
        <v>16</v>
      </c>
      <c r="G2724" t="s">
        <v>699</v>
      </c>
      <c r="H2724" s="128">
        <v>0.35670000000000002</v>
      </c>
      <c r="I2724" s="110">
        <v>0.17190000000000003</v>
      </c>
      <c r="K2724" s="110">
        <v>0.17190000000000003</v>
      </c>
      <c r="L2724">
        <v>5000</v>
      </c>
      <c r="M2724">
        <v>500000</v>
      </c>
      <c r="N2724" s="105">
        <v>44197</v>
      </c>
      <c r="O2724" s="105">
        <v>44377</v>
      </c>
      <c r="P2724" t="s">
        <v>718</v>
      </c>
      <c r="R2724" s="154"/>
      <c r="S2724" s="154"/>
      <c r="T2724" s="154"/>
      <c r="U2724" s="154"/>
    </row>
    <row r="2725" spans="1:21" ht="15" customHeight="1" x14ac:dyDescent="0.3">
      <c r="A2725" t="str">
        <f t="shared" si="44"/>
        <v>22-4-3RATE-SmartPAY36</v>
      </c>
      <c r="B2725" t="s">
        <v>13</v>
      </c>
      <c r="C2725">
        <v>22</v>
      </c>
      <c r="D2725" s="100" t="s">
        <v>31</v>
      </c>
      <c r="E2725" t="s">
        <v>719</v>
      </c>
      <c r="F2725" t="s">
        <v>18</v>
      </c>
      <c r="G2725" t="s">
        <v>699</v>
      </c>
      <c r="H2725" s="128">
        <v>0.35670000000000002</v>
      </c>
      <c r="I2725" s="110">
        <v>0.17190000000000003</v>
      </c>
      <c r="J2725" s="110">
        <v>0.17190000000000003</v>
      </c>
      <c r="K2725" s="110">
        <v>0.17190000000000003</v>
      </c>
      <c r="L2725">
        <v>5000</v>
      </c>
      <c r="M2725">
        <v>500000</v>
      </c>
      <c r="N2725" s="105">
        <v>44197</v>
      </c>
      <c r="O2725" s="105">
        <v>44377</v>
      </c>
      <c r="P2725" t="s">
        <v>718</v>
      </c>
      <c r="R2725" s="154"/>
      <c r="S2725" s="154"/>
      <c r="T2725" s="154"/>
      <c r="U2725" s="154"/>
    </row>
    <row r="2726" spans="1:21" ht="15" customHeight="1" x14ac:dyDescent="0.3">
      <c r="A2726" t="str">
        <f t="shared" si="44"/>
        <v/>
      </c>
      <c r="B2726" t="s">
        <v>13</v>
      </c>
      <c r="C2726">
        <v>22</v>
      </c>
      <c r="D2726" s="100" t="s">
        <v>31</v>
      </c>
      <c r="E2726" t="s">
        <v>720</v>
      </c>
      <c r="F2726" t="s">
        <v>18</v>
      </c>
      <c r="G2726" t="s">
        <v>699</v>
      </c>
      <c r="H2726" s="128">
        <v>0.35670000000000002</v>
      </c>
      <c r="J2726" s="110">
        <v>0.17190000000000003</v>
      </c>
      <c r="L2726">
        <v>5000</v>
      </c>
      <c r="M2726">
        <v>500000</v>
      </c>
      <c r="N2726" s="105">
        <v>44197</v>
      </c>
      <c r="O2726" s="105">
        <v>44377</v>
      </c>
      <c r="P2726" t="s">
        <v>718</v>
      </c>
      <c r="R2726" s="154"/>
      <c r="S2726" s="154"/>
      <c r="T2726" s="154"/>
      <c r="U2726" s="154"/>
    </row>
    <row r="2727" spans="1:21" ht="15" customHeight="1" x14ac:dyDescent="0.3">
      <c r="A2727" t="str">
        <f t="shared" si="44"/>
        <v>23-3-U-SmartPAY36</v>
      </c>
      <c r="B2727" t="s">
        <v>13</v>
      </c>
      <c r="C2727">
        <v>23</v>
      </c>
      <c r="D2727" s="100" t="s">
        <v>32</v>
      </c>
      <c r="E2727" t="s">
        <v>716</v>
      </c>
      <c r="F2727" t="s">
        <v>16</v>
      </c>
      <c r="G2727" t="s">
        <v>699</v>
      </c>
      <c r="H2727" s="128">
        <v>0.31329999999999997</v>
      </c>
      <c r="I2727" s="110">
        <v>0.1663</v>
      </c>
      <c r="L2727">
        <v>5000</v>
      </c>
      <c r="M2727">
        <v>500000</v>
      </c>
      <c r="N2727" s="105">
        <v>44197</v>
      </c>
      <c r="O2727" s="105">
        <v>44377</v>
      </c>
      <c r="P2727" t="s">
        <v>718</v>
      </c>
      <c r="R2727" s="154"/>
      <c r="S2727" s="154"/>
      <c r="T2727" s="154"/>
      <c r="U2727" s="154"/>
    </row>
    <row r="2728" spans="1:21" ht="15" customHeight="1" x14ac:dyDescent="0.3">
      <c r="A2728" t="str">
        <f t="shared" si="44"/>
        <v>23-4-E7-SmartPAY36</v>
      </c>
      <c r="B2728" t="s">
        <v>13</v>
      </c>
      <c r="C2728">
        <v>23</v>
      </c>
      <c r="D2728" s="100" t="s">
        <v>32</v>
      </c>
      <c r="E2728" t="s">
        <v>17</v>
      </c>
      <c r="F2728" t="s">
        <v>18</v>
      </c>
      <c r="G2728" t="s">
        <v>699</v>
      </c>
      <c r="H2728" s="128">
        <v>0.31329999999999997</v>
      </c>
      <c r="I2728" s="110">
        <v>0.1663</v>
      </c>
      <c r="J2728" s="110">
        <v>0.1663</v>
      </c>
      <c r="L2728">
        <v>5000</v>
      </c>
      <c r="M2728">
        <v>500000</v>
      </c>
      <c r="N2728" s="105">
        <v>44197</v>
      </c>
      <c r="O2728" s="105">
        <v>44377</v>
      </c>
      <c r="P2728" t="s">
        <v>718</v>
      </c>
      <c r="R2728" s="154"/>
      <c r="S2728" s="154"/>
      <c r="T2728" s="154"/>
      <c r="U2728" s="154"/>
    </row>
    <row r="2729" spans="1:21" ht="15" customHeight="1" x14ac:dyDescent="0.3">
      <c r="A2729" t="str">
        <f t="shared" si="44"/>
        <v>23-3-EW-SmartPAY36</v>
      </c>
      <c r="B2729" t="s">
        <v>13</v>
      </c>
      <c r="C2729">
        <v>23</v>
      </c>
      <c r="D2729" s="100" t="s">
        <v>32</v>
      </c>
      <c r="E2729" t="s">
        <v>19</v>
      </c>
      <c r="F2729" t="s">
        <v>16</v>
      </c>
      <c r="G2729" t="s">
        <v>699</v>
      </c>
      <c r="H2729" s="128">
        <v>0.31329999999999997</v>
      </c>
      <c r="I2729" s="110">
        <v>0.1663</v>
      </c>
      <c r="K2729" s="110">
        <v>0.1663</v>
      </c>
      <c r="L2729">
        <v>5000</v>
      </c>
      <c r="M2729">
        <v>500000</v>
      </c>
      <c r="N2729" s="105">
        <v>44197</v>
      </c>
      <c r="O2729" s="105">
        <v>44377</v>
      </c>
      <c r="P2729" t="s">
        <v>718</v>
      </c>
      <c r="R2729" s="154"/>
      <c r="S2729" s="154"/>
      <c r="T2729" s="154"/>
      <c r="U2729" s="154"/>
    </row>
    <row r="2730" spans="1:21" ht="15" customHeight="1" x14ac:dyDescent="0.3">
      <c r="A2730" t="str">
        <f t="shared" si="44"/>
        <v>23-4-3RATE-SmartPAY36</v>
      </c>
      <c r="B2730" t="s">
        <v>13</v>
      </c>
      <c r="C2730">
        <v>23</v>
      </c>
      <c r="D2730" s="100" t="s">
        <v>32</v>
      </c>
      <c r="E2730" t="s">
        <v>719</v>
      </c>
      <c r="F2730" t="s">
        <v>18</v>
      </c>
      <c r="G2730" t="s">
        <v>699</v>
      </c>
      <c r="H2730" s="128">
        <v>0.31329999999999997</v>
      </c>
      <c r="I2730" s="110">
        <v>0.1663</v>
      </c>
      <c r="J2730" s="110">
        <v>0.1663</v>
      </c>
      <c r="K2730" s="110">
        <v>0.1663</v>
      </c>
      <c r="L2730">
        <v>5000</v>
      </c>
      <c r="M2730">
        <v>500000</v>
      </c>
      <c r="N2730" s="105">
        <v>44197</v>
      </c>
      <c r="O2730" s="105">
        <v>44377</v>
      </c>
      <c r="P2730" t="s">
        <v>718</v>
      </c>
      <c r="R2730" s="154"/>
      <c r="S2730" s="154"/>
      <c r="T2730" s="154"/>
      <c r="U2730" s="154"/>
    </row>
    <row r="2731" spans="1:21" ht="15" customHeight="1" x14ac:dyDescent="0.3">
      <c r="A2731" t="str">
        <f t="shared" si="44"/>
        <v/>
      </c>
      <c r="B2731" t="s">
        <v>13</v>
      </c>
      <c r="C2731">
        <v>23</v>
      </c>
      <c r="D2731" s="100" t="s">
        <v>32</v>
      </c>
      <c r="E2731" t="s">
        <v>720</v>
      </c>
      <c r="F2731" t="s">
        <v>18</v>
      </c>
      <c r="G2731" t="s">
        <v>699</v>
      </c>
      <c r="H2731" s="128">
        <v>0.31329999999999997</v>
      </c>
      <c r="J2731" s="110">
        <v>0.1663</v>
      </c>
      <c r="L2731">
        <v>5000</v>
      </c>
      <c r="M2731">
        <v>500000</v>
      </c>
      <c r="N2731" s="105">
        <v>44197</v>
      </c>
      <c r="O2731" s="105">
        <v>44377</v>
      </c>
      <c r="P2731" t="s">
        <v>718</v>
      </c>
      <c r="R2731" s="154"/>
      <c r="S2731" s="154"/>
      <c r="T2731" s="154"/>
      <c r="U2731" s="154"/>
    </row>
    <row r="2732" spans="1:21" ht="15" customHeight="1" x14ac:dyDescent="0.3">
      <c r="A2732" t="str">
        <f t="shared" si="44"/>
        <v>10-3-U-SmartPAY12_Renewal</v>
      </c>
      <c r="B2732" t="s">
        <v>13</v>
      </c>
      <c r="C2732">
        <v>10</v>
      </c>
      <c r="D2732" s="100" t="s">
        <v>14</v>
      </c>
      <c r="E2732" t="s">
        <v>716</v>
      </c>
      <c r="F2732" t="s">
        <v>16</v>
      </c>
      <c r="G2732" t="s">
        <v>741</v>
      </c>
      <c r="H2732" s="128">
        <v>0.32900000000000001</v>
      </c>
      <c r="I2732" s="110">
        <v>0.16750000000000001</v>
      </c>
      <c r="L2732">
        <v>5000</v>
      </c>
      <c r="M2732">
        <v>500000</v>
      </c>
      <c r="N2732" s="105">
        <v>44197</v>
      </c>
      <c r="O2732" s="105">
        <v>44377</v>
      </c>
      <c r="P2732" t="s">
        <v>718</v>
      </c>
      <c r="R2732" s="154"/>
      <c r="S2732" s="154"/>
      <c r="T2732" s="154"/>
      <c r="U2732" s="154"/>
    </row>
    <row r="2733" spans="1:21" ht="15" customHeight="1" x14ac:dyDescent="0.3">
      <c r="A2733" t="str">
        <f t="shared" si="44"/>
        <v>10-4-E7-SmartPAY12_Renewal</v>
      </c>
      <c r="B2733" t="s">
        <v>13</v>
      </c>
      <c r="C2733">
        <v>10</v>
      </c>
      <c r="D2733" s="100" t="s">
        <v>14</v>
      </c>
      <c r="E2733" t="s">
        <v>17</v>
      </c>
      <c r="F2733" t="s">
        <v>18</v>
      </c>
      <c r="G2733" t="s">
        <v>741</v>
      </c>
      <c r="H2733" s="128">
        <v>0.32900000000000001</v>
      </c>
      <c r="I2733" s="110">
        <v>0.16750000000000001</v>
      </c>
      <c r="J2733" s="110">
        <v>0.16750000000000001</v>
      </c>
      <c r="L2733">
        <v>5000</v>
      </c>
      <c r="M2733">
        <v>500000</v>
      </c>
      <c r="N2733" s="105">
        <v>44197</v>
      </c>
      <c r="O2733" s="105">
        <v>44377</v>
      </c>
      <c r="P2733" t="s">
        <v>718</v>
      </c>
      <c r="R2733" s="154"/>
      <c r="S2733" s="154"/>
      <c r="T2733" s="154"/>
      <c r="U2733" s="154"/>
    </row>
    <row r="2734" spans="1:21" ht="15" customHeight="1" x14ac:dyDescent="0.3">
      <c r="A2734" t="str">
        <f t="shared" si="44"/>
        <v>10-3-EW-SmartPAY12_Renewal</v>
      </c>
      <c r="B2734" t="s">
        <v>13</v>
      </c>
      <c r="C2734">
        <v>10</v>
      </c>
      <c r="D2734" s="100" t="s">
        <v>14</v>
      </c>
      <c r="E2734" t="s">
        <v>19</v>
      </c>
      <c r="F2734" t="s">
        <v>16</v>
      </c>
      <c r="G2734" t="s">
        <v>741</v>
      </c>
      <c r="H2734" s="128">
        <v>0.32900000000000001</v>
      </c>
      <c r="I2734" s="110">
        <v>0.16750000000000001</v>
      </c>
      <c r="K2734" s="110">
        <v>0.16750000000000001</v>
      </c>
      <c r="L2734">
        <v>5000</v>
      </c>
      <c r="M2734">
        <v>500000</v>
      </c>
      <c r="N2734" s="105">
        <v>44197</v>
      </c>
      <c r="O2734" s="105">
        <v>44377</v>
      </c>
      <c r="P2734" t="s">
        <v>718</v>
      </c>
      <c r="R2734" s="154"/>
      <c r="S2734" s="154"/>
      <c r="T2734" s="154"/>
      <c r="U2734" s="154"/>
    </row>
    <row r="2735" spans="1:21" ht="15" customHeight="1" x14ac:dyDescent="0.3">
      <c r="A2735" t="str">
        <f t="shared" si="44"/>
        <v>10-4-3RATE-SmartPAY12_Renewal</v>
      </c>
      <c r="B2735" t="s">
        <v>13</v>
      </c>
      <c r="C2735">
        <v>10</v>
      </c>
      <c r="D2735" s="100" t="s">
        <v>14</v>
      </c>
      <c r="E2735" t="s">
        <v>719</v>
      </c>
      <c r="F2735" t="s">
        <v>18</v>
      </c>
      <c r="G2735" t="s">
        <v>741</v>
      </c>
      <c r="H2735" s="128">
        <v>0.32900000000000001</v>
      </c>
      <c r="I2735" s="110">
        <v>0.16750000000000001</v>
      </c>
      <c r="J2735" s="110">
        <v>0.16750000000000001</v>
      </c>
      <c r="K2735" s="110">
        <v>0.16750000000000001</v>
      </c>
      <c r="L2735">
        <v>5000</v>
      </c>
      <c r="M2735">
        <v>500000</v>
      </c>
      <c r="N2735" s="105">
        <v>44197</v>
      </c>
      <c r="O2735" s="105">
        <v>44377</v>
      </c>
      <c r="P2735" t="s">
        <v>718</v>
      </c>
      <c r="R2735" s="154"/>
      <c r="S2735" s="154"/>
      <c r="T2735" s="154"/>
      <c r="U2735" s="154"/>
    </row>
    <row r="2736" spans="1:21" ht="15" customHeight="1" x14ac:dyDescent="0.3">
      <c r="A2736" t="str">
        <f t="shared" si="44"/>
        <v/>
      </c>
      <c r="B2736" t="s">
        <v>13</v>
      </c>
      <c r="C2736">
        <v>10</v>
      </c>
      <c r="D2736" s="100" t="s">
        <v>14</v>
      </c>
      <c r="E2736" t="s">
        <v>720</v>
      </c>
      <c r="F2736" t="s">
        <v>18</v>
      </c>
      <c r="G2736" t="s">
        <v>741</v>
      </c>
      <c r="H2736" s="128">
        <v>0.32900000000000001</v>
      </c>
      <c r="J2736" s="110">
        <v>0.16750000000000001</v>
      </c>
      <c r="L2736">
        <v>5000</v>
      </c>
      <c r="M2736">
        <v>500000</v>
      </c>
      <c r="N2736" s="105">
        <v>44197</v>
      </c>
      <c r="O2736" s="105">
        <v>44377</v>
      </c>
      <c r="P2736" t="s">
        <v>718</v>
      </c>
      <c r="R2736" s="154"/>
      <c r="S2736" s="154"/>
      <c r="T2736" s="154"/>
      <c r="U2736" s="154"/>
    </row>
    <row r="2737" spans="1:21" ht="15" customHeight="1" x14ac:dyDescent="0.3">
      <c r="A2737" t="str">
        <f t="shared" si="44"/>
        <v>11-3-U-SmartPAY12_Renewal</v>
      </c>
      <c r="B2737" t="s">
        <v>13</v>
      </c>
      <c r="C2737">
        <v>11</v>
      </c>
      <c r="D2737" s="100" t="s">
        <v>20</v>
      </c>
      <c r="E2737" t="s">
        <v>716</v>
      </c>
      <c r="F2737" t="s">
        <v>16</v>
      </c>
      <c r="G2737" t="s">
        <v>741</v>
      </c>
      <c r="H2737" s="128">
        <v>0.33900000000000002</v>
      </c>
      <c r="I2737" s="110">
        <v>0.16700000000000001</v>
      </c>
      <c r="L2737">
        <v>5000</v>
      </c>
      <c r="M2737">
        <v>500000</v>
      </c>
      <c r="N2737" s="105">
        <v>44197</v>
      </c>
      <c r="O2737" s="105">
        <v>44377</v>
      </c>
      <c r="P2737" t="s">
        <v>718</v>
      </c>
      <c r="R2737" s="154"/>
      <c r="S2737" s="154"/>
      <c r="T2737" s="154"/>
      <c r="U2737" s="154"/>
    </row>
    <row r="2738" spans="1:21" ht="15" customHeight="1" x14ac:dyDescent="0.3">
      <c r="A2738" t="str">
        <f t="shared" si="44"/>
        <v>11-4-E7-SmartPAY12_Renewal</v>
      </c>
      <c r="B2738" t="s">
        <v>13</v>
      </c>
      <c r="C2738">
        <v>11</v>
      </c>
      <c r="D2738" s="100" t="s">
        <v>20</v>
      </c>
      <c r="E2738" t="s">
        <v>17</v>
      </c>
      <c r="F2738" t="s">
        <v>18</v>
      </c>
      <c r="G2738" t="s">
        <v>741</v>
      </c>
      <c r="H2738" s="128">
        <v>0.33900000000000002</v>
      </c>
      <c r="I2738" s="110">
        <v>0.16700000000000001</v>
      </c>
      <c r="J2738" s="110">
        <v>0.16700000000000001</v>
      </c>
      <c r="L2738">
        <v>5000</v>
      </c>
      <c r="M2738">
        <v>500000</v>
      </c>
      <c r="N2738" s="105">
        <v>44197</v>
      </c>
      <c r="O2738" s="105">
        <v>44377</v>
      </c>
      <c r="P2738" t="s">
        <v>718</v>
      </c>
      <c r="R2738" s="154"/>
      <c r="S2738" s="154"/>
      <c r="T2738" s="154"/>
      <c r="U2738" s="154"/>
    </row>
    <row r="2739" spans="1:21" ht="15" customHeight="1" x14ac:dyDescent="0.3">
      <c r="A2739" t="str">
        <f t="shared" si="44"/>
        <v>11-3-EW-SmartPAY12_Renewal</v>
      </c>
      <c r="B2739" t="s">
        <v>13</v>
      </c>
      <c r="C2739">
        <v>11</v>
      </c>
      <c r="D2739" s="100" t="s">
        <v>20</v>
      </c>
      <c r="E2739" t="s">
        <v>19</v>
      </c>
      <c r="F2739" t="s">
        <v>16</v>
      </c>
      <c r="G2739" t="s">
        <v>741</v>
      </c>
      <c r="H2739" s="128">
        <v>0.33900000000000002</v>
      </c>
      <c r="I2739" s="110">
        <v>0.16700000000000001</v>
      </c>
      <c r="K2739" s="110">
        <v>0.16700000000000001</v>
      </c>
      <c r="L2739">
        <v>5000</v>
      </c>
      <c r="M2739">
        <v>500000</v>
      </c>
      <c r="N2739" s="105">
        <v>44197</v>
      </c>
      <c r="O2739" s="105">
        <v>44377</v>
      </c>
      <c r="P2739" t="s">
        <v>718</v>
      </c>
      <c r="R2739" s="154"/>
      <c r="S2739" s="154"/>
      <c r="T2739" s="154"/>
      <c r="U2739" s="154"/>
    </row>
    <row r="2740" spans="1:21" ht="15" customHeight="1" x14ac:dyDescent="0.3">
      <c r="A2740" t="str">
        <f t="shared" si="44"/>
        <v>11-4-3RATE-SmartPAY12_Renewal</v>
      </c>
      <c r="B2740" t="s">
        <v>13</v>
      </c>
      <c r="C2740">
        <v>11</v>
      </c>
      <c r="D2740" s="100" t="s">
        <v>20</v>
      </c>
      <c r="E2740" t="s">
        <v>719</v>
      </c>
      <c r="F2740" t="s">
        <v>18</v>
      </c>
      <c r="G2740" t="s">
        <v>741</v>
      </c>
      <c r="H2740" s="128">
        <v>0.33900000000000002</v>
      </c>
      <c r="I2740" s="110">
        <v>0.16700000000000001</v>
      </c>
      <c r="J2740" s="110">
        <v>0.16700000000000001</v>
      </c>
      <c r="K2740" s="110">
        <v>0.16700000000000001</v>
      </c>
      <c r="L2740">
        <v>5000</v>
      </c>
      <c r="M2740">
        <v>500000</v>
      </c>
      <c r="N2740" s="105">
        <v>44197</v>
      </c>
      <c r="O2740" s="105">
        <v>44377</v>
      </c>
      <c r="P2740" t="s">
        <v>718</v>
      </c>
      <c r="R2740" s="154"/>
      <c r="S2740" s="154"/>
      <c r="T2740" s="154"/>
      <c r="U2740" s="154"/>
    </row>
    <row r="2741" spans="1:21" ht="15" customHeight="1" x14ac:dyDescent="0.3">
      <c r="A2741" t="str">
        <f t="shared" si="44"/>
        <v/>
      </c>
      <c r="B2741" t="s">
        <v>13</v>
      </c>
      <c r="C2741">
        <v>11</v>
      </c>
      <c r="D2741" s="100" t="s">
        <v>20</v>
      </c>
      <c r="E2741" t="s">
        <v>720</v>
      </c>
      <c r="F2741" t="s">
        <v>18</v>
      </c>
      <c r="G2741" t="s">
        <v>741</v>
      </c>
      <c r="H2741" s="128">
        <v>0.33900000000000002</v>
      </c>
      <c r="J2741" s="110">
        <v>0.16700000000000001</v>
      </c>
      <c r="L2741">
        <v>5000</v>
      </c>
      <c r="M2741">
        <v>500000</v>
      </c>
      <c r="N2741" s="105">
        <v>44197</v>
      </c>
      <c r="O2741" s="105">
        <v>44377</v>
      </c>
      <c r="P2741" t="s">
        <v>718</v>
      </c>
      <c r="R2741" s="154"/>
      <c r="S2741" s="154"/>
      <c r="T2741" s="154"/>
      <c r="U2741" s="154"/>
    </row>
    <row r="2742" spans="1:21" ht="15" customHeight="1" x14ac:dyDescent="0.3">
      <c r="A2742" t="str">
        <f t="shared" si="44"/>
        <v>12-3-U-SmartPAY12_Renewal</v>
      </c>
      <c r="B2742" t="s">
        <v>13</v>
      </c>
      <c r="C2742">
        <v>12</v>
      </c>
      <c r="D2742" s="100" t="s">
        <v>21</v>
      </c>
      <c r="E2742" t="s">
        <v>716</v>
      </c>
      <c r="F2742" t="s">
        <v>16</v>
      </c>
      <c r="G2742" t="s">
        <v>741</v>
      </c>
      <c r="H2742" s="128">
        <v>0.25590000000000002</v>
      </c>
      <c r="I2742" s="110">
        <v>0.15990000000000001</v>
      </c>
      <c r="L2742">
        <v>5000</v>
      </c>
      <c r="M2742">
        <v>500000</v>
      </c>
      <c r="N2742" s="105">
        <v>44197</v>
      </c>
      <c r="O2742" s="105">
        <v>44377</v>
      </c>
      <c r="P2742" t="s">
        <v>718</v>
      </c>
      <c r="R2742" s="154"/>
      <c r="S2742" s="154"/>
      <c r="T2742" s="154"/>
      <c r="U2742" s="154"/>
    </row>
    <row r="2743" spans="1:21" ht="15" customHeight="1" x14ac:dyDescent="0.3">
      <c r="A2743" t="str">
        <f t="shared" si="44"/>
        <v>12-4-E7-SmartPAY12_Renewal</v>
      </c>
      <c r="B2743" t="s">
        <v>13</v>
      </c>
      <c r="C2743">
        <v>12</v>
      </c>
      <c r="D2743" s="100" t="s">
        <v>21</v>
      </c>
      <c r="E2743" t="s">
        <v>17</v>
      </c>
      <c r="F2743" t="s">
        <v>18</v>
      </c>
      <c r="G2743" t="s">
        <v>741</v>
      </c>
      <c r="H2743" s="128">
        <v>0.25590000000000002</v>
      </c>
      <c r="I2743" s="110">
        <v>0.15990000000000001</v>
      </c>
      <c r="J2743" s="110">
        <v>0.15990000000000001</v>
      </c>
      <c r="L2743">
        <v>5000</v>
      </c>
      <c r="M2743">
        <v>500000</v>
      </c>
      <c r="N2743" s="105">
        <v>44197</v>
      </c>
      <c r="O2743" s="105">
        <v>44377</v>
      </c>
      <c r="P2743" t="s">
        <v>718</v>
      </c>
      <c r="R2743" s="154"/>
      <c r="S2743" s="154"/>
      <c r="T2743" s="154"/>
      <c r="U2743" s="154"/>
    </row>
    <row r="2744" spans="1:21" ht="15" customHeight="1" x14ac:dyDescent="0.3">
      <c r="A2744" t="str">
        <f t="shared" si="44"/>
        <v>12-3-EW-SmartPAY12_Renewal</v>
      </c>
      <c r="B2744" t="s">
        <v>13</v>
      </c>
      <c r="C2744">
        <v>12</v>
      </c>
      <c r="D2744" s="100" t="s">
        <v>21</v>
      </c>
      <c r="E2744" t="s">
        <v>19</v>
      </c>
      <c r="F2744" t="s">
        <v>16</v>
      </c>
      <c r="G2744" t="s">
        <v>741</v>
      </c>
      <c r="H2744" s="128">
        <v>0.25590000000000002</v>
      </c>
      <c r="I2744" s="110">
        <v>0.15990000000000001</v>
      </c>
      <c r="K2744" s="110">
        <v>0.15990000000000001</v>
      </c>
      <c r="L2744">
        <v>5000</v>
      </c>
      <c r="M2744">
        <v>500000</v>
      </c>
      <c r="N2744" s="105">
        <v>44197</v>
      </c>
      <c r="O2744" s="105">
        <v>44377</v>
      </c>
      <c r="P2744" t="s">
        <v>718</v>
      </c>
      <c r="R2744" s="154"/>
      <c r="S2744" s="154"/>
      <c r="T2744" s="154"/>
      <c r="U2744" s="154"/>
    </row>
    <row r="2745" spans="1:21" ht="15" customHeight="1" x14ac:dyDescent="0.3">
      <c r="A2745" t="str">
        <f t="shared" si="44"/>
        <v>12-4-3RATE-SmartPAY12_Renewal</v>
      </c>
      <c r="B2745" t="s">
        <v>13</v>
      </c>
      <c r="C2745">
        <v>12</v>
      </c>
      <c r="D2745" s="100" t="s">
        <v>21</v>
      </c>
      <c r="E2745" t="s">
        <v>719</v>
      </c>
      <c r="F2745" t="s">
        <v>18</v>
      </c>
      <c r="G2745" t="s">
        <v>741</v>
      </c>
      <c r="H2745" s="128">
        <v>0.25590000000000002</v>
      </c>
      <c r="I2745" s="110">
        <v>0.15990000000000001</v>
      </c>
      <c r="J2745" s="110">
        <v>0.15990000000000001</v>
      </c>
      <c r="K2745" s="110">
        <v>0.15990000000000001</v>
      </c>
      <c r="L2745">
        <v>5000</v>
      </c>
      <c r="M2745">
        <v>500000</v>
      </c>
      <c r="N2745" s="105">
        <v>44197</v>
      </c>
      <c r="O2745" s="105">
        <v>44377</v>
      </c>
      <c r="P2745" t="s">
        <v>718</v>
      </c>
      <c r="R2745" s="154"/>
      <c r="S2745" s="154"/>
      <c r="T2745" s="154"/>
      <c r="U2745" s="154"/>
    </row>
    <row r="2746" spans="1:21" ht="15" customHeight="1" x14ac:dyDescent="0.3">
      <c r="A2746" t="str">
        <f t="shared" si="44"/>
        <v/>
      </c>
      <c r="B2746" t="s">
        <v>13</v>
      </c>
      <c r="C2746">
        <v>12</v>
      </c>
      <c r="D2746" s="100" t="s">
        <v>21</v>
      </c>
      <c r="E2746" t="s">
        <v>720</v>
      </c>
      <c r="F2746" t="s">
        <v>18</v>
      </c>
      <c r="G2746" t="s">
        <v>741</v>
      </c>
      <c r="H2746" s="128">
        <v>0.25590000000000002</v>
      </c>
      <c r="J2746" s="110">
        <v>0.15990000000000001</v>
      </c>
      <c r="L2746">
        <v>5000</v>
      </c>
      <c r="M2746">
        <v>500000</v>
      </c>
      <c r="N2746" s="105">
        <v>44197</v>
      </c>
      <c r="O2746" s="105">
        <v>44377</v>
      </c>
      <c r="P2746" t="s">
        <v>718</v>
      </c>
      <c r="R2746" s="154"/>
      <c r="S2746" s="154"/>
      <c r="T2746" s="154"/>
      <c r="U2746" s="154"/>
    </row>
    <row r="2747" spans="1:21" ht="15" customHeight="1" x14ac:dyDescent="0.3">
      <c r="A2747" t="str">
        <f t="shared" si="44"/>
        <v>13-3-U-SmartPAY12_Renewal</v>
      </c>
      <c r="B2747" t="s">
        <v>13</v>
      </c>
      <c r="C2747">
        <v>13</v>
      </c>
      <c r="D2747" s="100" t="s">
        <v>22</v>
      </c>
      <c r="E2747" t="s">
        <v>716</v>
      </c>
      <c r="F2747" t="s">
        <v>16</v>
      </c>
      <c r="G2747" t="s">
        <v>741</v>
      </c>
      <c r="H2747" s="128">
        <v>0.30109999999999998</v>
      </c>
      <c r="I2747" s="110">
        <v>0.18490000000000001</v>
      </c>
      <c r="L2747">
        <v>5000</v>
      </c>
      <c r="M2747">
        <v>500000</v>
      </c>
      <c r="N2747" s="105">
        <v>44197</v>
      </c>
      <c r="O2747" s="105">
        <v>44377</v>
      </c>
      <c r="P2747" t="s">
        <v>718</v>
      </c>
      <c r="R2747" s="154"/>
      <c r="S2747" s="154"/>
      <c r="T2747" s="154"/>
      <c r="U2747" s="154"/>
    </row>
    <row r="2748" spans="1:21" ht="15" customHeight="1" x14ac:dyDescent="0.3">
      <c r="A2748" t="str">
        <f t="shared" si="44"/>
        <v>13-4-E7-SmartPAY12_Renewal</v>
      </c>
      <c r="B2748" t="s">
        <v>13</v>
      </c>
      <c r="C2748">
        <v>13</v>
      </c>
      <c r="D2748" s="100" t="s">
        <v>22</v>
      </c>
      <c r="E2748" t="s">
        <v>17</v>
      </c>
      <c r="F2748" t="s">
        <v>18</v>
      </c>
      <c r="G2748" t="s">
        <v>741</v>
      </c>
      <c r="H2748" s="128">
        <v>0.30109999999999998</v>
      </c>
      <c r="I2748" s="110">
        <v>0.18490000000000001</v>
      </c>
      <c r="J2748" s="110">
        <v>0.18490000000000001</v>
      </c>
      <c r="L2748">
        <v>5000</v>
      </c>
      <c r="M2748">
        <v>500000</v>
      </c>
      <c r="N2748" s="105">
        <v>44197</v>
      </c>
      <c r="O2748" s="105">
        <v>44377</v>
      </c>
      <c r="P2748" t="s">
        <v>718</v>
      </c>
      <c r="R2748" s="154"/>
      <c r="S2748" s="154"/>
      <c r="T2748" s="154"/>
      <c r="U2748" s="154"/>
    </row>
    <row r="2749" spans="1:21" ht="15" customHeight="1" x14ac:dyDescent="0.3">
      <c r="A2749" t="str">
        <f t="shared" si="44"/>
        <v>13-3-EW-SmartPAY12_Renewal</v>
      </c>
      <c r="B2749" t="s">
        <v>13</v>
      </c>
      <c r="C2749">
        <v>13</v>
      </c>
      <c r="D2749" s="100" t="s">
        <v>22</v>
      </c>
      <c r="E2749" t="s">
        <v>19</v>
      </c>
      <c r="F2749" t="s">
        <v>16</v>
      </c>
      <c r="G2749" t="s">
        <v>741</v>
      </c>
      <c r="H2749" s="128">
        <v>0.30109999999999998</v>
      </c>
      <c r="I2749" s="110">
        <v>0.18490000000000001</v>
      </c>
      <c r="K2749" s="110">
        <v>0.18490000000000001</v>
      </c>
      <c r="L2749">
        <v>5000</v>
      </c>
      <c r="M2749">
        <v>500000</v>
      </c>
      <c r="N2749" s="105">
        <v>44197</v>
      </c>
      <c r="O2749" s="105">
        <v>44377</v>
      </c>
      <c r="P2749" t="s">
        <v>718</v>
      </c>
      <c r="R2749" s="154"/>
      <c r="S2749" s="154"/>
      <c r="T2749" s="154"/>
      <c r="U2749" s="154"/>
    </row>
    <row r="2750" spans="1:21" ht="15" customHeight="1" x14ac:dyDescent="0.3">
      <c r="A2750" t="str">
        <f t="shared" si="44"/>
        <v>13-4-3RATE-SmartPAY12_Renewal</v>
      </c>
      <c r="B2750" t="s">
        <v>13</v>
      </c>
      <c r="C2750">
        <v>13</v>
      </c>
      <c r="D2750" s="100" t="s">
        <v>22</v>
      </c>
      <c r="E2750" t="s">
        <v>719</v>
      </c>
      <c r="F2750" t="s">
        <v>18</v>
      </c>
      <c r="G2750" t="s">
        <v>741</v>
      </c>
      <c r="H2750" s="128">
        <v>0.30109999999999998</v>
      </c>
      <c r="I2750" s="110">
        <v>0.18490000000000001</v>
      </c>
      <c r="J2750" s="110">
        <v>0.18490000000000001</v>
      </c>
      <c r="K2750" s="110">
        <v>0.18490000000000001</v>
      </c>
      <c r="L2750">
        <v>5000</v>
      </c>
      <c r="M2750">
        <v>500000</v>
      </c>
      <c r="N2750" s="105">
        <v>44197</v>
      </c>
      <c r="O2750" s="105">
        <v>44377</v>
      </c>
      <c r="P2750" t="s">
        <v>718</v>
      </c>
      <c r="R2750" s="154"/>
      <c r="S2750" s="154"/>
      <c r="T2750" s="154"/>
      <c r="U2750" s="154"/>
    </row>
    <row r="2751" spans="1:21" ht="15" customHeight="1" x14ac:dyDescent="0.3">
      <c r="A2751" t="str">
        <f t="shared" si="44"/>
        <v/>
      </c>
      <c r="B2751" t="s">
        <v>13</v>
      </c>
      <c r="C2751">
        <v>13</v>
      </c>
      <c r="D2751" s="100" t="s">
        <v>22</v>
      </c>
      <c r="E2751" t="s">
        <v>720</v>
      </c>
      <c r="F2751" t="s">
        <v>18</v>
      </c>
      <c r="G2751" t="s">
        <v>741</v>
      </c>
      <c r="H2751" s="128">
        <v>0.30109999999999998</v>
      </c>
      <c r="J2751" s="110">
        <v>0.18490000000000001</v>
      </c>
      <c r="L2751">
        <v>5000</v>
      </c>
      <c r="M2751">
        <v>500000</v>
      </c>
      <c r="N2751" s="105">
        <v>44197</v>
      </c>
      <c r="O2751" s="105">
        <v>44377</v>
      </c>
      <c r="P2751" t="s">
        <v>718</v>
      </c>
      <c r="R2751" s="154"/>
      <c r="S2751" s="154"/>
      <c r="T2751" s="154"/>
      <c r="U2751" s="154"/>
    </row>
    <row r="2752" spans="1:21" ht="15" customHeight="1" x14ac:dyDescent="0.3">
      <c r="A2752" t="str">
        <f t="shared" si="44"/>
        <v>14-3-U-SmartPAY12_Renewal</v>
      </c>
      <c r="B2752" t="s">
        <v>13</v>
      </c>
      <c r="C2752">
        <v>14</v>
      </c>
      <c r="D2752" s="100" t="s">
        <v>23</v>
      </c>
      <c r="E2752" t="s">
        <v>716</v>
      </c>
      <c r="F2752" t="s">
        <v>16</v>
      </c>
      <c r="G2752" t="s">
        <v>741</v>
      </c>
      <c r="H2752" s="128">
        <v>0.37159999999999999</v>
      </c>
      <c r="I2752" s="110">
        <v>0.17</v>
      </c>
      <c r="L2752">
        <v>5000</v>
      </c>
      <c r="M2752">
        <v>500000</v>
      </c>
      <c r="N2752" s="105">
        <v>44197</v>
      </c>
      <c r="O2752" s="105">
        <v>44377</v>
      </c>
      <c r="P2752" t="s">
        <v>718</v>
      </c>
      <c r="R2752" s="154"/>
      <c r="S2752" s="154"/>
      <c r="T2752" s="154"/>
      <c r="U2752" s="154"/>
    </row>
    <row r="2753" spans="1:21" ht="15" customHeight="1" x14ac:dyDescent="0.3">
      <c r="A2753" t="str">
        <f t="shared" si="44"/>
        <v>14-4-E7-SmartPAY12_Renewal</v>
      </c>
      <c r="B2753" t="s">
        <v>13</v>
      </c>
      <c r="C2753">
        <v>14</v>
      </c>
      <c r="D2753" s="100" t="s">
        <v>23</v>
      </c>
      <c r="E2753" t="s">
        <v>17</v>
      </c>
      <c r="F2753" t="s">
        <v>18</v>
      </c>
      <c r="G2753" t="s">
        <v>741</v>
      </c>
      <c r="H2753" s="128">
        <v>0.37159999999999999</v>
      </c>
      <c r="I2753" s="110">
        <v>0.17</v>
      </c>
      <c r="J2753" s="110">
        <v>0.17</v>
      </c>
      <c r="L2753">
        <v>5000</v>
      </c>
      <c r="M2753">
        <v>500000</v>
      </c>
      <c r="N2753" s="105">
        <v>44197</v>
      </c>
      <c r="O2753" s="105">
        <v>44377</v>
      </c>
      <c r="P2753" t="s">
        <v>718</v>
      </c>
      <c r="R2753" s="154"/>
      <c r="S2753" s="154"/>
      <c r="T2753" s="154"/>
      <c r="U2753" s="154"/>
    </row>
    <row r="2754" spans="1:21" ht="15" customHeight="1" x14ac:dyDescent="0.3">
      <c r="A2754" t="str">
        <f t="shared" si="44"/>
        <v>14-3-EW-SmartPAY12_Renewal</v>
      </c>
      <c r="B2754" t="s">
        <v>13</v>
      </c>
      <c r="C2754">
        <v>14</v>
      </c>
      <c r="D2754" s="100" t="s">
        <v>23</v>
      </c>
      <c r="E2754" t="s">
        <v>19</v>
      </c>
      <c r="F2754" t="s">
        <v>16</v>
      </c>
      <c r="G2754" t="s">
        <v>741</v>
      </c>
      <c r="H2754" s="128">
        <v>0.37159999999999999</v>
      </c>
      <c r="I2754" s="110">
        <v>0.17</v>
      </c>
      <c r="K2754" s="110">
        <v>0.17</v>
      </c>
      <c r="L2754">
        <v>5000</v>
      </c>
      <c r="M2754">
        <v>500000</v>
      </c>
      <c r="N2754" s="105">
        <v>44197</v>
      </c>
      <c r="O2754" s="105">
        <v>44377</v>
      </c>
      <c r="P2754" t="s">
        <v>718</v>
      </c>
      <c r="R2754" s="154"/>
      <c r="S2754" s="154"/>
      <c r="T2754" s="154"/>
      <c r="U2754" s="154"/>
    </row>
    <row r="2755" spans="1:21" ht="15" customHeight="1" x14ac:dyDescent="0.3">
      <c r="A2755" t="str">
        <f t="shared" si="44"/>
        <v>14-4-3RATE-SmartPAY12_Renewal</v>
      </c>
      <c r="B2755" t="s">
        <v>13</v>
      </c>
      <c r="C2755">
        <v>14</v>
      </c>
      <c r="D2755" s="100" t="s">
        <v>23</v>
      </c>
      <c r="E2755" t="s">
        <v>719</v>
      </c>
      <c r="F2755" t="s">
        <v>18</v>
      </c>
      <c r="G2755" t="s">
        <v>741</v>
      </c>
      <c r="H2755" s="128">
        <v>0.37159999999999999</v>
      </c>
      <c r="I2755" s="110">
        <v>0.17</v>
      </c>
      <c r="J2755" s="110">
        <v>0.17</v>
      </c>
      <c r="K2755" s="110">
        <v>0.17</v>
      </c>
      <c r="L2755">
        <v>5000</v>
      </c>
      <c r="M2755">
        <v>500000</v>
      </c>
      <c r="N2755" s="105">
        <v>44197</v>
      </c>
      <c r="O2755" s="105">
        <v>44377</v>
      </c>
      <c r="P2755" t="s">
        <v>718</v>
      </c>
      <c r="R2755" s="154"/>
      <c r="S2755" s="154"/>
      <c r="T2755" s="154"/>
      <c r="U2755" s="154"/>
    </row>
    <row r="2756" spans="1:21" ht="15" customHeight="1" x14ac:dyDescent="0.3">
      <c r="A2756" t="str">
        <f t="shared" si="44"/>
        <v/>
      </c>
      <c r="B2756" t="s">
        <v>13</v>
      </c>
      <c r="C2756">
        <v>14</v>
      </c>
      <c r="D2756" s="100" t="s">
        <v>23</v>
      </c>
      <c r="E2756" t="s">
        <v>720</v>
      </c>
      <c r="F2756" t="s">
        <v>18</v>
      </c>
      <c r="G2756" t="s">
        <v>741</v>
      </c>
      <c r="H2756" s="128">
        <v>0.37159999999999999</v>
      </c>
      <c r="J2756" s="110">
        <v>0.17</v>
      </c>
      <c r="L2756">
        <v>5000</v>
      </c>
      <c r="M2756">
        <v>500000</v>
      </c>
      <c r="N2756" s="105">
        <v>44197</v>
      </c>
      <c r="O2756" s="105">
        <v>44377</v>
      </c>
      <c r="P2756" t="s">
        <v>718</v>
      </c>
      <c r="R2756" s="154"/>
      <c r="S2756" s="154"/>
      <c r="T2756" s="154"/>
      <c r="U2756" s="154"/>
    </row>
    <row r="2757" spans="1:21" ht="15" customHeight="1" x14ac:dyDescent="0.3">
      <c r="A2757" t="str">
        <f t="shared" si="44"/>
        <v>15-3-U-SmartPAY12_Renewal</v>
      </c>
      <c r="B2757" t="s">
        <v>13</v>
      </c>
      <c r="C2757">
        <v>15</v>
      </c>
      <c r="D2757" s="100" t="s">
        <v>24</v>
      </c>
      <c r="E2757" t="s">
        <v>716</v>
      </c>
      <c r="F2757" t="s">
        <v>16</v>
      </c>
      <c r="G2757" t="s">
        <v>741</v>
      </c>
      <c r="H2757" s="128">
        <v>0.34489999999999998</v>
      </c>
      <c r="I2757" s="110">
        <v>0.16889999999999999</v>
      </c>
      <c r="L2757">
        <v>5000</v>
      </c>
      <c r="M2757">
        <v>500000</v>
      </c>
      <c r="N2757" s="105">
        <v>44197</v>
      </c>
      <c r="O2757" s="105">
        <v>44377</v>
      </c>
      <c r="P2757" t="s">
        <v>718</v>
      </c>
      <c r="R2757" s="154"/>
      <c r="S2757" s="154"/>
      <c r="T2757" s="154"/>
      <c r="U2757" s="154"/>
    </row>
    <row r="2758" spans="1:21" ht="15" customHeight="1" x14ac:dyDescent="0.3">
      <c r="A2758" t="str">
        <f t="shared" si="44"/>
        <v>15-4-E7-SmartPAY12_Renewal</v>
      </c>
      <c r="B2758" t="s">
        <v>13</v>
      </c>
      <c r="C2758">
        <v>15</v>
      </c>
      <c r="D2758" s="100" t="s">
        <v>24</v>
      </c>
      <c r="E2758" t="s">
        <v>17</v>
      </c>
      <c r="F2758" t="s">
        <v>18</v>
      </c>
      <c r="G2758" t="s">
        <v>741</v>
      </c>
      <c r="H2758" s="128">
        <v>0.34489999999999998</v>
      </c>
      <c r="I2758" s="110">
        <v>0.16889999999999999</v>
      </c>
      <c r="J2758" s="110">
        <v>0.16889999999999999</v>
      </c>
      <c r="L2758">
        <v>5000</v>
      </c>
      <c r="M2758">
        <v>500000</v>
      </c>
      <c r="N2758" s="105">
        <v>44197</v>
      </c>
      <c r="O2758" s="105">
        <v>44377</v>
      </c>
      <c r="P2758" t="s">
        <v>718</v>
      </c>
      <c r="R2758" s="154"/>
      <c r="S2758" s="154"/>
      <c r="T2758" s="154"/>
      <c r="U2758" s="154"/>
    </row>
    <row r="2759" spans="1:21" ht="15" customHeight="1" x14ac:dyDescent="0.3">
      <c r="A2759" t="str">
        <f t="shared" si="44"/>
        <v>15-3-EW-SmartPAY12_Renewal</v>
      </c>
      <c r="B2759" t="s">
        <v>13</v>
      </c>
      <c r="C2759">
        <v>15</v>
      </c>
      <c r="D2759" s="100" t="s">
        <v>24</v>
      </c>
      <c r="E2759" t="s">
        <v>19</v>
      </c>
      <c r="F2759" t="s">
        <v>16</v>
      </c>
      <c r="G2759" t="s">
        <v>741</v>
      </c>
      <c r="H2759" s="128">
        <v>0.34489999999999998</v>
      </c>
      <c r="I2759" s="110">
        <v>0.16889999999999999</v>
      </c>
      <c r="K2759" s="110">
        <v>0.16889999999999999</v>
      </c>
      <c r="L2759">
        <v>5000</v>
      </c>
      <c r="M2759">
        <v>500000</v>
      </c>
      <c r="N2759" s="105">
        <v>44197</v>
      </c>
      <c r="O2759" s="105">
        <v>44377</v>
      </c>
      <c r="P2759" t="s">
        <v>718</v>
      </c>
      <c r="R2759" s="154"/>
      <c r="S2759" s="154"/>
      <c r="T2759" s="154"/>
      <c r="U2759" s="154"/>
    </row>
    <row r="2760" spans="1:21" ht="15" customHeight="1" x14ac:dyDescent="0.3">
      <c r="A2760" t="str">
        <f t="shared" si="44"/>
        <v>15-4-3RATE-SmartPAY12_Renewal</v>
      </c>
      <c r="B2760" t="s">
        <v>13</v>
      </c>
      <c r="C2760">
        <v>15</v>
      </c>
      <c r="D2760" s="100" t="s">
        <v>24</v>
      </c>
      <c r="E2760" t="s">
        <v>719</v>
      </c>
      <c r="F2760" t="s">
        <v>18</v>
      </c>
      <c r="G2760" t="s">
        <v>741</v>
      </c>
      <c r="H2760" s="128">
        <v>0.34489999999999998</v>
      </c>
      <c r="I2760" s="110">
        <v>0.16889999999999999</v>
      </c>
      <c r="J2760" s="110">
        <v>0.16889999999999999</v>
      </c>
      <c r="K2760" s="110">
        <v>0.16889999999999999</v>
      </c>
      <c r="L2760">
        <v>5000</v>
      </c>
      <c r="M2760">
        <v>500000</v>
      </c>
      <c r="N2760" s="105">
        <v>44197</v>
      </c>
      <c r="O2760" s="105">
        <v>44377</v>
      </c>
      <c r="P2760" t="s">
        <v>718</v>
      </c>
      <c r="R2760" s="154"/>
      <c r="S2760" s="154"/>
      <c r="T2760" s="154"/>
      <c r="U2760" s="154"/>
    </row>
    <row r="2761" spans="1:21" ht="15" customHeight="1" x14ac:dyDescent="0.3">
      <c r="A2761" t="str">
        <f t="shared" si="44"/>
        <v/>
      </c>
      <c r="B2761" t="s">
        <v>13</v>
      </c>
      <c r="C2761">
        <v>15</v>
      </c>
      <c r="D2761" s="100" t="s">
        <v>24</v>
      </c>
      <c r="E2761" t="s">
        <v>720</v>
      </c>
      <c r="F2761" t="s">
        <v>18</v>
      </c>
      <c r="G2761" t="s">
        <v>741</v>
      </c>
      <c r="H2761" s="128">
        <v>0.34489999999999998</v>
      </c>
      <c r="J2761" s="110">
        <v>0.16889999999999999</v>
      </c>
      <c r="L2761">
        <v>5000</v>
      </c>
      <c r="M2761">
        <v>500000</v>
      </c>
      <c r="N2761" s="105">
        <v>44197</v>
      </c>
      <c r="O2761" s="105">
        <v>44377</v>
      </c>
      <c r="P2761" t="s">
        <v>718</v>
      </c>
      <c r="R2761" s="154"/>
      <c r="S2761" s="154"/>
      <c r="T2761" s="154"/>
      <c r="U2761" s="154"/>
    </row>
    <row r="2762" spans="1:21" ht="15" customHeight="1" x14ac:dyDescent="0.3">
      <c r="A2762" t="str">
        <f t="shared" si="44"/>
        <v>16-3-U-SmartPAY12_Renewal</v>
      </c>
      <c r="B2762" t="s">
        <v>13</v>
      </c>
      <c r="C2762">
        <v>16</v>
      </c>
      <c r="D2762" s="100" t="s">
        <v>25</v>
      </c>
      <c r="E2762" t="s">
        <v>716</v>
      </c>
      <c r="F2762" t="s">
        <v>16</v>
      </c>
      <c r="G2762" t="s">
        <v>741</v>
      </c>
      <c r="H2762" s="128">
        <v>0.29189999999999999</v>
      </c>
      <c r="I2762" s="110">
        <v>0.17129999999999998</v>
      </c>
      <c r="L2762">
        <v>5000</v>
      </c>
      <c r="M2762">
        <v>500000</v>
      </c>
      <c r="N2762" s="105">
        <v>44197</v>
      </c>
      <c r="O2762" s="105">
        <v>44377</v>
      </c>
      <c r="P2762" t="s">
        <v>718</v>
      </c>
      <c r="R2762" s="154"/>
      <c r="S2762" s="154"/>
      <c r="T2762" s="154"/>
      <c r="U2762" s="154"/>
    </row>
    <row r="2763" spans="1:21" ht="15" customHeight="1" x14ac:dyDescent="0.3">
      <c r="A2763" t="str">
        <f t="shared" si="44"/>
        <v>16-4-E7-SmartPAY12_Renewal</v>
      </c>
      <c r="B2763" t="s">
        <v>13</v>
      </c>
      <c r="C2763">
        <v>16</v>
      </c>
      <c r="D2763" s="100" t="s">
        <v>25</v>
      </c>
      <c r="E2763" t="s">
        <v>17</v>
      </c>
      <c r="F2763" t="s">
        <v>18</v>
      </c>
      <c r="G2763" t="s">
        <v>741</v>
      </c>
      <c r="H2763" s="128">
        <v>0.29189999999999999</v>
      </c>
      <c r="I2763" s="110">
        <v>0.17129999999999998</v>
      </c>
      <c r="J2763" s="110">
        <v>0.17129999999999998</v>
      </c>
      <c r="L2763">
        <v>5000</v>
      </c>
      <c r="M2763">
        <v>500000</v>
      </c>
      <c r="N2763" s="105">
        <v>44197</v>
      </c>
      <c r="O2763" s="105">
        <v>44377</v>
      </c>
      <c r="P2763" t="s">
        <v>718</v>
      </c>
      <c r="R2763" s="154"/>
      <c r="S2763" s="154"/>
      <c r="T2763" s="154"/>
      <c r="U2763" s="154"/>
    </row>
    <row r="2764" spans="1:21" ht="15" customHeight="1" x14ac:dyDescent="0.3">
      <c r="A2764" t="str">
        <f t="shared" si="44"/>
        <v>16-3-EW-SmartPAY12_Renewal</v>
      </c>
      <c r="B2764" t="s">
        <v>13</v>
      </c>
      <c r="C2764">
        <v>16</v>
      </c>
      <c r="D2764" s="100" t="s">
        <v>25</v>
      </c>
      <c r="E2764" t="s">
        <v>19</v>
      </c>
      <c r="F2764" t="s">
        <v>16</v>
      </c>
      <c r="G2764" t="s">
        <v>741</v>
      </c>
      <c r="H2764" s="128">
        <v>0.29189999999999999</v>
      </c>
      <c r="I2764" s="110">
        <v>0.17129999999999998</v>
      </c>
      <c r="K2764" s="110">
        <v>0.17129999999999998</v>
      </c>
      <c r="L2764">
        <v>5000</v>
      </c>
      <c r="M2764">
        <v>500000</v>
      </c>
      <c r="N2764" s="105">
        <v>44197</v>
      </c>
      <c r="O2764" s="105">
        <v>44377</v>
      </c>
      <c r="P2764" t="s">
        <v>718</v>
      </c>
      <c r="R2764" s="154"/>
      <c r="S2764" s="154"/>
      <c r="T2764" s="154"/>
      <c r="U2764" s="154"/>
    </row>
    <row r="2765" spans="1:21" ht="15" customHeight="1" x14ac:dyDescent="0.3">
      <c r="A2765" t="str">
        <f t="shared" si="44"/>
        <v>16-4-3RATE-SmartPAY12_Renewal</v>
      </c>
      <c r="B2765" t="s">
        <v>13</v>
      </c>
      <c r="C2765">
        <v>16</v>
      </c>
      <c r="D2765" s="100" t="s">
        <v>25</v>
      </c>
      <c r="E2765" t="s">
        <v>719</v>
      </c>
      <c r="F2765" t="s">
        <v>18</v>
      </c>
      <c r="G2765" t="s">
        <v>741</v>
      </c>
      <c r="H2765" s="128">
        <v>0.29189999999999999</v>
      </c>
      <c r="I2765" s="110">
        <v>0.17129999999999998</v>
      </c>
      <c r="J2765" s="110">
        <v>0.17129999999999998</v>
      </c>
      <c r="K2765" s="110">
        <v>0.17129999999999998</v>
      </c>
      <c r="L2765">
        <v>5000</v>
      </c>
      <c r="M2765">
        <v>500000</v>
      </c>
      <c r="N2765" s="105">
        <v>44197</v>
      </c>
      <c r="O2765" s="105">
        <v>44377</v>
      </c>
      <c r="P2765" t="s">
        <v>718</v>
      </c>
      <c r="R2765" s="154"/>
      <c r="S2765" s="154"/>
      <c r="T2765" s="154"/>
      <c r="U2765" s="154"/>
    </row>
    <row r="2766" spans="1:21" ht="15" customHeight="1" x14ac:dyDescent="0.3">
      <c r="A2766" t="str">
        <f t="shared" si="44"/>
        <v/>
      </c>
      <c r="B2766" t="s">
        <v>13</v>
      </c>
      <c r="C2766">
        <v>16</v>
      </c>
      <c r="D2766" s="100" t="s">
        <v>25</v>
      </c>
      <c r="E2766" t="s">
        <v>720</v>
      </c>
      <c r="F2766" t="s">
        <v>18</v>
      </c>
      <c r="G2766" t="s">
        <v>741</v>
      </c>
      <c r="H2766" s="128">
        <v>0.29189999999999999</v>
      </c>
      <c r="J2766" s="110">
        <v>0.17129999999999998</v>
      </c>
      <c r="L2766">
        <v>5000</v>
      </c>
      <c r="M2766">
        <v>500000</v>
      </c>
      <c r="N2766" s="105">
        <v>44197</v>
      </c>
      <c r="O2766" s="105">
        <v>44377</v>
      </c>
      <c r="P2766" t="s">
        <v>718</v>
      </c>
      <c r="R2766" s="154"/>
      <c r="S2766" s="154"/>
      <c r="T2766" s="154"/>
      <c r="U2766" s="154"/>
    </row>
    <row r="2767" spans="1:21" ht="15" customHeight="1" x14ac:dyDescent="0.3">
      <c r="A2767" t="str">
        <f t="shared" si="44"/>
        <v>17-3-U-SmartPAY12_Renewal</v>
      </c>
      <c r="B2767" t="s">
        <v>13</v>
      </c>
      <c r="C2767">
        <v>17</v>
      </c>
      <c r="D2767" s="100" t="s">
        <v>26</v>
      </c>
      <c r="E2767" t="s">
        <v>716</v>
      </c>
      <c r="F2767" t="s">
        <v>16</v>
      </c>
      <c r="G2767" t="s">
        <v>741</v>
      </c>
      <c r="H2767" s="128">
        <v>0.3846</v>
      </c>
      <c r="I2767" s="110">
        <v>0.17400000000000002</v>
      </c>
      <c r="L2767">
        <v>5000</v>
      </c>
      <c r="M2767">
        <v>500000</v>
      </c>
      <c r="N2767" s="105">
        <v>44197</v>
      </c>
      <c r="O2767" s="105">
        <v>44377</v>
      </c>
      <c r="P2767" t="s">
        <v>718</v>
      </c>
      <c r="R2767" s="154"/>
      <c r="S2767" s="154"/>
      <c r="T2767" s="154"/>
      <c r="U2767" s="154"/>
    </row>
    <row r="2768" spans="1:21" ht="15" customHeight="1" x14ac:dyDescent="0.3">
      <c r="A2768" t="str">
        <f t="shared" si="44"/>
        <v>17-4-E7-SmartPAY12_Renewal</v>
      </c>
      <c r="B2768" t="s">
        <v>13</v>
      </c>
      <c r="C2768">
        <v>17</v>
      </c>
      <c r="D2768" s="100" t="s">
        <v>26</v>
      </c>
      <c r="E2768" t="s">
        <v>17</v>
      </c>
      <c r="F2768" t="s">
        <v>18</v>
      </c>
      <c r="G2768" t="s">
        <v>741</v>
      </c>
      <c r="H2768" s="128">
        <v>0.3846</v>
      </c>
      <c r="I2768" s="110">
        <v>0.17400000000000002</v>
      </c>
      <c r="J2768" s="110">
        <v>0.17400000000000002</v>
      </c>
      <c r="L2768">
        <v>5000</v>
      </c>
      <c r="M2768">
        <v>500000</v>
      </c>
      <c r="N2768" s="105">
        <v>44197</v>
      </c>
      <c r="O2768" s="105">
        <v>44377</v>
      </c>
      <c r="P2768" t="s">
        <v>718</v>
      </c>
      <c r="R2768" s="154"/>
      <c r="S2768" s="154"/>
      <c r="T2768" s="154"/>
      <c r="U2768" s="154"/>
    </row>
    <row r="2769" spans="1:21" ht="15" customHeight="1" x14ac:dyDescent="0.3">
      <c r="A2769" t="str">
        <f t="shared" si="44"/>
        <v>17-3-EW-SmartPAY12_Renewal</v>
      </c>
      <c r="B2769" t="s">
        <v>13</v>
      </c>
      <c r="C2769">
        <v>17</v>
      </c>
      <c r="D2769" s="100" t="s">
        <v>26</v>
      </c>
      <c r="E2769" t="s">
        <v>19</v>
      </c>
      <c r="F2769" t="s">
        <v>16</v>
      </c>
      <c r="G2769" t="s">
        <v>741</v>
      </c>
      <c r="H2769" s="128">
        <v>0.3846</v>
      </c>
      <c r="I2769" s="110">
        <v>0.17400000000000002</v>
      </c>
      <c r="K2769" s="110">
        <v>0.17400000000000002</v>
      </c>
      <c r="L2769">
        <v>5000</v>
      </c>
      <c r="M2769">
        <v>500000</v>
      </c>
      <c r="N2769" s="105">
        <v>44197</v>
      </c>
      <c r="O2769" s="105">
        <v>44377</v>
      </c>
      <c r="P2769" t="s">
        <v>718</v>
      </c>
      <c r="R2769" s="154"/>
      <c r="S2769" s="154"/>
      <c r="T2769" s="154"/>
      <c r="U2769" s="154"/>
    </row>
    <row r="2770" spans="1:21" ht="15" customHeight="1" x14ac:dyDescent="0.3">
      <c r="A2770" t="str">
        <f t="shared" si="44"/>
        <v>17-4-3RATE-SmartPAY12_Renewal</v>
      </c>
      <c r="B2770" t="s">
        <v>13</v>
      </c>
      <c r="C2770">
        <v>17</v>
      </c>
      <c r="D2770" s="100" t="s">
        <v>26</v>
      </c>
      <c r="E2770" t="s">
        <v>719</v>
      </c>
      <c r="F2770" t="s">
        <v>18</v>
      </c>
      <c r="G2770" t="s">
        <v>741</v>
      </c>
      <c r="H2770" s="128">
        <v>0.3846</v>
      </c>
      <c r="I2770" s="110">
        <v>0.17400000000000002</v>
      </c>
      <c r="J2770" s="110">
        <v>0.17400000000000002</v>
      </c>
      <c r="K2770" s="110">
        <v>0.17400000000000002</v>
      </c>
      <c r="L2770">
        <v>5000</v>
      </c>
      <c r="M2770">
        <v>500000</v>
      </c>
      <c r="N2770" s="105">
        <v>44197</v>
      </c>
      <c r="O2770" s="105">
        <v>44377</v>
      </c>
      <c r="P2770" t="s">
        <v>718</v>
      </c>
      <c r="R2770" s="154"/>
      <c r="S2770" s="154"/>
      <c r="T2770" s="154"/>
      <c r="U2770" s="154"/>
    </row>
    <row r="2771" spans="1:21" ht="15" customHeight="1" x14ac:dyDescent="0.3">
      <c r="A2771" t="str">
        <f t="shared" si="44"/>
        <v/>
      </c>
      <c r="B2771" t="s">
        <v>13</v>
      </c>
      <c r="C2771">
        <v>17</v>
      </c>
      <c r="D2771" s="100" t="s">
        <v>26</v>
      </c>
      <c r="E2771" t="s">
        <v>720</v>
      </c>
      <c r="F2771" t="s">
        <v>18</v>
      </c>
      <c r="G2771" t="s">
        <v>741</v>
      </c>
      <c r="H2771" s="128">
        <v>0.3846</v>
      </c>
      <c r="J2771" s="110">
        <v>0.17400000000000002</v>
      </c>
      <c r="L2771">
        <v>5000</v>
      </c>
      <c r="M2771">
        <v>500000</v>
      </c>
      <c r="N2771" s="105">
        <v>44197</v>
      </c>
      <c r="O2771" s="105">
        <v>44377</v>
      </c>
      <c r="P2771" t="s">
        <v>718</v>
      </c>
      <c r="R2771" s="154"/>
      <c r="S2771" s="154"/>
      <c r="T2771" s="154"/>
      <c r="U2771" s="154"/>
    </row>
    <row r="2772" spans="1:21" ht="15" customHeight="1" x14ac:dyDescent="0.3">
      <c r="A2772" t="str">
        <f t="shared" si="44"/>
        <v>18-3-U-SmartPAY12_Renewal</v>
      </c>
      <c r="B2772" t="s">
        <v>13</v>
      </c>
      <c r="C2772">
        <v>18</v>
      </c>
      <c r="D2772" s="100" t="s">
        <v>27</v>
      </c>
      <c r="E2772" t="s">
        <v>716</v>
      </c>
      <c r="F2772" t="s">
        <v>16</v>
      </c>
      <c r="G2772" t="s">
        <v>741</v>
      </c>
      <c r="H2772" s="128">
        <v>0.33550000000000002</v>
      </c>
      <c r="I2772" s="110">
        <v>0.16930000000000001</v>
      </c>
      <c r="L2772">
        <v>5000</v>
      </c>
      <c r="M2772">
        <v>500000</v>
      </c>
      <c r="N2772" s="105">
        <v>44197</v>
      </c>
      <c r="O2772" s="105">
        <v>44377</v>
      </c>
      <c r="P2772" t="s">
        <v>718</v>
      </c>
      <c r="R2772" s="154"/>
      <c r="S2772" s="154"/>
      <c r="T2772" s="154"/>
      <c r="U2772" s="154"/>
    </row>
    <row r="2773" spans="1:21" ht="15" customHeight="1" x14ac:dyDescent="0.3">
      <c r="A2773" t="str">
        <f t="shared" si="44"/>
        <v>18-4-E7-SmartPAY12_Renewal</v>
      </c>
      <c r="B2773" t="s">
        <v>13</v>
      </c>
      <c r="C2773">
        <v>18</v>
      </c>
      <c r="D2773" s="100" t="s">
        <v>27</v>
      </c>
      <c r="E2773" t="s">
        <v>17</v>
      </c>
      <c r="F2773" t="s">
        <v>18</v>
      </c>
      <c r="G2773" t="s">
        <v>741</v>
      </c>
      <c r="H2773" s="128">
        <v>0.33550000000000002</v>
      </c>
      <c r="I2773" s="110">
        <v>0.16930000000000001</v>
      </c>
      <c r="J2773" s="110">
        <v>0.16930000000000001</v>
      </c>
      <c r="L2773">
        <v>5000</v>
      </c>
      <c r="M2773">
        <v>500000</v>
      </c>
      <c r="N2773" s="105">
        <v>44197</v>
      </c>
      <c r="O2773" s="105">
        <v>44377</v>
      </c>
      <c r="P2773" t="s">
        <v>718</v>
      </c>
      <c r="R2773" s="154"/>
      <c r="S2773" s="154"/>
      <c r="T2773" s="154"/>
      <c r="U2773" s="154"/>
    </row>
    <row r="2774" spans="1:21" ht="15" customHeight="1" x14ac:dyDescent="0.3">
      <c r="A2774" t="str">
        <f t="shared" si="44"/>
        <v>18-3-EW-SmartPAY12_Renewal</v>
      </c>
      <c r="B2774" t="s">
        <v>13</v>
      </c>
      <c r="C2774">
        <v>18</v>
      </c>
      <c r="D2774" s="100" t="s">
        <v>27</v>
      </c>
      <c r="E2774" t="s">
        <v>19</v>
      </c>
      <c r="F2774" t="s">
        <v>16</v>
      </c>
      <c r="G2774" t="s">
        <v>741</v>
      </c>
      <c r="H2774" s="128">
        <v>0.33550000000000002</v>
      </c>
      <c r="I2774" s="110">
        <v>0.16930000000000001</v>
      </c>
      <c r="K2774" s="110">
        <v>0.16930000000000001</v>
      </c>
      <c r="L2774">
        <v>5000</v>
      </c>
      <c r="M2774">
        <v>500000</v>
      </c>
      <c r="N2774" s="105">
        <v>44197</v>
      </c>
      <c r="O2774" s="105">
        <v>44377</v>
      </c>
      <c r="P2774" t="s">
        <v>718</v>
      </c>
      <c r="R2774" s="154"/>
      <c r="S2774" s="154"/>
      <c r="T2774" s="154"/>
      <c r="U2774" s="154"/>
    </row>
    <row r="2775" spans="1:21" ht="15" customHeight="1" x14ac:dyDescent="0.3">
      <c r="A2775" t="str">
        <f t="shared" si="44"/>
        <v>18-4-3RATE-SmartPAY12_Renewal</v>
      </c>
      <c r="B2775" t="s">
        <v>13</v>
      </c>
      <c r="C2775">
        <v>18</v>
      </c>
      <c r="D2775" s="100" t="s">
        <v>27</v>
      </c>
      <c r="E2775" t="s">
        <v>719</v>
      </c>
      <c r="F2775" t="s">
        <v>18</v>
      </c>
      <c r="G2775" t="s">
        <v>741</v>
      </c>
      <c r="H2775" s="128">
        <v>0.33550000000000002</v>
      </c>
      <c r="I2775" s="110">
        <v>0.16930000000000001</v>
      </c>
      <c r="J2775" s="110">
        <v>0.16930000000000001</v>
      </c>
      <c r="K2775" s="110">
        <v>0.16930000000000001</v>
      </c>
      <c r="L2775">
        <v>5000</v>
      </c>
      <c r="M2775">
        <v>500000</v>
      </c>
      <c r="N2775" s="105">
        <v>44197</v>
      </c>
      <c r="O2775" s="105">
        <v>44377</v>
      </c>
      <c r="P2775" t="s">
        <v>718</v>
      </c>
      <c r="R2775" s="154"/>
      <c r="S2775" s="154"/>
      <c r="T2775" s="154"/>
      <c r="U2775" s="154"/>
    </row>
    <row r="2776" spans="1:21" ht="15" customHeight="1" x14ac:dyDescent="0.3">
      <c r="A2776" t="str">
        <f t="shared" si="44"/>
        <v/>
      </c>
      <c r="B2776" t="s">
        <v>13</v>
      </c>
      <c r="C2776">
        <v>18</v>
      </c>
      <c r="D2776" s="100" t="s">
        <v>27</v>
      </c>
      <c r="E2776" t="s">
        <v>720</v>
      </c>
      <c r="F2776" t="s">
        <v>18</v>
      </c>
      <c r="G2776" t="s">
        <v>741</v>
      </c>
      <c r="H2776" s="128">
        <v>0.33550000000000002</v>
      </c>
      <c r="J2776" s="110">
        <v>0.16930000000000001</v>
      </c>
      <c r="L2776">
        <v>5000</v>
      </c>
      <c r="M2776">
        <v>500000</v>
      </c>
      <c r="N2776" s="105">
        <v>44197</v>
      </c>
      <c r="O2776" s="105">
        <v>44377</v>
      </c>
      <c r="P2776" t="s">
        <v>718</v>
      </c>
      <c r="R2776" s="154"/>
      <c r="S2776" s="154"/>
      <c r="T2776" s="154"/>
      <c r="U2776" s="154"/>
    </row>
    <row r="2777" spans="1:21" ht="15" customHeight="1" x14ac:dyDescent="0.3">
      <c r="A2777" t="str">
        <f t="shared" si="44"/>
        <v>19-3-U-SmartPAY12_Renewal</v>
      </c>
      <c r="B2777" t="s">
        <v>13</v>
      </c>
      <c r="C2777">
        <v>19</v>
      </c>
      <c r="D2777" s="100" t="s">
        <v>28</v>
      </c>
      <c r="E2777" t="s">
        <v>716</v>
      </c>
      <c r="F2777" t="s">
        <v>16</v>
      </c>
      <c r="G2777" t="s">
        <v>741</v>
      </c>
      <c r="H2777" s="128">
        <v>0.31890000000000002</v>
      </c>
      <c r="I2777" s="110">
        <v>0.16980000000000001</v>
      </c>
      <c r="L2777">
        <v>5000</v>
      </c>
      <c r="M2777">
        <v>500000</v>
      </c>
      <c r="N2777" s="105">
        <v>44197</v>
      </c>
      <c r="O2777" s="105">
        <v>44377</v>
      </c>
      <c r="P2777" t="s">
        <v>718</v>
      </c>
      <c r="R2777" s="154"/>
      <c r="S2777" s="154"/>
      <c r="T2777" s="154"/>
      <c r="U2777" s="154"/>
    </row>
    <row r="2778" spans="1:21" ht="15" customHeight="1" x14ac:dyDescent="0.3">
      <c r="A2778" t="str">
        <f t="shared" si="44"/>
        <v>19-4-E7-SmartPAY12_Renewal</v>
      </c>
      <c r="B2778" t="s">
        <v>13</v>
      </c>
      <c r="C2778">
        <v>19</v>
      </c>
      <c r="D2778" s="100" t="s">
        <v>28</v>
      </c>
      <c r="E2778" t="s">
        <v>17</v>
      </c>
      <c r="F2778" t="s">
        <v>18</v>
      </c>
      <c r="G2778" t="s">
        <v>741</v>
      </c>
      <c r="H2778" s="128">
        <v>0.31890000000000002</v>
      </c>
      <c r="I2778" s="110">
        <v>0.16980000000000001</v>
      </c>
      <c r="J2778" s="110">
        <v>0.16980000000000001</v>
      </c>
      <c r="L2778">
        <v>5000</v>
      </c>
      <c r="M2778">
        <v>500000</v>
      </c>
      <c r="N2778" s="105">
        <v>44197</v>
      </c>
      <c r="O2778" s="105">
        <v>44377</v>
      </c>
      <c r="P2778" t="s">
        <v>718</v>
      </c>
      <c r="R2778" s="154"/>
      <c r="S2778" s="154"/>
      <c r="T2778" s="154"/>
      <c r="U2778" s="154"/>
    </row>
    <row r="2779" spans="1:21" ht="15" customHeight="1" x14ac:dyDescent="0.3">
      <c r="A2779" t="str">
        <f t="shared" si="44"/>
        <v>19-3-EW-SmartPAY12_Renewal</v>
      </c>
      <c r="B2779" t="s">
        <v>13</v>
      </c>
      <c r="C2779">
        <v>19</v>
      </c>
      <c r="D2779" s="100" t="s">
        <v>28</v>
      </c>
      <c r="E2779" t="s">
        <v>19</v>
      </c>
      <c r="F2779" t="s">
        <v>16</v>
      </c>
      <c r="G2779" t="s">
        <v>741</v>
      </c>
      <c r="H2779" s="128">
        <v>0.31890000000000002</v>
      </c>
      <c r="I2779" s="110">
        <v>0.16980000000000001</v>
      </c>
      <c r="K2779" s="110">
        <v>0.16980000000000001</v>
      </c>
      <c r="L2779">
        <v>5000</v>
      </c>
      <c r="M2779">
        <v>500000</v>
      </c>
      <c r="N2779" s="105">
        <v>44197</v>
      </c>
      <c r="O2779" s="105">
        <v>44377</v>
      </c>
      <c r="P2779" t="s">
        <v>718</v>
      </c>
      <c r="R2779" s="154"/>
      <c r="S2779" s="154"/>
      <c r="T2779" s="154"/>
      <c r="U2779" s="154"/>
    </row>
    <row r="2780" spans="1:21" ht="15" customHeight="1" x14ac:dyDescent="0.3">
      <c r="A2780" t="str">
        <f t="shared" si="44"/>
        <v>19-4-3RATE-SmartPAY12_Renewal</v>
      </c>
      <c r="B2780" t="s">
        <v>13</v>
      </c>
      <c r="C2780">
        <v>19</v>
      </c>
      <c r="D2780" s="100" t="s">
        <v>28</v>
      </c>
      <c r="E2780" t="s">
        <v>719</v>
      </c>
      <c r="F2780" t="s">
        <v>18</v>
      </c>
      <c r="G2780" t="s">
        <v>741</v>
      </c>
      <c r="H2780" s="128">
        <v>0.31890000000000002</v>
      </c>
      <c r="I2780" s="110">
        <v>0.16980000000000001</v>
      </c>
      <c r="J2780" s="110">
        <v>0.16980000000000001</v>
      </c>
      <c r="K2780" s="110">
        <v>0.16980000000000001</v>
      </c>
      <c r="L2780">
        <v>5000</v>
      </c>
      <c r="M2780">
        <v>500000</v>
      </c>
      <c r="N2780" s="105">
        <v>44197</v>
      </c>
      <c r="O2780" s="105">
        <v>44377</v>
      </c>
      <c r="P2780" t="s">
        <v>718</v>
      </c>
      <c r="R2780" s="154"/>
      <c r="S2780" s="154"/>
      <c r="T2780" s="154"/>
      <c r="U2780" s="154"/>
    </row>
    <row r="2781" spans="1:21" ht="15" customHeight="1" x14ac:dyDescent="0.3">
      <c r="A2781" t="str">
        <f t="shared" si="44"/>
        <v/>
      </c>
      <c r="B2781" t="s">
        <v>13</v>
      </c>
      <c r="C2781">
        <v>19</v>
      </c>
      <c r="D2781" s="100" t="s">
        <v>28</v>
      </c>
      <c r="E2781" t="s">
        <v>720</v>
      </c>
      <c r="F2781" t="s">
        <v>18</v>
      </c>
      <c r="G2781" t="s">
        <v>741</v>
      </c>
      <c r="H2781" s="128">
        <v>0.31890000000000002</v>
      </c>
      <c r="J2781" s="110">
        <v>0.16980000000000001</v>
      </c>
      <c r="L2781">
        <v>5000</v>
      </c>
      <c r="M2781">
        <v>500000</v>
      </c>
      <c r="N2781" s="105">
        <v>44197</v>
      </c>
      <c r="O2781" s="105">
        <v>44377</v>
      </c>
      <c r="P2781" t="s">
        <v>718</v>
      </c>
      <c r="R2781" s="154"/>
      <c r="S2781" s="154"/>
      <c r="T2781" s="154"/>
      <c r="U2781" s="154"/>
    </row>
    <row r="2782" spans="1:21" ht="15" customHeight="1" x14ac:dyDescent="0.3">
      <c r="A2782" t="str">
        <f t="shared" si="44"/>
        <v>20-3-U-SmartPAY12_Renewal</v>
      </c>
      <c r="B2782" t="s">
        <v>13</v>
      </c>
      <c r="C2782">
        <v>20</v>
      </c>
      <c r="D2782" s="100" t="s">
        <v>29</v>
      </c>
      <c r="E2782" t="s">
        <v>716</v>
      </c>
      <c r="F2782" t="s">
        <v>16</v>
      </c>
      <c r="G2782" t="s">
        <v>741</v>
      </c>
      <c r="H2782" s="128">
        <v>0.316</v>
      </c>
      <c r="I2782" s="110">
        <v>0.16550000000000001</v>
      </c>
      <c r="L2782">
        <v>5000</v>
      </c>
      <c r="M2782">
        <v>500000</v>
      </c>
      <c r="N2782" s="105">
        <v>44197</v>
      </c>
      <c r="O2782" s="105">
        <v>44377</v>
      </c>
      <c r="P2782" t="s">
        <v>718</v>
      </c>
      <c r="R2782" s="154"/>
      <c r="S2782" s="154"/>
      <c r="T2782" s="154"/>
      <c r="U2782" s="154"/>
    </row>
    <row r="2783" spans="1:21" ht="15" customHeight="1" x14ac:dyDescent="0.3">
      <c r="A2783" t="str">
        <f t="shared" si="44"/>
        <v>20-4-E7-SmartPAY12_Renewal</v>
      </c>
      <c r="B2783" t="s">
        <v>13</v>
      </c>
      <c r="C2783">
        <v>20</v>
      </c>
      <c r="D2783" s="100" t="s">
        <v>29</v>
      </c>
      <c r="E2783" t="s">
        <v>17</v>
      </c>
      <c r="F2783" t="s">
        <v>18</v>
      </c>
      <c r="G2783" t="s">
        <v>741</v>
      </c>
      <c r="H2783" s="128">
        <v>0.316</v>
      </c>
      <c r="I2783" s="110">
        <v>0.16550000000000001</v>
      </c>
      <c r="J2783" s="110">
        <v>0.16550000000000001</v>
      </c>
      <c r="L2783">
        <v>5000</v>
      </c>
      <c r="M2783">
        <v>500000</v>
      </c>
      <c r="N2783" s="105">
        <v>44197</v>
      </c>
      <c r="O2783" s="105">
        <v>44377</v>
      </c>
      <c r="P2783" t="s">
        <v>718</v>
      </c>
      <c r="R2783" s="154"/>
      <c r="S2783" s="154"/>
      <c r="T2783" s="154"/>
      <c r="U2783" s="154"/>
    </row>
    <row r="2784" spans="1:21" ht="15" customHeight="1" x14ac:dyDescent="0.3">
      <c r="A2784" t="str">
        <f t="shared" si="44"/>
        <v>20-3-EW-SmartPAY12_Renewal</v>
      </c>
      <c r="B2784" t="s">
        <v>13</v>
      </c>
      <c r="C2784">
        <v>20</v>
      </c>
      <c r="D2784" s="100" t="s">
        <v>29</v>
      </c>
      <c r="E2784" t="s">
        <v>19</v>
      </c>
      <c r="F2784" t="s">
        <v>16</v>
      </c>
      <c r="G2784" t="s">
        <v>741</v>
      </c>
      <c r="H2784" s="128">
        <v>0.316</v>
      </c>
      <c r="I2784" s="110">
        <v>0.16550000000000001</v>
      </c>
      <c r="K2784" s="110">
        <v>0.16550000000000001</v>
      </c>
      <c r="L2784">
        <v>5000</v>
      </c>
      <c r="M2784">
        <v>500000</v>
      </c>
      <c r="N2784" s="105">
        <v>44197</v>
      </c>
      <c r="O2784" s="105">
        <v>44377</v>
      </c>
      <c r="P2784" t="s">
        <v>718</v>
      </c>
      <c r="R2784" s="154"/>
      <c r="S2784" s="154"/>
      <c r="T2784" s="154"/>
      <c r="U2784" s="154"/>
    </row>
    <row r="2785" spans="1:21" ht="15" customHeight="1" x14ac:dyDescent="0.3">
      <c r="A2785" t="str">
        <f t="shared" si="44"/>
        <v>20-4-3RATE-SmartPAY12_Renewal</v>
      </c>
      <c r="B2785" t="s">
        <v>13</v>
      </c>
      <c r="C2785">
        <v>20</v>
      </c>
      <c r="D2785" s="100" t="s">
        <v>29</v>
      </c>
      <c r="E2785" t="s">
        <v>719</v>
      </c>
      <c r="F2785" t="s">
        <v>18</v>
      </c>
      <c r="G2785" t="s">
        <v>741</v>
      </c>
      <c r="H2785" s="128">
        <v>0.316</v>
      </c>
      <c r="I2785" s="110">
        <v>0.16550000000000001</v>
      </c>
      <c r="J2785" s="110">
        <v>0.16550000000000001</v>
      </c>
      <c r="K2785" s="110">
        <v>0.16550000000000001</v>
      </c>
      <c r="L2785">
        <v>5000</v>
      </c>
      <c r="M2785">
        <v>500000</v>
      </c>
      <c r="N2785" s="105">
        <v>44197</v>
      </c>
      <c r="O2785" s="105">
        <v>44377</v>
      </c>
      <c r="P2785" t="s">
        <v>718</v>
      </c>
      <c r="R2785" s="154"/>
      <c r="S2785" s="154"/>
      <c r="T2785" s="154"/>
      <c r="U2785" s="154"/>
    </row>
    <row r="2786" spans="1:21" ht="15" customHeight="1" x14ac:dyDescent="0.3">
      <c r="A2786" t="str">
        <f t="shared" si="44"/>
        <v/>
      </c>
      <c r="B2786" t="s">
        <v>13</v>
      </c>
      <c r="C2786">
        <v>20</v>
      </c>
      <c r="D2786" s="100" t="s">
        <v>29</v>
      </c>
      <c r="E2786" t="s">
        <v>720</v>
      </c>
      <c r="F2786" t="s">
        <v>18</v>
      </c>
      <c r="G2786" t="s">
        <v>741</v>
      </c>
      <c r="H2786" s="128">
        <v>0.316</v>
      </c>
      <c r="J2786" s="110">
        <v>0.16550000000000001</v>
      </c>
      <c r="L2786">
        <v>5000</v>
      </c>
      <c r="M2786">
        <v>500000</v>
      </c>
      <c r="N2786" s="105">
        <v>44197</v>
      </c>
      <c r="O2786" s="105">
        <v>44377</v>
      </c>
      <c r="P2786" t="s">
        <v>718</v>
      </c>
      <c r="R2786" s="154"/>
      <c r="S2786" s="154"/>
      <c r="T2786" s="154"/>
      <c r="U2786" s="154"/>
    </row>
    <row r="2787" spans="1:21" ht="15" customHeight="1" x14ac:dyDescent="0.3">
      <c r="A2787" t="str">
        <f t="shared" ref="A2787:A2850" si="45">IF(E2787="OP","",CONCATENATE(C2787,"-",RIGHT(F2787,1),"-",IF(OR(E2787="1 Rate MD",E2787="DAY"),"U",IF(OR(E2787="2 Rate MD",E2787="E7"),"E7",IF(OR(E2787="3 Rate MD (EW)",E2787="EW"),"EW",IF(OR(E2787="3 Rate MD",E2787="EWN"),"3RATE",IF(E2787="HH 2RATE (CT)","HH 2RATE (CT)",IF(E2787="HH 2RATE (WC)","HH 2RATE (WC)",IF(E2787="HH 1RATE (CT)","HH 1RATE (CT)",IF(E2787="HH 1RATE (WC)","HH 1RATE (WC)")))))))),"-",G2787))</f>
        <v>21-3-U-SmartPAY12_Renewal</v>
      </c>
      <c r="B2787" t="s">
        <v>13</v>
      </c>
      <c r="C2787">
        <v>21</v>
      </c>
      <c r="D2787" s="100" t="s">
        <v>30</v>
      </c>
      <c r="E2787" t="s">
        <v>716</v>
      </c>
      <c r="F2787" t="s">
        <v>16</v>
      </c>
      <c r="G2787" t="s">
        <v>741</v>
      </c>
      <c r="H2787" s="128">
        <v>0.43740000000000001</v>
      </c>
      <c r="I2787" s="110">
        <v>0.1673</v>
      </c>
      <c r="L2787">
        <v>5000</v>
      </c>
      <c r="M2787">
        <v>500000</v>
      </c>
      <c r="N2787" s="105">
        <v>44197</v>
      </c>
      <c r="O2787" s="105">
        <v>44377</v>
      </c>
      <c r="P2787" t="s">
        <v>718</v>
      </c>
      <c r="R2787" s="154"/>
      <c r="S2787" s="154"/>
      <c r="T2787" s="154"/>
      <c r="U2787" s="154"/>
    </row>
    <row r="2788" spans="1:21" ht="15" customHeight="1" x14ac:dyDescent="0.3">
      <c r="A2788" t="str">
        <f t="shared" si="45"/>
        <v>21-4-E7-SmartPAY12_Renewal</v>
      </c>
      <c r="B2788" t="s">
        <v>13</v>
      </c>
      <c r="C2788">
        <v>21</v>
      </c>
      <c r="D2788" s="100" t="s">
        <v>30</v>
      </c>
      <c r="E2788" t="s">
        <v>17</v>
      </c>
      <c r="F2788" t="s">
        <v>18</v>
      </c>
      <c r="G2788" t="s">
        <v>741</v>
      </c>
      <c r="H2788" s="128">
        <v>0.43740000000000001</v>
      </c>
      <c r="I2788" s="110">
        <v>0.1673</v>
      </c>
      <c r="J2788" s="110">
        <v>0.1673</v>
      </c>
      <c r="L2788">
        <v>5000</v>
      </c>
      <c r="M2788">
        <v>500000</v>
      </c>
      <c r="N2788" s="105">
        <v>44197</v>
      </c>
      <c r="O2788" s="105">
        <v>44377</v>
      </c>
      <c r="P2788" t="s">
        <v>718</v>
      </c>
      <c r="R2788" s="154"/>
      <c r="S2788" s="154"/>
      <c r="T2788" s="154"/>
      <c r="U2788" s="154"/>
    </row>
    <row r="2789" spans="1:21" ht="15" customHeight="1" x14ac:dyDescent="0.3">
      <c r="A2789" t="str">
        <f t="shared" si="45"/>
        <v>21-3-EW-SmartPAY12_Renewal</v>
      </c>
      <c r="B2789" t="s">
        <v>13</v>
      </c>
      <c r="C2789">
        <v>21</v>
      </c>
      <c r="D2789" s="100" t="s">
        <v>30</v>
      </c>
      <c r="E2789" t="s">
        <v>19</v>
      </c>
      <c r="F2789" t="s">
        <v>16</v>
      </c>
      <c r="G2789" t="s">
        <v>741</v>
      </c>
      <c r="H2789" s="128">
        <v>0.43740000000000001</v>
      </c>
      <c r="I2789" s="110">
        <v>0.1673</v>
      </c>
      <c r="K2789" s="110">
        <v>0.1673</v>
      </c>
      <c r="L2789">
        <v>5000</v>
      </c>
      <c r="M2789">
        <v>500000</v>
      </c>
      <c r="N2789" s="105">
        <v>44197</v>
      </c>
      <c r="O2789" s="105">
        <v>44377</v>
      </c>
      <c r="P2789" t="s">
        <v>718</v>
      </c>
      <c r="R2789" s="154"/>
      <c r="S2789" s="154"/>
      <c r="T2789" s="154"/>
      <c r="U2789" s="154"/>
    </row>
    <row r="2790" spans="1:21" ht="15" customHeight="1" x14ac:dyDescent="0.3">
      <c r="A2790" t="str">
        <f t="shared" si="45"/>
        <v>21-4-3RATE-SmartPAY12_Renewal</v>
      </c>
      <c r="B2790" t="s">
        <v>13</v>
      </c>
      <c r="C2790">
        <v>21</v>
      </c>
      <c r="D2790" s="100" t="s">
        <v>30</v>
      </c>
      <c r="E2790" t="s">
        <v>719</v>
      </c>
      <c r="F2790" t="s">
        <v>18</v>
      </c>
      <c r="G2790" t="s">
        <v>741</v>
      </c>
      <c r="H2790" s="128">
        <v>0.43740000000000001</v>
      </c>
      <c r="I2790" s="110">
        <v>0.1673</v>
      </c>
      <c r="J2790" s="110">
        <v>0.1673</v>
      </c>
      <c r="K2790" s="110">
        <v>0.1673</v>
      </c>
      <c r="L2790">
        <v>5000</v>
      </c>
      <c r="M2790">
        <v>500000</v>
      </c>
      <c r="N2790" s="105">
        <v>44197</v>
      </c>
      <c r="O2790" s="105">
        <v>44377</v>
      </c>
      <c r="P2790" t="s">
        <v>718</v>
      </c>
      <c r="R2790" s="154"/>
      <c r="S2790" s="154"/>
      <c r="T2790" s="154"/>
      <c r="U2790" s="154"/>
    </row>
    <row r="2791" spans="1:21" ht="15" customHeight="1" x14ac:dyDescent="0.3">
      <c r="A2791" t="str">
        <f t="shared" si="45"/>
        <v/>
      </c>
      <c r="B2791" t="s">
        <v>13</v>
      </c>
      <c r="C2791">
        <v>21</v>
      </c>
      <c r="D2791" s="100" t="s">
        <v>30</v>
      </c>
      <c r="E2791" t="s">
        <v>720</v>
      </c>
      <c r="F2791" t="s">
        <v>18</v>
      </c>
      <c r="G2791" t="s">
        <v>741</v>
      </c>
      <c r="H2791" s="128">
        <v>0.43740000000000001</v>
      </c>
      <c r="J2791" s="110">
        <v>0.1673</v>
      </c>
      <c r="L2791">
        <v>5000</v>
      </c>
      <c r="M2791">
        <v>500000</v>
      </c>
      <c r="N2791" s="105">
        <v>44197</v>
      </c>
      <c r="O2791" s="105">
        <v>44377</v>
      </c>
      <c r="P2791" t="s">
        <v>718</v>
      </c>
      <c r="R2791" s="154"/>
      <c r="S2791" s="154"/>
      <c r="T2791" s="154"/>
      <c r="U2791" s="154"/>
    </row>
    <row r="2792" spans="1:21" ht="15" customHeight="1" x14ac:dyDescent="0.3">
      <c r="A2792" t="str">
        <f t="shared" si="45"/>
        <v>22-3-U-SmartPAY12_Renewal</v>
      </c>
      <c r="B2792" t="s">
        <v>13</v>
      </c>
      <c r="C2792">
        <v>22</v>
      </c>
      <c r="D2792" s="100" t="s">
        <v>31</v>
      </c>
      <c r="E2792" t="s">
        <v>716</v>
      </c>
      <c r="F2792" t="s">
        <v>16</v>
      </c>
      <c r="G2792" t="s">
        <v>741</v>
      </c>
      <c r="H2792" s="128">
        <v>0.37709999999999999</v>
      </c>
      <c r="I2792" s="110">
        <v>0.17370000000000002</v>
      </c>
      <c r="L2792">
        <v>5000</v>
      </c>
      <c r="M2792">
        <v>500000</v>
      </c>
      <c r="N2792" s="105">
        <v>44197</v>
      </c>
      <c r="O2792" s="105">
        <v>44377</v>
      </c>
      <c r="P2792" t="s">
        <v>718</v>
      </c>
      <c r="R2792" s="154"/>
      <c r="S2792" s="154"/>
      <c r="T2792" s="154"/>
      <c r="U2792" s="154"/>
    </row>
    <row r="2793" spans="1:21" ht="15" customHeight="1" x14ac:dyDescent="0.3">
      <c r="A2793" t="str">
        <f t="shared" si="45"/>
        <v>22-4-E7-SmartPAY12_Renewal</v>
      </c>
      <c r="B2793" t="s">
        <v>13</v>
      </c>
      <c r="C2793">
        <v>22</v>
      </c>
      <c r="D2793" s="100" t="s">
        <v>31</v>
      </c>
      <c r="E2793" t="s">
        <v>17</v>
      </c>
      <c r="F2793" t="s">
        <v>18</v>
      </c>
      <c r="G2793" t="s">
        <v>741</v>
      </c>
      <c r="H2793" s="128">
        <v>0.37709999999999999</v>
      </c>
      <c r="I2793" s="110">
        <v>0.17370000000000002</v>
      </c>
      <c r="J2793" s="110">
        <v>0.17370000000000002</v>
      </c>
      <c r="L2793">
        <v>5000</v>
      </c>
      <c r="M2793">
        <v>500000</v>
      </c>
      <c r="N2793" s="105">
        <v>44197</v>
      </c>
      <c r="O2793" s="105">
        <v>44377</v>
      </c>
      <c r="P2793" t="s">
        <v>718</v>
      </c>
      <c r="R2793" s="154"/>
      <c r="S2793" s="154"/>
      <c r="T2793" s="154"/>
      <c r="U2793" s="154"/>
    </row>
    <row r="2794" spans="1:21" ht="15" customHeight="1" x14ac:dyDescent="0.3">
      <c r="A2794" t="str">
        <f t="shared" si="45"/>
        <v>22-3-EW-SmartPAY12_Renewal</v>
      </c>
      <c r="B2794" t="s">
        <v>13</v>
      </c>
      <c r="C2794">
        <v>22</v>
      </c>
      <c r="D2794" s="100" t="s">
        <v>31</v>
      </c>
      <c r="E2794" t="s">
        <v>19</v>
      </c>
      <c r="F2794" t="s">
        <v>16</v>
      </c>
      <c r="G2794" t="s">
        <v>741</v>
      </c>
      <c r="H2794" s="128">
        <v>0.37709999999999999</v>
      </c>
      <c r="I2794" s="110">
        <v>0.17370000000000002</v>
      </c>
      <c r="K2794" s="110">
        <v>0.17370000000000002</v>
      </c>
      <c r="L2794">
        <v>5000</v>
      </c>
      <c r="M2794">
        <v>500000</v>
      </c>
      <c r="N2794" s="105">
        <v>44197</v>
      </c>
      <c r="O2794" s="105">
        <v>44377</v>
      </c>
      <c r="P2794" t="s">
        <v>718</v>
      </c>
      <c r="R2794" s="154"/>
      <c r="S2794" s="154"/>
      <c r="T2794" s="154"/>
      <c r="U2794" s="154"/>
    </row>
    <row r="2795" spans="1:21" ht="15" customHeight="1" x14ac:dyDescent="0.3">
      <c r="A2795" t="str">
        <f t="shared" si="45"/>
        <v>22-4-3RATE-SmartPAY12_Renewal</v>
      </c>
      <c r="B2795" t="s">
        <v>13</v>
      </c>
      <c r="C2795">
        <v>22</v>
      </c>
      <c r="D2795" s="100" t="s">
        <v>31</v>
      </c>
      <c r="E2795" t="s">
        <v>719</v>
      </c>
      <c r="F2795" t="s">
        <v>18</v>
      </c>
      <c r="G2795" t="s">
        <v>741</v>
      </c>
      <c r="H2795" s="128">
        <v>0.37709999999999999</v>
      </c>
      <c r="I2795" s="110">
        <v>0.17370000000000002</v>
      </c>
      <c r="J2795" s="110">
        <v>0.17370000000000002</v>
      </c>
      <c r="K2795" s="110">
        <v>0.17370000000000002</v>
      </c>
      <c r="L2795">
        <v>5000</v>
      </c>
      <c r="M2795">
        <v>500000</v>
      </c>
      <c r="N2795" s="105">
        <v>44197</v>
      </c>
      <c r="O2795" s="105">
        <v>44377</v>
      </c>
      <c r="P2795" t="s">
        <v>718</v>
      </c>
      <c r="R2795" s="154"/>
      <c r="S2795" s="154"/>
      <c r="T2795" s="154"/>
      <c r="U2795" s="154"/>
    </row>
    <row r="2796" spans="1:21" ht="15" customHeight="1" x14ac:dyDescent="0.3">
      <c r="A2796" t="str">
        <f t="shared" si="45"/>
        <v/>
      </c>
      <c r="B2796" t="s">
        <v>13</v>
      </c>
      <c r="C2796">
        <v>22</v>
      </c>
      <c r="D2796" s="100" t="s">
        <v>31</v>
      </c>
      <c r="E2796" t="s">
        <v>720</v>
      </c>
      <c r="F2796" t="s">
        <v>18</v>
      </c>
      <c r="G2796" t="s">
        <v>741</v>
      </c>
      <c r="H2796" s="128">
        <v>0.37709999999999999</v>
      </c>
      <c r="J2796" s="110">
        <v>0.17370000000000002</v>
      </c>
      <c r="L2796">
        <v>5000</v>
      </c>
      <c r="M2796">
        <v>500000</v>
      </c>
      <c r="N2796" s="105">
        <v>44197</v>
      </c>
      <c r="O2796" s="105">
        <v>44377</v>
      </c>
      <c r="P2796" t="s">
        <v>718</v>
      </c>
      <c r="R2796" s="154"/>
      <c r="S2796" s="154"/>
      <c r="T2796" s="154"/>
      <c r="U2796" s="154"/>
    </row>
    <row r="2797" spans="1:21" ht="15" customHeight="1" x14ac:dyDescent="0.3">
      <c r="A2797" t="str">
        <f t="shared" si="45"/>
        <v>23-3-U-SmartPAY12_Renewal</v>
      </c>
      <c r="B2797" t="s">
        <v>13</v>
      </c>
      <c r="C2797">
        <v>23</v>
      </c>
      <c r="D2797" s="100" t="s">
        <v>32</v>
      </c>
      <c r="E2797" t="s">
        <v>716</v>
      </c>
      <c r="F2797" t="s">
        <v>16</v>
      </c>
      <c r="G2797" t="s">
        <v>741</v>
      </c>
      <c r="H2797" s="128">
        <v>0.33129999999999998</v>
      </c>
      <c r="I2797" s="110">
        <v>0.1671</v>
      </c>
      <c r="L2797">
        <v>5000</v>
      </c>
      <c r="M2797">
        <v>500000</v>
      </c>
      <c r="N2797" s="105">
        <v>44197</v>
      </c>
      <c r="O2797" s="105">
        <v>44377</v>
      </c>
      <c r="P2797" t="s">
        <v>718</v>
      </c>
      <c r="R2797" s="154"/>
      <c r="S2797" s="154"/>
      <c r="T2797" s="154"/>
      <c r="U2797" s="154"/>
    </row>
    <row r="2798" spans="1:21" ht="15" customHeight="1" x14ac:dyDescent="0.3">
      <c r="A2798" t="str">
        <f t="shared" si="45"/>
        <v>23-4-E7-SmartPAY12_Renewal</v>
      </c>
      <c r="B2798" t="s">
        <v>13</v>
      </c>
      <c r="C2798">
        <v>23</v>
      </c>
      <c r="D2798" s="100" t="s">
        <v>32</v>
      </c>
      <c r="E2798" t="s">
        <v>17</v>
      </c>
      <c r="F2798" t="s">
        <v>18</v>
      </c>
      <c r="G2798" t="s">
        <v>741</v>
      </c>
      <c r="H2798" s="128">
        <v>0.33129999999999998</v>
      </c>
      <c r="I2798" s="110">
        <v>0.1671</v>
      </c>
      <c r="J2798" s="110">
        <v>0.1671</v>
      </c>
      <c r="L2798">
        <v>5000</v>
      </c>
      <c r="M2798">
        <v>500000</v>
      </c>
      <c r="N2798" s="105">
        <v>44197</v>
      </c>
      <c r="O2798" s="105">
        <v>44377</v>
      </c>
      <c r="P2798" t="s">
        <v>718</v>
      </c>
      <c r="R2798" s="154"/>
      <c r="S2798" s="154"/>
      <c r="T2798" s="154"/>
      <c r="U2798" s="154"/>
    </row>
    <row r="2799" spans="1:21" ht="15" customHeight="1" x14ac:dyDescent="0.3">
      <c r="A2799" t="str">
        <f t="shared" si="45"/>
        <v>23-3-EW-SmartPAY12_Renewal</v>
      </c>
      <c r="B2799" t="s">
        <v>13</v>
      </c>
      <c r="C2799">
        <v>23</v>
      </c>
      <c r="D2799" s="100" t="s">
        <v>32</v>
      </c>
      <c r="E2799" t="s">
        <v>19</v>
      </c>
      <c r="F2799" t="s">
        <v>16</v>
      </c>
      <c r="G2799" t="s">
        <v>741</v>
      </c>
      <c r="H2799" s="128">
        <v>0.33129999999999998</v>
      </c>
      <c r="I2799" s="110">
        <v>0.1671</v>
      </c>
      <c r="K2799" s="110">
        <v>0.1671</v>
      </c>
      <c r="L2799">
        <v>5000</v>
      </c>
      <c r="M2799">
        <v>500000</v>
      </c>
      <c r="N2799" s="105">
        <v>44197</v>
      </c>
      <c r="O2799" s="105">
        <v>44377</v>
      </c>
      <c r="P2799" t="s">
        <v>718</v>
      </c>
      <c r="R2799" s="154"/>
      <c r="S2799" s="154"/>
      <c r="T2799" s="154"/>
      <c r="U2799" s="154"/>
    </row>
    <row r="2800" spans="1:21" ht="15" customHeight="1" x14ac:dyDescent="0.3">
      <c r="A2800" t="str">
        <f t="shared" si="45"/>
        <v>23-4-3RATE-SmartPAY12_Renewal</v>
      </c>
      <c r="B2800" t="s">
        <v>13</v>
      </c>
      <c r="C2800">
        <v>23</v>
      </c>
      <c r="D2800" s="100" t="s">
        <v>32</v>
      </c>
      <c r="E2800" t="s">
        <v>719</v>
      </c>
      <c r="F2800" t="s">
        <v>18</v>
      </c>
      <c r="G2800" t="s">
        <v>741</v>
      </c>
      <c r="H2800" s="128">
        <v>0.33129999999999998</v>
      </c>
      <c r="I2800" s="110">
        <v>0.1671</v>
      </c>
      <c r="J2800" s="110">
        <v>0.1671</v>
      </c>
      <c r="K2800" s="110">
        <v>0.1671</v>
      </c>
      <c r="L2800">
        <v>5000</v>
      </c>
      <c r="M2800">
        <v>500000</v>
      </c>
      <c r="N2800" s="105">
        <v>44197</v>
      </c>
      <c r="O2800" s="105">
        <v>44377</v>
      </c>
      <c r="P2800" t="s">
        <v>718</v>
      </c>
      <c r="R2800" s="154"/>
      <c r="S2800" s="154"/>
      <c r="T2800" s="154"/>
      <c r="U2800" s="154"/>
    </row>
    <row r="2801" spans="1:21" ht="15" customHeight="1" x14ac:dyDescent="0.3">
      <c r="A2801" t="str">
        <f t="shared" si="45"/>
        <v/>
      </c>
      <c r="B2801" t="s">
        <v>13</v>
      </c>
      <c r="C2801">
        <v>23</v>
      </c>
      <c r="D2801" s="100" t="s">
        <v>32</v>
      </c>
      <c r="E2801" t="s">
        <v>720</v>
      </c>
      <c r="F2801" t="s">
        <v>18</v>
      </c>
      <c r="G2801" t="s">
        <v>741</v>
      </c>
      <c r="H2801" s="128">
        <v>0.33129999999999998</v>
      </c>
      <c r="J2801" s="110">
        <v>0.1671</v>
      </c>
      <c r="L2801">
        <v>5000</v>
      </c>
      <c r="M2801">
        <v>500000</v>
      </c>
      <c r="N2801" s="105">
        <v>44197</v>
      </c>
      <c r="O2801" s="105">
        <v>44377</v>
      </c>
      <c r="P2801" t="s">
        <v>718</v>
      </c>
      <c r="R2801" s="154"/>
      <c r="S2801" s="154"/>
      <c r="T2801" s="154"/>
      <c r="U2801" s="154"/>
    </row>
    <row r="2802" spans="1:21" ht="15" customHeight="1" x14ac:dyDescent="0.3">
      <c r="A2802" t="str">
        <f t="shared" si="45"/>
        <v>10-3-U-SmartPAY24_Renewal</v>
      </c>
      <c r="B2802" t="s">
        <v>13</v>
      </c>
      <c r="C2802">
        <v>10</v>
      </c>
      <c r="D2802" s="100" t="s">
        <v>14</v>
      </c>
      <c r="E2802" t="s">
        <v>716</v>
      </c>
      <c r="F2802" t="s">
        <v>16</v>
      </c>
      <c r="G2802" t="s">
        <v>742</v>
      </c>
      <c r="H2802" s="128">
        <v>0.33560000000000001</v>
      </c>
      <c r="I2802" s="110">
        <v>0.16750000000000001</v>
      </c>
      <c r="L2802">
        <v>5000</v>
      </c>
      <c r="M2802">
        <v>500000</v>
      </c>
      <c r="N2802" s="105">
        <v>44197</v>
      </c>
      <c r="O2802" s="105">
        <v>44377</v>
      </c>
      <c r="P2802" t="s">
        <v>718</v>
      </c>
      <c r="R2802" s="154"/>
      <c r="S2802" s="154"/>
      <c r="T2802" s="154"/>
      <c r="U2802" s="154"/>
    </row>
    <row r="2803" spans="1:21" ht="15" customHeight="1" x14ac:dyDescent="0.3">
      <c r="A2803" t="str">
        <f t="shared" si="45"/>
        <v>10-4-E7-SmartPAY24_Renewal</v>
      </c>
      <c r="B2803" t="s">
        <v>13</v>
      </c>
      <c r="C2803">
        <v>10</v>
      </c>
      <c r="D2803" s="100" t="s">
        <v>14</v>
      </c>
      <c r="E2803" t="s">
        <v>17</v>
      </c>
      <c r="F2803" t="s">
        <v>18</v>
      </c>
      <c r="G2803" t="s">
        <v>742</v>
      </c>
      <c r="H2803" s="128">
        <v>0.33560000000000001</v>
      </c>
      <c r="I2803" s="110">
        <v>0.16750000000000001</v>
      </c>
      <c r="J2803" s="110">
        <v>0.16750000000000001</v>
      </c>
      <c r="L2803">
        <v>5000</v>
      </c>
      <c r="M2803">
        <v>500000</v>
      </c>
      <c r="N2803" s="105">
        <v>44197</v>
      </c>
      <c r="O2803" s="105">
        <v>44377</v>
      </c>
      <c r="P2803" t="s">
        <v>718</v>
      </c>
      <c r="R2803" s="154"/>
      <c r="S2803" s="154"/>
      <c r="T2803" s="154"/>
      <c r="U2803" s="154"/>
    </row>
    <row r="2804" spans="1:21" ht="15" customHeight="1" x14ac:dyDescent="0.3">
      <c r="A2804" t="str">
        <f t="shared" si="45"/>
        <v>10-3-EW-SmartPAY24_Renewal</v>
      </c>
      <c r="B2804" t="s">
        <v>13</v>
      </c>
      <c r="C2804">
        <v>10</v>
      </c>
      <c r="D2804" s="100" t="s">
        <v>14</v>
      </c>
      <c r="E2804" t="s">
        <v>19</v>
      </c>
      <c r="F2804" t="s">
        <v>16</v>
      </c>
      <c r="G2804" t="s">
        <v>742</v>
      </c>
      <c r="H2804" s="128">
        <v>0.33560000000000001</v>
      </c>
      <c r="I2804" s="110">
        <v>0.16750000000000001</v>
      </c>
      <c r="K2804" s="110">
        <v>0.16750000000000001</v>
      </c>
      <c r="L2804">
        <v>5000</v>
      </c>
      <c r="M2804">
        <v>500000</v>
      </c>
      <c r="N2804" s="105">
        <v>44197</v>
      </c>
      <c r="O2804" s="105">
        <v>44377</v>
      </c>
      <c r="P2804" t="s">
        <v>718</v>
      </c>
      <c r="R2804" s="154"/>
      <c r="S2804" s="154"/>
      <c r="T2804" s="154"/>
      <c r="U2804" s="154"/>
    </row>
    <row r="2805" spans="1:21" ht="15" customHeight="1" x14ac:dyDescent="0.3">
      <c r="A2805" t="str">
        <f t="shared" si="45"/>
        <v>10-4-3RATE-SmartPAY24_Renewal</v>
      </c>
      <c r="B2805" t="s">
        <v>13</v>
      </c>
      <c r="C2805">
        <v>10</v>
      </c>
      <c r="D2805" s="100" t="s">
        <v>14</v>
      </c>
      <c r="E2805" t="s">
        <v>719</v>
      </c>
      <c r="F2805" t="s">
        <v>18</v>
      </c>
      <c r="G2805" t="s">
        <v>742</v>
      </c>
      <c r="H2805" s="128">
        <v>0.33560000000000001</v>
      </c>
      <c r="I2805" s="110">
        <v>0.16750000000000001</v>
      </c>
      <c r="J2805" s="110">
        <v>0.16750000000000001</v>
      </c>
      <c r="K2805" s="110">
        <v>0.16750000000000001</v>
      </c>
      <c r="L2805">
        <v>5000</v>
      </c>
      <c r="M2805">
        <v>500000</v>
      </c>
      <c r="N2805" s="105">
        <v>44197</v>
      </c>
      <c r="O2805" s="105">
        <v>44377</v>
      </c>
      <c r="P2805" t="s">
        <v>718</v>
      </c>
      <c r="R2805" s="154"/>
      <c r="S2805" s="154"/>
      <c r="T2805" s="154"/>
      <c r="U2805" s="154"/>
    </row>
    <row r="2806" spans="1:21" ht="15" customHeight="1" x14ac:dyDescent="0.3">
      <c r="A2806" t="str">
        <f t="shared" si="45"/>
        <v/>
      </c>
      <c r="B2806" t="s">
        <v>13</v>
      </c>
      <c r="C2806">
        <v>10</v>
      </c>
      <c r="D2806" s="100" t="s">
        <v>14</v>
      </c>
      <c r="E2806" t="s">
        <v>720</v>
      </c>
      <c r="F2806" t="s">
        <v>18</v>
      </c>
      <c r="G2806" t="s">
        <v>742</v>
      </c>
      <c r="H2806" s="128">
        <v>0.33560000000000001</v>
      </c>
      <c r="J2806" s="110">
        <v>0.16750000000000001</v>
      </c>
      <c r="L2806">
        <v>5000</v>
      </c>
      <c r="M2806">
        <v>500000</v>
      </c>
      <c r="N2806" s="105">
        <v>44197</v>
      </c>
      <c r="O2806" s="105">
        <v>44377</v>
      </c>
      <c r="P2806" t="s">
        <v>718</v>
      </c>
      <c r="R2806" s="154"/>
      <c r="S2806" s="154"/>
      <c r="T2806" s="154"/>
      <c r="U2806" s="154"/>
    </row>
    <row r="2807" spans="1:21" ht="15" customHeight="1" x14ac:dyDescent="0.3">
      <c r="A2807" t="str">
        <f t="shared" si="45"/>
        <v>11-3-U-SmartPAY24_Renewal</v>
      </c>
      <c r="B2807" t="s">
        <v>13</v>
      </c>
      <c r="C2807">
        <v>11</v>
      </c>
      <c r="D2807" s="100" t="s">
        <v>20</v>
      </c>
      <c r="E2807" t="s">
        <v>716</v>
      </c>
      <c r="F2807" t="s">
        <v>16</v>
      </c>
      <c r="G2807" t="s">
        <v>742</v>
      </c>
      <c r="H2807" s="128">
        <v>0.3458</v>
      </c>
      <c r="I2807" s="110">
        <v>0.1678</v>
      </c>
      <c r="L2807">
        <v>5000</v>
      </c>
      <c r="M2807">
        <v>500000</v>
      </c>
      <c r="N2807" s="105">
        <v>44197</v>
      </c>
      <c r="O2807" s="105">
        <v>44377</v>
      </c>
      <c r="P2807" t="s">
        <v>718</v>
      </c>
      <c r="R2807" s="154"/>
      <c r="S2807" s="154"/>
      <c r="T2807" s="154"/>
      <c r="U2807" s="154"/>
    </row>
    <row r="2808" spans="1:21" ht="15" customHeight="1" x14ac:dyDescent="0.3">
      <c r="A2808" t="str">
        <f t="shared" si="45"/>
        <v>11-4-E7-SmartPAY24_Renewal</v>
      </c>
      <c r="B2808" t="s">
        <v>13</v>
      </c>
      <c r="C2808">
        <v>11</v>
      </c>
      <c r="D2808" s="100" t="s">
        <v>20</v>
      </c>
      <c r="E2808" t="s">
        <v>17</v>
      </c>
      <c r="F2808" t="s">
        <v>18</v>
      </c>
      <c r="G2808" t="s">
        <v>742</v>
      </c>
      <c r="H2808" s="128">
        <v>0.3458</v>
      </c>
      <c r="I2808" s="110">
        <v>0.1678</v>
      </c>
      <c r="J2808" s="110">
        <v>0.1678</v>
      </c>
      <c r="L2808">
        <v>5000</v>
      </c>
      <c r="M2808">
        <v>500000</v>
      </c>
      <c r="N2808" s="105">
        <v>44197</v>
      </c>
      <c r="O2808" s="105">
        <v>44377</v>
      </c>
      <c r="P2808" t="s">
        <v>718</v>
      </c>
      <c r="R2808" s="154"/>
      <c r="S2808" s="154"/>
      <c r="T2808" s="154"/>
      <c r="U2808" s="154"/>
    </row>
    <row r="2809" spans="1:21" ht="15" customHeight="1" x14ac:dyDescent="0.3">
      <c r="A2809" t="str">
        <f t="shared" si="45"/>
        <v>11-3-EW-SmartPAY24_Renewal</v>
      </c>
      <c r="B2809" t="s">
        <v>13</v>
      </c>
      <c r="C2809">
        <v>11</v>
      </c>
      <c r="D2809" s="100" t="s">
        <v>20</v>
      </c>
      <c r="E2809" t="s">
        <v>19</v>
      </c>
      <c r="F2809" t="s">
        <v>16</v>
      </c>
      <c r="G2809" t="s">
        <v>742</v>
      </c>
      <c r="H2809" s="128">
        <v>0.3458</v>
      </c>
      <c r="I2809" s="110">
        <v>0.1678</v>
      </c>
      <c r="K2809" s="110">
        <v>0.1678</v>
      </c>
      <c r="L2809">
        <v>5000</v>
      </c>
      <c r="M2809">
        <v>500000</v>
      </c>
      <c r="N2809" s="105">
        <v>44197</v>
      </c>
      <c r="O2809" s="105">
        <v>44377</v>
      </c>
      <c r="P2809" t="s">
        <v>718</v>
      </c>
      <c r="R2809" s="154"/>
      <c r="S2809" s="154"/>
      <c r="T2809" s="154"/>
      <c r="U2809" s="154"/>
    </row>
    <row r="2810" spans="1:21" ht="15" customHeight="1" x14ac:dyDescent="0.3">
      <c r="A2810" t="str">
        <f t="shared" si="45"/>
        <v>11-4-3RATE-SmartPAY24_Renewal</v>
      </c>
      <c r="B2810" t="s">
        <v>13</v>
      </c>
      <c r="C2810">
        <v>11</v>
      </c>
      <c r="D2810" s="100" t="s">
        <v>20</v>
      </c>
      <c r="E2810" t="s">
        <v>719</v>
      </c>
      <c r="F2810" t="s">
        <v>18</v>
      </c>
      <c r="G2810" t="s">
        <v>742</v>
      </c>
      <c r="H2810" s="128">
        <v>0.3458</v>
      </c>
      <c r="I2810" s="110">
        <v>0.1678</v>
      </c>
      <c r="J2810" s="110">
        <v>0.1678</v>
      </c>
      <c r="K2810" s="110">
        <v>0.1678</v>
      </c>
      <c r="L2810">
        <v>5000</v>
      </c>
      <c r="M2810">
        <v>500000</v>
      </c>
      <c r="N2810" s="105">
        <v>44197</v>
      </c>
      <c r="O2810" s="105">
        <v>44377</v>
      </c>
      <c r="P2810" t="s">
        <v>718</v>
      </c>
      <c r="R2810" s="154"/>
      <c r="S2810" s="154"/>
      <c r="T2810" s="154"/>
      <c r="U2810" s="154"/>
    </row>
    <row r="2811" spans="1:21" ht="15" customHeight="1" x14ac:dyDescent="0.3">
      <c r="A2811" t="str">
        <f t="shared" si="45"/>
        <v/>
      </c>
      <c r="B2811" t="s">
        <v>13</v>
      </c>
      <c r="C2811">
        <v>11</v>
      </c>
      <c r="D2811" s="100" t="s">
        <v>20</v>
      </c>
      <c r="E2811" t="s">
        <v>720</v>
      </c>
      <c r="F2811" t="s">
        <v>18</v>
      </c>
      <c r="G2811" t="s">
        <v>742</v>
      </c>
      <c r="H2811" s="128">
        <v>0.3458</v>
      </c>
      <c r="J2811" s="110">
        <v>0.1678</v>
      </c>
      <c r="L2811">
        <v>5000</v>
      </c>
      <c r="M2811">
        <v>500000</v>
      </c>
      <c r="N2811" s="105">
        <v>44197</v>
      </c>
      <c r="O2811" s="105">
        <v>44377</v>
      </c>
      <c r="P2811" t="s">
        <v>718</v>
      </c>
      <c r="R2811" s="154"/>
      <c r="S2811" s="154"/>
      <c r="T2811" s="154"/>
      <c r="U2811" s="154"/>
    </row>
    <row r="2812" spans="1:21" ht="15" customHeight="1" x14ac:dyDescent="0.3">
      <c r="A2812" t="str">
        <f t="shared" si="45"/>
        <v>12-3-U-SmartPAY24_Renewal</v>
      </c>
      <c r="B2812" t="s">
        <v>13</v>
      </c>
      <c r="C2812">
        <v>12</v>
      </c>
      <c r="D2812" s="100" t="s">
        <v>21</v>
      </c>
      <c r="E2812" t="s">
        <v>716</v>
      </c>
      <c r="F2812" t="s">
        <v>16</v>
      </c>
      <c r="G2812" t="s">
        <v>742</v>
      </c>
      <c r="H2812" s="128">
        <v>0.26090000000000002</v>
      </c>
      <c r="I2812" s="110">
        <v>0.16170000000000001</v>
      </c>
      <c r="L2812">
        <v>5000</v>
      </c>
      <c r="M2812">
        <v>500000</v>
      </c>
      <c r="N2812" s="105">
        <v>44197</v>
      </c>
      <c r="O2812" s="105">
        <v>44377</v>
      </c>
      <c r="P2812" t="s">
        <v>718</v>
      </c>
      <c r="R2812" s="154"/>
      <c r="S2812" s="154"/>
      <c r="T2812" s="154"/>
      <c r="U2812" s="154"/>
    </row>
    <row r="2813" spans="1:21" ht="15" customHeight="1" x14ac:dyDescent="0.3">
      <c r="A2813" t="str">
        <f t="shared" si="45"/>
        <v>12-4-E7-SmartPAY24_Renewal</v>
      </c>
      <c r="B2813" t="s">
        <v>13</v>
      </c>
      <c r="C2813">
        <v>12</v>
      </c>
      <c r="D2813" s="100" t="s">
        <v>21</v>
      </c>
      <c r="E2813" t="s">
        <v>17</v>
      </c>
      <c r="F2813" t="s">
        <v>18</v>
      </c>
      <c r="G2813" t="s">
        <v>742</v>
      </c>
      <c r="H2813" s="128">
        <v>0.26090000000000002</v>
      </c>
      <c r="I2813" s="110">
        <v>0.16170000000000001</v>
      </c>
      <c r="J2813" s="110">
        <v>0.16170000000000001</v>
      </c>
      <c r="L2813">
        <v>5000</v>
      </c>
      <c r="M2813">
        <v>500000</v>
      </c>
      <c r="N2813" s="105">
        <v>44197</v>
      </c>
      <c r="O2813" s="105">
        <v>44377</v>
      </c>
      <c r="P2813" t="s">
        <v>718</v>
      </c>
      <c r="R2813" s="154"/>
      <c r="S2813" s="154"/>
      <c r="T2813" s="154"/>
      <c r="U2813" s="154"/>
    </row>
    <row r="2814" spans="1:21" ht="15" customHeight="1" x14ac:dyDescent="0.3">
      <c r="A2814" t="str">
        <f t="shared" si="45"/>
        <v>12-3-EW-SmartPAY24_Renewal</v>
      </c>
      <c r="B2814" t="s">
        <v>13</v>
      </c>
      <c r="C2814">
        <v>12</v>
      </c>
      <c r="D2814" s="100" t="s">
        <v>21</v>
      </c>
      <c r="E2814" t="s">
        <v>19</v>
      </c>
      <c r="F2814" t="s">
        <v>16</v>
      </c>
      <c r="G2814" t="s">
        <v>742</v>
      </c>
      <c r="H2814" s="128">
        <v>0.26090000000000002</v>
      </c>
      <c r="I2814" s="110">
        <v>0.16170000000000001</v>
      </c>
      <c r="K2814" s="110">
        <v>0.16170000000000001</v>
      </c>
      <c r="L2814">
        <v>5000</v>
      </c>
      <c r="M2814">
        <v>500000</v>
      </c>
      <c r="N2814" s="105">
        <v>44197</v>
      </c>
      <c r="O2814" s="105">
        <v>44377</v>
      </c>
      <c r="P2814" t="s">
        <v>718</v>
      </c>
      <c r="R2814" s="154"/>
      <c r="S2814" s="154"/>
      <c r="T2814" s="154"/>
      <c r="U2814" s="154"/>
    </row>
    <row r="2815" spans="1:21" ht="15" customHeight="1" x14ac:dyDescent="0.3">
      <c r="A2815" t="str">
        <f t="shared" si="45"/>
        <v>12-4-3RATE-SmartPAY24_Renewal</v>
      </c>
      <c r="B2815" t="s">
        <v>13</v>
      </c>
      <c r="C2815">
        <v>12</v>
      </c>
      <c r="D2815" s="100" t="s">
        <v>21</v>
      </c>
      <c r="E2815" t="s">
        <v>719</v>
      </c>
      <c r="F2815" t="s">
        <v>18</v>
      </c>
      <c r="G2815" t="s">
        <v>742</v>
      </c>
      <c r="H2815" s="128">
        <v>0.26090000000000002</v>
      </c>
      <c r="I2815" s="110">
        <v>0.16170000000000001</v>
      </c>
      <c r="J2815" s="110">
        <v>0.16170000000000001</v>
      </c>
      <c r="K2815" s="110">
        <v>0.16170000000000001</v>
      </c>
      <c r="L2815">
        <v>5000</v>
      </c>
      <c r="M2815">
        <v>500000</v>
      </c>
      <c r="N2815" s="105">
        <v>44197</v>
      </c>
      <c r="O2815" s="105">
        <v>44377</v>
      </c>
      <c r="P2815" t="s">
        <v>718</v>
      </c>
      <c r="R2815" s="154"/>
      <c r="S2815" s="154"/>
      <c r="T2815" s="154"/>
      <c r="U2815" s="154"/>
    </row>
    <row r="2816" spans="1:21" ht="15" customHeight="1" x14ac:dyDescent="0.3">
      <c r="A2816" t="str">
        <f t="shared" si="45"/>
        <v/>
      </c>
      <c r="B2816" t="s">
        <v>13</v>
      </c>
      <c r="C2816">
        <v>12</v>
      </c>
      <c r="D2816" s="100" t="s">
        <v>21</v>
      </c>
      <c r="E2816" t="s">
        <v>720</v>
      </c>
      <c r="F2816" t="s">
        <v>18</v>
      </c>
      <c r="G2816" t="s">
        <v>742</v>
      </c>
      <c r="H2816" s="128">
        <v>0.26090000000000002</v>
      </c>
      <c r="J2816" s="110">
        <v>0.16170000000000001</v>
      </c>
      <c r="L2816">
        <v>5000</v>
      </c>
      <c r="M2816">
        <v>500000</v>
      </c>
      <c r="N2816" s="105">
        <v>44197</v>
      </c>
      <c r="O2816" s="105">
        <v>44377</v>
      </c>
      <c r="P2816" t="s">
        <v>718</v>
      </c>
      <c r="R2816" s="154"/>
      <c r="S2816" s="154"/>
      <c r="T2816" s="154"/>
      <c r="U2816" s="154"/>
    </row>
    <row r="2817" spans="1:21" ht="15" customHeight="1" x14ac:dyDescent="0.3">
      <c r="A2817" t="str">
        <f t="shared" si="45"/>
        <v>13-3-U-SmartPAY24_Renewal</v>
      </c>
      <c r="B2817" t="s">
        <v>13</v>
      </c>
      <c r="C2817">
        <v>13</v>
      </c>
      <c r="D2817" s="100" t="s">
        <v>22</v>
      </c>
      <c r="E2817" t="s">
        <v>716</v>
      </c>
      <c r="F2817" t="s">
        <v>16</v>
      </c>
      <c r="G2817" t="s">
        <v>742</v>
      </c>
      <c r="H2817" s="128">
        <v>0.30709999999999998</v>
      </c>
      <c r="I2817" s="110">
        <v>0.18729999999999999</v>
      </c>
      <c r="L2817">
        <v>5000</v>
      </c>
      <c r="M2817">
        <v>500000</v>
      </c>
      <c r="N2817" s="105">
        <v>44197</v>
      </c>
      <c r="O2817" s="105">
        <v>44377</v>
      </c>
      <c r="P2817" t="s">
        <v>718</v>
      </c>
      <c r="R2817" s="154"/>
      <c r="S2817" s="154"/>
      <c r="T2817" s="154"/>
      <c r="U2817" s="154"/>
    </row>
    <row r="2818" spans="1:21" ht="15" customHeight="1" x14ac:dyDescent="0.3">
      <c r="A2818" t="str">
        <f t="shared" si="45"/>
        <v>13-4-E7-SmartPAY24_Renewal</v>
      </c>
      <c r="B2818" t="s">
        <v>13</v>
      </c>
      <c r="C2818">
        <v>13</v>
      </c>
      <c r="D2818" s="100" t="s">
        <v>22</v>
      </c>
      <c r="E2818" t="s">
        <v>17</v>
      </c>
      <c r="F2818" t="s">
        <v>18</v>
      </c>
      <c r="G2818" t="s">
        <v>742</v>
      </c>
      <c r="H2818" s="128">
        <v>0.30709999999999998</v>
      </c>
      <c r="I2818" s="110">
        <v>0.18729999999999999</v>
      </c>
      <c r="J2818" s="110">
        <v>0.18729999999999999</v>
      </c>
      <c r="L2818">
        <v>5000</v>
      </c>
      <c r="M2818">
        <v>500000</v>
      </c>
      <c r="N2818" s="105">
        <v>44197</v>
      </c>
      <c r="O2818" s="105">
        <v>44377</v>
      </c>
      <c r="P2818" t="s">
        <v>718</v>
      </c>
      <c r="R2818" s="154"/>
      <c r="S2818" s="154"/>
      <c r="T2818" s="154"/>
      <c r="U2818" s="154"/>
    </row>
    <row r="2819" spans="1:21" ht="15" customHeight="1" x14ac:dyDescent="0.3">
      <c r="A2819" t="str">
        <f t="shared" si="45"/>
        <v>13-3-EW-SmartPAY24_Renewal</v>
      </c>
      <c r="B2819" t="s">
        <v>13</v>
      </c>
      <c r="C2819">
        <v>13</v>
      </c>
      <c r="D2819" s="100" t="s">
        <v>22</v>
      </c>
      <c r="E2819" t="s">
        <v>19</v>
      </c>
      <c r="F2819" t="s">
        <v>16</v>
      </c>
      <c r="G2819" t="s">
        <v>742</v>
      </c>
      <c r="H2819" s="128">
        <v>0.30709999999999998</v>
      </c>
      <c r="I2819" s="110">
        <v>0.18729999999999999</v>
      </c>
      <c r="K2819" s="110">
        <v>0.18729999999999999</v>
      </c>
      <c r="L2819">
        <v>5000</v>
      </c>
      <c r="M2819">
        <v>500000</v>
      </c>
      <c r="N2819" s="105">
        <v>44197</v>
      </c>
      <c r="O2819" s="105">
        <v>44377</v>
      </c>
      <c r="P2819" t="s">
        <v>718</v>
      </c>
      <c r="R2819" s="154"/>
      <c r="S2819" s="154"/>
      <c r="T2819" s="154"/>
      <c r="U2819" s="154"/>
    </row>
    <row r="2820" spans="1:21" ht="15" customHeight="1" x14ac:dyDescent="0.3">
      <c r="A2820" t="str">
        <f t="shared" si="45"/>
        <v>13-4-3RATE-SmartPAY24_Renewal</v>
      </c>
      <c r="B2820" t="s">
        <v>13</v>
      </c>
      <c r="C2820">
        <v>13</v>
      </c>
      <c r="D2820" s="100" t="s">
        <v>22</v>
      </c>
      <c r="E2820" t="s">
        <v>719</v>
      </c>
      <c r="F2820" t="s">
        <v>18</v>
      </c>
      <c r="G2820" t="s">
        <v>742</v>
      </c>
      <c r="H2820" s="128">
        <v>0.30709999999999998</v>
      </c>
      <c r="I2820" s="110">
        <v>0.18729999999999999</v>
      </c>
      <c r="J2820" s="110">
        <v>0.18729999999999999</v>
      </c>
      <c r="K2820" s="110">
        <v>0.18729999999999999</v>
      </c>
      <c r="L2820">
        <v>5000</v>
      </c>
      <c r="M2820">
        <v>500000</v>
      </c>
      <c r="N2820" s="105">
        <v>44197</v>
      </c>
      <c r="O2820" s="105">
        <v>44377</v>
      </c>
      <c r="P2820" t="s">
        <v>718</v>
      </c>
      <c r="R2820" s="154"/>
      <c r="S2820" s="154"/>
      <c r="T2820" s="154"/>
      <c r="U2820" s="154"/>
    </row>
    <row r="2821" spans="1:21" ht="15" customHeight="1" x14ac:dyDescent="0.3">
      <c r="A2821" t="str">
        <f t="shared" si="45"/>
        <v/>
      </c>
      <c r="B2821" t="s">
        <v>13</v>
      </c>
      <c r="C2821">
        <v>13</v>
      </c>
      <c r="D2821" s="100" t="s">
        <v>22</v>
      </c>
      <c r="E2821" t="s">
        <v>720</v>
      </c>
      <c r="F2821" t="s">
        <v>18</v>
      </c>
      <c r="G2821" t="s">
        <v>742</v>
      </c>
      <c r="H2821" s="128">
        <v>0.30709999999999998</v>
      </c>
      <c r="J2821" s="110">
        <v>0.18729999999999999</v>
      </c>
      <c r="L2821">
        <v>5000</v>
      </c>
      <c r="M2821">
        <v>500000</v>
      </c>
      <c r="N2821" s="105">
        <v>44197</v>
      </c>
      <c r="O2821" s="105">
        <v>44377</v>
      </c>
      <c r="P2821" t="s">
        <v>718</v>
      </c>
      <c r="R2821" s="154"/>
      <c r="S2821" s="154"/>
      <c r="T2821" s="154"/>
      <c r="U2821" s="154"/>
    </row>
    <row r="2822" spans="1:21" ht="15" customHeight="1" x14ac:dyDescent="0.3">
      <c r="A2822" t="str">
        <f t="shared" si="45"/>
        <v>14-3-U-SmartPAY24_Renewal</v>
      </c>
      <c r="B2822" t="s">
        <v>13</v>
      </c>
      <c r="C2822">
        <v>14</v>
      </c>
      <c r="D2822" s="100" t="s">
        <v>23</v>
      </c>
      <c r="E2822" t="s">
        <v>716</v>
      </c>
      <c r="F2822" t="s">
        <v>16</v>
      </c>
      <c r="G2822" t="s">
        <v>742</v>
      </c>
      <c r="H2822" s="128">
        <v>0.379</v>
      </c>
      <c r="I2822" s="110">
        <v>0.17100000000000001</v>
      </c>
      <c r="L2822">
        <v>5000</v>
      </c>
      <c r="M2822">
        <v>500000</v>
      </c>
      <c r="N2822" s="105">
        <v>44197</v>
      </c>
      <c r="O2822" s="105">
        <v>44377</v>
      </c>
      <c r="P2822" t="s">
        <v>718</v>
      </c>
      <c r="R2822" s="154"/>
      <c r="S2822" s="154"/>
      <c r="T2822" s="154"/>
      <c r="U2822" s="154"/>
    </row>
    <row r="2823" spans="1:21" ht="15" customHeight="1" x14ac:dyDescent="0.3">
      <c r="A2823" t="str">
        <f t="shared" si="45"/>
        <v>14-4-E7-SmartPAY24_Renewal</v>
      </c>
      <c r="B2823" t="s">
        <v>13</v>
      </c>
      <c r="C2823">
        <v>14</v>
      </c>
      <c r="D2823" s="100" t="s">
        <v>23</v>
      </c>
      <c r="E2823" t="s">
        <v>17</v>
      </c>
      <c r="F2823" t="s">
        <v>18</v>
      </c>
      <c r="G2823" t="s">
        <v>742</v>
      </c>
      <c r="H2823" s="128">
        <v>0.379</v>
      </c>
      <c r="I2823" s="110">
        <v>0.17100000000000001</v>
      </c>
      <c r="J2823" s="110">
        <v>0.17100000000000001</v>
      </c>
      <c r="L2823">
        <v>5000</v>
      </c>
      <c r="M2823">
        <v>500000</v>
      </c>
      <c r="N2823" s="105">
        <v>44197</v>
      </c>
      <c r="O2823" s="105">
        <v>44377</v>
      </c>
      <c r="P2823" t="s">
        <v>718</v>
      </c>
      <c r="R2823" s="154"/>
      <c r="S2823" s="154"/>
      <c r="T2823" s="154"/>
      <c r="U2823" s="154"/>
    </row>
    <row r="2824" spans="1:21" ht="15" customHeight="1" x14ac:dyDescent="0.3">
      <c r="A2824" t="str">
        <f t="shared" si="45"/>
        <v>14-3-EW-SmartPAY24_Renewal</v>
      </c>
      <c r="B2824" t="s">
        <v>13</v>
      </c>
      <c r="C2824">
        <v>14</v>
      </c>
      <c r="D2824" s="100" t="s">
        <v>23</v>
      </c>
      <c r="E2824" t="s">
        <v>19</v>
      </c>
      <c r="F2824" t="s">
        <v>16</v>
      </c>
      <c r="G2824" t="s">
        <v>742</v>
      </c>
      <c r="H2824" s="128">
        <v>0.379</v>
      </c>
      <c r="I2824" s="110">
        <v>0.17100000000000001</v>
      </c>
      <c r="K2824" s="110">
        <v>0.17100000000000001</v>
      </c>
      <c r="L2824">
        <v>5000</v>
      </c>
      <c r="M2824">
        <v>500000</v>
      </c>
      <c r="N2824" s="105">
        <v>44197</v>
      </c>
      <c r="O2824" s="105">
        <v>44377</v>
      </c>
      <c r="P2824" t="s">
        <v>718</v>
      </c>
      <c r="R2824" s="154"/>
      <c r="S2824" s="154"/>
      <c r="T2824" s="154"/>
      <c r="U2824" s="154"/>
    </row>
    <row r="2825" spans="1:21" ht="15" customHeight="1" x14ac:dyDescent="0.3">
      <c r="A2825" t="str">
        <f t="shared" si="45"/>
        <v>14-4-3RATE-SmartPAY24_Renewal</v>
      </c>
      <c r="B2825" t="s">
        <v>13</v>
      </c>
      <c r="C2825">
        <v>14</v>
      </c>
      <c r="D2825" s="100" t="s">
        <v>23</v>
      </c>
      <c r="E2825" t="s">
        <v>719</v>
      </c>
      <c r="F2825" t="s">
        <v>18</v>
      </c>
      <c r="G2825" t="s">
        <v>742</v>
      </c>
      <c r="H2825" s="128">
        <v>0.379</v>
      </c>
      <c r="I2825" s="110">
        <v>0.17100000000000001</v>
      </c>
      <c r="J2825" s="110">
        <v>0.17100000000000001</v>
      </c>
      <c r="K2825" s="110">
        <v>0.17100000000000001</v>
      </c>
      <c r="L2825">
        <v>5000</v>
      </c>
      <c r="M2825">
        <v>500000</v>
      </c>
      <c r="N2825" s="105">
        <v>44197</v>
      </c>
      <c r="O2825" s="105">
        <v>44377</v>
      </c>
      <c r="P2825" t="s">
        <v>718</v>
      </c>
      <c r="R2825" s="154"/>
      <c r="S2825" s="154"/>
      <c r="T2825" s="154"/>
      <c r="U2825" s="154"/>
    </row>
    <row r="2826" spans="1:21" ht="15" customHeight="1" x14ac:dyDescent="0.3">
      <c r="A2826" t="str">
        <f t="shared" si="45"/>
        <v/>
      </c>
      <c r="B2826" t="s">
        <v>13</v>
      </c>
      <c r="C2826">
        <v>14</v>
      </c>
      <c r="D2826" s="100" t="s">
        <v>23</v>
      </c>
      <c r="E2826" t="s">
        <v>720</v>
      </c>
      <c r="F2826" t="s">
        <v>18</v>
      </c>
      <c r="G2826" t="s">
        <v>742</v>
      </c>
      <c r="H2826" s="128">
        <v>0.379</v>
      </c>
      <c r="J2826" s="110">
        <v>0.17100000000000001</v>
      </c>
      <c r="L2826">
        <v>5000</v>
      </c>
      <c r="M2826">
        <v>500000</v>
      </c>
      <c r="N2826" s="105">
        <v>44197</v>
      </c>
      <c r="O2826" s="105">
        <v>44377</v>
      </c>
      <c r="P2826" t="s">
        <v>718</v>
      </c>
      <c r="R2826" s="154"/>
      <c r="S2826" s="154"/>
      <c r="T2826" s="154"/>
      <c r="U2826" s="154"/>
    </row>
    <row r="2827" spans="1:21" ht="15" customHeight="1" x14ac:dyDescent="0.3">
      <c r="A2827" t="str">
        <f t="shared" si="45"/>
        <v>15-3-U-SmartPAY24_Renewal</v>
      </c>
      <c r="B2827" t="s">
        <v>13</v>
      </c>
      <c r="C2827">
        <v>15</v>
      </c>
      <c r="D2827" s="100" t="s">
        <v>24</v>
      </c>
      <c r="E2827" t="s">
        <v>716</v>
      </c>
      <c r="F2827" t="s">
        <v>16</v>
      </c>
      <c r="G2827" t="s">
        <v>742</v>
      </c>
      <c r="H2827" s="128">
        <v>0.3518</v>
      </c>
      <c r="I2827" s="110">
        <v>0.17069999999999999</v>
      </c>
      <c r="L2827">
        <v>5000</v>
      </c>
      <c r="M2827">
        <v>500000</v>
      </c>
      <c r="N2827" s="105">
        <v>44197</v>
      </c>
      <c r="O2827" s="105">
        <v>44377</v>
      </c>
      <c r="P2827" t="s">
        <v>718</v>
      </c>
      <c r="R2827" s="154"/>
      <c r="S2827" s="154"/>
      <c r="T2827" s="154"/>
      <c r="U2827" s="154"/>
    </row>
    <row r="2828" spans="1:21" ht="15" customHeight="1" x14ac:dyDescent="0.3">
      <c r="A2828" t="str">
        <f t="shared" si="45"/>
        <v>15-4-E7-SmartPAY24_Renewal</v>
      </c>
      <c r="B2828" t="s">
        <v>13</v>
      </c>
      <c r="C2828">
        <v>15</v>
      </c>
      <c r="D2828" s="100" t="s">
        <v>24</v>
      </c>
      <c r="E2828" t="s">
        <v>17</v>
      </c>
      <c r="F2828" t="s">
        <v>18</v>
      </c>
      <c r="G2828" t="s">
        <v>742</v>
      </c>
      <c r="H2828" s="128">
        <v>0.3518</v>
      </c>
      <c r="I2828" s="110">
        <v>0.17069999999999999</v>
      </c>
      <c r="J2828" s="110">
        <v>0.17069999999999999</v>
      </c>
      <c r="L2828">
        <v>5000</v>
      </c>
      <c r="M2828">
        <v>500000</v>
      </c>
      <c r="N2828" s="105">
        <v>44197</v>
      </c>
      <c r="O2828" s="105">
        <v>44377</v>
      </c>
      <c r="P2828" t="s">
        <v>718</v>
      </c>
      <c r="R2828" s="154"/>
      <c r="S2828" s="154"/>
      <c r="T2828" s="154"/>
      <c r="U2828" s="154"/>
    </row>
    <row r="2829" spans="1:21" ht="15" customHeight="1" x14ac:dyDescent="0.3">
      <c r="A2829" t="str">
        <f t="shared" si="45"/>
        <v>15-3-EW-SmartPAY24_Renewal</v>
      </c>
      <c r="B2829" t="s">
        <v>13</v>
      </c>
      <c r="C2829">
        <v>15</v>
      </c>
      <c r="D2829" s="100" t="s">
        <v>24</v>
      </c>
      <c r="E2829" t="s">
        <v>19</v>
      </c>
      <c r="F2829" t="s">
        <v>16</v>
      </c>
      <c r="G2829" t="s">
        <v>742</v>
      </c>
      <c r="H2829" s="128">
        <v>0.3518</v>
      </c>
      <c r="I2829" s="110">
        <v>0.17069999999999999</v>
      </c>
      <c r="K2829" s="110">
        <v>0.17069999999999999</v>
      </c>
      <c r="L2829">
        <v>5000</v>
      </c>
      <c r="M2829">
        <v>500000</v>
      </c>
      <c r="N2829" s="105">
        <v>44197</v>
      </c>
      <c r="O2829" s="105">
        <v>44377</v>
      </c>
      <c r="P2829" t="s">
        <v>718</v>
      </c>
      <c r="R2829" s="154"/>
      <c r="S2829" s="154"/>
      <c r="T2829" s="154"/>
      <c r="U2829" s="154"/>
    </row>
    <row r="2830" spans="1:21" ht="15" customHeight="1" x14ac:dyDescent="0.3">
      <c r="A2830" t="str">
        <f t="shared" si="45"/>
        <v>15-4-3RATE-SmartPAY24_Renewal</v>
      </c>
      <c r="B2830" t="s">
        <v>13</v>
      </c>
      <c r="C2830">
        <v>15</v>
      </c>
      <c r="D2830" s="100" t="s">
        <v>24</v>
      </c>
      <c r="E2830" t="s">
        <v>719</v>
      </c>
      <c r="F2830" t="s">
        <v>18</v>
      </c>
      <c r="G2830" t="s">
        <v>742</v>
      </c>
      <c r="H2830" s="128">
        <v>0.3518</v>
      </c>
      <c r="I2830" s="110">
        <v>0.17069999999999999</v>
      </c>
      <c r="J2830" s="110">
        <v>0.17069999999999999</v>
      </c>
      <c r="K2830" s="110">
        <v>0.17069999999999999</v>
      </c>
      <c r="L2830">
        <v>5000</v>
      </c>
      <c r="M2830">
        <v>500000</v>
      </c>
      <c r="N2830" s="105">
        <v>44197</v>
      </c>
      <c r="O2830" s="105">
        <v>44377</v>
      </c>
      <c r="P2830" t="s">
        <v>718</v>
      </c>
      <c r="R2830" s="154"/>
      <c r="S2830" s="154"/>
      <c r="T2830" s="154"/>
      <c r="U2830" s="154"/>
    </row>
    <row r="2831" spans="1:21" ht="15" customHeight="1" x14ac:dyDescent="0.3">
      <c r="A2831" t="str">
        <f t="shared" si="45"/>
        <v/>
      </c>
      <c r="B2831" t="s">
        <v>13</v>
      </c>
      <c r="C2831">
        <v>15</v>
      </c>
      <c r="D2831" s="100" t="s">
        <v>24</v>
      </c>
      <c r="E2831" t="s">
        <v>720</v>
      </c>
      <c r="F2831" t="s">
        <v>18</v>
      </c>
      <c r="G2831" t="s">
        <v>742</v>
      </c>
      <c r="H2831" s="128">
        <v>0.3518</v>
      </c>
      <c r="J2831" s="110">
        <v>0.17069999999999999</v>
      </c>
      <c r="L2831">
        <v>5000</v>
      </c>
      <c r="M2831">
        <v>500000</v>
      </c>
      <c r="N2831" s="105">
        <v>44197</v>
      </c>
      <c r="O2831" s="105">
        <v>44377</v>
      </c>
      <c r="P2831" t="s">
        <v>718</v>
      </c>
      <c r="R2831" s="154"/>
      <c r="S2831" s="154"/>
      <c r="T2831" s="154"/>
      <c r="U2831" s="154"/>
    </row>
    <row r="2832" spans="1:21" ht="15" customHeight="1" x14ac:dyDescent="0.3">
      <c r="A2832" t="str">
        <f t="shared" si="45"/>
        <v>16-3-U-SmartPAY24_Renewal</v>
      </c>
      <c r="B2832" t="s">
        <v>13</v>
      </c>
      <c r="C2832">
        <v>16</v>
      </c>
      <c r="D2832" s="100" t="s">
        <v>25</v>
      </c>
      <c r="E2832" t="s">
        <v>716</v>
      </c>
      <c r="F2832" t="s">
        <v>16</v>
      </c>
      <c r="G2832" t="s">
        <v>742</v>
      </c>
      <c r="H2832" s="128">
        <v>0.29780000000000001</v>
      </c>
      <c r="I2832" s="110">
        <v>0.1729</v>
      </c>
      <c r="L2832">
        <v>5000</v>
      </c>
      <c r="M2832">
        <v>500000</v>
      </c>
      <c r="N2832" s="105">
        <v>44197</v>
      </c>
      <c r="O2832" s="105">
        <v>44377</v>
      </c>
      <c r="P2832" t="s">
        <v>718</v>
      </c>
      <c r="R2832" s="154"/>
      <c r="S2832" s="154"/>
      <c r="T2832" s="154"/>
      <c r="U2832" s="154"/>
    </row>
    <row r="2833" spans="1:21" ht="15" customHeight="1" x14ac:dyDescent="0.3">
      <c r="A2833" t="str">
        <f t="shared" si="45"/>
        <v>16-4-E7-SmartPAY24_Renewal</v>
      </c>
      <c r="B2833" t="s">
        <v>13</v>
      </c>
      <c r="C2833">
        <v>16</v>
      </c>
      <c r="D2833" s="100" t="s">
        <v>25</v>
      </c>
      <c r="E2833" t="s">
        <v>17</v>
      </c>
      <c r="F2833" t="s">
        <v>18</v>
      </c>
      <c r="G2833" t="s">
        <v>742</v>
      </c>
      <c r="H2833" s="128">
        <v>0.29780000000000001</v>
      </c>
      <c r="I2833" s="110">
        <v>0.1729</v>
      </c>
      <c r="J2833" s="110">
        <v>0.1729</v>
      </c>
      <c r="L2833">
        <v>5000</v>
      </c>
      <c r="M2833">
        <v>500000</v>
      </c>
      <c r="N2833" s="105">
        <v>44197</v>
      </c>
      <c r="O2833" s="105">
        <v>44377</v>
      </c>
      <c r="P2833" t="s">
        <v>718</v>
      </c>
      <c r="R2833" s="154"/>
      <c r="S2833" s="154"/>
      <c r="T2833" s="154"/>
      <c r="U2833" s="154"/>
    </row>
    <row r="2834" spans="1:21" ht="15" customHeight="1" x14ac:dyDescent="0.3">
      <c r="A2834" t="str">
        <f t="shared" si="45"/>
        <v>16-3-EW-SmartPAY24_Renewal</v>
      </c>
      <c r="B2834" t="s">
        <v>13</v>
      </c>
      <c r="C2834">
        <v>16</v>
      </c>
      <c r="D2834" s="100" t="s">
        <v>25</v>
      </c>
      <c r="E2834" t="s">
        <v>19</v>
      </c>
      <c r="F2834" t="s">
        <v>16</v>
      </c>
      <c r="G2834" t="s">
        <v>742</v>
      </c>
      <c r="H2834" s="128">
        <v>0.29780000000000001</v>
      </c>
      <c r="I2834" s="110">
        <v>0.1729</v>
      </c>
      <c r="K2834" s="110">
        <v>0.1729</v>
      </c>
      <c r="L2834">
        <v>5000</v>
      </c>
      <c r="M2834">
        <v>500000</v>
      </c>
      <c r="N2834" s="105">
        <v>44197</v>
      </c>
      <c r="O2834" s="105">
        <v>44377</v>
      </c>
      <c r="P2834" t="s">
        <v>718</v>
      </c>
      <c r="R2834" s="154"/>
      <c r="S2834" s="154"/>
      <c r="T2834" s="154"/>
      <c r="U2834" s="154"/>
    </row>
    <row r="2835" spans="1:21" ht="15" customHeight="1" x14ac:dyDescent="0.3">
      <c r="A2835" t="str">
        <f t="shared" si="45"/>
        <v>16-4-3RATE-SmartPAY24_Renewal</v>
      </c>
      <c r="B2835" t="s">
        <v>13</v>
      </c>
      <c r="C2835">
        <v>16</v>
      </c>
      <c r="D2835" s="100" t="s">
        <v>25</v>
      </c>
      <c r="E2835" t="s">
        <v>719</v>
      </c>
      <c r="F2835" t="s">
        <v>18</v>
      </c>
      <c r="G2835" t="s">
        <v>742</v>
      </c>
      <c r="H2835" s="128">
        <v>0.29780000000000001</v>
      </c>
      <c r="I2835" s="110">
        <v>0.1729</v>
      </c>
      <c r="J2835" s="110">
        <v>0.1729</v>
      </c>
      <c r="K2835" s="110">
        <v>0.1729</v>
      </c>
      <c r="L2835">
        <v>5000</v>
      </c>
      <c r="M2835">
        <v>500000</v>
      </c>
      <c r="N2835" s="105">
        <v>44197</v>
      </c>
      <c r="O2835" s="105">
        <v>44377</v>
      </c>
      <c r="P2835" t="s">
        <v>718</v>
      </c>
      <c r="R2835" s="154"/>
      <c r="S2835" s="154"/>
      <c r="T2835" s="154"/>
      <c r="U2835" s="154"/>
    </row>
    <row r="2836" spans="1:21" ht="15" customHeight="1" x14ac:dyDescent="0.3">
      <c r="A2836" t="str">
        <f t="shared" si="45"/>
        <v/>
      </c>
      <c r="B2836" t="s">
        <v>13</v>
      </c>
      <c r="C2836">
        <v>16</v>
      </c>
      <c r="D2836" s="100" t="s">
        <v>25</v>
      </c>
      <c r="E2836" t="s">
        <v>720</v>
      </c>
      <c r="F2836" t="s">
        <v>18</v>
      </c>
      <c r="G2836" t="s">
        <v>742</v>
      </c>
      <c r="H2836" s="128">
        <v>0.29780000000000001</v>
      </c>
      <c r="J2836" s="110">
        <v>0.1729</v>
      </c>
      <c r="L2836">
        <v>5000</v>
      </c>
      <c r="M2836">
        <v>500000</v>
      </c>
      <c r="N2836" s="105">
        <v>44197</v>
      </c>
      <c r="O2836" s="105">
        <v>44377</v>
      </c>
      <c r="P2836" t="s">
        <v>718</v>
      </c>
      <c r="R2836" s="154"/>
      <c r="S2836" s="154"/>
      <c r="T2836" s="154"/>
      <c r="U2836" s="154"/>
    </row>
    <row r="2837" spans="1:21" ht="15" customHeight="1" x14ac:dyDescent="0.3">
      <c r="A2837" t="str">
        <f t="shared" si="45"/>
        <v>17-3-U-SmartPAY24_Renewal</v>
      </c>
      <c r="B2837" t="s">
        <v>13</v>
      </c>
      <c r="C2837">
        <v>17</v>
      </c>
      <c r="D2837" s="100" t="s">
        <v>26</v>
      </c>
      <c r="E2837" t="s">
        <v>716</v>
      </c>
      <c r="F2837" t="s">
        <v>16</v>
      </c>
      <c r="G2837" t="s">
        <v>742</v>
      </c>
      <c r="H2837" s="128">
        <v>0.39229999999999998</v>
      </c>
      <c r="I2837" s="110">
        <v>0.17580000000000001</v>
      </c>
      <c r="L2837">
        <v>5000</v>
      </c>
      <c r="M2837">
        <v>500000</v>
      </c>
      <c r="N2837" s="105">
        <v>44197</v>
      </c>
      <c r="O2837" s="105">
        <v>44377</v>
      </c>
      <c r="P2837" t="s">
        <v>718</v>
      </c>
      <c r="R2837" s="154"/>
      <c r="S2837" s="154"/>
      <c r="T2837" s="154"/>
      <c r="U2837" s="154"/>
    </row>
    <row r="2838" spans="1:21" ht="15" customHeight="1" x14ac:dyDescent="0.3">
      <c r="A2838" t="str">
        <f t="shared" si="45"/>
        <v>17-4-E7-SmartPAY24_Renewal</v>
      </c>
      <c r="B2838" t="s">
        <v>13</v>
      </c>
      <c r="C2838">
        <v>17</v>
      </c>
      <c r="D2838" s="100" t="s">
        <v>26</v>
      </c>
      <c r="E2838" t="s">
        <v>17</v>
      </c>
      <c r="F2838" t="s">
        <v>18</v>
      </c>
      <c r="G2838" t="s">
        <v>742</v>
      </c>
      <c r="H2838" s="128">
        <v>0.39229999999999998</v>
      </c>
      <c r="I2838" s="110">
        <v>0.17580000000000001</v>
      </c>
      <c r="J2838" s="110">
        <v>0.17580000000000001</v>
      </c>
      <c r="L2838">
        <v>5000</v>
      </c>
      <c r="M2838">
        <v>500000</v>
      </c>
      <c r="N2838" s="105">
        <v>44197</v>
      </c>
      <c r="O2838" s="105">
        <v>44377</v>
      </c>
      <c r="P2838" t="s">
        <v>718</v>
      </c>
      <c r="R2838" s="154"/>
      <c r="S2838" s="154"/>
      <c r="T2838" s="154"/>
      <c r="U2838" s="154"/>
    </row>
    <row r="2839" spans="1:21" ht="15" customHeight="1" x14ac:dyDescent="0.3">
      <c r="A2839" t="str">
        <f t="shared" si="45"/>
        <v>17-3-EW-SmartPAY24_Renewal</v>
      </c>
      <c r="B2839" t="s">
        <v>13</v>
      </c>
      <c r="C2839">
        <v>17</v>
      </c>
      <c r="D2839" s="100" t="s">
        <v>26</v>
      </c>
      <c r="E2839" t="s">
        <v>19</v>
      </c>
      <c r="F2839" t="s">
        <v>16</v>
      </c>
      <c r="G2839" t="s">
        <v>742</v>
      </c>
      <c r="H2839" s="128">
        <v>0.39229999999999998</v>
      </c>
      <c r="I2839" s="110">
        <v>0.17580000000000001</v>
      </c>
      <c r="K2839" s="110">
        <v>0.17580000000000001</v>
      </c>
      <c r="L2839">
        <v>5000</v>
      </c>
      <c r="M2839">
        <v>500000</v>
      </c>
      <c r="N2839" s="105">
        <v>44197</v>
      </c>
      <c r="O2839" s="105">
        <v>44377</v>
      </c>
      <c r="P2839" t="s">
        <v>718</v>
      </c>
      <c r="R2839" s="154"/>
      <c r="S2839" s="154"/>
      <c r="T2839" s="154"/>
      <c r="U2839" s="154"/>
    </row>
    <row r="2840" spans="1:21" ht="15" customHeight="1" x14ac:dyDescent="0.3">
      <c r="A2840" t="str">
        <f t="shared" si="45"/>
        <v>17-4-3RATE-SmartPAY24_Renewal</v>
      </c>
      <c r="B2840" t="s">
        <v>13</v>
      </c>
      <c r="C2840">
        <v>17</v>
      </c>
      <c r="D2840" s="100" t="s">
        <v>26</v>
      </c>
      <c r="E2840" t="s">
        <v>719</v>
      </c>
      <c r="F2840" t="s">
        <v>18</v>
      </c>
      <c r="G2840" t="s">
        <v>742</v>
      </c>
      <c r="H2840" s="128">
        <v>0.39229999999999998</v>
      </c>
      <c r="I2840" s="110">
        <v>0.17580000000000001</v>
      </c>
      <c r="J2840" s="110">
        <v>0.17580000000000001</v>
      </c>
      <c r="K2840" s="110">
        <v>0.17580000000000001</v>
      </c>
      <c r="L2840">
        <v>5000</v>
      </c>
      <c r="M2840">
        <v>500000</v>
      </c>
      <c r="N2840" s="105">
        <v>44197</v>
      </c>
      <c r="O2840" s="105">
        <v>44377</v>
      </c>
      <c r="P2840" t="s">
        <v>718</v>
      </c>
      <c r="R2840" s="154"/>
      <c r="S2840" s="154"/>
      <c r="T2840" s="154"/>
      <c r="U2840" s="154"/>
    </row>
    <row r="2841" spans="1:21" ht="15" customHeight="1" x14ac:dyDescent="0.3">
      <c r="A2841" t="str">
        <f t="shared" si="45"/>
        <v/>
      </c>
      <c r="B2841" t="s">
        <v>13</v>
      </c>
      <c r="C2841">
        <v>17</v>
      </c>
      <c r="D2841" s="100" t="s">
        <v>26</v>
      </c>
      <c r="E2841" t="s">
        <v>720</v>
      </c>
      <c r="F2841" t="s">
        <v>18</v>
      </c>
      <c r="G2841" t="s">
        <v>742</v>
      </c>
      <c r="H2841" s="128">
        <v>0.39229999999999998</v>
      </c>
      <c r="J2841" s="110">
        <v>0.17580000000000001</v>
      </c>
      <c r="L2841">
        <v>5000</v>
      </c>
      <c r="M2841">
        <v>500000</v>
      </c>
      <c r="N2841" s="105">
        <v>44197</v>
      </c>
      <c r="O2841" s="105">
        <v>44377</v>
      </c>
      <c r="P2841" t="s">
        <v>718</v>
      </c>
      <c r="R2841" s="154"/>
      <c r="S2841" s="154"/>
      <c r="T2841" s="154"/>
      <c r="U2841" s="154"/>
    </row>
    <row r="2842" spans="1:21" ht="15" customHeight="1" x14ac:dyDescent="0.3">
      <c r="A2842" t="str">
        <f t="shared" si="45"/>
        <v>18-3-U-SmartPAY24_Renewal</v>
      </c>
      <c r="B2842" t="s">
        <v>13</v>
      </c>
      <c r="C2842">
        <v>18</v>
      </c>
      <c r="D2842" s="100" t="s">
        <v>27</v>
      </c>
      <c r="E2842" t="s">
        <v>716</v>
      </c>
      <c r="F2842" t="s">
        <v>16</v>
      </c>
      <c r="G2842" t="s">
        <v>742</v>
      </c>
      <c r="H2842" s="128">
        <v>0.3422</v>
      </c>
      <c r="I2842" s="110">
        <v>0.17230000000000001</v>
      </c>
      <c r="L2842">
        <v>5000</v>
      </c>
      <c r="M2842">
        <v>500000</v>
      </c>
      <c r="N2842" s="105">
        <v>44197</v>
      </c>
      <c r="O2842" s="105">
        <v>44377</v>
      </c>
      <c r="P2842" t="s">
        <v>718</v>
      </c>
      <c r="R2842" s="154"/>
      <c r="S2842" s="154"/>
      <c r="T2842" s="154"/>
      <c r="U2842" s="154"/>
    </row>
    <row r="2843" spans="1:21" ht="15" customHeight="1" x14ac:dyDescent="0.3">
      <c r="A2843" t="str">
        <f t="shared" si="45"/>
        <v>18-4-E7-SmartPAY24_Renewal</v>
      </c>
      <c r="B2843" t="s">
        <v>13</v>
      </c>
      <c r="C2843">
        <v>18</v>
      </c>
      <c r="D2843" s="100" t="s">
        <v>27</v>
      </c>
      <c r="E2843" t="s">
        <v>17</v>
      </c>
      <c r="F2843" t="s">
        <v>18</v>
      </c>
      <c r="G2843" t="s">
        <v>742</v>
      </c>
      <c r="H2843" s="128">
        <v>0.3422</v>
      </c>
      <c r="I2843" s="110">
        <v>0.17230000000000001</v>
      </c>
      <c r="J2843" s="110">
        <v>0.17230000000000001</v>
      </c>
      <c r="L2843">
        <v>5000</v>
      </c>
      <c r="M2843">
        <v>500000</v>
      </c>
      <c r="N2843" s="105">
        <v>44197</v>
      </c>
      <c r="O2843" s="105">
        <v>44377</v>
      </c>
      <c r="P2843" t="s">
        <v>718</v>
      </c>
      <c r="R2843" s="154"/>
      <c r="S2843" s="154"/>
      <c r="T2843" s="154"/>
      <c r="U2843" s="154"/>
    </row>
    <row r="2844" spans="1:21" ht="15" customHeight="1" x14ac:dyDescent="0.3">
      <c r="A2844" t="str">
        <f t="shared" si="45"/>
        <v>18-3-EW-SmartPAY24_Renewal</v>
      </c>
      <c r="B2844" t="s">
        <v>13</v>
      </c>
      <c r="C2844">
        <v>18</v>
      </c>
      <c r="D2844" s="100" t="s">
        <v>27</v>
      </c>
      <c r="E2844" t="s">
        <v>19</v>
      </c>
      <c r="F2844" t="s">
        <v>16</v>
      </c>
      <c r="G2844" t="s">
        <v>742</v>
      </c>
      <c r="H2844" s="128">
        <v>0.3422</v>
      </c>
      <c r="I2844" s="110">
        <v>0.17230000000000001</v>
      </c>
      <c r="K2844" s="110">
        <v>0.17230000000000001</v>
      </c>
      <c r="L2844">
        <v>5000</v>
      </c>
      <c r="M2844">
        <v>500000</v>
      </c>
      <c r="N2844" s="105">
        <v>44197</v>
      </c>
      <c r="O2844" s="105">
        <v>44377</v>
      </c>
      <c r="P2844" t="s">
        <v>718</v>
      </c>
      <c r="R2844" s="154"/>
      <c r="S2844" s="154"/>
      <c r="T2844" s="154"/>
      <c r="U2844" s="154"/>
    </row>
    <row r="2845" spans="1:21" ht="15" customHeight="1" x14ac:dyDescent="0.3">
      <c r="A2845" t="str">
        <f t="shared" si="45"/>
        <v>18-4-3RATE-SmartPAY24_Renewal</v>
      </c>
      <c r="B2845" t="s">
        <v>13</v>
      </c>
      <c r="C2845">
        <v>18</v>
      </c>
      <c r="D2845" s="100" t="s">
        <v>27</v>
      </c>
      <c r="E2845" t="s">
        <v>719</v>
      </c>
      <c r="F2845" t="s">
        <v>18</v>
      </c>
      <c r="G2845" t="s">
        <v>742</v>
      </c>
      <c r="H2845" s="128">
        <v>0.3422</v>
      </c>
      <c r="I2845" s="110">
        <v>0.17230000000000001</v>
      </c>
      <c r="J2845" s="110">
        <v>0.17230000000000001</v>
      </c>
      <c r="K2845" s="110">
        <v>0.17230000000000001</v>
      </c>
      <c r="L2845">
        <v>5000</v>
      </c>
      <c r="M2845">
        <v>500000</v>
      </c>
      <c r="N2845" s="105">
        <v>44197</v>
      </c>
      <c r="O2845" s="105">
        <v>44377</v>
      </c>
      <c r="P2845" t="s">
        <v>718</v>
      </c>
      <c r="R2845" s="154"/>
      <c r="S2845" s="154"/>
      <c r="T2845" s="154"/>
      <c r="U2845" s="154"/>
    </row>
    <row r="2846" spans="1:21" ht="15" customHeight="1" x14ac:dyDescent="0.3">
      <c r="A2846" t="str">
        <f t="shared" si="45"/>
        <v/>
      </c>
      <c r="B2846" t="s">
        <v>13</v>
      </c>
      <c r="C2846">
        <v>18</v>
      </c>
      <c r="D2846" s="100" t="s">
        <v>27</v>
      </c>
      <c r="E2846" t="s">
        <v>720</v>
      </c>
      <c r="F2846" t="s">
        <v>18</v>
      </c>
      <c r="G2846" t="s">
        <v>742</v>
      </c>
      <c r="H2846" s="128">
        <v>0.3422</v>
      </c>
      <c r="J2846" s="110">
        <v>0.17230000000000001</v>
      </c>
      <c r="L2846">
        <v>5000</v>
      </c>
      <c r="M2846">
        <v>500000</v>
      </c>
      <c r="N2846" s="105">
        <v>44197</v>
      </c>
      <c r="O2846" s="105">
        <v>44377</v>
      </c>
      <c r="P2846" t="s">
        <v>718</v>
      </c>
      <c r="R2846" s="154"/>
      <c r="S2846" s="154"/>
      <c r="T2846" s="154"/>
      <c r="U2846" s="154"/>
    </row>
    <row r="2847" spans="1:21" ht="15" customHeight="1" x14ac:dyDescent="0.3">
      <c r="A2847" t="str">
        <f t="shared" si="45"/>
        <v>19-3-U-SmartPAY24_Renewal</v>
      </c>
      <c r="B2847" t="s">
        <v>13</v>
      </c>
      <c r="C2847">
        <v>19</v>
      </c>
      <c r="D2847" s="100" t="s">
        <v>28</v>
      </c>
      <c r="E2847" t="s">
        <v>716</v>
      </c>
      <c r="F2847" t="s">
        <v>16</v>
      </c>
      <c r="G2847" t="s">
        <v>742</v>
      </c>
      <c r="H2847" s="128">
        <v>0.32529999999999998</v>
      </c>
      <c r="I2847" s="110">
        <v>0.17010000000000003</v>
      </c>
      <c r="L2847">
        <v>5000</v>
      </c>
      <c r="M2847">
        <v>500000</v>
      </c>
      <c r="N2847" s="105">
        <v>44197</v>
      </c>
      <c r="O2847" s="105">
        <v>44377</v>
      </c>
      <c r="P2847" t="s">
        <v>718</v>
      </c>
      <c r="R2847" s="154"/>
      <c r="S2847" s="154"/>
      <c r="T2847" s="154"/>
      <c r="U2847" s="154"/>
    </row>
    <row r="2848" spans="1:21" ht="15" customHeight="1" x14ac:dyDescent="0.3">
      <c r="A2848" t="str">
        <f t="shared" si="45"/>
        <v>19-4-E7-SmartPAY24_Renewal</v>
      </c>
      <c r="B2848" t="s">
        <v>13</v>
      </c>
      <c r="C2848">
        <v>19</v>
      </c>
      <c r="D2848" s="100" t="s">
        <v>28</v>
      </c>
      <c r="E2848" t="s">
        <v>17</v>
      </c>
      <c r="F2848" t="s">
        <v>18</v>
      </c>
      <c r="G2848" t="s">
        <v>742</v>
      </c>
      <c r="H2848" s="128">
        <v>0.32529999999999998</v>
      </c>
      <c r="I2848" s="110">
        <v>0.17010000000000003</v>
      </c>
      <c r="J2848" s="110">
        <v>0.17010000000000003</v>
      </c>
      <c r="L2848">
        <v>5000</v>
      </c>
      <c r="M2848">
        <v>500000</v>
      </c>
      <c r="N2848" s="105">
        <v>44197</v>
      </c>
      <c r="O2848" s="105">
        <v>44377</v>
      </c>
      <c r="P2848" t="s">
        <v>718</v>
      </c>
      <c r="R2848" s="154"/>
      <c r="S2848" s="154"/>
      <c r="T2848" s="154"/>
      <c r="U2848" s="154"/>
    </row>
    <row r="2849" spans="1:21" ht="15" customHeight="1" x14ac:dyDescent="0.3">
      <c r="A2849" t="str">
        <f t="shared" si="45"/>
        <v>19-3-EW-SmartPAY24_Renewal</v>
      </c>
      <c r="B2849" t="s">
        <v>13</v>
      </c>
      <c r="C2849">
        <v>19</v>
      </c>
      <c r="D2849" s="100" t="s">
        <v>28</v>
      </c>
      <c r="E2849" t="s">
        <v>19</v>
      </c>
      <c r="F2849" t="s">
        <v>16</v>
      </c>
      <c r="G2849" t="s">
        <v>742</v>
      </c>
      <c r="H2849" s="128">
        <v>0.32529999999999998</v>
      </c>
      <c r="I2849" s="110">
        <v>0.17010000000000003</v>
      </c>
      <c r="K2849" s="110">
        <v>0.17010000000000003</v>
      </c>
      <c r="L2849">
        <v>5000</v>
      </c>
      <c r="M2849">
        <v>500000</v>
      </c>
      <c r="N2849" s="105">
        <v>44197</v>
      </c>
      <c r="O2849" s="105">
        <v>44377</v>
      </c>
      <c r="P2849" t="s">
        <v>718</v>
      </c>
      <c r="R2849" s="154"/>
      <c r="S2849" s="154"/>
      <c r="T2849" s="154"/>
      <c r="U2849" s="154"/>
    </row>
    <row r="2850" spans="1:21" ht="15" customHeight="1" x14ac:dyDescent="0.3">
      <c r="A2850" t="str">
        <f t="shared" si="45"/>
        <v>19-4-3RATE-SmartPAY24_Renewal</v>
      </c>
      <c r="B2850" t="s">
        <v>13</v>
      </c>
      <c r="C2850">
        <v>19</v>
      </c>
      <c r="D2850" s="100" t="s">
        <v>28</v>
      </c>
      <c r="E2850" t="s">
        <v>719</v>
      </c>
      <c r="F2850" t="s">
        <v>18</v>
      </c>
      <c r="G2850" t="s">
        <v>742</v>
      </c>
      <c r="H2850" s="128">
        <v>0.32529999999999998</v>
      </c>
      <c r="I2850" s="110">
        <v>0.17010000000000003</v>
      </c>
      <c r="J2850" s="110">
        <v>0.17010000000000003</v>
      </c>
      <c r="K2850" s="110">
        <v>0.17010000000000003</v>
      </c>
      <c r="L2850">
        <v>5000</v>
      </c>
      <c r="M2850">
        <v>500000</v>
      </c>
      <c r="N2850" s="105">
        <v>44197</v>
      </c>
      <c r="O2850" s="105">
        <v>44377</v>
      </c>
      <c r="P2850" t="s">
        <v>718</v>
      </c>
      <c r="R2850" s="154"/>
      <c r="S2850" s="154"/>
      <c r="T2850" s="154"/>
      <c r="U2850" s="154"/>
    </row>
    <row r="2851" spans="1:21" ht="15" customHeight="1" x14ac:dyDescent="0.3">
      <c r="A2851" t="str">
        <f t="shared" ref="A2851:A2914" si="46">IF(E2851="OP","",CONCATENATE(C2851,"-",RIGHT(F2851,1),"-",IF(OR(E2851="1 Rate MD",E2851="DAY"),"U",IF(OR(E2851="2 Rate MD",E2851="E7"),"E7",IF(OR(E2851="3 Rate MD (EW)",E2851="EW"),"EW",IF(OR(E2851="3 Rate MD",E2851="EWN"),"3RATE",IF(E2851="HH 2RATE (CT)","HH 2RATE (CT)",IF(E2851="HH 2RATE (WC)","HH 2RATE (WC)",IF(E2851="HH 1RATE (CT)","HH 1RATE (CT)",IF(E2851="HH 1RATE (WC)","HH 1RATE (WC)")))))))),"-",G2851))</f>
        <v/>
      </c>
      <c r="B2851" t="s">
        <v>13</v>
      </c>
      <c r="C2851">
        <v>19</v>
      </c>
      <c r="D2851" s="100" t="s">
        <v>28</v>
      </c>
      <c r="E2851" t="s">
        <v>720</v>
      </c>
      <c r="F2851" t="s">
        <v>18</v>
      </c>
      <c r="G2851" t="s">
        <v>742</v>
      </c>
      <c r="H2851" s="128">
        <v>0.32529999999999998</v>
      </c>
      <c r="J2851" s="110">
        <v>0.17010000000000003</v>
      </c>
      <c r="L2851">
        <v>5000</v>
      </c>
      <c r="M2851">
        <v>500000</v>
      </c>
      <c r="N2851" s="105">
        <v>44197</v>
      </c>
      <c r="O2851" s="105">
        <v>44377</v>
      </c>
      <c r="P2851" t="s">
        <v>718</v>
      </c>
      <c r="R2851" s="154"/>
      <c r="S2851" s="154"/>
      <c r="T2851" s="154"/>
      <c r="U2851" s="154"/>
    </row>
    <row r="2852" spans="1:21" ht="15" customHeight="1" x14ac:dyDescent="0.3">
      <c r="A2852" t="str">
        <f t="shared" si="46"/>
        <v>20-3-U-SmartPAY24_Renewal</v>
      </c>
      <c r="B2852" t="s">
        <v>13</v>
      </c>
      <c r="C2852">
        <v>20</v>
      </c>
      <c r="D2852" s="100" t="s">
        <v>29</v>
      </c>
      <c r="E2852" t="s">
        <v>716</v>
      </c>
      <c r="F2852" t="s">
        <v>16</v>
      </c>
      <c r="G2852" t="s">
        <v>742</v>
      </c>
      <c r="H2852" s="128">
        <v>0.32229999999999998</v>
      </c>
      <c r="I2852" s="110">
        <v>0.16790000000000002</v>
      </c>
      <c r="L2852">
        <v>5000</v>
      </c>
      <c r="M2852">
        <v>500000</v>
      </c>
      <c r="N2852" s="105">
        <v>44197</v>
      </c>
      <c r="O2852" s="105">
        <v>44377</v>
      </c>
      <c r="P2852" t="s">
        <v>718</v>
      </c>
      <c r="R2852" s="154"/>
      <c r="S2852" s="154"/>
      <c r="T2852" s="154"/>
      <c r="U2852" s="154"/>
    </row>
    <row r="2853" spans="1:21" ht="15" customHeight="1" x14ac:dyDescent="0.3">
      <c r="A2853" t="str">
        <f t="shared" si="46"/>
        <v>20-4-E7-SmartPAY24_Renewal</v>
      </c>
      <c r="B2853" t="s">
        <v>13</v>
      </c>
      <c r="C2853">
        <v>20</v>
      </c>
      <c r="D2853" s="100" t="s">
        <v>29</v>
      </c>
      <c r="E2853" t="s">
        <v>17</v>
      </c>
      <c r="F2853" t="s">
        <v>18</v>
      </c>
      <c r="G2853" t="s">
        <v>742</v>
      </c>
      <c r="H2853" s="128">
        <v>0.32229999999999998</v>
      </c>
      <c r="I2853" s="110">
        <v>0.16790000000000002</v>
      </c>
      <c r="J2853" s="110">
        <v>0.16790000000000002</v>
      </c>
      <c r="L2853">
        <v>5000</v>
      </c>
      <c r="M2853">
        <v>500000</v>
      </c>
      <c r="N2853" s="105">
        <v>44197</v>
      </c>
      <c r="O2853" s="105">
        <v>44377</v>
      </c>
      <c r="P2853" t="s">
        <v>718</v>
      </c>
      <c r="R2853" s="154"/>
      <c r="S2853" s="154"/>
      <c r="T2853" s="154"/>
      <c r="U2853" s="154"/>
    </row>
    <row r="2854" spans="1:21" ht="15" customHeight="1" x14ac:dyDescent="0.3">
      <c r="A2854" t="str">
        <f t="shared" si="46"/>
        <v>20-3-EW-SmartPAY24_Renewal</v>
      </c>
      <c r="B2854" t="s">
        <v>13</v>
      </c>
      <c r="C2854">
        <v>20</v>
      </c>
      <c r="D2854" s="100" t="s">
        <v>29</v>
      </c>
      <c r="E2854" t="s">
        <v>19</v>
      </c>
      <c r="F2854" t="s">
        <v>16</v>
      </c>
      <c r="G2854" t="s">
        <v>742</v>
      </c>
      <c r="H2854" s="128">
        <v>0.32229999999999998</v>
      </c>
      <c r="I2854" s="110">
        <v>0.16790000000000002</v>
      </c>
      <c r="K2854" s="110">
        <v>0.16790000000000002</v>
      </c>
      <c r="L2854">
        <v>5000</v>
      </c>
      <c r="M2854">
        <v>500000</v>
      </c>
      <c r="N2854" s="105">
        <v>44197</v>
      </c>
      <c r="O2854" s="105">
        <v>44377</v>
      </c>
      <c r="P2854" t="s">
        <v>718</v>
      </c>
      <c r="R2854" s="154"/>
      <c r="S2854" s="154"/>
      <c r="T2854" s="154"/>
      <c r="U2854" s="154"/>
    </row>
    <row r="2855" spans="1:21" ht="15" customHeight="1" x14ac:dyDescent="0.3">
      <c r="A2855" t="str">
        <f t="shared" si="46"/>
        <v>20-4-3RATE-SmartPAY24_Renewal</v>
      </c>
      <c r="B2855" t="s">
        <v>13</v>
      </c>
      <c r="C2855">
        <v>20</v>
      </c>
      <c r="D2855" s="100" t="s">
        <v>29</v>
      </c>
      <c r="E2855" t="s">
        <v>719</v>
      </c>
      <c r="F2855" t="s">
        <v>18</v>
      </c>
      <c r="G2855" t="s">
        <v>742</v>
      </c>
      <c r="H2855" s="128">
        <v>0.32229999999999998</v>
      </c>
      <c r="I2855" s="110">
        <v>0.16790000000000002</v>
      </c>
      <c r="J2855" s="110">
        <v>0.16790000000000002</v>
      </c>
      <c r="K2855" s="110">
        <v>0.16790000000000002</v>
      </c>
      <c r="L2855">
        <v>5000</v>
      </c>
      <c r="M2855">
        <v>500000</v>
      </c>
      <c r="N2855" s="105">
        <v>44197</v>
      </c>
      <c r="O2855" s="105">
        <v>44377</v>
      </c>
      <c r="P2855" t="s">
        <v>718</v>
      </c>
      <c r="R2855" s="154"/>
      <c r="S2855" s="154"/>
      <c r="T2855" s="154"/>
      <c r="U2855" s="154"/>
    </row>
    <row r="2856" spans="1:21" ht="15" customHeight="1" x14ac:dyDescent="0.3">
      <c r="A2856" t="str">
        <f t="shared" si="46"/>
        <v/>
      </c>
      <c r="B2856" t="s">
        <v>13</v>
      </c>
      <c r="C2856">
        <v>20</v>
      </c>
      <c r="D2856" s="100" t="s">
        <v>29</v>
      </c>
      <c r="E2856" t="s">
        <v>720</v>
      </c>
      <c r="F2856" t="s">
        <v>18</v>
      </c>
      <c r="G2856" t="s">
        <v>742</v>
      </c>
      <c r="H2856" s="128">
        <v>0.32229999999999998</v>
      </c>
      <c r="J2856" s="110">
        <v>0.16790000000000002</v>
      </c>
      <c r="L2856">
        <v>5000</v>
      </c>
      <c r="M2856">
        <v>500000</v>
      </c>
      <c r="N2856" s="105">
        <v>44197</v>
      </c>
      <c r="O2856" s="105">
        <v>44377</v>
      </c>
      <c r="P2856" t="s">
        <v>718</v>
      </c>
      <c r="R2856" s="154"/>
      <c r="S2856" s="154"/>
      <c r="T2856" s="154"/>
      <c r="U2856" s="154"/>
    </row>
    <row r="2857" spans="1:21" ht="15" customHeight="1" x14ac:dyDescent="0.3">
      <c r="A2857" t="str">
        <f t="shared" si="46"/>
        <v>21-3-U-SmartPAY24_Renewal</v>
      </c>
      <c r="B2857" t="s">
        <v>13</v>
      </c>
      <c r="C2857">
        <v>21</v>
      </c>
      <c r="D2857" s="100" t="s">
        <v>30</v>
      </c>
      <c r="E2857" t="s">
        <v>716</v>
      </c>
      <c r="F2857" t="s">
        <v>16</v>
      </c>
      <c r="G2857" t="s">
        <v>742</v>
      </c>
      <c r="H2857" s="128">
        <v>0.4461</v>
      </c>
      <c r="I2857" s="110">
        <v>0.17</v>
      </c>
      <c r="L2857">
        <v>5000</v>
      </c>
      <c r="M2857">
        <v>500000</v>
      </c>
      <c r="N2857" s="105">
        <v>44197</v>
      </c>
      <c r="O2857" s="105">
        <v>44377</v>
      </c>
      <c r="P2857" t="s">
        <v>718</v>
      </c>
      <c r="R2857" s="154"/>
      <c r="S2857" s="154"/>
      <c r="T2857" s="154"/>
      <c r="U2857" s="154"/>
    </row>
    <row r="2858" spans="1:21" ht="15" customHeight="1" x14ac:dyDescent="0.3">
      <c r="A2858" t="str">
        <f t="shared" si="46"/>
        <v>21-4-E7-SmartPAY24_Renewal</v>
      </c>
      <c r="B2858" t="s">
        <v>13</v>
      </c>
      <c r="C2858">
        <v>21</v>
      </c>
      <c r="D2858" s="100" t="s">
        <v>30</v>
      </c>
      <c r="E2858" t="s">
        <v>17</v>
      </c>
      <c r="F2858" t="s">
        <v>18</v>
      </c>
      <c r="G2858" t="s">
        <v>742</v>
      </c>
      <c r="H2858" s="128">
        <v>0.4461</v>
      </c>
      <c r="I2858" s="110">
        <v>0.17</v>
      </c>
      <c r="J2858" s="110">
        <v>0.17</v>
      </c>
      <c r="L2858">
        <v>5000</v>
      </c>
      <c r="M2858">
        <v>500000</v>
      </c>
      <c r="N2858" s="105">
        <v>44197</v>
      </c>
      <c r="O2858" s="105">
        <v>44377</v>
      </c>
      <c r="P2858" t="s">
        <v>718</v>
      </c>
      <c r="R2858" s="154"/>
      <c r="S2858" s="154"/>
      <c r="T2858" s="154"/>
      <c r="U2858" s="154"/>
    </row>
    <row r="2859" spans="1:21" ht="15" customHeight="1" x14ac:dyDescent="0.3">
      <c r="A2859" t="str">
        <f t="shared" si="46"/>
        <v>21-3-EW-SmartPAY24_Renewal</v>
      </c>
      <c r="B2859" t="s">
        <v>13</v>
      </c>
      <c r="C2859">
        <v>21</v>
      </c>
      <c r="D2859" s="100" t="s">
        <v>30</v>
      </c>
      <c r="E2859" t="s">
        <v>19</v>
      </c>
      <c r="F2859" t="s">
        <v>16</v>
      </c>
      <c r="G2859" t="s">
        <v>742</v>
      </c>
      <c r="H2859" s="128">
        <v>0.4461</v>
      </c>
      <c r="I2859" s="110">
        <v>0.17</v>
      </c>
      <c r="K2859" s="110">
        <v>0.17</v>
      </c>
      <c r="L2859">
        <v>5000</v>
      </c>
      <c r="M2859">
        <v>500000</v>
      </c>
      <c r="N2859" s="105">
        <v>44197</v>
      </c>
      <c r="O2859" s="105">
        <v>44377</v>
      </c>
      <c r="P2859" t="s">
        <v>718</v>
      </c>
      <c r="R2859" s="154"/>
      <c r="S2859" s="154"/>
      <c r="T2859" s="154"/>
      <c r="U2859" s="154"/>
    </row>
    <row r="2860" spans="1:21" ht="15" customHeight="1" x14ac:dyDescent="0.3">
      <c r="A2860" t="str">
        <f t="shared" si="46"/>
        <v>21-4-3RATE-SmartPAY24_Renewal</v>
      </c>
      <c r="B2860" t="s">
        <v>13</v>
      </c>
      <c r="C2860">
        <v>21</v>
      </c>
      <c r="D2860" s="100" t="s">
        <v>30</v>
      </c>
      <c r="E2860" t="s">
        <v>719</v>
      </c>
      <c r="F2860" t="s">
        <v>18</v>
      </c>
      <c r="G2860" t="s">
        <v>742</v>
      </c>
      <c r="H2860" s="128">
        <v>0.4461</v>
      </c>
      <c r="I2860" s="110">
        <v>0.17</v>
      </c>
      <c r="J2860" s="110">
        <v>0.17</v>
      </c>
      <c r="K2860" s="110">
        <v>0.17</v>
      </c>
      <c r="L2860">
        <v>5000</v>
      </c>
      <c r="M2860">
        <v>500000</v>
      </c>
      <c r="N2860" s="105">
        <v>44197</v>
      </c>
      <c r="O2860" s="105">
        <v>44377</v>
      </c>
      <c r="P2860" t="s">
        <v>718</v>
      </c>
      <c r="R2860" s="154"/>
      <c r="S2860" s="154"/>
      <c r="T2860" s="154"/>
      <c r="U2860" s="154"/>
    </row>
    <row r="2861" spans="1:21" ht="15" customHeight="1" x14ac:dyDescent="0.3">
      <c r="A2861" t="str">
        <f t="shared" si="46"/>
        <v/>
      </c>
      <c r="B2861" t="s">
        <v>13</v>
      </c>
      <c r="C2861">
        <v>21</v>
      </c>
      <c r="D2861" s="100" t="s">
        <v>30</v>
      </c>
      <c r="E2861" t="s">
        <v>720</v>
      </c>
      <c r="F2861" t="s">
        <v>18</v>
      </c>
      <c r="G2861" t="s">
        <v>742</v>
      </c>
      <c r="H2861" s="128">
        <v>0.4461</v>
      </c>
      <c r="J2861" s="110">
        <v>0.17</v>
      </c>
      <c r="L2861">
        <v>5000</v>
      </c>
      <c r="M2861">
        <v>500000</v>
      </c>
      <c r="N2861" s="105">
        <v>44197</v>
      </c>
      <c r="O2861" s="105">
        <v>44377</v>
      </c>
      <c r="P2861" t="s">
        <v>718</v>
      </c>
      <c r="R2861" s="154"/>
      <c r="S2861" s="154"/>
      <c r="T2861" s="154"/>
      <c r="U2861" s="154"/>
    </row>
    <row r="2862" spans="1:21" ht="15" customHeight="1" x14ac:dyDescent="0.3">
      <c r="A2862" t="str">
        <f t="shared" si="46"/>
        <v>22-3-U-SmartPAY24_Renewal</v>
      </c>
      <c r="B2862" t="s">
        <v>13</v>
      </c>
      <c r="C2862">
        <v>22</v>
      </c>
      <c r="D2862" s="100" t="s">
        <v>31</v>
      </c>
      <c r="E2862" t="s">
        <v>716</v>
      </c>
      <c r="F2862" t="s">
        <v>16</v>
      </c>
      <c r="G2862" t="s">
        <v>742</v>
      </c>
      <c r="H2862" s="128">
        <v>0.38469999999999999</v>
      </c>
      <c r="I2862" s="110">
        <v>0.17330000000000001</v>
      </c>
      <c r="L2862">
        <v>5000</v>
      </c>
      <c r="M2862">
        <v>500000</v>
      </c>
      <c r="N2862" s="105">
        <v>44197</v>
      </c>
      <c r="O2862" s="105">
        <v>44377</v>
      </c>
      <c r="P2862" t="s">
        <v>718</v>
      </c>
      <c r="R2862" s="154"/>
      <c r="S2862" s="154"/>
      <c r="T2862" s="154"/>
      <c r="U2862" s="154"/>
    </row>
    <row r="2863" spans="1:21" ht="15" customHeight="1" x14ac:dyDescent="0.3">
      <c r="A2863" t="str">
        <f t="shared" si="46"/>
        <v>22-4-E7-SmartPAY24_Renewal</v>
      </c>
      <c r="B2863" t="s">
        <v>13</v>
      </c>
      <c r="C2863">
        <v>22</v>
      </c>
      <c r="D2863" s="100" t="s">
        <v>31</v>
      </c>
      <c r="E2863" t="s">
        <v>17</v>
      </c>
      <c r="F2863" t="s">
        <v>18</v>
      </c>
      <c r="G2863" t="s">
        <v>742</v>
      </c>
      <c r="H2863" s="128">
        <v>0.38469999999999999</v>
      </c>
      <c r="I2863" s="110">
        <v>0.17330000000000001</v>
      </c>
      <c r="J2863" s="110">
        <v>0.17330000000000001</v>
      </c>
      <c r="L2863">
        <v>5000</v>
      </c>
      <c r="M2863">
        <v>500000</v>
      </c>
      <c r="N2863" s="105">
        <v>44197</v>
      </c>
      <c r="O2863" s="105">
        <v>44377</v>
      </c>
      <c r="P2863" t="s">
        <v>718</v>
      </c>
      <c r="R2863" s="154"/>
      <c r="S2863" s="154"/>
      <c r="T2863" s="154"/>
      <c r="U2863" s="154"/>
    </row>
    <row r="2864" spans="1:21" ht="15" customHeight="1" x14ac:dyDescent="0.3">
      <c r="A2864" t="str">
        <f t="shared" si="46"/>
        <v>22-3-EW-SmartPAY24_Renewal</v>
      </c>
      <c r="B2864" t="s">
        <v>13</v>
      </c>
      <c r="C2864">
        <v>22</v>
      </c>
      <c r="D2864" s="100" t="s">
        <v>31</v>
      </c>
      <c r="E2864" t="s">
        <v>19</v>
      </c>
      <c r="F2864" t="s">
        <v>16</v>
      </c>
      <c r="G2864" t="s">
        <v>742</v>
      </c>
      <c r="H2864" s="128">
        <v>0.38469999999999999</v>
      </c>
      <c r="I2864" s="110">
        <v>0.17330000000000001</v>
      </c>
      <c r="K2864" s="110">
        <v>0.17330000000000001</v>
      </c>
      <c r="L2864">
        <v>5000</v>
      </c>
      <c r="M2864">
        <v>500000</v>
      </c>
      <c r="N2864" s="105">
        <v>44197</v>
      </c>
      <c r="O2864" s="105">
        <v>44377</v>
      </c>
      <c r="P2864" t="s">
        <v>718</v>
      </c>
      <c r="R2864" s="154"/>
      <c r="S2864" s="154"/>
      <c r="T2864" s="154"/>
      <c r="U2864" s="154"/>
    </row>
    <row r="2865" spans="1:21" ht="15" customHeight="1" x14ac:dyDescent="0.3">
      <c r="A2865" t="str">
        <f t="shared" si="46"/>
        <v>22-4-3RATE-SmartPAY24_Renewal</v>
      </c>
      <c r="B2865" t="s">
        <v>13</v>
      </c>
      <c r="C2865">
        <v>22</v>
      </c>
      <c r="D2865" s="100" t="s">
        <v>31</v>
      </c>
      <c r="E2865" t="s">
        <v>719</v>
      </c>
      <c r="F2865" t="s">
        <v>18</v>
      </c>
      <c r="G2865" t="s">
        <v>742</v>
      </c>
      <c r="H2865" s="128">
        <v>0.38469999999999999</v>
      </c>
      <c r="I2865" s="110">
        <v>0.17330000000000001</v>
      </c>
      <c r="J2865" s="110">
        <v>0.17330000000000001</v>
      </c>
      <c r="K2865" s="110">
        <v>0.17330000000000001</v>
      </c>
      <c r="L2865">
        <v>5000</v>
      </c>
      <c r="M2865">
        <v>500000</v>
      </c>
      <c r="N2865" s="105">
        <v>44197</v>
      </c>
      <c r="O2865" s="105">
        <v>44377</v>
      </c>
      <c r="P2865" t="s">
        <v>718</v>
      </c>
      <c r="R2865" s="154"/>
      <c r="S2865" s="154"/>
      <c r="T2865" s="154"/>
      <c r="U2865" s="154"/>
    </row>
    <row r="2866" spans="1:21" ht="15" customHeight="1" x14ac:dyDescent="0.3">
      <c r="A2866" t="str">
        <f t="shared" si="46"/>
        <v/>
      </c>
      <c r="B2866" t="s">
        <v>13</v>
      </c>
      <c r="C2866">
        <v>22</v>
      </c>
      <c r="D2866" s="100" t="s">
        <v>31</v>
      </c>
      <c r="E2866" t="s">
        <v>720</v>
      </c>
      <c r="F2866" t="s">
        <v>18</v>
      </c>
      <c r="G2866" t="s">
        <v>742</v>
      </c>
      <c r="H2866" s="128">
        <v>0.38469999999999999</v>
      </c>
      <c r="J2866" s="110">
        <v>0.17330000000000001</v>
      </c>
      <c r="L2866">
        <v>5000</v>
      </c>
      <c r="M2866">
        <v>500000</v>
      </c>
      <c r="N2866" s="105">
        <v>44197</v>
      </c>
      <c r="O2866" s="105">
        <v>44377</v>
      </c>
      <c r="P2866" t="s">
        <v>718</v>
      </c>
      <c r="R2866" s="154"/>
      <c r="S2866" s="154"/>
      <c r="T2866" s="154"/>
      <c r="U2866" s="154"/>
    </row>
    <row r="2867" spans="1:21" ht="15" customHeight="1" x14ac:dyDescent="0.3">
      <c r="A2867" t="str">
        <f t="shared" si="46"/>
        <v>23-3-U-SmartPAY24_Renewal</v>
      </c>
      <c r="B2867" t="s">
        <v>13</v>
      </c>
      <c r="C2867">
        <v>23</v>
      </c>
      <c r="D2867" s="100" t="s">
        <v>32</v>
      </c>
      <c r="E2867" t="s">
        <v>716</v>
      </c>
      <c r="F2867" t="s">
        <v>16</v>
      </c>
      <c r="G2867" t="s">
        <v>742</v>
      </c>
      <c r="H2867" s="128">
        <v>0.33789999999999998</v>
      </c>
      <c r="I2867" s="110">
        <v>0.16879999999999998</v>
      </c>
      <c r="L2867">
        <v>5000</v>
      </c>
      <c r="M2867">
        <v>500000</v>
      </c>
      <c r="N2867" s="105">
        <v>44197</v>
      </c>
      <c r="O2867" s="105">
        <v>44377</v>
      </c>
      <c r="P2867" t="s">
        <v>718</v>
      </c>
      <c r="R2867" s="154"/>
      <c r="S2867" s="154"/>
      <c r="T2867" s="154"/>
      <c r="U2867" s="154"/>
    </row>
    <row r="2868" spans="1:21" ht="15" customHeight="1" x14ac:dyDescent="0.3">
      <c r="A2868" t="str">
        <f t="shared" si="46"/>
        <v>23-4-E7-SmartPAY24_Renewal</v>
      </c>
      <c r="B2868" t="s">
        <v>13</v>
      </c>
      <c r="C2868">
        <v>23</v>
      </c>
      <c r="D2868" s="100" t="s">
        <v>32</v>
      </c>
      <c r="E2868" t="s">
        <v>17</v>
      </c>
      <c r="F2868" t="s">
        <v>18</v>
      </c>
      <c r="G2868" t="s">
        <v>742</v>
      </c>
      <c r="H2868" s="128">
        <v>0.33789999999999998</v>
      </c>
      <c r="I2868" s="110">
        <v>0.16879999999999998</v>
      </c>
      <c r="J2868" s="110">
        <v>0.16879999999999998</v>
      </c>
      <c r="L2868">
        <v>5000</v>
      </c>
      <c r="M2868">
        <v>500000</v>
      </c>
      <c r="N2868" s="105">
        <v>44197</v>
      </c>
      <c r="O2868" s="105">
        <v>44377</v>
      </c>
      <c r="P2868" t="s">
        <v>718</v>
      </c>
      <c r="R2868" s="154"/>
      <c r="S2868" s="154"/>
      <c r="T2868" s="154"/>
      <c r="U2868" s="154"/>
    </row>
    <row r="2869" spans="1:21" ht="15" customHeight="1" x14ac:dyDescent="0.3">
      <c r="A2869" t="str">
        <f t="shared" si="46"/>
        <v>23-3-EW-SmartPAY24_Renewal</v>
      </c>
      <c r="B2869" t="s">
        <v>13</v>
      </c>
      <c r="C2869">
        <v>23</v>
      </c>
      <c r="D2869" s="100" t="s">
        <v>32</v>
      </c>
      <c r="E2869" t="s">
        <v>19</v>
      </c>
      <c r="F2869" t="s">
        <v>16</v>
      </c>
      <c r="G2869" t="s">
        <v>742</v>
      </c>
      <c r="H2869" s="128">
        <v>0.33789999999999998</v>
      </c>
      <c r="I2869" s="110">
        <v>0.16879999999999998</v>
      </c>
      <c r="K2869" s="110">
        <v>0.16879999999999998</v>
      </c>
      <c r="L2869">
        <v>5000</v>
      </c>
      <c r="M2869">
        <v>500000</v>
      </c>
      <c r="N2869" s="105">
        <v>44197</v>
      </c>
      <c r="O2869" s="105">
        <v>44377</v>
      </c>
      <c r="P2869" t="s">
        <v>718</v>
      </c>
      <c r="R2869" s="154"/>
      <c r="S2869" s="154"/>
      <c r="T2869" s="154"/>
      <c r="U2869" s="154"/>
    </row>
    <row r="2870" spans="1:21" ht="15" customHeight="1" x14ac:dyDescent="0.3">
      <c r="A2870" t="str">
        <f t="shared" si="46"/>
        <v>23-4-3RATE-SmartPAY24_Renewal</v>
      </c>
      <c r="B2870" t="s">
        <v>13</v>
      </c>
      <c r="C2870">
        <v>23</v>
      </c>
      <c r="D2870" s="100" t="s">
        <v>32</v>
      </c>
      <c r="E2870" t="s">
        <v>719</v>
      </c>
      <c r="F2870" t="s">
        <v>18</v>
      </c>
      <c r="G2870" t="s">
        <v>742</v>
      </c>
      <c r="H2870" s="128">
        <v>0.33789999999999998</v>
      </c>
      <c r="I2870" s="110">
        <v>0.16879999999999998</v>
      </c>
      <c r="J2870" s="110">
        <v>0.16879999999999998</v>
      </c>
      <c r="K2870" s="110">
        <v>0.16879999999999998</v>
      </c>
      <c r="L2870">
        <v>5000</v>
      </c>
      <c r="M2870">
        <v>500000</v>
      </c>
      <c r="N2870" s="105">
        <v>44197</v>
      </c>
      <c r="O2870" s="105">
        <v>44377</v>
      </c>
      <c r="P2870" t="s">
        <v>718</v>
      </c>
      <c r="R2870" s="154"/>
      <c r="S2870" s="154"/>
      <c r="T2870" s="154"/>
      <c r="U2870" s="154"/>
    </row>
    <row r="2871" spans="1:21" ht="15" customHeight="1" x14ac:dyDescent="0.3">
      <c r="A2871" t="str">
        <f t="shared" si="46"/>
        <v/>
      </c>
      <c r="B2871" t="s">
        <v>13</v>
      </c>
      <c r="C2871">
        <v>23</v>
      </c>
      <c r="D2871" s="100" t="s">
        <v>32</v>
      </c>
      <c r="E2871" t="s">
        <v>720</v>
      </c>
      <c r="F2871" t="s">
        <v>18</v>
      </c>
      <c r="G2871" t="s">
        <v>742</v>
      </c>
      <c r="H2871" s="128">
        <v>0.33789999999999998</v>
      </c>
      <c r="J2871" s="110">
        <v>0.16879999999999998</v>
      </c>
      <c r="L2871">
        <v>5000</v>
      </c>
      <c r="M2871">
        <v>500000</v>
      </c>
      <c r="N2871" s="105">
        <v>44197</v>
      </c>
      <c r="O2871" s="105">
        <v>44377</v>
      </c>
      <c r="P2871" t="s">
        <v>718</v>
      </c>
      <c r="R2871" s="154"/>
      <c r="S2871" s="154"/>
      <c r="T2871" s="154"/>
      <c r="U2871" s="154"/>
    </row>
    <row r="2872" spans="1:21" ht="15" customHeight="1" x14ac:dyDescent="0.3">
      <c r="A2872" t="str">
        <f t="shared" si="46"/>
        <v>10-3-U-SmartPAY36_Renewal</v>
      </c>
      <c r="B2872" t="s">
        <v>13</v>
      </c>
      <c r="C2872">
        <v>10</v>
      </c>
      <c r="D2872" s="100" t="s">
        <v>14</v>
      </c>
      <c r="E2872" t="s">
        <v>716</v>
      </c>
      <c r="F2872" t="s">
        <v>16</v>
      </c>
      <c r="G2872" t="s">
        <v>743</v>
      </c>
      <c r="H2872" s="128">
        <v>0.34229999999999999</v>
      </c>
      <c r="I2872" s="110">
        <v>0.17300000000000001</v>
      </c>
      <c r="L2872">
        <v>5000</v>
      </c>
      <c r="M2872">
        <v>500000</v>
      </c>
      <c r="N2872" s="105">
        <v>44197</v>
      </c>
      <c r="O2872" s="105">
        <v>44377</v>
      </c>
      <c r="P2872" t="s">
        <v>718</v>
      </c>
      <c r="R2872" s="154"/>
      <c r="S2872" s="154"/>
      <c r="T2872" s="154"/>
      <c r="U2872" s="154"/>
    </row>
    <row r="2873" spans="1:21" ht="15" customHeight="1" x14ac:dyDescent="0.3">
      <c r="A2873" t="str">
        <f t="shared" si="46"/>
        <v>10-4-E7-SmartPAY36_Renewal</v>
      </c>
      <c r="B2873" t="s">
        <v>13</v>
      </c>
      <c r="C2873">
        <v>10</v>
      </c>
      <c r="D2873" s="100" t="s">
        <v>14</v>
      </c>
      <c r="E2873" t="s">
        <v>17</v>
      </c>
      <c r="F2873" t="s">
        <v>18</v>
      </c>
      <c r="G2873" t="s">
        <v>743</v>
      </c>
      <c r="H2873" s="128">
        <v>0.34229999999999999</v>
      </c>
      <c r="I2873" s="110">
        <v>0.17300000000000001</v>
      </c>
      <c r="J2873" s="110">
        <v>0.17300000000000001</v>
      </c>
      <c r="L2873">
        <v>5000</v>
      </c>
      <c r="M2873">
        <v>500000</v>
      </c>
      <c r="N2873" s="105">
        <v>44197</v>
      </c>
      <c r="O2873" s="105">
        <v>44377</v>
      </c>
      <c r="P2873" t="s">
        <v>718</v>
      </c>
      <c r="R2873" s="154"/>
      <c r="S2873" s="154"/>
      <c r="T2873" s="154"/>
      <c r="U2873" s="154"/>
    </row>
    <row r="2874" spans="1:21" ht="15" customHeight="1" x14ac:dyDescent="0.3">
      <c r="A2874" t="str">
        <f t="shared" si="46"/>
        <v>10-3-EW-SmartPAY36_Renewal</v>
      </c>
      <c r="B2874" t="s">
        <v>13</v>
      </c>
      <c r="C2874">
        <v>10</v>
      </c>
      <c r="D2874" s="100" t="s">
        <v>14</v>
      </c>
      <c r="E2874" t="s">
        <v>19</v>
      </c>
      <c r="F2874" t="s">
        <v>16</v>
      </c>
      <c r="G2874" t="s">
        <v>743</v>
      </c>
      <c r="H2874" s="128">
        <v>0.34229999999999999</v>
      </c>
      <c r="I2874" s="110">
        <v>0.17300000000000001</v>
      </c>
      <c r="K2874" s="110">
        <v>0.17300000000000001</v>
      </c>
      <c r="L2874">
        <v>5000</v>
      </c>
      <c r="M2874">
        <v>500000</v>
      </c>
      <c r="N2874" s="105">
        <v>44197</v>
      </c>
      <c r="O2874" s="105">
        <v>44377</v>
      </c>
      <c r="P2874" t="s">
        <v>718</v>
      </c>
      <c r="R2874" s="154"/>
      <c r="S2874" s="154"/>
      <c r="T2874" s="154"/>
      <c r="U2874" s="154"/>
    </row>
    <row r="2875" spans="1:21" ht="15" customHeight="1" x14ac:dyDescent="0.3">
      <c r="A2875" t="str">
        <f t="shared" si="46"/>
        <v>10-4-3RATE-SmartPAY36_Renewal</v>
      </c>
      <c r="B2875" t="s">
        <v>13</v>
      </c>
      <c r="C2875">
        <v>10</v>
      </c>
      <c r="D2875" s="100" t="s">
        <v>14</v>
      </c>
      <c r="E2875" t="s">
        <v>719</v>
      </c>
      <c r="F2875" t="s">
        <v>18</v>
      </c>
      <c r="G2875" t="s">
        <v>743</v>
      </c>
      <c r="H2875" s="128">
        <v>0.34229999999999999</v>
      </c>
      <c r="I2875" s="110">
        <v>0.17300000000000001</v>
      </c>
      <c r="J2875" s="110">
        <v>0.17300000000000001</v>
      </c>
      <c r="K2875" s="110">
        <v>0.17300000000000001</v>
      </c>
      <c r="L2875">
        <v>5000</v>
      </c>
      <c r="M2875">
        <v>500000</v>
      </c>
      <c r="N2875" s="105">
        <v>44197</v>
      </c>
      <c r="O2875" s="105">
        <v>44377</v>
      </c>
      <c r="P2875" t="s">
        <v>718</v>
      </c>
      <c r="R2875" s="154"/>
      <c r="S2875" s="154"/>
      <c r="T2875" s="154"/>
      <c r="U2875" s="154"/>
    </row>
    <row r="2876" spans="1:21" ht="15" customHeight="1" x14ac:dyDescent="0.3">
      <c r="A2876" t="str">
        <f t="shared" si="46"/>
        <v/>
      </c>
      <c r="B2876" t="s">
        <v>13</v>
      </c>
      <c r="C2876">
        <v>10</v>
      </c>
      <c r="D2876" s="100" t="s">
        <v>14</v>
      </c>
      <c r="E2876" t="s">
        <v>720</v>
      </c>
      <c r="F2876" t="s">
        <v>18</v>
      </c>
      <c r="G2876" t="s">
        <v>743</v>
      </c>
      <c r="H2876" s="128">
        <v>0.34229999999999999</v>
      </c>
      <c r="J2876" s="110">
        <v>0.17300000000000001</v>
      </c>
      <c r="L2876">
        <v>5000</v>
      </c>
      <c r="M2876">
        <v>500000</v>
      </c>
      <c r="N2876" s="105">
        <v>44197</v>
      </c>
      <c r="O2876" s="105">
        <v>44377</v>
      </c>
      <c r="P2876" t="s">
        <v>718</v>
      </c>
      <c r="R2876" s="154"/>
      <c r="S2876" s="154"/>
      <c r="T2876" s="154"/>
      <c r="U2876" s="154"/>
    </row>
    <row r="2877" spans="1:21" ht="15" customHeight="1" x14ac:dyDescent="0.3">
      <c r="A2877" t="str">
        <f t="shared" si="46"/>
        <v>11-3-U-SmartPAY36_Renewal</v>
      </c>
      <c r="B2877" t="s">
        <v>13</v>
      </c>
      <c r="C2877">
        <v>11</v>
      </c>
      <c r="D2877" s="100" t="s">
        <v>20</v>
      </c>
      <c r="E2877" t="s">
        <v>716</v>
      </c>
      <c r="F2877" t="s">
        <v>16</v>
      </c>
      <c r="G2877" t="s">
        <v>743</v>
      </c>
      <c r="H2877" s="128">
        <v>0.3528</v>
      </c>
      <c r="I2877" s="110">
        <v>0.17330000000000001</v>
      </c>
      <c r="L2877">
        <v>5000</v>
      </c>
      <c r="M2877">
        <v>500000</v>
      </c>
      <c r="N2877" s="105">
        <v>44197</v>
      </c>
      <c r="O2877" s="105">
        <v>44377</v>
      </c>
      <c r="P2877" t="s">
        <v>718</v>
      </c>
      <c r="R2877" s="154"/>
      <c r="S2877" s="154"/>
      <c r="T2877" s="154"/>
      <c r="U2877" s="154"/>
    </row>
    <row r="2878" spans="1:21" ht="15" customHeight="1" x14ac:dyDescent="0.3">
      <c r="A2878" t="str">
        <f t="shared" si="46"/>
        <v>11-4-E7-SmartPAY36_Renewal</v>
      </c>
      <c r="B2878" t="s">
        <v>13</v>
      </c>
      <c r="C2878">
        <v>11</v>
      </c>
      <c r="D2878" s="100" t="s">
        <v>20</v>
      </c>
      <c r="E2878" t="s">
        <v>17</v>
      </c>
      <c r="F2878" t="s">
        <v>18</v>
      </c>
      <c r="G2878" t="s">
        <v>743</v>
      </c>
      <c r="H2878" s="128">
        <v>0.3528</v>
      </c>
      <c r="I2878" s="110">
        <v>0.17330000000000001</v>
      </c>
      <c r="J2878" s="110">
        <v>0.17330000000000001</v>
      </c>
      <c r="L2878">
        <v>5000</v>
      </c>
      <c r="M2878">
        <v>500000</v>
      </c>
      <c r="N2878" s="105">
        <v>44197</v>
      </c>
      <c r="O2878" s="105">
        <v>44377</v>
      </c>
      <c r="P2878" t="s">
        <v>718</v>
      </c>
      <c r="R2878" s="154"/>
      <c r="S2878" s="154"/>
      <c r="T2878" s="154"/>
      <c r="U2878" s="154"/>
    </row>
    <row r="2879" spans="1:21" ht="15" customHeight="1" x14ac:dyDescent="0.3">
      <c r="A2879" t="str">
        <f t="shared" si="46"/>
        <v>11-3-EW-SmartPAY36_Renewal</v>
      </c>
      <c r="B2879" t="s">
        <v>13</v>
      </c>
      <c r="C2879">
        <v>11</v>
      </c>
      <c r="D2879" s="100" t="s">
        <v>20</v>
      </c>
      <c r="E2879" t="s">
        <v>19</v>
      </c>
      <c r="F2879" t="s">
        <v>16</v>
      </c>
      <c r="G2879" t="s">
        <v>743</v>
      </c>
      <c r="H2879" s="128">
        <v>0.3528</v>
      </c>
      <c r="I2879" s="110">
        <v>0.17330000000000001</v>
      </c>
      <c r="K2879" s="110">
        <v>0.17330000000000001</v>
      </c>
      <c r="L2879">
        <v>5000</v>
      </c>
      <c r="M2879">
        <v>500000</v>
      </c>
      <c r="N2879" s="105">
        <v>44197</v>
      </c>
      <c r="O2879" s="105">
        <v>44377</v>
      </c>
      <c r="P2879" t="s">
        <v>718</v>
      </c>
      <c r="R2879" s="154"/>
      <c r="S2879" s="154"/>
      <c r="T2879" s="154"/>
      <c r="U2879" s="154"/>
    </row>
    <row r="2880" spans="1:21" ht="15" customHeight="1" x14ac:dyDescent="0.3">
      <c r="A2880" t="str">
        <f t="shared" si="46"/>
        <v>11-4-3RATE-SmartPAY36_Renewal</v>
      </c>
      <c r="B2880" t="s">
        <v>13</v>
      </c>
      <c r="C2880">
        <v>11</v>
      </c>
      <c r="D2880" s="100" t="s">
        <v>20</v>
      </c>
      <c r="E2880" t="s">
        <v>719</v>
      </c>
      <c r="F2880" t="s">
        <v>18</v>
      </c>
      <c r="G2880" t="s">
        <v>743</v>
      </c>
      <c r="H2880" s="128">
        <v>0.3528</v>
      </c>
      <c r="I2880" s="110">
        <v>0.17330000000000001</v>
      </c>
      <c r="J2880" s="110">
        <v>0.17330000000000001</v>
      </c>
      <c r="K2880" s="110">
        <v>0.17330000000000001</v>
      </c>
      <c r="L2880">
        <v>5000</v>
      </c>
      <c r="M2880">
        <v>500000</v>
      </c>
      <c r="N2880" s="105">
        <v>44197</v>
      </c>
      <c r="O2880" s="105">
        <v>44377</v>
      </c>
      <c r="P2880" t="s">
        <v>718</v>
      </c>
      <c r="R2880" s="154"/>
      <c r="S2880" s="154"/>
      <c r="T2880" s="154"/>
      <c r="U2880" s="154"/>
    </row>
    <row r="2881" spans="1:21" ht="15" customHeight="1" x14ac:dyDescent="0.3">
      <c r="A2881" t="str">
        <f t="shared" si="46"/>
        <v/>
      </c>
      <c r="B2881" t="s">
        <v>13</v>
      </c>
      <c r="C2881">
        <v>11</v>
      </c>
      <c r="D2881" s="100" t="s">
        <v>20</v>
      </c>
      <c r="E2881" t="s">
        <v>720</v>
      </c>
      <c r="F2881" t="s">
        <v>18</v>
      </c>
      <c r="G2881" t="s">
        <v>743</v>
      </c>
      <c r="H2881" s="128">
        <v>0.3528</v>
      </c>
      <c r="J2881" s="110">
        <v>0.17330000000000001</v>
      </c>
      <c r="L2881">
        <v>5000</v>
      </c>
      <c r="M2881">
        <v>500000</v>
      </c>
      <c r="N2881" s="105">
        <v>44197</v>
      </c>
      <c r="O2881" s="105">
        <v>44377</v>
      </c>
      <c r="P2881" t="s">
        <v>718</v>
      </c>
      <c r="R2881" s="154"/>
      <c r="S2881" s="154"/>
      <c r="T2881" s="154"/>
      <c r="U2881" s="154"/>
    </row>
    <row r="2882" spans="1:21" ht="15" customHeight="1" x14ac:dyDescent="0.3">
      <c r="A2882" t="str">
        <f t="shared" si="46"/>
        <v>12-3-U-SmartPAY36_Renewal</v>
      </c>
      <c r="B2882" t="s">
        <v>13</v>
      </c>
      <c r="C2882">
        <v>12</v>
      </c>
      <c r="D2882" s="100" t="s">
        <v>21</v>
      </c>
      <c r="E2882" t="s">
        <v>716</v>
      </c>
      <c r="F2882" t="s">
        <v>16</v>
      </c>
      <c r="G2882" t="s">
        <v>743</v>
      </c>
      <c r="H2882" s="128">
        <v>0.26619999999999999</v>
      </c>
      <c r="I2882" s="110">
        <v>0.16720000000000002</v>
      </c>
      <c r="L2882">
        <v>5000</v>
      </c>
      <c r="M2882">
        <v>500000</v>
      </c>
      <c r="N2882" s="105">
        <v>44197</v>
      </c>
      <c r="O2882" s="105">
        <v>44377</v>
      </c>
      <c r="P2882" t="s">
        <v>718</v>
      </c>
      <c r="R2882" s="154"/>
      <c r="S2882" s="154"/>
      <c r="T2882" s="154"/>
      <c r="U2882" s="154"/>
    </row>
    <row r="2883" spans="1:21" ht="15" customHeight="1" x14ac:dyDescent="0.3">
      <c r="A2883" t="str">
        <f t="shared" si="46"/>
        <v>12-4-E7-SmartPAY36_Renewal</v>
      </c>
      <c r="B2883" t="s">
        <v>13</v>
      </c>
      <c r="C2883">
        <v>12</v>
      </c>
      <c r="D2883" s="100" t="s">
        <v>21</v>
      </c>
      <c r="E2883" t="s">
        <v>17</v>
      </c>
      <c r="F2883" t="s">
        <v>18</v>
      </c>
      <c r="G2883" t="s">
        <v>743</v>
      </c>
      <c r="H2883" s="128">
        <v>0.26619999999999999</v>
      </c>
      <c r="I2883" s="110">
        <v>0.16720000000000002</v>
      </c>
      <c r="J2883" s="110">
        <v>0.16720000000000002</v>
      </c>
      <c r="L2883">
        <v>5000</v>
      </c>
      <c r="M2883">
        <v>500000</v>
      </c>
      <c r="N2883" s="105">
        <v>44197</v>
      </c>
      <c r="O2883" s="105">
        <v>44377</v>
      </c>
      <c r="P2883" t="s">
        <v>718</v>
      </c>
      <c r="R2883" s="154"/>
      <c r="S2883" s="154"/>
      <c r="T2883" s="154"/>
      <c r="U2883" s="154"/>
    </row>
    <row r="2884" spans="1:21" ht="15" customHeight="1" x14ac:dyDescent="0.3">
      <c r="A2884" t="str">
        <f t="shared" si="46"/>
        <v>12-3-EW-SmartPAY36_Renewal</v>
      </c>
      <c r="B2884" t="s">
        <v>13</v>
      </c>
      <c r="C2884">
        <v>12</v>
      </c>
      <c r="D2884" s="100" t="s">
        <v>21</v>
      </c>
      <c r="E2884" t="s">
        <v>19</v>
      </c>
      <c r="F2884" t="s">
        <v>16</v>
      </c>
      <c r="G2884" t="s">
        <v>743</v>
      </c>
      <c r="H2884" s="128">
        <v>0.26619999999999999</v>
      </c>
      <c r="I2884" s="110">
        <v>0.16720000000000002</v>
      </c>
      <c r="K2884" s="110">
        <v>0.16720000000000002</v>
      </c>
      <c r="L2884">
        <v>5000</v>
      </c>
      <c r="M2884">
        <v>500000</v>
      </c>
      <c r="N2884" s="105">
        <v>44197</v>
      </c>
      <c r="O2884" s="105">
        <v>44377</v>
      </c>
      <c r="P2884" t="s">
        <v>718</v>
      </c>
      <c r="R2884" s="154"/>
      <c r="S2884" s="154"/>
      <c r="T2884" s="154"/>
      <c r="U2884" s="154"/>
    </row>
    <row r="2885" spans="1:21" ht="15" customHeight="1" x14ac:dyDescent="0.3">
      <c r="A2885" t="str">
        <f t="shared" si="46"/>
        <v>12-4-3RATE-SmartPAY36_Renewal</v>
      </c>
      <c r="B2885" t="s">
        <v>13</v>
      </c>
      <c r="C2885">
        <v>12</v>
      </c>
      <c r="D2885" s="100" t="s">
        <v>21</v>
      </c>
      <c r="E2885" t="s">
        <v>719</v>
      </c>
      <c r="F2885" t="s">
        <v>18</v>
      </c>
      <c r="G2885" t="s">
        <v>743</v>
      </c>
      <c r="H2885" s="128">
        <v>0.26619999999999999</v>
      </c>
      <c r="I2885" s="110">
        <v>0.16720000000000002</v>
      </c>
      <c r="J2885" s="110">
        <v>0.16720000000000002</v>
      </c>
      <c r="K2885" s="110">
        <v>0.16720000000000002</v>
      </c>
      <c r="L2885">
        <v>5000</v>
      </c>
      <c r="M2885">
        <v>500000</v>
      </c>
      <c r="N2885" s="105">
        <v>44197</v>
      </c>
      <c r="O2885" s="105">
        <v>44377</v>
      </c>
      <c r="P2885" t="s">
        <v>718</v>
      </c>
      <c r="R2885" s="154"/>
      <c r="S2885" s="154"/>
      <c r="T2885" s="154"/>
      <c r="U2885" s="154"/>
    </row>
    <row r="2886" spans="1:21" ht="15" customHeight="1" x14ac:dyDescent="0.3">
      <c r="A2886" t="str">
        <f t="shared" si="46"/>
        <v/>
      </c>
      <c r="B2886" t="s">
        <v>13</v>
      </c>
      <c r="C2886">
        <v>12</v>
      </c>
      <c r="D2886" s="100" t="s">
        <v>21</v>
      </c>
      <c r="E2886" t="s">
        <v>720</v>
      </c>
      <c r="F2886" t="s">
        <v>18</v>
      </c>
      <c r="G2886" t="s">
        <v>743</v>
      </c>
      <c r="H2886" s="128">
        <v>0.26619999999999999</v>
      </c>
      <c r="J2886" s="110">
        <v>0.16720000000000002</v>
      </c>
      <c r="L2886">
        <v>5000</v>
      </c>
      <c r="M2886">
        <v>500000</v>
      </c>
      <c r="N2886" s="105">
        <v>44197</v>
      </c>
      <c r="O2886" s="105">
        <v>44377</v>
      </c>
      <c r="P2886" t="s">
        <v>718</v>
      </c>
      <c r="R2886" s="154"/>
      <c r="S2886" s="154"/>
      <c r="T2886" s="154"/>
      <c r="U2886" s="154"/>
    </row>
    <row r="2887" spans="1:21" ht="15" customHeight="1" x14ac:dyDescent="0.3">
      <c r="A2887" t="str">
        <f t="shared" si="46"/>
        <v>13-3-U-SmartPAY36_Renewal</v>
      </c>
      <c r="B2887" t="s">
        <v>13</v>
      </c>
      <c r="C2887">
        <v>13</v>
      </c>
      <c r="D2887" s="100" t="s">
        <v>22</v>
      </c>
      <c r="E2887" t="s">
        <v>716</v>
      </c>
      <c r="F2887" t="s">
        <v>16</v>
      </c>
      <c r="G2887" t="s">
        <v>743</v>
      </c>
      <c r="H2887" s="128">
        <v>0.31340000000000001</v>
      </c>
      <c r="I2887" s="110">
        <v>0.1925</v>
      </c>
      <c r="L2887">
        <v>5000</v>
      </c>
      <c r="M2887">
        <v>500000</v>
      </c>
      <c r="N2887" s="105">
        <v>44197</v>
      </c>
      <c r="O2887" s="105">
        <v>44377</v>
      </c>
      <c r="P2887" t="s">
        <v>718</v>
      </c>
      <c r="R2887" s="154"/>
      <c r="S2887" s="154"/>
      <c r="T2887" s="154"/>
      <c r="U2887" s="154"/>
    </row>
    <row r="2888" spans="1:21" ht="15" customHeight="1" x14ac:dyDescent="0.3">
      <c r="A2888" t="str">
        <f t="shared" si="46"/>
        <v>13-4-E7-SmartPAY36_Renewal</v>
      </c>
      <c r="B2888" t="s">
        <v>13</v>
      </c>
      <c r="C2888">
        <v>13</v>
      </c>
      <c r="D2888" s="100" t="s">
        <v>22</v>
      </c>
      <c r="E2888" t="s">
        <v>17</v>
      </c>
      <c r="F2888" t="s">
        <v>18</v>
      </c>
      <c r="G2888" t="s">
        <v>743</v>
      </c>
      <c r="H2888" s="128">
        <v>0.31340000000000001</v>
      </c>
      <c r="I2888" s="110">
        <v>0.1925</v>
      </c>
      <c r="J2888" s="110">
        <v>0.1925</v>
      </c>
      <c r="L2888">
        <v>5000</v>
      </c>
      <c r="M2888">
        <v>500000</v>
      </c>
      <c r="N2888" s="105">
        <v>44197</v>
      </c>
      <c r="O2888" s="105">
        <v>44377</v>
      </c>
      <c r="P2888" t="s">
        <v>718</v>
      </c>
      <c r="R2888" s="154"/>
      <c r="S2888" s="154"/>
      <c r="T2888" s="154"/>
      <c r="U2888" s="154"/>
    </row>
    <row r="2889" spans="1:21" ht="15" customHeight="1" x14ac:dyDescent="0.3">
      <c r="A2889" t="str">
        <f t="shared" si="46"/>
        <v>13-3-EW-SmartPAY36_Renewal</v>
      </c>
      <c r="B2889" t="s">
        <v>13</v>
      </c>
      <c r="C2889">
        <v>13</v>
      </c>
      <c r="D2889" s="100" t="s">
        <v>22</v>
      </c>
      <c r="E2889" t="s">
        <v>19</v>
      </c>
      <c r="F2889" t="s">
        <v>16</v>
      </c>
      <c r="G2889" t="s">
        <v>743</v>
      </c>
      <c r="H2889" s="128">
        <v>0.31340000000000001</v>
      </c>
      <c r="I2889" s="110">
        <v>0.1925</v>
      </c>
      <c r="K2889" s="110">
        <v>0.1925</v>
      </c>
      <c r="L2889">
        <v>5000</v>
      </c>
      <c r="M2889">
        <v>500000</v>
      </c>
      <c r="N2889" s="105">
        <v>44197</v>
      </c>
      <c r="O2889" s="105">
        <v>44377</v>
      </c>
      <c r="P2889" t="s">
        <v>718</v>
      </c>
      <c r="R2889" s="154"/>
      <c r="S2889" s="154"/>
      <c r="T2889" s="154"/>
      <c r="U2889" s="154"/>
    </row>
    <row r="2890" spans="1:21" ht="15" customHeight="1" x14ac:dyDescent="0.3">
      <c r="A2890" t="str">
        <f t="shared" si="46"/>
        <v>13-4-3RATE-SmartPAY36_Renewal</v>
      </c>
      <c r="B2890" t="s">
        <v>13</v>
      </c>
      <c r="C2890">
        <v>13</v>
      </c>
      <c r="D2890" s="100" t="s">
        <v>22</v>
      </c>
      <c r="E2890" t="s">
        <v>719</v>
      </c>
      <c r="F2890" t="s">
        <v>18</v>
      </c>
      <c r="G2890" t="s">
        <v>743</v>
      </c>
      <c r="H2890" s="128">
        <v>0.31340000000000001</v>
      </c>
      <c r="I2890" s="110">
        <v>0.1925</v>
      </c>
      <c r="J2890" s="110">
        <v>0.1925</v>
      </c>
      <c r="K2890" s="110">
        <v>0.1925</v>
      </c>
      <c r="L2890">
        <v>5000</v>
      </c>
      <c r="M2890">
        <v>500000</v>
      </c>
      <c r="N2890" s="105">
        <v>44197</v>
      </c>
      <c r="O2890" s="105">
        <v>44377</v>
      </c>
      <c r="P2890" t="s">
        <v>718</v>
      </c>
      <c r="R2890" s="154"/>
      <c r="S2890" s="154"/>
      <c r="T2890" s="154"/>
      <c r="U2890" s="154"/>
    </row>
    <row r="2891" spans="1:21" ht="15" customHeight="1" x14ac:dyDescent="0.3">
      <c r="A2891" t="str">
        <f t="shared" si="46"/>
        <v/>
      </c>
      <c r="B2891" t="s">
        <v>13</v>
      </c>
      <c r="C2891">
        <v>13</v>
      </c>
      <c r="D2891" s="100" t="s">
        <v>22</v>
      </c>
      <c r="E2891" t="s">
        <v>720</v>
      </c>
      <c r="F2891" t="s">
        <v>18</v>
      </c>
      <c r="G2891" t="s">
        <v>743</v>
      </c>
      <c r="H2891" s="128">
        <v>0.31340000000000001</v>
      </c>
      <c r="J2891" s="110">
        <v>0.1925</v>
      </c>
      <c r="L2891">
        <v>5000</v>
      </c>
      <c r="M2891">
        <v>500000</v>
      </c>
      <c r="N2891" s="105">
        <v>44197</v>
      </c>
      <c r="O2891" s="105">
        <v>44377</v>
      </c>
      <c r="P2891" t="s">
        <v>718</v>
      </c>
      <c r="R2891" s="154"/>
      <c r="S2891" s="154"/>
      <c r="T2891" s="154"/>
      <c r="U2891" s="154"/>
    </row>
    <row r="2892" spans="1:21" ht="15" customHeight="1" x14ac:dyDescent="0.3">
      <c r="A2892" t="str">
        <f t="shared" si="46"/>
        <v>14-3-U-SmartPAY36_Renewal</v>
      </c>
      <c r="B2892" t="s">
        <v>13</v>
      </c>
      <c r="C2892">
        <v>14</v>
      </c>
      <c r="D2892" s="100" t="s">
        <v>23</v>
      </c>
      <c r="E2892" t="s">
        <v>716</v>
      </c>
      <c r="F2892" t="s">
        <v>16</v>
      </c>
      <c r="G2892" t="s">
        <v>743</v>
      </c>
      <c r="H2892" s="128">
        <v>0.38650000000000001</v>
      </c>
      <c r="I2892" s="110">
        <v>0.17720000000000002</v>
      </c>
      <c r="L2892">
        <v>5000</v>
      </c>
      <c r="M2892">
        <v>500000</v>
      </c>
      <c r="N2892" s="105">
        <v>44197</v>
      </c>
      <c r="O2892" s="105">
        <v>44377</v>
      </c>
      <c r="P2892" t="s">
        <v>718</v>
      </c>
      <c r="R2892" s="154"/>
      <c r="S2892" s="154"/>
      <c r="T2892" s="154"/>
      <c r="U2892" s="154"/>
    </row>
    <row r="2893" spans="1:21" ht="15" customHeight="1" x14ac:dyDescent="0.3">
      <c r="A2893" t="str">
        <f t="shared" si="46"/>
        <v>14-4-E7-SmartPAY36_Renewal</v>
      </c>
      <c r="B2893" t="s">
        <v>13</v>
      </c>
      <c r="C2893">
        <v>14</v>
      </c>
      <c r="D2893" s="100" t="s">
        <v>23</v>
      </c>
      <c r="E2893" t="s">
        <v>17</v>
      </c>
      <c r="F2893" t="s">
        <v>18</v>
      </c>
      <c r="G2893" t="s">
        <v>743</v>
      </c>
      <c r="H2893" s="128">
        <v>0.38650000000000001</v>
      </c>
      <c r="I2893" s="110">
        <v>0.17720000000000002</v>
      </c>
      <c r="J2893" s="110">
        <v>0.17720000000000002</v>
      </c>
      <c r="L2893">
        <v>5000</v>
      </c>
      <c r="M2893">
        <v>500000</v>
      </c>
      <c r="N2893" s="105">
        <v>44197</v>
      </c>
      <c r="O2893" s="105">
        <v>44377</v>
      </c>
      <c r="P2893" t="s">
        <v>718</v>
      </c>
      <c r="R2893" s="154"/>
      <c r="S2893" s="154"/>
      <c r="T2893" s="154"/>
      <c r="U2893" s="154"/>
    </row>
    <row r="2894" spans="1:21" ht="15" customHeight="1" x14ac:dyDescent="0.3">
      <c r="A2894" t="str">
        <f t="shared" si="46"/>
        <v>14-3-EW-SmartPAY36_Renewal</v>
      </c>
      <c r="B2894" t="s">
        <v>13</v>
      </c>
      <c r="C2894">
        <v>14</v>
      </c>
      <c r="D2894" s="100" t="s">
        <v>23</v>
      </c>
      <c r="E2894" t="s">
        <v>19</v>
      </c>
      <c r="F2894" t="s">
        <v>16</v>
      </c>
      <c r="G2894" t="s">
        <v>743</v>
      </c>
      <c r="H2894" s="128">
        <v>0.38650000000000001</v>
      </c>
      <c r="I2894" s="110">
        <v>0.17720000000000002</v>
      </c>
      <c r="K2894" s="110">
        <v>0.17720000000000002</v>
      </c>
      <c r="L2894">
        <v>5000</v>
      </c>
      <c r="M2894">
        <v>500000</v>
      </c>
      <c r="N2894" s="105">
        <v>44197</v>
      </c>
      <c r="O2894" s="105">
        <v>44377</v>
      </c>
      <c r="P2894" t="s">
        <v>718</v>
      </c>
      <c r="R2894" s="154"/>
      <c r="S2894" s="154"/>
      <c r="T2894" s="154"/>
      <c r="U2894" s="154"/>
    </row>
    <row r="2895" spans="1:21" ht="15" customHeight="1" x14ac:dyDescent="0.3">
      <c r="A2895" t="str">
        <f t="shared" si="46"/>
        <v>14-4-3RATE-SmartPAY36_Renewal</v>
      </c>
      <c r="B2895" t="s">
        <v>13</v>
      </c>
      <c r="C2895">
        <v>14</v>
      </c>
      <c r="D2895" s="100" t="s">
        <v>23</v>
      </c>
      <c r="E2895" t="s">
        <v>719</v>
      </c>
      <c r="F2895" t="s">
        <v>18</v>
      </c>
      <c r="G2895" t="s">
        <v>743</v>
      </c>
      <c r="H2895" s="128">
        <v>0.38650000000000001</v>
      </c>
      <c r="I2895" s="110">
        <v>0.17720000000000002</v>
      </c>
      <c r="J2895" s="110">
        <v>0.17720000000000002</v>
      </c>
      <c r="K2895" s="110">
        <v>0.17720000000000002</v>
      </c>
      <c r="L2895">
        <v>5000</v>
      </c>
      <c r="M2895">
        <v>500000</v>
      </c>
      <c r="N2895" s="105">
        <v>44197</v>
      </c>
      <c r="O2895" s="105">
        <v>44377</v>
      </c>
      <c r="P2895" t="s">
        <v>718</v>
      </c>
      <c r="R2895" s="154"/>
      <c r="S2895" s="154"/>
      <c r="T2895" s="154"/>
      <c r="U2895" s="154"/>
    </row>
    <row r="2896" spans="1:21" ht="15" customHeight="1" x14ac:dyDescent="0.3">
      <c r="A2896" t="str">
        <f t="shared" si="46"/>
        <v/>
      </c>
      <c r="B2896" t="s">
        <v>13</v>
      </c>
      <c r="C2896">
        <v>14</v>
      </c>
      <c r="D2896" s="100" t="s">
        <v>23</v>
      </c>
      <c r="E2896" t="s">
        <v>720</v>
      </c>
      <c r="F2896" t="s">
        <v>18</v>
      </c>
      <c r="G2896" t="s">
        <v>743</v>
      </c>
      <c r="H2896" s="128">
        <v>0.38650000000000001</v>
      </c>
      <c r="J2896" s="110">
        <v>0.17720000000000002</v>
      </c>
      <c r="L2896">
        <v>5000</v>
      </c>
      <c r="M2896">
        <v>500000</v>
      </c>
      <c r="N2896" s="105">
        <v>44197</v>
      </c>
      <c r="O2896" s="105">
        <v>44377</v>
      </c>
      <c r="P2896" t="s">
        <v>718</v>
      </c>
      <c r="R2896" s="154"/>
      <c r="S2896" s="154"/>
      <c r="T2896" s="154"/>
      <c r="U2896" s="154"/>
    </row>
    <row r="2897" spans="1:21" ht="15" customHeight="1" x14ac:dyDescent="0.3">
      <c r="A2897" t="str">
        <f t="shared" si="46"/>
        <v>15-3-U-SmartPAY36_Renewal</v>
      </c>
      <c r="B2897" t="s">
        <v>13</v>
      </c>
      <c r="C2897">
        <v>15</v>
      </c>
      <c r="D2897" s="100" t="s">
        <v>24</v>
      </c>
      <c r="E2897" t="s">
        <v>716</v>
      </c>
      <c r="F2897" t="s">
        <v>16</v>
      </c>
      <c r="G2897" t="s">
        <v>743</v>
      </c>
      <c r="H2897" s="128">
        <v>0.3589</v>
      </c>
      <c r="I2897" s="110">
        <v>0.17580000000000001</v>
      </c>
      <c r="L2897">
        <v>5000</v>
      </c>
      <c r="M2897">
        <v>500000</v>
      </c>
      <c r="N2897" s="105">
        <v>44197</v>
      </c>
      <c r="O2897" s="105">
        <v>44377</v>
      </c>
      <c r="P2897" t="s">
        <v>718</v>
      </c>
      <c r="R2897" s="154"/>
      <c r="S2897" s="154"/>
      <c r="T2897" s="154"/>
      <c r="U2897" s="154"/>
    </row>
    <row r="2898" spans="1:21" ht="15" customHeight="1" x14ac:dyDescent="0.3">
      <c r="A2898" t="str">
        <f t="shared" si="46"/>
        <v>15-4-E7-SmartPAY36_Renewal</v>
      </c>
      <c r="B2898" t="s">
        <v>13</v>
      </c>
      <c r="C2898">
        <v>15</v>
      </c>
      <c r="D2898" s="100" t="s">
        <v>24</v>
      </c>
      <c r="E2898" t="s">
        <v>17</v>
      </c>
      <c r="F2898" t="s">
        <v>18</v>
      </c>
      <c r="G2898" t="s">
        <v>743</v>
      </c>
      <c r="H2898" s="128">
        <v>0.3589</v>
      </c>
      <c r="I2898" s="110">
        <v>0.17580000000000001</v>
      </c>
      <c r="J2898" s="110">
        <v>0.17580000000000001</v>
      </c>
      <c r="L2898">
        <v>5000</v>
      </c>
      <c r="M2898">
        <v>500000</v>
      </c>
      <c r="N2898" s="105">
        <v>44197</v>
      </c>
      <c r="O2898" s="105">
        <v>44377</v>
      </c>
      <c r="P2898" t="s">
        <v>718</v>
      </c>
      <c r="R2898" s="154"/>
      <c r="S2898" s="154"/>
      <c r="T2898" s="154"/>
      <c r="U2898" s="154"/>
    </row>
    <row r="2899" spans="1:21" ht="15" customHeight="1" x14ac:dyDescent="0.3">
      <c r="A2899" t="str">
        <f t="shared" si="46"/>
        <v>15-3-EW-SmartPAY36_Renewal</v>
      </c>
      <c r="B2899" t="s">
        <v>13</v>
      </c>
      <c r="C2899">
        <v>15</v>
      </c>
      <c r="D2899" s="100" t="s">
        <v>24</v>
      </c>
      <c r="E2899" t="s">
        <v>19</v>
      </c>
      <c r="F2899" t="s">
        <v>16</v>
      </c>
      <c r="G2899" t="s">
        <v>743</v>
      </c>
      <c r="H2899" s="128">
        <v>0.3589</v>
      </c>
      <c r="I2899" s="110">
        <v>0.17580000000000001</v>
      </c>
      <c r="K2899" s="110">
        <v>0.17580000000000001</v>
      </c>
      <c r="L2899">
        <v>5000</v>
      </c>
      <c r="M2899">
        <v>500000</v>
      </c>
      <c r="N2899" s="105">
        <v>44197</v>
      </c>
      <c r="O2899" s="105">
        <v>44377</v>
      </c>
      <c r="P2899" t="s">
        <v>718</v>
      </c>
      <c r="R2899" s="154"/>
      <c r="S2899" s="154"/>
      <c r="T2899" s="154"/>
      <c r="U2899" s="154"/>
    </row>
    <row r="2900" spans="1:21" ht="15" customHeight="1" x14ac:dyDescent="0.3">
      <c r="A2900" t="str">
        <f t="shared" si="46"/>
        <v>15-4-3RATE-SmartPAY36_Renewal</v>
      </c>
      <c r="B2900" t="s">
        <v>13</v>
      </c>
      <c r="C2900">
        <v>15</v>
      </c>
      <c r="D2900" s="100" t="s">
        <v>24</v>
      </c>
      <c r="E2900" t="s">
        <v>719</v>
      </c>
      <c r="F2900" t="s">
        <v>18</v>
      </c>
      <c r="G2900" t="s">
        <v>743</v>
      </c>
      <c r="H2900" s="128">
        <v>0.3589</v>
      </c>
      <c r="I2900" s="110">
        <v>0.17580000000000001</v>
      </c>
      <c r="J2900" s="110">
        <v>0.17580000000000001</v>
      </c>
      <c r="K2900" s="110">
        <v>0.17580000000000001</v>
      </c>
      <c r="L2900">
        <v>5000</v>
      </c>
      <c r="M2900">
        <v>500000</v>
      </c>
      <c r="N2900" s="105">
        <v>44197</v>
      </c>
      <c r="O2900" s="105">
        <v>44377</v>
      </c>
      <c r="P2900" t="s">
        <v>718</v>
      </c>
      <c r="R2900" s="154"/>
      <c r="S2900" s="154"/>
      <c r="T2900" s="154"/>
      <c r="U2900" s="154"/>
    </row>
    <row r="2901" spans="1:21" ht="15" customHeight="1" x14ac:dyDescent="0.3">
      <c r="A2901" t="str">
        <f t="shared" si="46"/>
        <v/>
      </c>
      <c r="B2901" t="s">
        <v>13</v>
      </c>
      <c r="C2901">
        <v>15</v>
      </c>
      <c r="D2901" s="100" t="s">
        <v>24</v>
      </c>
      <c r="E2901" t="s">
        <v>720</v>
      </c>
      <c r="F2901" t="s">
        <v>18</v>
      </c>
      <c r="G2901" t="s">
        <v>743</v>
      </c>
      <c r="H2901" s="128">
        <v>0.3589</v>
      </c>
      <c r="J2901" s="110">
        <v>0.17580000000000001</v>
      </c>
      <c r="L2901">
        <v>5000</v>
      </c>
      <c r="M2901">
        <v>500000</v>
      </c>
      <c r="N2901" s="105">
        <v>44197</v>
      </c>
      <c r="O2901" s="105">
        <v>44377</v>
      </c>
      <c r="P2901" t="s">
        <v>718</v>
      </c>
      <c r="R2901" s="154"/>
      <c r="S2901" s="154"/>
      <c r="T2901" s="154"/>
      <c r="U2901" s="154"/>
    </row>
    <row r="2902" spans="1:21" ht="15" customHeight="1" x14ac:dyDescent="0.3">
      <c r="A2902" t="str">
        <f t="shared" si="46"/>
        <v>16-3-U-SmartPAY36_Renewal</v>
      </c>
      <c r="B2902" t="s">
        <v>13</v>
      </c>
      <c r="C2902">
        <v>16</v>
      </c>
      <c r="D2902" s="100" t="s">
        <v>25</v>
      </c>
      <c r="E2902" t="s">
        <v>716</v>
      </c>
      <c r="F2902" t="s">
        <v>16</v>
      </c>
      <c r="G2902" t="s">
        <v>743</v>
      </c>
      <c r="H2902" s="128">
        <v>0.30370000000000003</v>
      </c>
      <c r="I2902" s="110">
        <v>0.17720000000000002</v>
      </c>
      <c r="L2902">
        <v>5000</v>
      </c>
      <c r="M2902">
        <v>500000</v>
      </c>
      <c r="N2902" s="105">
        <v>44197</v>
      </c>
      <c r="O2902" s="105">
        <v>44377</v>
      </c>
      <c r="P2902" t="s">
        <v>718</v>
      </c>
      <c r="R2902" s="154"/>
      <c r="S2902" s="154"/>
      <c r="T2902" s="154"/>
      <c r="U2902" s="154"/>
    </row>
    <row r="2903" spans="1:21" ht="15" customHeight="1" x14ac:dyDescent="0.3">
      <c r="A2903" t="str">
        <f t="shared" si="46"/>
        <v>16-4-E7-SmartPAY36_Renewal</v>
      </c>
      <c r="B2903" t="s">
        <v>13</v>
      </c>
      <c r="C2903">
        <v>16</v>
      </c>
      <c r="D2903" s="100" t="s">
        <v>25</v>
      </c>
      <c r="E2903" t="s">
        <v>17</v>
      </c>
      <c r="F2903" t="s">
        <v>18</v>
      </c>
      <c r="G2903" t="s">
        <v>743</v>
      </c>
      <c r="H2903" s="128">
        <v>0.30370000000000003</v>
      </c>
      <c r="I2903" s="110">
        <v>0.17720000000000002</v>
      </c>
      <c r="J2903" s="110">
        <v>0.17720000000000002</v>
      </c>
      <c r="L2903">
        <v>5000</v>
      </c>
      <c r="M2903">
        <v>500000</v>
      </c>
      <c r="N2903" s="105">
        <v>44197</v>
      </c>
      <c r="O2903" s="105">
        <v>44377</v>
      </c>
      <c r="P2903" t="s">
        <v>718</v>
      </c>
      <c r="R2903" s="154"/>
      <c r="S2903" s="154"/>
      <c r="T2903" s="154"/>
      <c r="U2903" s="154"/>
    </row>
    <row r="2904" spans="1:21" ht="15" customHeight="1" x14ac:dyDescent="0.3">
      <c r="A2904" t="str">
        <f t="shared" si="46"/>
        <v>16-3-EW-SmartPAY36_Renewal</v>
      </c>
      <c r="B2904" t="s">
        <v>13</v>
      </c>
      <c r="C2904">
        <v>16</v>
      </c>
      <c r="D2904" s="100" t="s">
        <v>25</v>
      </c>
      <c r="E2904" t="s">
        <v>19</v>
      </c>
      <c r="F2904" t="s">
        <v>16</v>
      </c>
      <c r="G2904" t="s">
        <v>743</v>
      </c>
      <c r="H2904" s="128">
        <v>0.30370000000000003</v>
      </c>
      <c r="I2904" s="110">
        <v>0.17720000000000002</v>
      </c>
      <c r="K2904" s="110">
        <v>0.17720000000000002</v>
      </c>
      <c r="L2904">
        <v>5000</v>
      </c>
      <c r="M2904">
        <v>500000</v>
      </c>
      <c r="N2904" s="105">
        <v>44197</v>
      </c>
      <c r="O2904" s="105">
        <v>44377</v>
      </c>
      <c r="P2904" t="s">
        <v>718</v>
      </c>
      <c r="R2904" s="154"/>
      <c r="S2904" s="154"/>
      <c r="T2904" s="154"/>
      <c r="U2904" s="154"/>
    </row>
    <row r="2905" spans="1:21" ht="15" customHeight="1" x14ac:dyDescent="0.3">
      <c r="A2905" t="str">
        <f t="shared" si="46"/>
        <v>16-4-3RATE-SmartPAY36_Renewal</v>
      </c>
      <c r="B2905" t="s">
        <v>13</v>
      </c>
      <c r="C2905">
        <v>16</v>
      </c>
      <c r="D2905" s="100" t="s">
        <v>25</v>
      </c>
      <c r="E2905" t="s">
        <v>719</v>
      </c>
      <c r="F2905" t="s">
        <v>18</v>
      </c>
      <c r="G2905" t="s">
        <v>743</v>
      </c>
      <c r="H2905" s="128">
        <v>0.30370000000000003</v>
      </c>
      <c r="I2905" s="110">
        <v>0.17720000000000002</v>
      </c>
      <c r="J2905" s="110">
        <v>0.17720000000000002</v>
      </c>
      <c r="K2905" s="110">
        <v>0.17720000000000002</v>
      </c>
      <c r="L2905">
        <v>5000</v>
      </c>
      <c r="M2905">
        <v>500000</v>
      </c>
      <c r="N2905" s="105">
        <v>44197</v>
      </c>
      <c r="O2905" s="105">
        <v>44377</v>
      </c>
      <c r="P2905" t="s">
        <v>718</v>
      </c>
      <c r="R2905" s="154"/>
      <c r="S2905" s="154"/>
      <c r="T2905" s="154"/>
      <c r="U2905" s="154"/>
    </row>
    <row r="2906" spans="1:21" ht="15" customHeight="1" x14ac:dyDescent="0.3">
      <c r="A2906" t="str">
        <f t="shared" si="46"/>
        <v/>
      </c>
      <c r="B2906" t="s">
        <v>13</v>
      </c>
      <c r="C2906">
        <v>16</v>
      </c>
      <c r="D2906" s="100" t="s">
        <v>25</v>
      </c>
      <c r="E2906" t="s">
        <v>720</v>
      </c>
      <c r="F2906" t="s">
        <v>18</v>
      </c>
      <c r="G2906" t="s">
        <v>743</v>
      </c>
      <c r="H2906" s="128">
        <v>0.30370000000000003</v>
      </c>
      <c r="J2906" s="110">
        <v>0.17720000000000002</v>
      </c>
      <c r="L2906">
        <v>5000</v>
      </c>
      <c r="M2906">
        <v>500000</v>
      </c>
      <c r="N2906" s="105">
        <v>44197</v>
      </c>
      <c r="O2906" s="105">
        <v>44377</v>
      </c>
      <c r="P2906" t="s">
        <v>718</v>
      </c>
      <c r="R2906" s="154"/>
      <c r="S2906" s="154"/>
      <c r="T2906" s="154"/>
      <c r="U2906" s="154"/>
    </row>
    <row r="2907" spans="1:21" ht="15" customHeight="1" x14ac:dyDescent="0.3">
      <c r="A2907" t="str">
        <f t="shared" si="46"/>
        <v>17-3-U-SmartPAY36_Renewal</v>
      </c>
      <c r="B2907" t="s">
        <v>13</v>
      </c>
      <c r="C2907">
        <v>17</v>
      </c>
      <c r="D2907" s="100" t="s">
        <v>26</v>
      </c>
      <c r="E2907" t="s">
        <v>716</v>
      </c>
      <c r="F2907" t="s">
        <v>16</v>
      </c>
      <c r="G2907" t="s">
        <v>743</v>
      </c>
      <c r="H2907" s="128">
        <v>0.40010000000000001</v>
      </c>
      <c r="I2907" s="110">
        <v>0.18390000000000001</v>
      </c>
      <c r="L2907">
        <v>5000</v>
      </c>
      <c r="M2907">
        <v>500000</v>
      </c>
      <c r="N2907" s="105">
        <v>44197</v>
      </c>
      <c r="O2907" s="105">
        <v>44377</v>
      </c>
      <c r="P2907" t="s">
        <v>718</v>
      </c>
      <c r="R2907" s="154"/>
      <c r="S2907" s="154"/>
      <c r="T2907" s="154"/>
      <c r="U2907" s="154"/>
    </row>
    <row r="2908" spans="1:21" ht="15" customHeight="1" x14ac:dyDescent="0.3">
      <c r="A2908" t="str">
        <f t="shared" si="46"/>
        <v>17-4-E7-SmartPAY36_Renewal</v>
      </c>
      <c r="B2908" t="s">
        <v>13</v>
      </c>
      <c r="C2908">
        <v>17</v>
      </c>
      <c r="D2908" s="100" t="s">
        <v>26</v>
      </c>
      <c r="E2908" t="s">
        <v>17</v>
      </c>
      <c r="F2908" t="s">
        <v>18</v>
      </c>
      <c r="G2908" t="s">
        <v>743</v>
      </c>
      <c r="H2908" s="128">
        <v>0.40010000000000001</v>
      </c>
      <c r="I2908" s="110">
        <v>0.18390000000000001</v>
      </c>
      <c r="J2908" s="110">
        <v>0.18390000000000001</v>
      </c>
      <c r="L2908">
        <v>5000</v>
      </c>
      <c r="M2908">
        <v>500000</v>
      </c>
      <c r="N2908" s="105">
        <v>44197</v>
      </c>
      <c r="O2908" s="105">
        <v>44377</v>
      </c>
      <c r="P2908" t="s">
        <v>718</v>
      </c>
      <c r="R2908" s="154"/>
      <c r="S2908" s="154"/>
      <c r="T2908" s="154"/>
      <c r="U2908" s="154"/>
    </row>
    <row r="2909" spans="1:21" ht="15" customHeight="1" x14ac:dyDescent="0.3">
      <c r="A2909" t="str">
        <f t="shared" si="46"/>
        <v>17-3-EW-SmartPAY36_Renewal</v>
      </c>
      <c r="B2909" t="s">
        <v>13</v>
      </c>
      <c r="C2909">
        <v>17</v>
      </c>
      <c r="D2909" s="100" t="s">
        <v>26</v>
      </c>
      <c r="E2909" t="s">
        <v>19</v>
      </c>
      <c r="F2909" t="s">
        <v>16</v>
      </c>
      <c r="G2909" t="s">
        <v>743</v>
      </c>
      <c r="H2909" s="128">
        <v>0.40010000000000001</v>
      </c>
      <c r="I2909" s="110">
        <v>0.18390000000000001</v>
      </c>
      <c r="K2909" s="110">
        <v>0.18390000000000001</v>
      </c>
      <c r="L2909">
        <v>5000</v>
      </c>
      <c r="M2909">
        <v>500000</v>
      </c>
      <c r="N2909" s="105">
        <v>44197</v>
      </c>
      <c r="O2909" s="105">
        <v>44377</v>
      </c>
      <c r="P2909" t="s">
        <v>718</v>
      </c>
      <c r="R2909" s="154"/>
      <c r="S2909" s="154"/>
      <c r="T2909" s="154"/>
      <c r="U2909" s="154"/>
    </row>
    <row r="2910" spans="1:21" ht="15" customHeight="1" x14ac:dyDescent="0.3">
      <c r="A2910" t="str">
        <f t="shared" si="46"/>
        <v>17-4-3RATE-SmartPAY36_Renewal</v>
      </c>
      <c r="B2910" t="s">
        <v>13</v>
      </c>
      <c r="C2910">
        <v>17</v>
      </c>
      <c r="D2910" s="100" t="s">
        <v>26</v>
      </c>
      <c r="E2910" t="s">
        <v>719</v>
      </c>
      <c r="F2910" t="s">
        <v>18</v>
      </c>
      <c r="G2910" t="s">
        <v>743</v>
      </c>
      <c r="H2910" s="128">
        <v>0.40010000000000001</v>
      </c>
      <c r="I2910" s="110">
        <v>0.18390000000000001</v>
      </c>
      <c r="J2910" s="110">
        <v>0.18390000000000001</v>
      </c>
      <c r="K2910" s="110">
        <v>0.18390000000000001</v>
      </c>
      <c r="L2910">
        <v>5000</v>
      </c>
      <c r="M2910">
        <v>500000</v>
      </c>
      <c r="N2910" s="105">
        <v>44197</v>
      </c>
      <c r="O2910" s="105">
        <v>44377</v>
      </c>
      <c r="P2910" t="s">
        <v>718</v>
      </c>
      <c r="R2910" s="154"/>
      <c r="S2910" s="154"/>
      <c r="T2910" s="154"/>
      <c r="U2910" s="154"/>
    </row>
    <row r="2911" spans="1:21" ht="15" customHeight="1" x14ac:dyDescent="0.3">
      <c r="A2911" t="str">
        <f t="shared" si="46"/>
        <v/>
      </c>
      <c r="B2911" t="s">
        <v>13</v>
      </c>
      <c r="C2911">
        <v>17</v>
      </c>
      <c r="D2911" s="100" t="s">
        <v>26</v>
      </c>
      <c r="E2911" t="s">
        <v>720</v>
      </c>
      <c r="F2911" t="s">
        <v>18</v>
      </c>
      <c r="G2911" t="s">
        <v>743</v>
      </c>
      <c r="H2911" s="128">
        <v>0.40010000000000001</v>
      </c>
      <c r="J2911" s="110">
        <v>0.18390000000000001</v>
      </c>
      <c r="L2911">
        <v>5000</v>
      </c>
      <c r="M2911">
        <v>500000</v>
      </c>
      <c r="N2911" s="105">
        <v>44197</v>
      </c>
      <c r="O2911" s="105">
        <v>44377</v>
      </c>
      <c r="P2911" t="s">
        <v>718</v>
      </c>
      <c r="R2911" s="154"/>
      <c r="S2911" s="154"/>
      <c r="T2911" s="154"/>
      <c r="U2911" s="154"/>
    </row>
    <row r="2912" spans="1:21" ht="15" customHeight="1" x14ac:dyDescent="0.3">
      <c r="A2912" t="str">
        <f t="shared" si="46"/>
        <v>18-3-U-SmartPAY36_Renewal</v>
      </c>
      <c r="B2912" t="s">
        <v>13</v>
      </c>
      <c r="C2912">
        <v>18</v>
      </c>
      <c r="D2912" s="100" t="s">
        <v>27</v>
      </c>
      <c r="E2912" t="s">
        <v>716</v>
      </c>
      <c r="F2912" t="s">
        <v>16</v>
      </c>
      <c r="G2912" t="s">
        <v>743</v>
      </c>
      <c r="H2912" s="128">
        <v>0.34899999999999998</v>
      </c>
      <c r="I2912" s="110">
        <v>0.17679999999999998</v>
      </c>
      <c r="L2912">
        <v>5000</v>
      </c>
      <c r="M2912">
        <v>500000</v>
      </c>
      <c r="N2912" s="105">
        <v>44197</v>
      </c>
      <c r="O2912" s="105">
        <v>44377</v>
      </c>
      <c r="P2912" t="s">
        <v>718</v>
      </c>
      <c r="R2912" s="154"/>
      <c r="S2912" s="154"/>
      <c r="T2912" s="154"/>
      <c r="U2912" s="154"/>
    </row>
    <row r="2913" spans="1:21" ht="15" customHeight="1" x14ac:dyDescent="0.3">
      <c r="A2913" t="str">
        <f t="shared" si="46"/>
        <v>18-4-E7-SmartPAY36_Renewal</v>
      </c>
      <c r="B2913" t="s">
        <v>13</v>
      </c>
      <c r="C2913">
        <v>18</v>
      </c>
      <c r="D2913" s="100" t="s">
        <v>27</v>
      </c>
      <c r="E2913" t="s">
        <v>17</v>
      </c>
      <c r="F2913" t="s">
        <v>18</v>
      </c>
      <c r="G2913" t="s">
        <v>743</v>
      </c>
      <c r="H2913" s="128">
        <v>0.34899999999999998</v>
      </c>
      <c r="I2913" s="110">
        <v>0.17679999999999998</v>
      </c>
      <c r="J2913" s="110">
        <v>0.17679999999999998</v>
      </c>
      <c r="L2913">
        <v>5000</v>
      </c>
      <c r="M2913">
        <v>500000</v>
      </c>
      <c r="N2913" s="105">
        <v>44197</v>
      </c>
      <c r="O2913" s="105">
        <v>44377</v>
      </c>
      <c r="P2913" t="s">
        <v>718</v>
      </c>
      <c r="R2913" s="154"/>
      <c r="S2913" s="154"/>
      <c r="T2913" s="154"/>
      <c r="U2913" s="154"/>
    </row>
    <row r="2914" spans="1:21" ht="15" customHeight="1" x14ac:dyDescent="0.3">
      <c r="A2914" t="str">
        <f t="shared" si="46"/>
        <v>18-3-EW-SmartPAY36_Renewal</v>
      </c>
      <c r="B2914" t="s">
        <v>13</v>
      </c>
      <c r="C2914">
        <v>18</v>
      </c>
      <c r="D2914" s="100" t="s">
        <v>27</v>
      </c>
      <c r="E2914" t="s">
        <v>19</v>
      </c>
      <c r="F2914" t="s">
        <v>16</v>
      </c>
      <c r="G2914" t="s">
        <v>743</v>
      </c>
      <c r="H2914" s="128">
        <v>0.34899999999999998</v>
      </c>
      <c r="I2914" s="110">
        <v>0.17679999999999998</v>
      </c>
      <c r="K2914" s="110">
        <v>0.17679999999999998</v>
      </c>
      <c r="L2914">
        <v>5000</v>
      </c>
      <c r="M2914">
        <v>500000</v>
      </c>
      <c r="N2914" s="105">
        <v>44197</v>
      </c>
      <c r="O2914" s="105">
        <v>44377</v>
      </c>
      <c r="P2914" t="s">
        <v>718</v>
      </c>
      <c r="R2914" s="154"/>
      <c r="S2914" s="154"/>
      <c r="T2914" s="154"/>
      <c r="U2914" s="154"/>
    </row>
    <row r="2915" spans="1:21" ht="15" customHeight="1" x14ac:dyDescent="0.3">
      <c r="A2915" t="str">
        <f t="shared" ref="A2915:A2978" si="47">IF(E2915="OP","",CONCATENATE(C2915,"-",RIGHT(F2915,1),"-",IF(OR(E2915="1 Rate MD",E2915="DAY"),"U",IF(OR(E2915="2 Rate MD",E2915="E7"),"E7",IF(OR(E2915="3 Rate MD (EW)",E2915="EW"),"EW",IF(OR(E2915="3 Rate MD",E2915="EWN"),"3RATE",IF(E2915="HH 2RATE (CT)","HH 2RATE (CT)",IF(E2915="HH 2RATE (WC)","HH 2RATE (WC)",IF(E2915="HH 1RATE (CT)","HH 1RATE (CT)",IF(E2915="HH 1RATE (WC)","HH 1RATE (WC)")))))))),"-",G2915))</f>
        <v>18-4-3RATE-SmartPAY36_Renewal</v>
      </c>
      <c r="B2915" t="s">
        <v>13</v>
      </c>
      <c r="C2915">
        <v>18</v>
      </c>
      <c r="D2915" s="100" t="s">
        <v>27</v>
      </c>
      <c r="E2915" t="s">
        <v>719</v>
      </c>
      <c r="F2915" t="s">
        <v>18</v>
      </c>
      <c r="G2915" t="s">
        <v>743</v>
      </c>
      <c r="H2915" s="128">
        <v>0.34899999999999998</v>
      </c>
      <c r="I2915" s="110">
        <v>0.17679999999999998</v>
      </c>
      <c r="J2915" s="110">
        <v>0.17679999999999998</v>
      </c>
      <c r="K2915" s="110">
        <v>0.17679999999999998</v>
      </c>
      <c r="L2915">
        <v>5000</v>
      </c>
      <c r="M2915">
        <v>500000</v>
      </c>
      <c r="N2915" s="105">
        <v>44197</v>
      </c>
      <c r="O2915" s="105">
        <v>44377</v>
      </c>
      <c r="P2915" t="s">
        <v>718</v>
      </c>
      <c r="R2915" s="154"/>
      <c r="S2915" s="154"/>
      <c r="T2915" s="154"/>
      <c r="U2915" s="154"/>
    </row>
    <row r="2916" spans="1:21" ht="15" customHeight="1" x14ac:dyDescent="0.3">
      <c r="A2916" t="str">
        <f t="shared" si="47"/>
        <v/>
      </c>
      <c r="B2916" t="s">
        <v>13</v>
      </c>
      <c r="C2916">
        <v>18</v>
      </c>
      <c r="D2916" s="100" t="s">
        <v>27</v>
      </c>
      <c r="E2916" t="s">
        <v>720</v>
      </c>
      <c r="F2916" t="s">
        <v>18</v>
      </c>
      <c r="G2916" t="s">
        <v>743</v>
      </c>
      <c r="H2916" s="128">
        <v>0.34899999999999998</v>
      </c>
      <c r="J2916" s="110">
        <v>0.17679999999999998</v>
      </c>
      <c r="L2916">
        <v>5000</v>
      </c>
      <c r="M2916">
        <v>500000</v>
      </c>
      <c r="N2916" s="105">
        <v>44197</v>
      </c>
      <c r="O2916" s="105">
        <v>44377</v>
      </c>
      <c r="P2916" t="s">
        <v>718</v>
      </c>
      <c r="R2916" s="154"/>
      <c r="S2916" s="154"/>
      <c r="T2916" s="154"/>
      <c r="U2916" s="154"/>
    </row>
    <row r="2917" spans="1:21" ht="15" customHeight="1" x14ac:dyDescent="0.3">
      <c r="A2917" t="str">
        <f t="shared" si="47"/>
        <v>19-3-U-SmartPAY36_Renewal</v>
      </c>
      <c r="B2917" t="s">
        <v>13</v>
      </c>
      <c r="C2917">
        <v>19</v>
      </c>
      <c r="D2917" s="100" t="s">
        <v>28</v>
      </c>
      <c r="E2917" t="s">
        <v>716</v>
      </c>
      <c r="F2917" t="s">
        <v>16</v>
      </c>
      <c r="G2917" t="s">
        <v>743</v>
      </c>
      <c r="H2917" s="128">
        <v>0.33169999999999999</v>
      </c>
      <c r="I2917" s="110">
        <v>0.17420000000000002</v>
      </c>
      <c r="L2917">
        <v>5000</v>
      </c>
      <c r="M2917">
        <v>500000</v>
      </c>
      <c r="N2917" s="105">
        <v>44197</v>
      </c>
      <c r="O2917" s="105">
        <v>44377</v>
      </c>
      <c r="P2917" t="s">
        <v>718</v>
      </c>
      <c r="R2917" s="154"/>
      <c r="S2917" s="154"/>
      <c r="T2917" s="154"/>
      <c r="U2917" s="154"/>
    </row>
    <row r="2918" spans="1:21" ht="15" customHeight="1" x14ac:dyDescent="0.3">
      <c r="A2918" t="str">
        <f t="shared" si="47"/>
        <v>19-4-E7-SmartPAY36_Renewal</v>
      </c>
      <c r="B2918" t="s">
        <v>13</v>
      </c>
      <c r="C2918">
        <v>19</v>
      </c>
      <c r="D2918" s="100" t="s">
        <v>28</v>
      </c>
      <c r="E2918" t="s">
        <v>17</v>
      </c>
      <c r="F2918" t="s">
        <v>18</v>
      </c>
      <c r="G2918" t="s">
        <v>743</v>
      </c>
      <c r="H2918" s="128">
        <v>0.33169999999999999</v>
      </c>
      <c r="I2918" s="110">
        <v>0.17420000000000002</v>
      </c>
      <c r="J2918" s="110">
        <v>0.17420000000000002</v>
      </c>
      <c r="L2918">
        <v>5000</v>
      </c>
      <c r="M2918">
        <v>500000</v>
      </c>
      <c r="N2918" s="105">
        <v>44197</v>
      </c>
      <c r="O2918" s="105">
        <v>44377</v>
      </c>
      <c r="P2918" t="s">
        <v>718</v>
      </c>
      <c r="R2918" s="154"/>
      <c r="S2918" s="154"/>
      <c r="T2918" s="154"/>
      <c r="U2918" s="154"/>
    </row>
    <row r="2919" spans="1:21" ht="15" customHeight="1" x14ac:dyDescent="0.3">
      <c r="A2919" t="str">
        <f t="shared" si="47"/>
        <v>19-3-EW-SmartPAY36_Renewal</v>
      </c>
      <c r="B2919" t="s">
        <v>13</v>
      </c>
      <c r="C2919">
        <v>19</v>
      </c>
      <c r="D2919" s="100" t="s">
        <v>28</v>
      </c>
      <c r="E2919" t="s">
        <v>19</v>
      </c>
      <c r="F2919" t="s">
        <v>16</v>
      </c>
      <c r="G2919" t="s">
        <v>743</v>
      </c>
      <c r="H2919" s="128">
        <v>0.33169999999999999</v>
      </c>
      <c r="I2919" s="110">
        <v>0.17420000000000002</v>
      </c>
      <c r="K2919" s="110">
        <v>0.17420000000000002</v>
      </c>
      <c r="L2919">
        <v>5000</v>
      </c>
      <c r="M2919">
        <v>500000</v>
      </c>
      <c r="N2919" s="105">
        <v>44197</v>
      </c>
      <c r="O2919" s="105">
        <v>44377</v>
      </c>
      <c r="P2919" t="s">
        <v>718</v>
      </c>
      <c r="R2919" s="154"/>
      <c r="S2919" s="154"/>
      <c r="T2919" s="154"/>
      <c r="U2919" s="154"/>
    </row>
    <row r="2920" spans="1:21" ht="15" customHeight="1" x14ac:dyDescent="0.3">
      <c r="A2920" t="str">
        <f t="shared" si="47"/>
        <v>19-4-3RATE-SmartPAY36_Renewal</v>
      </c>
      <c r="B2920" t="s">
        <v>13</v>
      </c>
      <c r="C2920">
        <v>19</v>
      </c>
      <c r="D2920" s="100" t="s">
        <v>28</v>
      </c>
      <c r="E2920" t="s">
        <v>719</v>
      </c>
      <c r="F2920" t="s">
        <v>18</v>
      </c>
      <c r="G2920" t="s">
        <v>743</v>
      </c>
      <c r="H2920" s="128">
        <v>0.33169999999999999</v>
      </c>
      <c r="I2920" s="110">
        <v>0.17420000000000002</v>
      </c>
      <c r="J2920" s="110">
        <v>0.17420000000000002</v>
      </c>
      <c r="K2920" s="110">
        <v>0.17420000000000002</v>
      </c>
      <c r="L2920">
        <v>5000</v>
      </c>
      <c r="M2920">
        <v>500000</v>
      </c>
      <c r="N2920" s="105">
        <v>44197</v>
      </c>
      <c r="O2920" s="105">
        <v>44377</v>
      </c>
      <c r="P2920" t="s">
        <v>718</v>
      </c>
      <c r="R2920" s="154"/>
      <c r="S2920" s="154"/>
      <c r="T2920" s="154"/>
      <c r="U2920" s="154"/>
    </row>
    <row r="2921" spans="1:21" ht="15" customHeight="1" x14ac:dyDescent="0.3">
      <c r="A2921" t="str">
        <f t="shared" si="47"/>
        <v/>
      </c>
      <c r="B2921" t="s">
        <v>13</v>
      </c>
      <c r="C2921">
        <v>19</v>
      </c>
      <c r="D2921" s="100" t="s">
        <v>28</v>
      </c>
      <c r="E2921" t="s">
        <v>720</v>
      </c>
      <c r="F2921" t="s">
        <v>18</v>
      </c>
      <c r="G2921" t="s">
        <v>743</v>
      </c>
      <c r="H2921" s="128">
        <v>0.33169999999999999</v>
      </c>
      <c r="J2921" s="110">
        <v>0.17420000000000002</v>
      </c>
      <c r="L2921">
        <v>5000</v>
      </c>
      <c r="M2921">
        <v>500000</v>
      </c>
      <c r="N2921" s="105">
        <v>44197</v>
      </c>
      <c r="O2921" s="105">
        <v>44377</v>
      </c>
      <c r="P2921" t="s">
        <v>718</v>
      </c>
      <c r="R2921" s="154"/>
      <c r="S2921" s="154"/>
      <c r="T2921" s="154"/>
      <c r="U2921" s="154"/>
    </row>
    <row r="2922" spans="1:21" ht="15" customHeight="1" x14ac:dyDescent="0.3">
      <c r="A2922" t="str">
        <f t="shared" si="47"/>
        <v>20-3-U-SmartPAY36_Renewal</v>
      </c>
      <c r="B2922" t="s">
        <v>13</v>
      </c>
      <c r="C2922">
        <v>20</v>
      </c>
      <c r="D2922" s="100" t="s">
        <v>29</v>
      </c>
      <c r="E2922" t="s">
        <v>716</v>
      </c>
      <c r="F2922" t="s">
        <v>16</v>
      </c>
      <c r="G2922" t="s">
        <v>743</v>
      </c>
      <c r="H2922" s="128">
        <v>0.32879999999999998</v>
      </c>
      <c r="I2922" s="110">
        <v>0.17330000000000001</v>
      </c>
      <c r="L2922">
        <v>5000</v>
      </c>
      <c r="M2922">
        <v>500000</v>
      </c>
      <c r="N2922" s="105">
        <v>44197</v>
      </c>
      <c r="O2922" s="105">
        <v>44377</v>
      </c>
      <c r="P2922" t="s">
        <v>718</v>
      </c>
      <c r="R2922" s="154"/>
      <c r="S2922" s="154"/>
      <c r="T2922" s="154"/>
      <c r="U2922" s="154"/>
    </row>
    <row r="2923" spans="1:21" ht="15" customHeight="1" x14ac:dyDescent="0.3">
      <c r="A2923" t="str">
        <f t="shared" si="47"/>
        <v>20-4-E7-SmartPAY36_Renewal</v>
      </c>
      <c r="B2923" t="s">
        <v>13</v>
      </c>
      <c r="C2923">
        <v>20</v>
      </c>
      <c r="D2923" s="100" t="s">
        <v>29</v>
      </c>
      <c r="E2923" t="s">
        <v>17</v>
      </c>
      <c r="F2923" t="s">
        <v>18</v>
      </c>
      <c r="G2923" t="s">
        <v>743</v>
      </c>
      <c r="H2923" s="128">
        <v>0.32879999999999998</v>
      </c>
      <c r="I2923" s="110">
        <v>0.17330000000000001</v>
      </c>
      <c r="J2923" s="110">
        <v>0.17330000000000001</v>
      </c>
      <c r="L2923">
        <v>5000</v>
      </c>
      <c r="M2923">
        <v>500000</v>
      </c>
      <c r="N2923" s="105">
        <v>44197</v>
      </c>
      <c r="O2923" s="105">
        <v>44377</v>
      </c>
      <c r="P2923" t="s">
        <v>718</v>
      </c>
      <c r="R2923" s="154"/>
      <c r="S2923" s="154"/>
      <c r="T2923" s="154"/>
      <c r="U2923" s="154"/>
    </row>
    <row r="2924" spans="1:21" ht="15" customHeight="1" x14ac:dyDescent="0.3">
      <c r="A2924" t="str">
        <f t="shared" si="47"/>
        <v>20-3-EW-SmartPAY36_Renewal</v>
      </c>
      <c r="B2924" t="s">
        <v>13</v>
      </c>
      <c r="C2924">
        <v>20</v>
      </c>
      <c r="D2924" s="100" t="s">
        <v>29</v>
      </c>
      <c r="E2924" t="s">
        <v>19</v>
      </c>
      <c r="F2924" t="s">
        <v>16</v>
      </c>
      <c r="G2924" t="s">
        <v>743</v>
      </c>
      <c r="H2924" s="128">
        <v>0.32879999999999998</v>
      </c>
      <c r="I2924" s="110">
        <v>0.17330000000000001</v>
      </c>
      <c r="K2924" s="110">
        <v>0.17330000000000001</v>
      </c>
      <c r="L2924">
        <v>5000</v>
      </c>
      <c r="M2924">
        <v>500000</v>
      </c>
      <c r="N2924" s="105">
        <v>44197</v>
      </c>
      <c r="O2924" s="105">
        <v>44377</v>
      </c>
      <c r="P2924" t="s">
        <v>718</v>
      </c>
      <c r="R2924" s="154"/>
      <c r="S2924" s="154"/>
      <c r="T2924" s="154"/>
      <c r="U2924" s="154"/>
    </row>
    <row r="2925" spans="1:21" ht="15" customHeight="1" x14ac:dyDescent="0.3">
      <c r="A2925" t="str">
        <f t="shared" si="47"/>
        <v>20-4-3RATE-SmartPAY36_Renewal</v>
      </c>
      <c r="B2925" t="s">
        <v>13</v>
      </c>
      <c r="C2925">
        <v>20</v>
      </c>
      <c r="D2925" s="100" t="s">
        <v>29</v>
      </c>
      <c r="E2925" t="s">
        <v>719</v>
      </c>
      <c r="F2925" t="s">
        <v>18</v>
      </c>
      <c r="G2925" t="s">
        <v>743</v>
      </c>
      <c r="H2925" s="128">
        <v>0.32879999999999998</v>
      </c>
      <c r="I2925" s="110">
        <v>0.17330000000000001</v>
      </c>
      <c r="J2925" s="110">
        <v>0.17330000000000001</v>
      </c>
      <c r="K2925" s="110">
        <v>0.17330000000000001</v>
      </c>
      <c r="L2925">
        <v>5000</v>
      </c>
      <c r="M2925">
        <v>500000</v>
      </c>
      <c r="N2925" s="105">
        <v>44197</v>
      </c>
      <c r="O2925" s="105">
        <v>44377</v>
      </c>
      <c r="P2925" t="s">
        <v>718</v>
      </c>
      <c r="R2925" s="154"/>
      <c r="S2925" s="154"/>
      <c r="T2925" s="154"/>
      <c r="U2925" s="154"/>
    </row>
    <row r="2926" spans="1:21" ht="15" customHeight="1" x14ac:dyDescent="0.3">
      <c r="A2926" t="str">
        <f t="shared" si="47"/>
        <v/>
      </c>
      <c r="B2926" t="s">
        <v>13</v>
      </c>
      <c r="C2926">
        <v>20</v>
      </c>
      <c r="D2926" s="100" t="s">
        <v>29</v>
      </c>
      <c r="E2926" t="s">
        <v>720</v>
      </c>
      <c r="F2926" t="s">
        <v>18</v>
      </c>
      <c r="G2926" t="s">
        <v>743</v>
      </c>
      <c r="H2926" s="128">
        <v>0.32879999999999998</v>
      </c>
      <c r="J2926" s="110">
        <v>0.17330000000000001</v>
      </c>
      <c r="L2926">
        <v>5000</v>
      </c>
      <c r="M2926">
        <v>500000</v>
      </c>
      <c r="N2926" s="105">
        <v>44197</v>
      </c>
      <c r="O2926" s="105">
        <v>44377</v>
      </c>
      <c r="P2926" t="s">
        <v>718</v>
      </c>
      <c r="R2926" s="154"/>
      <c r="S2926" s="154"/>
      <c r="T2926" s="154"/>
      <c r="U2926" s="154"/>
    </row>
    <row r="2927" spans="1:21" ht="15" customHeight="1" x14ac:dyDescent="0.3">
      <c r="A2927" t="str">
        <f t="shared" si="47"/>
        <v>21-3-U-SmartPAY36_Renewal</v>
      </c>
      <c r="B2927" t="s">
        <v>13</v>
      </c>
      <c r="C2927">
        <v>21</v>
      </c>
      <c r="D2927" s="100" t="s">
        <v>30</v>
      </c>
      <c r="E2927" t="s">
        <v>716</v>
      </c>
      <c r="F2927" t="s">
        <v>16</v>
      </c>
      <c r="G2927" t="s">
        <v>743</v>
      </c>
      <c r="H2927" s="128">
        <v>0.4551</v>
      </c>
      <c r="I2927" s="110">
        <v>0.17430000000000001</v>
      </c>
      <c r="L2927">
        <v>5000</v>
      </c>
      <c r="M2927">
        <v>500000</v>
      </c>
      <c r="N2927" s="105">
        <v>44197</v>
      </c>
      <c r="O2927" s="105">
        <v>44377</v>
      </c>
      <c r="P2927" t="s">
        <v>718</v>
      </c>
      <c r="R2927" s="154"/>
      <c r="S2927" s="154"/>
      <c r="T2927" s="154"/>
      <c r="U2927" s="154"/>
    </row>
    <row r="2928" spans="1:21" ht="15" customHeight="1" x14ac:dyDescent="0.3">
      <c r="A2928" t="str">
        <f t="shared" si="47"/>
        <v>21-4-E7-SmartPAY36_Renewal</v>
      </c>
      <c r="B2928" t="s">
        <v>13</v>
      </c>
      <c r="C2928">
        <v>21</v>
      </c>
      <c r="D2928" s="100" t="s">
        <v>30</v>
      </c>
      <c r="E2928" t="s">
        <v>17</v>
      </c>
      <c r="F2928" t="s">
        <v>18</v>
      </c>
      <c r="G2928" t="s">
        <v>743</v>
      </c>
      <c r="H2928" s="128">
        <v>0.4551</v>
      </c>
      <c r="I2928" s="110">
        <v>0.17430000000000001</v>
      </c>
      <c r="J2928" s="110">
        <v>0.17430000000000001</v>
      </c>
      <c r="L2928">
        <v>5000</v>
      </c>
      <c r="M2928">
        <v>500000</v>
      </c>
      <c r="N2928" s="105">
        <v>44197</v>
      </c>
      <c r="O2928" s="105">
        <v>44377</v>
      </c>
      <c r="P2928" t="s">
        <v>718</v>
      </c>
      <c r="R2928" s="154"/>
      <c r="S2928" s="154"/>
      <c r="T2928" s="154"/>
      <c r="U2928" s="154"/>
    </row>
    <row r="2929" spans="1:21" ht="15" customHeight="1" x14ac:dyDescent="0.3">
      <c r="A2929" t="str">
        <f t="shared" si="47"/>
        <v>21-3-EW-SmartPAY36_Renewal</v>
      </c>
      <c r="B2929" t="s">
        <v>13</v>
      </c>
      <c r="C2929">
        <v>21</v>
      </c>
      <c r="D2929" s="100" t="s">
        <v>30</v>
      </c>
      <c r="E2929" t="s">
        <v>19</v>
      </c>
      <c r="F2929" t="s">
        <v>16</v>
      </c>
      <c r="G2929" t="s">
        <v>743</v>
      </c>
      <c r="H2929" s="128">
        <v>0.4551</v>
      </c>
      <c r="I2929" s="110">
        <v>0.17430000000000001</v>
      </c>
      <c r="K2929" s="110">
        <v>0.17430000000000001</v>
      </c>
      <c r="L2929">
        <v>5000</v>
      </c>
      <c r="M2929">
        <v>500000</v>
      </c>
      <c r="N2929" s="105">
        <v>44197</v>
      </c>
      <c r="O2929" s="105">
        <v>44377</v>
      </c>
      <c r="P2929" t="s">
        <v>718</v>
      </c>
      <c r="R2929" s="154"/>
      <c r="S2929" s="154"/>
      <c r="T2929" s="154"/>
      <c r="U2929" s="154"/>
    </row>
    <row r="2930" spans="1:21" ht="15" customHeight="1" x14ac:dyDescent="0.3">
      <c r="A2930" t="str">
        <f t="shared" si="47"/>
        <v>21-4-3RATE-SmartPAY36_Renewal</v>
      </c>
      <c r="B2930" t="s">
        <v>13</v>
      </c>
      <c r="C2930">
        <v>21</v>
      </c>
      <c r="D2930" s="100" t="s">
        <v>30</v>
      </c>
      <c r="E2930" t="s">
        <v>719</v>
      </c>
      <c r="F2930" t="s">
        <v>18</v>
      </c>
      <c r="G2930" t="s">
        <v>743</v>
      </c>
      <c r="H2930" s="128">
        <v>0.4551</v>
      </c>
      <c r="I2930" s="110">
        <v>0.17430000000000001</v>
      </c>
      <c r="J2930" s="110">
        <v>0.17430000000000001</v>
      </c>
      <c r="K2930" s="110">
        <v>0.17430000000000001</v>
      </c>
      <c r="L2930">
        <v>5000</v>
      </c>
      <c r="M2930">
        <v>500000</v>
      </c>
      <c r="N2930" s="105">
        <v>44197</v>
      </c>
      <c r="O2930" s="105">
        <v>44377</v>
      </c>
      <c r="P2930" t="s">
        <v>718</v>
      </c>
      <c r="R2930" s="154"/>
      <c r="S2930" s="154"/>
      <c r="T2930" s="154"/>
      <c r="U2930" s="154"/>
    </row>
    <row r="2931" spans="1:21" ht="15" customHeight="1" x14ac:dyDescent="0.3">
      <c r="A2931" t="str">
        <f t="shared" si="47"/>
        <v/>
      </c>
      <c r="B2931" t="s">
        <v>13</v>
      </c>
      <c r="C2931">
        <v>21</v>
      </c>
      <c r="D2931" s="100" t="s">
        <v>30</v>
      </c>
      <c r="E2931" t="s">
        <v>720</v>
      </c>
      <c r="F2931" t="s">
        <v>18</v>
      </c>
      <c r="G2931" t="s">
        <v>743</v>
      </c>
      <c r="H2931" s="128">
        <v>0.4551</v>
      </c>
      <c r="J2931" s="110">
        <v>0.17430000000000001</v>
      </c>
      <c r="L2931">
        <v>5000</v>
      </c>
      <c r="M2931">
        <v>500000</v>
      </c>
      <c r="N2931" s="105">
        <v>44197</v>
      </c>
      <c r="O2931" s="105">
        <v>44377</v>
      </c>
      <c r="P2931" t="s">
        <v>718</v>
      </c>
      <c r="R2931" s="154"/>
      <c r="S2931" s="154"/>
      <c r="T2931" s="154"/>
      <c r="U2931" s="154"/>
    </row>
    <row r="2932" spans="1:21" ht="15" customHeight="1" x14ac:dyDescent="0.3">
      <c r="A2932" t="str">
        <f t="shared" si="47"/>
        <v>22-3-U-SmartPAY36_Renewal</v>
      </c>
      <c r="B2932" t="s">
        <v>13</v>
      </c>
      <c r="C2932">
        <v>22</v>
      </c>
      <c r="D2932" s="100" t="s">
        <v>31</v>
      </c>
      <c r="E2932" t="s">
        <v>716</v>
      </c>
      <c r="F2932" t="s">
        <v>16</v>
      </c>
      <c r="G2932" t="s">
        <v>743</v>
      </c>
      <c r="H2932" s="128">
        <v>0.39240000000000003</v>
      </c>
      <c r="I2932" s="110">
        <v>0.17990000000000003</v>
      </c>
      <c r="L2932">
        <v>5000</v>
      </c>
      <c r="M2932">
        <v>500000</v>
      </c>
      <c r="N2932" s="105">
        <v>44197</v>
      </c>
      <c r="O2932" s="105">
        <v>44377</v>
      </c>
      <c r="P2932" t="s">
        <v>718</v>
      </c>
      <c r="R2932" s="154"/>
      <c r="S2932" s="154"/>
      <c r="T2932" s="154"/>
      <c r="U2932" s="154"/>
    </row>
    <row r="2933" spans="1:21" ht="15" customHeight="1" x14ac:dyDescent="0.3">
      <c r="A2933" t="str">
        <f t="shared" si="47"/>
        <v>22-4-E7-SmartPAY36_Renewal</v>
      </c>
      <c r="B2933" t="s">
        <v>13</v>
      </c>
      <c r="C2933">
        <v>22</v>
      </c>
      <c r="D2933" s="100" t="s">
        <v>31</v>
      </c>
      <c r="E2933" t="s">
        <v>17</v>
      </c>
      <c r="F2933" t="s">
        <v>18</v>
      </c>
      <c r="G2933" t="s">
        <v>743</v>
      </c>
      <c r="H2933" s="128">
        <v>0.39240000000000003</v>
      </c>
      <c r="I2933" s="110">
        <v>0.17990000000000003</v>
      </c>
      <c r="J2933" s="110">
        <v>0.17990000000000003</v>
      </c>
      <c r="L2933">
        <v>5000</v>
      </c>
      <c r="M2933">
        <v>500000</v>
      </c>
      <c r="N2933" s="105">
        <v>44197</v>
      </c>
      <c r="O2933" s="105">
        <v>44377</v>
      </c>
      <c r="P2933" t="s">
        <v>718</v>
      </c>
      <c r="R2933" s="154"/>
      <c r="S2933" s="154"/>
      <c r="T2933" s="154"/>
      <c r="U2933" s="154"/>
    </row>
    <row r="2934" spans="1:21" ht="15" customHeight="1" x14ac:dyDescent="0.3">
      <c r="A2934" t="str">
        <f t="shared" si="47"/>
        <v>22-3-EW-SmartPAY36_Renewal</v>
      </c>
      <c r="B2934" t="s">
        <v>13</v>
      </c>
      <c r="C2934">
        <v>22</v>
      </c>
      <c r="D2934" s="100" t="s">
        <v>31</v>
      </c>
      <c r="E2934" t="s">
        <v>19</v>
      </c>
      <c r="F2934" t="s">
        <v>16</v>
      </c>
      <c r="G2934" t="s">
        <v>743</v>
      </c>
      <c r="H2934" s="128">
        <v>0.39240000000000003</v>
      </c>
      <c r="I2934" s="110">
        <v>0.17990000000000003</v>
      </c>
      <c r="K2934" s="110">
        <v>0.17990000000000003</v>
      </c>
      <c r="L2934">
        <v>5000</v>
      </c>
      <c r="M2934">
        <v>500000</v>
      </c>
      <c r="N2934" s="105">
        <v>44197</v>
      </c>
      <c r="O2934" s="105">
        <v>44377</v>
      </c>
      <c r="P2934" t="s">
        <v>718</v>
      </c>
      <c r="R2934" s="154"/>
      <c r="S2934" s="154"/>
      <c r="T2934" s="154"/>
      <c r="U2934" s="154"/>
    </row>
    <row r="2935" spans="1:21" ht="15" customHeight="1" x14ac:dyDescent="0.3">
      <c r="A2935" t="str">
        <f t="shared" si="47"/>
        <v>22-4-3RATE-SmartPAY36_Renewal</v>
      </c>
      <c r="B2935" t="s">
        <v>13</v>
      </c>
      <c r="C2935">
        <v>22</v>
      </c>
      <c r="D2935" s="100" t="s">
        <v>31</v>
      </c>
      <c r="E2935" t="s">
        <v>719</v>
      </c>
      <c r="F2935" t="s">
        <v>18</v>
      </c>
      <c r="G2935" t="s">
        <v>743</v>
      </c>
      <c r="H2935" s="128">
        <v>0.39240000000000003</v>
      </c>
      <c r="I2935" s="110">
        <v>0.17990000000000003</v>
      </c>
      <c r="J2935" s="110">
        <v>0.17990000000000003</v>
      </c>
      <c r="K2935" s="110">
        <v>0.17990000000000003</v>
      </c>
      <c r="L2935">
        <v>5000</v>
      </c>
      <c r="M2935">
        <v>500000</v>
      </c>
      <c r="N2935" s="105">
        <v>44197</v>
      </c>
      <c r="O2935" s="105">
        <v>44377</v>
      </c>
      <c r="P2935" t="s">
        <v>718</v>
      </c>
      <c r="R2935" s="154"/>
      <c r="S2935" s="154"/>
      <c r="T2935" s="154"/>
      <c r="U2935" s="154"/>
    </row>
    <row r="2936" spans="1:21" ht="15" customHeight="1" x14ac:dyDescent="0.3">
      <c r="A2936" t="str">
        <f t="shared" si="47"/>
        <v/>
      </c>
      <c r="B2936" t="s">
        <v>13</v>
      </c>
      <c r="C2936">
        <v>22</v>
      </c>
      <c r="D2936" s="100" t="s">
        <v>31</v>
      </c>
      <c r="E2936" t="s">
        <v>720</v>
      </c>
      <c r="F2936" t="s">
        <v>18</v>
      </c>
      <c r="G2936" t="s">
        <v>743</v>
      </c>
      <c r="H2936" s="128">
        <v>0.39240000000000003</v>
      </c>
      <c r="J2936" s="110">
        <v>0.17990000000000003</v>
      </c>
      <c r="L2936">
        <v>5000</v>
      </c>
      <c r="M2936">
        <v>500000</v>
      </c>
      <c r="N2936" s="105">
        <v>44197</v>
      </c>
      <c r="O2936" s="105">
        <v>44377</v>
      </c>
      <c r="P2936" t="s">
        <v>718</v>
      </c>
      <c r="R2936" s="154"/>
      <c r="S2936" s="154"/>
      <c r="T2936" s="154"/>
      <c r="U2936" s="154"/>
    </row>
    <row r="2937" spans="1:21" ht="15" customHeight="1" x14ac:dyDescent="0.3">
      <c r="A2937" t="str">
        <f t="shared" si="47"/>
        <v>23-3-U-SmartPAY36_Renewal</v>
      </c>
      <c r="B2937" t="s">
        <v>13</v>
      </c>
      <c r="C2937">
        <v>23</v>
      </c>
      <c r="D2937" s="100" t="s">
        <v>32</v>
      </c>
      <c r="E2937" t="s">
        <v>716</v>
      </c>
      <c r="F2937" t="s">
        <v>16</v>
      </c>
      <c r="G2937" t="s">
        <v>743</v>
      </c>
      <c r="H2937" s="128">
        <v>0.34460000000000002</v>
      </c>
      <c r="I2937" s="110">
        <v>0.17430000000000001</v>
      </c>
      <c r="L2937">
        <v>5000</v>
      </c>
      <c r="M2937">
        <v>500000</v>
      </c>
      <c r="N2937" s="105">
        <v>44197</v>
      </c>
      <c r="O2937" s="105">
        <v>44377</v>
      </c>
      <c r="P2937" t="s">
        <v>718</v>
      </c>
      <c r="R2937" s="154"/>
      <c r="S2937" s="154"/>
      <c r="T2937" s="154"/>
      <c r="U2937" s="154"/>
    </row>
    <row r="2938" spans="1:21" ht="15" customHeight="1" x14ac:dyDescent="0.3">
      <c r="A2938" t="str">
        <f t="shared" si="47"/>
        <v>23-4-E7-SmartPAY36_Renewal</v>
      </c>
      <c r="B2938" t="s">
        <v>13</v>
      </c>
      <c r="C2938">
        <v>23</v>
      </c>
      <c r="D2938" s="100" t="s">
        <v>32</v>
      </c>
      <c r="E2938" t="s">
        <v>17</v>
      </c>
      <c r="F2938" t="s">
        <v>18</v>
      </c>
      <c r="G2938" t="s">
        <v>743</v>
      </c>
      <c r="H2938" s="128">
        <v>0.34460000000000002</v>
      </c>
      <c r="I2938" s="110">
        <v>0.17430000000000001</v>
      </c>
      <c r="J2938" s="110">
        <v>0.17430000000000001</v>
      </c>
      <c r="L2938">
        <v>5000</v>
      </c>
      <c r="M2938">
        <v>500000</v>
      </c>
      <c r="N2938" s="105">
        <v>44197</v>
      </c>
      <c r="O2938" s="105">
        <v>44377</v>
      </c>
      <c r="P2938" t="s">
        <v>718</v>
      </c>
      <c r="R2938" s="154"/>
      <c r="S2938" s="154"/>
      <c r="T2938" s="154"/>
      <c r="U2938" s="154"/>
    </row>
    <row r="2939" spans="1:21" ht="15" customHeight="1" x14ac:dyDescent="0.3">
      <c r="A2939" t="str">
        <f t="shared" si="47"/>
        <v>23-3-EW-SmartPAY36_Renewal</v>
      </c>
      <c r="B2939" t="s">
        <v>13</v>
      </c>
      <c r="C2939">
        <v>23</v>
      </c>
      <c r="D2939" s="100" t="s">
        <v>32</v>
      </c>
      <c r="E2939" t="s">
        <v>19</v>
      </c>
      <c r="F2939" t="s">
        <v>16</v>
      </c>
      <c r="G2939" t="s">
        <v>743</v>
      </c>
      <c r="H2939" s="128">
        <v>0.34460000000000002</v>
      </c>
      <c r="I2939" s="110">
        <v>0.17430000000000001</v>
      </c>
      <c r="K2939" s="110">
        <v>0.17430000000000001</v>
      </c>
      <c r="L2939">
        <v>5000</v>
      </c>
      <c r="M2939">
        <v>500000</v>
      </c>
      <c r="N2939" s="105">
        <v>44197</v>
      </c>
      <c r="O2939" s="105">
        <v>44377</v>
      </c>
      <c r="P2939" t="s">
        <v>718</v>
      </c>
      <c r="R2939" s="154"/>
      <c r="S2939" s="154"/>
      <c r="T2939" s="154"/>
      <c r="U2939" s="154"/>
    </row>
    <row r="2940" spans="1:21" ht="15" customHeight="1" x14ac:dyDescent="0.3">
      <c r="A2940" t="str">
        <f t="shared" si="47"/>
        <v>23-4-3RATE-SmartPAY36_Renewal</v>
      </c>
      <c r="B2940" t="s">
        <v>13</v>
      </c>
      <c r="C2940">
        <v>23</v>
      </c>
      <c r="D2940" s="100" t="s">
        <v>32</v>
      </c>
      <c r="E2940" t="s">
        <v>719</v>
      </c>
      <c r="F2940" t="s">
        <v>18</v>
      </c>
      <c r="G2940" t="s">
        <v>743</v>
      </c>
      <c r="H2940" s="128">
        <v>0.34460000000000002</v>
      </c>
      <c r="I2940" s="110">
        <v>0.17430000000000001</v>
      </c>
      <c r="J2940" s="110">
        <v>0.17430000000000001</v>
      </c>
      <c r="K2940" s="110">
        <v>0.17430000000000001</v>
      </c>
      <c r="L2940">
        <v>5000</v>
      </c>
      <c r="M2940">
        <v>500000</v>
      </c>
      <c r="N2940" s="105">
        <v>44197</v>
      </c>
      <c r="O2940" s="105">
        <v>44377</v>
      </c>
      <c r="P2940" t="s">
        <v>718</v>
      </c>
      <c r="R2940" s="154"/>
      <c r="S2940" s="154"/>
      <c r="T2940" s="154"/>
      <c r="U2940" s="154"/>
    </row>
    <row r="2941" spans="1:21" ht="15" customHeight="1" x14ac:dyDescent="0.3">
      <c r="A2941" t="str">
        <f t="shared" si="47"/>
        <v/>
      </c>
      <c r="B2941" t="s">
        <v>13</v>
      </c>
      <c r="C2941">
        <v>23</v>
      </c>
      <c r="D2941" s="100" t="s">
        <v>32</v>
      </c>
      <c r="E2941" t="s">
        <v>720</v>
      </c>
      <c r="F2941" t="s">
        <v>18</v>
      </c>
      <c r="G2941" t="s">
        <v>743</v>
      </c>
      <c r="H2941" s="128">
        <v>0.34460000000000002</v>
      </c>
      <c r="J2941" s="110">
        <v>0.17430000000000001</v>
      </c>
      <c r="L2941">
        <v>5000</v>
      </c>
      <c r="M2941">
        <v>500000</v>
      </c>
      <c r="N2941" s="105">
        <v>44197</v>
      </c>
      <c r="O2941" s="105">
        <v>44377</v>
      </c>
      <c r="P2941" t="s">
        <v>718</v>
      </c>
      <c r="R2941" s="154"/>
      <c r="S2941" s="154"/>
      <c r="T2941" s="154"/>
      <c r="U2941" s="154"/>
    </row>
    <row r="2942" spans="1:21" ht="15" customHeight="1" x14ac:dyDescent="0.3">
      <c r="A2942" t="str">
        <f t="shared" si="47"/>
        <v>10-3-U-SmartPAY12 (Level 2)</v>
      </c>
      <c r="B2942" t="s">
        <v>13</v>
      </c>
      <c r="C2942">
        <v>10</v>
      </c>
      <c r="D2942" s="100" t="s">
        <v>14</v>
      </c>
      <c r="E2942" t="s">
        <v>716</v>
      </c>
      <c r="F2942" t="s">
        <v>16</v>
      </c>
      <c r="G2942" t="s">
        <v>744</v>
      </c>
      <c r="H2942" s="128">
        <v>0.29909999999999998</v>
      </c>
      <c r="I2942" s="110">
        <v>0.16250000000000001</v>
      </c>
      <c r="L2942">
        <v>5000</v>
      </c>
      <c r="M2942">
        <v>500000</v>
      </c>
      <c r="N2942" s="105">
        <v>44378</v>
      </c>
      <c r="O2942" s="105">
        <v>44561</v>
      </c>
      <c r="P2942" t="s">
        <v>718</v>
      </c>
      <c r="R2942" s="154"/>
      <c r="S2942" s="154"/>
      <c r="T2942" s="154"/>
      <c r="U2942" s="154"/>
    </row>
    <row r="2943" spans="1:21" ht="15" customHeight="1" x14ac:dyDescent="0.3">
      <c r="A2943" t="str">
        <f t="shared" si="47"/>
        <v>10-4-E7-SmartPAY12 (Level 2)</v>
      </c>
      <c r="B2943" t="s">
        <v>13</v>
      </c>
      <c r="C2943">
        <v>10</v>
      </c>
      <c r="D2943" s="100" t="s">
        <v>14</v>
      </c>
      <c r="E2943" t="s">
        <v>17</v>
      </c>
      <c r="F2943" t="s">
        <v>18</v>
      </c>
      <c r="G2943" t="s">
        <v>744</v>
      </c>
      <c r="H2943" s="128">
        <v>0.29909999999999998</v>
      </c>
      <c r="I2943" s="110">
        <v>0.16250000000000001</v>
      </c>
      <c r="J2943" s="110">
        <v>0.16250000000000001</v>
      </c>
      <c r="L2943">
        <v>5000</v>
      </c>
      <c r="M2943">
        <v>500000</v>
      </c>
      <c r="N2943" s="105">
        <v>44378</v>
      </c>
      <c r="O2943" s="105">
        <v>44561</v>
      </c>
      <c r="P2943" t="s">
        <v>718</v>
      </c>
      <c r="R2943" s="154"/>
      <c r="S2943" s="154"/>
      <c r="T2943" s="154"/>
      <c r="U2943" s="154"/>
    </row>
    <row r="2944" spans="1:21" ht="15" customHeight="1" x14ac:dyDescent="0.3">
      <c r="A2944" t="str">
        <f t="shared" si="47"/>
        <v>10-3-EW-SmartPAY12 (Level 2)</v>
      </c>
      <c r="B2944" t="s">
        <v>13</v>
      </c>
      <c r="C2944">
        <v>10</v>
      </c>
      <c r="D2944" s="100" t="s">
        <v>14</v>
      </c>
      <c r="E2944" t="s">
        <v>19</v>
      </c>
      <c r="F2944" t="s">
        <v>16</v>
      </c>
      <c r="G2944" t="s">
        <v>744</v>
      </c>
      <c r="H2944" s="128">
        <v>0.29909999999999998</v>
      </c>
      <c r="I2944" s="110">
        <v>0.16250000000000001</v>
      </c>
      <c r="K2944" s="110">
        <v>0.16250000000000001</v>
      </c>
      <c r="L2944">
        <v>5000</v>
      </c>
      <c r="M2944">
        <v>500000</v>
      </c>
      <c r="N2944" s="105">
        <v>44378</v>
      </c>
      <c r="O2944" s="105">
        <v>44561</v>
      </c>
      <c r="P2944" t="s">
        <v>718</v>
      </c>
      <c r="R2944" s="154"/>
      <c r="S2944" s="154"/>
      <c r="T2944" s="154"/>
      <c r="U2944" s="154"/>
    </row>
    <row r="2945" spans="1:21" ht="15" customHeight="1" x14ac:dyDescent="0.3">
      <c r="A2945" t="str">
        <f t="shared" si="47"/>
        <v>10-4-3RATE-SmartPAY12 (Level 2)</v>
      </c>
      <c r="B2945" t="s">
        <v>13</v>
      </c>
      <c r="C2945">
        <v>10</v>
      </c>
      <c r="D2945" s="100" t="s">
        <v>14</v>
      </c>
      <c r="E2945" t="s">
        <v>719</v>
      </c>
      <c r="F2945" t="s">
        <v>18</v>
      </c>
      <c r="G2945" t="s">
        <v>744</v>
      </c>
      <c r="H2945" s="128">
        <v>0.29909999999999998</v>
      </c>
      <c r="I2945" s="110">
        <v>0.16250000000000001</v>
      </c>
      <c r="J2945" s="110">
        <v>0.16250000000000001</v>
      </c>
      <c r="K2945" s="110">
        <v>0.16250000000000001</v>
      </c>
      <c r="L2945">
        <v>5000</v>
      </c>
      <c r="M2945">
        <v>500000</v>
      </c>
      <c r="N2945" s="105">
        <v>44378</v>
      </c>
      <c r="O2945" s="105">
        <v>44561</v>
      </c>
      <c r="P2945" t="s">
        <v>718</v>
      </c>
      <c r="R2945" s="154"/>
      <c r="S2945" s="154"/>
      <c r="T2945" s="154"/>
      <c r="U2945" s="154"/>
    </row>
    <row r="2946" spans="1:21" ht="15" customHeight="1" x14ac:dyDescent="0.3">
      <c r="A2946" t="str">
        <f t="shared" si="47"/>
        <v/>
      </c>
      <c r="B2946" t="s">
        <v>13</v>
      </c>
      <c r="C2946">
        <v>10</v>
      </c>
      <c r="D2946" s="100" t="s">
        <v>14</v>
      </c>
      <c r="E2946" t="s">
        <v>720</v>
      </c>
      <c r="F2946" t="s">
        <v>18</v>
      </c>
      <c r="G2946" t="s">
        <v>744</v>
      </c>
      <c r="H2946" s="128">
        <v>0.29909999999999998</v>
      </c>
      <c r="J2946" s="110">
        <v>0.16250000000000001</v>
      </c>
      <c r="L2946">
        <v>5000</v>
      </c>
      <c r="M2946">
        <v>500000</v>
      </c>
      <c r="N2946" s="105">
        <v>44378</v>
      </c>
      <c r="O2946" s="105">
        <v>44561</v>
      </c>
      <c r="P2946" t="s">
        <v>718</v>
      </c>
      <c r="R2946" s="154"/>
      <c r="S2946" s="154"/>
      <c r="T2946" s="154"/>
      <c r="U2946" s="154"/>
    </row>
    <row r="2947" spans="1:21" ht="15" customHeight="1" x14ac:dyDescent="0.3">
      <c r="A2947" t="str">
        <f t="shared" si="47"/>
        <v>11-3-U-SmartPAY12 (Level 2)</v>
      </c>
      <c r="B2947" t="s">
        <v>13</v>
      </c>
      <c r="C2947">
        <v>11</v>
      </c>
      <c r="D2947" s="100" t="s">
        <v>20</v>
      </c>
      <c r="E2947" t="s">
        <v>716</v>
      </c>
      <c r="F2947" t="s">
        <v>16</v>
      </c>
      <c r="G2947" t="s">
        <v>744</v>
      </c>
      <c r="H2947" s="128">
        <v>0.30820000000000003</v>
      </c>
      <c r="I2947" s="110">
        <v>0.16200000000000001</v>
      </c>
      <c r="L2947">
        <v>5000</v>
      </c>
      <c r="M2947">
        <v>500000</v>
      </c>
      <c r="N2947" s="105">
        <v>44378</v>
      </c>
      <c r="O2947" s="105">
        <v>44561</v>
      </c>
      <c r="P2947" t="s">
        <v>718</v>
      </c>
      <c r="R2947" s="154"/>
      <c r="S2947" s="154"/>
      <c r="T2947" s="154"/>
      <c r="U2947" s="154"/>
    </row>
    <row r="2948" spans="1:21" ht="15" customHeight="1" x14ac:dyDescent="0.3">
      <c r="A2948" t="str">
        <f t="shared" si="47"/>
        <v>11-4-E7-SmartPAY12 (Level 2)</v>
      </c>
      <c r="B2948" t="s">
        <v>13</v>
      </c>
      <c r="C2948">
        <v>11</v>
      </c>
      <c r="D2948" s="100" t="s">
        <v>20</v>
      </c>
      <c r="E2948" t="s">
        <v>17</v>
      </c>
      <c r="F2948" t="s">
        <v>18</v>
      </c>
      <c r="G2948" t="s">
        <v>744</v>
      </c>
      <c r="H2948" s="128">
        <v>0.30820000000000003</v>
      </c>
      <c r="I2948" s="110">
        <v>0.16200000000000001</v>
      </c>
      <c r="J2948" s="110">
        <v>0.16200000000000001</v>
      </c>
      <c r="L2948">
        <v>5000</v>
      </c>
      <c r="M2948">
        <v>500000</v>
      </c>
      <c r="N2948" s="105">
        <v>44378</v>
      </c>
      <c r="O2948" s="105">
        <v>44561</v>
      </c>
      <c r="P2948" t="s">
        <v>718</v>
      </c>
      <c r="R2948" s="154"/>
      <c r="S2948" s="154"/>
      <c r="T2948" s="154"/>
      <c r="U2948" s="154"/>
    </row>
    <row r="2949" spans="1:21" ht="15" customHeight="1" x14ac:dyDescent="0.3">
      <c r="A2949" t="str">
        <f t="shared" si="47"/>
        <v>11-3-EW-SmartPAY12 (Level 2)</v>
      </c>
      <c r="B2949" t="s">
        <v>13</v>
      </c>
      <c r="C2949">
        <v>11</v>
      </c>
      <c r="D2949" s="100" t="s">
        <v>20</v>
      </c>
      <c r="E2949" t="s">
        <v>19</v>
      </c>
      <c r="F2949" t="s">
        <v>16</v>
      </c>
      <c r="G2949" t="s">
        <v>744</v>
      </c>
      <c r="H2949" s="128">
        <v>0.30820000000000003</v>
      </c>
      <c r="I2949" s="110">
        <v>0.16200000000000001</v>
      </c>
      <c r="K2949" s="110">
        <v>0.16200000000000001</v>
      </c>
      <c r="L2949">
        <v>5000</v>
      </c>
      <c r="M2949">
        <v>500000</v>
      </c>
      <c r="N2949" s="105">
        <v>44378</v>
      </c>
      <c r="O2949" s="105">
        <v>44561</v>
      </c>
      <c r="P2949" t="s">
        <v>718</v>
      </c>
      <c r="R2949" s="154"/>
      <c r="S2949" s="154"/>
      <c r="T2949" s="154"/>
      <c r="U2949" s="154"/>
    </row>
    <row r="2950" spans="1:21" ht="15" customHeight="1" x14ac:dyDescent="0.3">
      <c r="A2950" t="str">
        <f t="shared" si="47"/>
        <v>11-4-3RATE-SmartPAY12 (Level 2)</v>
      </c>
      <c r="B2950" t="s">
        <v>13</v>
      </c>
      <c r="C2950">
        <v>11</v>
      </c>
      <c r="D2950" s="100" t="s">
        <v>20</v>
      </c>
      <c r="E2950" t="s">
        <v>719</v>
      </c>
      <c r="F2950" t="s">
        <v>18</v>
      </c>
      <c r="G2950" t="s">
        <v>744</v>
      </c>
      <c r="H2950" s="128">
        <v>0.30820000000000003</v>
      </c>
      <c r="I2950" s="110">
        <v>0.16200000000000001</v>
      </c>
      <c r="J2950" s="110">
        <v>0.16200000000000001</v>
      </c>
      <c r="K2950" s="110">
        <v>0.16200000000000001</v>
      </c>
      <c r="L2950">
        <v>5000</v>
      </c>
      <c r="M2950">
        <v>500000</v>
      </c>
      <c r="N2950" s="105">
        <v>44378</v>
      </c>
      <c r="O2950" s="105">
        <v>44561</v>
      </c>
      <c r="P2950" t="s">
        <v>718</v>
      </c>
      <c r="R2950" s="154"/>
      <c r="S2950" s="154"/>
      <c r="T2950" s="154"/>
      <c r="U2950" s="154"/>
    </row>
    <row r="2951" spans="1:21" ht="15" customHeight="1" x14ac:dyDescent="0.3">
      <c r="A2951" t="str">
        <f t="shared" si="47"/>
        <v/>
      </c>
      <c r="B2951" t="s">
        <v>13</v>
      </c>
      <c r="C2951">
        <v>11</v>
      </c>
      <c r="D2951" s="100" t="s">
        <v>20</v>
      </c>
      <c r="E2951" t="s">
        <v>720</v>
      </c>
      <c r="F2951" t="s">
        <v>18</v>
      </c>
      <c r="G2951" t="s">
        <v>744</v>
      </c>
      <c r="H2951" s="128">
        <v>0.30820000000000003</v>
      </c>
      <c r="J2951" s="110">
        <v>0.16200000000000001</v>
      </c>
      <c r="L2951">
        <v>5000</v>
      </c>
      <c r="M2951">
        <v>500000</v>
      </c>
      <c r="N2951" s="105">
        <v>44378</v>
      </c>
      <c r="O2951" s="105">
        <v>44561</v>
      </c>
      <c r="P2951" t="s">
        <v>718</v>
      </c>
      <c r="R2951" s="154"/>
      <c r="S2951" s="154"/>
      <c r="T2951" s="154"/>
      <c r="U2951" s="154"/>
    </row>
    <row r="2952" spans="1:21" ht="15" customHeight="1" x14ac:dyDescent="0.3">
      <c r="A2952" t="str">
        <f t="shared" si="47"/>
        <v>12-3-U-SmartPAY12 (Level 2)</v>
      </c>
      <c r="B2952" t="s">
        <v>13</v>
      </c>
      <c r="C2952">
        <v>12</v>
      </c>
      <c r="D2952" s="100" t="s">
        <v>21</v>
      </c>
      <c r="E2952" t="s">
        <v>716</v>
      </c>
      <c r="F2952" t="s">
        <v>16</v>
      </c>
      <c r="G2952" t="s">
        <v>744</v>
      </c>
      <c r="H2952" s="128">
        <v>0.23260000000000003</v>
      </c>
      <c r="I2952" s="110">
        <v>0.15490000000000001</v>
      </c>
      <c r="L2952">
        <v>5000</v>
      </c>
      <c r="M2952">
        <v>500000</v>
      </c>
      <c r="N2952" s="105">
        <v>44378</v>
      </c>
      <c r="O2952" s="105">
        <v>44561</v>
      </c>
      <c r="P2952" t="s">
        <v>718</v>
      </c>
      <c r="R2952" s="154"/>
      <c r="S2952" s="154"/>
      <c r="T2952" s="154"/>
      <c r="U2952" s="154"/>
    </row>
    <row r="2953" spans="1:21" ht="15" customHeight="1" x14ac:dyDescent="0.3">
      <c r="A2953" t="str">
        <f t="shared" si="47"/>
        <v>12-4-E7-SmartPAY12 (Level 2)</v>
      </c>
      <c r="B2953" t="s">
        <v>13</v>
      </c>
      <c r="C2953">
        <v>12</v>
      </c>
      <c r="D2953" s="100" t="s">
        <v>21</v>
      </c>
      <c r="E2953" t="s">
        <v>17</v>
      </c>
      <c r="F2953" t="s">
        <v>18</v>
      </c>
      <c r="G2953" t="s">
        <v>744</v>
      </c>
      <c r="H2953" s="128">
        <v>0.23260000000000003</v>
      </c>
      <c r="I2953" s="110">
        <v>0.15490000000000001</v>
      </c>
      <c r="J2953" s="110">
        <v>0.15490000000000001</v>
      </c>
      <c r="L2953">
        <v>5000</v>
      </c>
      <c r="M2953">
        <v>500000</v>
      </c>
      <c r="N2953" s="105">
        <v>44378</v>
      </c>
      <c r="O2953" s="105">
        <v>44561</v>
      </c>
      <c r="P2953" t="s">
        <v>718</v>
      </c>
      <c r="R2953" s="154"/>
      <c r="S2953" s="154"/>
      <c r="T2953" s="154"/>
      <c r="U2953" s="154"/>
    </row>
    <row r="2954" spans="1:21" ht="15" customHeight="1" x14ac:dyDescent="0.3">
      <c r="A2954" t="str">
        <f t="shared" si="47"/>
        <v>12-3-EW-SmartPAY12 (Level 2)</v>
      </c>
      <c r="B2954" t="s">
        <v>13</v>
      </c>
      <c r="C2954">
        <v>12</v>
      </c>
      <c r="D2954" s="100" t="s">
        <v>21</v>
      </c>
      <c r="E2954" t="s">
        <v>19</v>
      </c>
      <c r="F2954" t="s">
        <v>16</v>
      </c>
      <c r="G2954" t="s">
        <v>744</v>
      </c>
      <c r="H2954" s="128">
        <v>0.23260000000000003</v>
      </c>
      <c r="I2954" s="110">
        <v>0.15490000000000001</v>
      </c>
      <c r="K2954" s="110">
        <v>0.15490000000000001</v>
      </c>
      <c r="L2954">
        <v>5000</v>
      </c>
      <c r="M2954">
        <v>500000</v>
      </c>
      <c r="N2954" s="105">
        <v>44378</v>
      </c>
      <c r="O2954" s="105">
        <v>44561</v>
      </c>
      <c r="P2954" t="s">
        <v>718</v>
      </c>
      <c r="R2954" s="154"/>
      <c r="S2954" s="154"/>
      <c r="T2954" s="154"/>
      <c r="U2954" s="154"/>
    </row>
    <row r="2955" spans="1:21" ht="15" customHeight="1" x14ac:dyDescent="0.3">
      <c r="A2955" t="str">
        <f t="shared" si="47"/>
        <v>12-4-3RATE-SmartPAY12 (Level 2)</v>
      </c>
      <c r="B2955" t="s">
        <v>13</v>
      </c>
      <c r="C2955">
        <v>12</v>
      </c>
      <c r="D2955" s="100" t="s">
        <v>21</v>
      </c>
      <c r="E2955" t="s">
        <v>719</v>
      </c>
      <c r="F2955" t="s">
        <v>18</v>
      </c>
      <c r="G2955" t="s">
        <v>744</v>
      </c>
      <c r="H2955" s="128">
        <v>0.23260000000000003</v>
      </c>
      <c r="I2955" s="110">
        <v>0.15490000000000001</v>
      </c>
      <c r="J2955" s="110">
        <v>0.15490000000000001</v>
      </c>
      <c r="K2955" s="110">
        <v>0.15490000000000001</v>
      </c>
      <c r="L2955">
        <v>5000</v>
      </c>
      <c r="M2955">
        <v>500000</v>
      </c>
      <c r="N2955" s="105">
        <v>44378</v>
      </c>
      <c r="O2955" s="105">
        <v>44561</v>
      </c>
      <c r="P2955" t="s">
        <v>718</v>
      </c>
      <c r="R2955" s="154"/>
      <c r="S2955" s="154"/>
      <c r="T2955" s="154"/>
      <c r="U2955" s="154"/>
    </row>
    <row r="2956" spans="1:21" ht="15" customHeight="1" x14ac:dyDescent="0.3">
      <c r="A2956" t="str">
        <f t="shared" si="47"/>
        <v/>
      </c>
      <c r="B2956" t="s">
        <v>13</v>
      </c>
      <c r="C2956">
        <v>12</v>
      </c>
      <c r="D2956" s="100" t="s">
        <v>21</v>
      </c>
      <c r="E2956" t="s">
        <v>720</v>
      </c>
      <c r="F2956" t="s">
        <v>18</v>
      </c>
      <c r="G2956" t="s">
        <v>744</v>
      </c>
      <c r="H2956" s="128">
        <v>0.23260000000000003</v>
      </c>
      <c r="J2956" s="110">
        <v>0.15490000000000001</v>
      </c>
      <c r="L2956">
        <v>5000</v>
      </c>
      <c r="M2956">
        <v>500000</v>
      </c>
      <c r="N2956" s="105">
        <v>44378</v>
      </c>
      <c r="O2956" s="105">
        <v>44561</v>
      </c>
      <c r="P2956" t="s">
        <v>718</v>
      </c>
      <c r="R2956" s="154"/>
      <c r="S2956" s="154"/>
      <c r="T2956" s="154"/>
      <c r="U2956" s="154"/>
    </row>
    <row r="2957" spans="1:21" ht="15" customHeight="1" x14ac:dyDescent="0.3">
      <c r="A2957" t="str">
        <f t="shared" si="47"/>
        <v>13-3-U-SmartPAY12 (Level 2)</v>
      </c>
      <c r="B2957" t="s">
        <v>13</v>
      </c>
      <c r="C2957">
        <v>13</v>
      </c>
      <c r="D2957" s="100" t="s">
        <v>22</v>
      </c>
      <c r="E2957" t="s">
        <v>716</v>
      </c>
      <c r="F2957" t="s">
        <v>16</v>
      </c>
      <c r="G2957" t="s">
        <v>744</v>
      </c>
      <c r="H2957" s="128">
        <v>0.2737</v>
      </c>
      <c r="I2957" s="110">
        <v>0.17990000000000003</v>
      </c>
      <c r="L2957">
        <v>5000</v>
      </c>
      <c r="M2957">
        <v>500000</v>
      </c>
      <c r="N2957" s="105">
        <v>44378</v>
      </c>
      <c r="O2957" s="105">
        <v>44561</v>
      </c>
      <c r="P2957" t="s">
        <v>718</v>
      </c>
      <c r="R2957" s="154"/>
      <c r="S2957" s="154"/>
      <c r="T2957" s="154"/>
      <c r="U2957" s="154"/>
    </row>
    <row r="2958" spans="1:21" ht="15" customHeight="1" x14ac:dyDescent="0.3">
      <c r="A2958" t="str">
        <f t="shared" si="47"/>
        <v>13-4-E7-SmartPAY12 (Level 2)</v>
      </c>
      <c r="B2958" t="s">
        <v>13</v>
      </c>
      <c r="C2958">
        <v>13</v>
      </c>
      <c r="D2958" s="100" t="s">
        <v>22</v>
      </c>
      <c r="E2958" t="s">
        <v>17</v>
      </c>
      <c r="F2958" t="s">
        <v>18</v>
      </c>
      <c r="G2958" t="s">
        <v>744</v>
      </c>
      <c r="H2958" s="128">
        <v>0.2737</v>
      </c>
      <c r="I2958" s="110">
        <v>0.17990000000000003</v>
      </c>
      <c r="J2958" s="110">
        <v>0.17990000000000003</v>
      </c>
      <c r="L2958">
        <v>5000</v>
      </c>
      <c r="M2958">
        <v>500000</v>
      </c>
      <c r="N2958" s="105">
        <v>44378</v>
      </c>
      <c r="O2958" s="105">
        <v>44561</v>
      </c>
      <c r="P2958" t="s">
        <v>718</v>
      </c>
      <c r="R2958" s="154"/>
      <c r="S2958" s="154"/>
      <c r="T2958" s="154"/>
      <c r="U2958" s="154"/>
    </row>
    <row r="2959" spans="1:21" ht="15" customHeight="1" x14ac:dyDescent="0.3">
      <c r="A2959" t="str">
        <f t="shared" si="47"/>
        <v>13-3-EW-SmartPAY12 (Level 2)</v>
      </c>
      <c r="B2959" t="s">
        <v>13</v>
      </c>
      <c r="C2959">
        <v>13</v>
      </c>
      <c r="D2959" s="100" t="s">
        <v>22</v>
      </c>
      <c r="E2959" t="s">
        <v>19</v>
      </c>
      <c r="F2959" t="s">
        <v>16</v>
      </c>
      <c r="G2959" t="s">
        <v>744</v>
      </c>
      <c r="H2959" s="128">
        <v>0.2737</v>
      </c>
      <c r="I2959" s="110">
        <v>0.17990000000000003</v>
      </c>
      <c r="K2959" s="110">
        <v>0.17990000000000003</v>
      </c>
      <c r="L2959">
        <v>5000</v>
      </c>
      <c r="M2959">
        <v>500000</v>
      </c>
      <c r="N2959" s="105">
        <v>44378</v>
      </c>
      <c r="O2959" s="105">
        <v>44561</v>
      </c>
      <c r="P2959" t="s">
        <v>718</v>
      </c>
      <c r="R2959" s="154"/>
      <c r="S2959" s="154"/>
      <c r="T2959" s="154"/>
      <c r="U2959" s="154"/>
    </row>
    <row r="2960" spans="1:21" ht="15" customHeight="1" x14ac:dyDescent="0.3">
      <c r="A2960" t="str">
        <f t="shared" si="47"/>
        <v>13-4-3RATE-SmartPAY12 (Level 2)</v>
      </c>
      <c r="B2960" t="s">
        <v>13</v>
      </c>
      <c r="C2960">
        <v>13</v>
      </c>
      <c r="D2960" s="100" t="s">
        <v>22</v>
      </c>
      <c r="E2960" t="s">
        <v>719</v>
      </c>
      <c r="F2960" t="s">
        <v>18</v>
      </c>
      <c r="G2960" t="s">
        <v>744</v>
      </c>
      <c r="H2960" s="128">
        <v>0.2737</v>
      </c>
      <c r="I2960" s="110">
        <v>0.17990000000000003</v>
      </c>
      <c r="J2960" s="110">
        <v>0.17990000000000003</v>
      </c>
      <c r="K2960" s="110">
        <v>0.17990000000000003</v>
      </c>
      <c r="L2960">
        <v>5000</v>
      </c>
      <c r="M2960">
        <v>500000</v>
      </c>
      <c r="N2960" s="105">
        <v>44378</v>
      </c>
      <c r="O2960" s="105">
        <v>44561</v>
      </c>
      <c r="P2960" t="s">
        <v>718</v>
      </c>
      <c r="R2960" s="154"/>
      <c r="S2960" s="154"/>
      <c r="T2960" s="154"/>
      <c r="U2960" s="154"/>
    </row>
    <row r="2961" spans="1:21" ht="15" customHeight="1" x14ac:dyDescent="0.3">
      <c r="A2961" t="str">
        <f t="shared" si="47"/>
        <v/>
      </c>
      <c r="B2961" t="s">
        <v>13</v>
      </c>
      <c r="C2961">
        <v>13</v>
      </c>
      <c r="D2961" s="100" t="s">
        <v>22</v>
      </c>
      <c r="E2961" t="s">
        <v>720</v>
      </c>
      <c r="F2961" t="s">
        <v>18</v>
      </c>
      <c r="G2961" t="s">
        <v>744</v>
      </c>
      <c r="H2961" s="128">
        <v>0.2737</v>
      </c>
      <c r="J2961" s="110">
        <v>0.17990000000000003</v>
      </c>
      <c r="L2961">
        <v>5000</v>
      </c>
      <c r="M2961">
        <v>500000</v>
      </c>
      <c r="N2961" s="105">
        <v>44378</v>
      </c>
      <c r="O2961" s="105">
        <v>44561</v>
      </c>
      <c r="P2961" t="s">
        <v>718</v>
      </c>
      <c r="R2961" s="154"/>
      <c r="S2961" s="154"/>
      <c r="T2961" s="154"/>
      <c r="U2961" s="154"/>
    </row>
    <row r="2962" spans="1:21" ht="15" customHeight="1" x14ac:dyDescent="0.3">
      <c r="A2962" t="str">
        <f t="shared" si="47"/>
        <v>14-3-U-SmartPAY12 (Level 2)</v>
      </c>
      <c r="B2962" t="s">
        <v>13</v>
      </c>
      <c r="C2962">
        <v>14</v>
      </c>
      <c r="D2962" s="100" t="s">
        <v>23</v>
      </c>
      <c r="E2962" t="s">
        <v>716</v>
      </c>
      <c r="F2962" t="s">
        <v>16</v>
      </c>
      <c r="G2962" t="s">
        <v>744</v>
      </c>
      <c r="H2962" s="128">
        <v>0.33779999999999999</v>
      </c>
      <c r="I2962" s="110">
        <v>0.16500000000000001</v>
      </c>
      <c r="L2962">
        <v>5000</v>
      </c>
      <c r="M2962">
        <v>500000</v>
      </c>
      <c r="N2962" s="105">
        <v>44378</v>
      </c>
      <c r="O2962" s="105">
        <v>44561</v>
      </c>
      <c r="P2962" t="s">
        <v>718</v>
      </c>
      <c r="R2962" s="154"/>
      <c r="S2962" s="154"/>
      <c r="T2962" s="154"/>
      <c r="U2962" s="154"/>
    </row>
    <row r="2963" spans="1:21" ht="15" customHeight="1" x14ac:dyDescent="0.3">
      <c r="A2963" t="str">
        <f t="shared" si="47"/>
        <v>14-4-E7-SmartPAY12 (Level 2)</v>
      </c>
      <c r="B2963" t="s">
        <v>13</v>
      </c>
      <c r="C2963">
        <v>14</v>
      </c>
      <c r="D2963" s="100" t="s">
        <v>23</v>
      </c>
      <c r="E2963" t="s">
        <v>17</v>
      </c>
      <c r="F2963" t="s">
        <v>18</v>
      </c>
      <c r="G2963" t="s">
        <v>744</v>
      </c>
      <c r="H2963" s="128">
        <v>0.33779999999999999</v>
      </c>
      <c r="I2963" s="110">
        <v>0.16500000000000001</v>
      </c>
      <c r="J2963" s="110">
        <v>0.16500000000000001</v>
      </c>
      <c r="L2963">
        <v>5000</v>
      </c>
      <c r="M2963">
        <v>500000</v>
      </c>
      <c r="N2963" s="105">
        <v>44378</v>
      </c>
      <c r="O2963" s="105">
        <v>44561</v>
      </c>
      <c r="P2963" t="s">
        <v>718</v>
      </c>
      <c r="R2963" s="154"/>
      <c r="S2963" s="154"/>
      <c r="T2963" s="154"/>
      <c r="U2963" s="154"/>
    </row>
    <row r="2964" spans="1:21" ht="15" customHeight="1" x14ac:dyDescent="0.3">
      <c r="A2964" t="str">
        <f t="shared" si="47"/>
        <v>14-3-EW-SmartPAY12 (Level 2)</v>
      </c>
      <c r="B2964" t="s">
        <v>13</v>
      </c>
      <c r="C2964">
        <v>14</v>
      </c>
      <c r="D2964" s="100" t="s">
        <v>23</v>
      </c>
      <c r="E2964" t="s">
        <v>19</v>
      </c>
      <c r="F2964" t="s">
        <v>16</v>
      </c>
      <c r="G2964" t="s">
        <v>744</v>
      </c>
      <c r="H2964" s="128">
        <v>0.33779999999999999</v>
      </c>
      <c r="I2964" s="110">
        <v>0.16500000000000001</v>
      </c>
      <c r="K2964" s="110">
        <v>0.16500000000000001</v>
      </c>
      <c r="L2964">
        <v>5000</v>
      </c>
      <c r="M2964">
        <v>500000</v>
      </c>
      <c r="N2964" s="105">
        <v>44378</v>
      </c>
      <c r="O2964" s="105">
        <v>44561</v>
      </c>
      <c r="P2964" t="s">
        <v>718</v>
      </c>
      <c r="R2964" s="154"/>
      <c r="S2964" s="154"/>
      <c r="T2964" s="154"/>
      <c r="U2964" s="154"/>
    </row>
    <row r="2965" spans="1:21" ht="15" customHeight="1" x14ac:dyDescent="0.3">
      <c r="A2965" t="str">
        <f t="shared" si="47"/>
        <v>14-4-3RATE-SmartPAY12 (Level 2)</v>
      </c>
      <c r="B2965" t="s">
        <v>13</v>
      </c>
      <c r="C2965">
        <v>14</v>
      </c>
      <c r="D2965" s="100" t="s">
        <v>23</v>
      </c>
      <c r="E2965" t="s">
        <v>719</v>
      </c>
      <c r="F2965" t="s">
        <v>18</v>
      </c>
      <c r="G2965" t="s">
        <v>744</v>
      </c>
      <c r="H2965" s="128">
        <v>0.33779999999999999</v>
      </c>
      <c r="I2965" s="110">
        <v>0.16500000000000001</v>
      </c>
      <c r="J2965" s="110">
        <v>0.16500000000000001</v>
      </c>
      <c r="K2965" s="110">
        <v>0.16500000000000001</v>
      </c>
      <c r="L2965">
        <v>5000</v>
      </c>
      <c r="M2965">
        <v>500000</v>
      </c>
      <c r="N2965" s="105">
        <v>44378</v>
      </c>
      <c r="O2965" s="105">
        <v>44561</v>
      </c>
      <c r="P2965" t="s">
        <v>718</v>
      </c>
      <c r="R2965" s="154"/>
      <c r="S2965" s="154"/>
      <c r="T2965" s="154"/>
      <c r="U2965" s="154"/>
    </row>
    <row r="2966" spans="1:21" ht="15" customHeight="1" x14ac:dyDescent="0.3">
      <c r="A2966" t="str">
        <f t="shared" si="47"/>
        <v/>
      </c>
      <c r="B2966" t="s">
        <v>13</v>
      </c>
      <c r="C2966">
        <v>14</v>
      </c>
      <c r="D2966" s="100" t="s">
        <v>23</v>
      </c>
      <c r="E2966" t="s">
        <v>720</v>
      </c>
      <c r="F2966" t="s">
        <v>18</v>
      </c>
      <c r="G2966" t="s">
        <v>744</v>
      </c>
      <c r="H2966" s="128">
        <v>0.33779999999999999</v>
      </c>
      <c r="J2966" s="110">
        <v>0.16500000000000001</v>
      </c>
      <c r="L2966">
        <v>5000</v>
      </c>
      <c r="M2966">
        <v>500000</v>
      </c>
      <c r="N2966" s="105">
        <v>44378</v>
      </c>
      <c r="O2966" s="105">
        <v>44561</v>
      </c>
      <c r="P2966" t="s">
        <v>718</v>
      </c>
      <c r="R2966" s="154"/>
      <c r="S2966" s="154"/>
      <c r="T2966" s="154"/>
      <c r="U2966" s="154"/>
    </row>
    <row r="2967" spans="1:21" ht="15" customHeight="1" x14ac:dyDescent="0.3">
      <c r="A2967" t="str">
        <f t="shared" si="47"/>
        <v>15-3-U-SmartPAY12 (Level 2)</v>
      </c>
      <c r="B2967" t="s">
        <v>13</v>
      </c>
      <c r="C2967">
        <v>15</v>
      </c>
      <c r="D2967" s="100" t="s">
        <v>24</v>
      </c>
      <c r="E2967" t="s">
        <v>716</v>
      </c>
      <c r="F2967" t="s">
        <v>16</v>
      </c>
      <c r="G2967" t="s">
        <v>744</v>
      </c>
      <c r="H2967" s="128">
        <v>0.3135</v>
      </c>
      <c r="I2967" s="110">
        <v>0.16390000000000002</v>
      </c>
      <c r="L2967">
        <v>5000</v>
      </c>
      <c r="M2967">
        <v>500000</v>
      </c>
      <c r="N2967" s="105">
        <v>44378</v>
      </c>
      <c r="O2967" s="105">
        <v>44561</v>
      </c>
      <c r="P2967" t="s">
        <v>718</v>
      </c>
      <c r="R2967" s="154"/>
      <c r="S2967" s="154"/>
      <c r="T2967" s="154"/>
      <c r="U2967" s="154"/>
    </row>
    <row r="2968" spans="1:21" ht="15" customHeight="1" x14ac:dyDescent="0.3">
      <c r="A2968" t="str">
        <f t="shared" si="47"/>
        <v>15-4-E7-SmartPAY12 (Level 2)</v>
      </c>
      <c r="B2968" t="s">
        <v>13</v>
      </c>
      <c r="C2968">
        <v>15</v>
      </c>
      <c r="D2968" s="100" t="s">
        <v>24</v>
      </c>
      <c r="E2968" t="s">
        <v>17</v>
      </c>
      <c r="F2968" t="s">
        <v>18</v>
      </c>
      <c r="G2968" t="s">
        <v>744</v>
      </c>
      <c r="H2968" s="128">
        <v>0.3135</v>
      </c>
      <c r="I2968" s="110">
        <v>0.16390000000000002</v>
      </c>
      <c r="J2968" s="110">
        <v>0.16390000000000002</v>
      </c>
      <c r="L2968">
        <v>5000</v>
      </c>
      <c r="M2968">
        <v>500000</v>
      </c>
      <c r="N2968" s="105">
        <v>44378</v>
      </c>
      <c r="O2968" s="105">
        <v>44561</v>
      </c>
      <c r="P2968" t="s">
        <v>718</v>
      </c>
      <c r="R2968" s="154"/>
      <c r="S2968" s="154"/>
      <c r="T2968" s="154"/>
      <c r="U2968" s="154"/>
    </row>
    <row r="2969" spans="1:21" ht="15" customHeight="1" x14ac:dyDescent="0.3">
      <c r="A2969" t="str">
        <f t="shared" si="47"/>
        <v>15-3-EW-SmartPAY12 (Level 2)</v>
      </c>
      <c r="B2969" t="s">
        <v>13</v>
      </c>
      <c r="C2969">
        <v>15</v>
      </c>
      <c r="D2969" s="100" t="s">
        <v>24</v>
      </c>
      <c r="E2969" t="s">
        <v>19</v>
      </c>
      <c r="F2969" t="s">
        <v>16</v>
      </c>
      <c r="G2969" t="s">
        <v>744</v>
      </c>
      <c r="H2969" s="128">
        <v>0.3135</v>
      </c>
      <c r="I2969" s="110">
        <v>0.16390000000000002</v>
      </c>
      <c r="K2969" s="110">
        <v>0.16390000000000002</v>
      </c>
      <c r="L2969">
        <v>5000</v>
      </c>
      <c r="M2969">
        <v>500000</v>
      </c>
      <c r="N2969" s="105">
        <v>44378</v>
      </c>
      <c r="O2969" s="105">
        <v>44561</v>
      </c>
      <c r="P2969" t="s">
        <v>718</v>
      </c>
      <c r="R2969" s="154"/>
      <c r="S2969" s="154"/>
      <c r="T2969" s="154"/>
      <c r="U2969" s="154"/>
    </row>
    <row r="2970" spans="1:21" ht="15" customHeight="1" x14ac:dyDescent="0.3">
      <c r="A2970" t="str">
        <f t="shared" si="47"/>
        <v>15-4-3RATE-SmartPAY12 (Level 2)</v>
      </c>
      <c r="B2970" t="s">
        <v>13</v>
      </c>
      <c r="C2970">
        <v>15</v>
      </c>
      <c r="D2970" s="100" t="s">
        <v>24</v>
      </c>
      <c r="E2970" t="s">
        <v>719</v>
      </c>
      <c r="F2970" t="s">
        <v>18</v>
      </c>
      <c r="G2970" t="s">
        <v>744</v>
      </c>
      <c r="H2970" s="128">
        <v>0.3135</v>
      </c>
      <c r="I2970" s="110">
        <v>0.16390000000000002</v>
      </c>
      <c r="J2970" s="110">
        <v>0.16390000000000002</v>
      </c>
      <c r="K2970" s="110">
        <v>0.16390000000000002</v>
      </c>
      <c r="L2970">
        <v>5000</v>
      </c>
      <c r="M2970">
        <v>500000</v>
      </c>
      <c r="N2970" s="105">
        <v>44378</v>
      </c>
      <c r="O2970" s="105">
        <v>44561</v>
      </c>
      <c r="P2970" t="s">
        <v>718</v>
      </c>
      <c r="R2970" s="154"/>
      <c r="S2970" s="154"/>
      <c r="T2970" s="154"/>
      <c r="U2970" s="154"/>
    </row>
    <row r="2971" spans="1:21" ht="15" customHeight="1" x14ac:dyDescent="0.3">
      <c r="A2971" t="str">
        <f t="shared" si="47"/>
        <v/>
      </c>
      <c r="B2971" t="s">
        <v>13</v>
      </c>
      <c r="C2971">
        <v>15</v>
      </c>
      <c r="D2971" s="100" t="s">
        <v>24</v>
      </c>
      <c r="E2971" t="s">
        <v>720</v>
      </c>
      <c r="F2971" t="s">
        <v>18</v>
      </c>
      <c r="G2971" t="s">
        <v>744</v>
      </c>
      <c r="H2971" s="128">
        <v>0.3135</v>
      </c>
      <c r="J2971" s="110">
        <v>0.16390000000000002</v>
      </c>
      <c r="L2971">
        <v>5000</v>
      </c>
      <c r="M2971">
        <v>500000</v>
      </c>
      <c r="N2971" s="105">
        <v>44378</v>
      </c>
      <c r="O2971" s="105">
        <v>44561</v>
      </c>
      <c r="P2971" t="s">
        <v>718</v>
      </c>
      <c r="R2971" s="154"/>
      <c r="S2971" s="154"/>
      <c r="T2971" s="154"/>
      <c r="U2971" s="154"/>
    </row>
    <row r="2972" spans="1:21" ht="15" customHeight="1" x14ac:dyDescent="0.3">
      <c r="A2972" t="str">
        <f t="shared" si="47"/>
        <v>16-3-U-SmartPAY12 (Level 2)</v>
      </c>
      <c r="B2972" t="s">
        <v>13</v>
      </c>
      <c r="C2972">
        <v>16</v>
      </c>
      <c r="D2972" s="100" t="s">
        <v>25</v>
      </c>
      <c r="E2972" t="s">
        <v>716</v>
      </c>
      <c r="F2972" t="s">
        <v>16</v>
      </c>
      <c r="G2972" t="s">
        <v>744</v>
      </c>
      <c r="H2972" s="128">
        <v>0.26539999999999997</v>
      </c>
      <c r="I2972" s="110">
        <v>0.1663</v>
      </c>
      <c r="L2972">
        <v>5000</v>
      </c>
      <c r="M2972">
        <v>500000</v>
      </c>
      <c r="N2972" s="105">
        <v>44378</v>
      </c>
      <c r="O2972" s="105">
        <v>44561</v>
      </c>
      <c r="P2972" t="s">
        <v>718</v>
      </c>
      <c r="R2972" s="154"/>
      <c r="S2972" s="154"/>
      <c r="T2972" s="154"/>
      <c r="U2972" s="154"/>
    </row>
    <row r="2973" spans="1:21" ht="15" customHeight="1" x14ac:dyDescent="0.3">
      <c r="A2973" t="str">
        <f t="shared" si="47"/>
        <v>16-4-E7-SmartPAY12 (Level 2)</v>
      </c>
      <c r="B2973" t="s">
        <v>13</v>
      </c>
      <c r="C2973">
        <v>16</v>
      </c>
      <c r="D2973" s="100" t="s">
        <v>25</v>
      </c>
      <c r="E2973" t="s">
        <v>17</v>
      </c>
      <c r="F2973" t="s">
        <v>18</v>
      </c>
      <c r="G2973" t="s">
        <v>744</v>
      </c>
      <c r="H2973" s="128">
        <v>0.26539999999999997</v>
      </c>
      <c r="I2973" s="110">
        <v>0.1663</v>
      </c>
      <c r="J2973" s="110">
        <v>0.1663</v>
      </c>
      <c r="L2973">
        <v>5000</v>
      </c>
      <c r="M2973">
        <v>500000</v>
      </c>
      <c r="N2973" s="105">
        <v>44378</v>
      </c>
      <c r="O2973" s="105">
        <v>44561</v>
      </c>
      <c r="P2973" t="s">
        <v>718</v>
      </c>
      <c r="R2973" s="154"/>
      <c r="S2973" s="154"/>
      <c r="T2973" s="154"/>
      <c r="U2973" s="154"/>
    </row>
    <row r="2974" spans="1:21" ht="15" customHeight="1" x14ac:dyDescent="0.3">
      <c r="A2974" t="str">
        <f t="shared" si="47"/>
        <v>16-3-EW-SmartPAY12 (Level 2)</v>
      </c>
      <c r="B2974" t="s">
        <v>13</v>
      </c>
      <c r="C2974">
        <v>16</v>
      </c>
      <c r="D2974" s="100" t="s">
        <v>25</v>
      </c>
      <c r="E2974" t="s">
        <v>19</v>
      </c>
      <c r="F2974" t="s">
        <v>16</v>
      </c>
      <c r="G2974" t="s">
        <v>744</v>
      </c>
      <c r="H2974" s="128">
        <v>0.26539999999999997</v>
      </c>
      <c r="I2974" s="110">
        <v>0.1663</v>
      </c>
      <c r="K2974" s="110">
        <v>0.1663</v>
      </c>
      <c r="L2974">
        <v>5000</v>
      </c>
      <c r="M2974">
        <v>500000</v>
      </c>
      <c r="N2974" s="105">
        <v>44378</v>
      </c>
      <c r="O2974" s="105">
        <v>44561</v>
      </c>
      <c r="P2974" t="s">
        <v>718</v>
      </c>
      <c r="R2974" s="154"/>
      <c r="S2974" s="154"/>
      <c r="T2974" s="154"/>
      <c r="U2974" s="154"/>
    </row>
    <row r="2975" spans="1:21" ht="15" customHeight="1" x14ac:dyDescent="0.3">
      <c r="A2975" t="str">
        <f t="shared" si="47"/>
        <v>16-4-3RATE-SmartPAY12 (Level 2)</v>
      </c>
      <c r="B2975" t="s">
        <v>13</v>
      </c>
      <c r="C2975">
        <v>16</v>
      </c>
      <c r="D2975" s="100" t="s">
        <v>25</v>
      </c>
      <c r="E2975" t="s">
        <v>719</v>
      </c>
      <c r="F2975" t="s">
        <v>18</v>
      </c>
      <c r="G2975" t="s">
        <v>744</v>
      </c>
      <c r="H2975" s="128">
        <v>0.26539999999999997</v>
      </c>
      <c r="I2975" s="110">
        <v>0.1663</v>
      </c>
      <c r="J2975" s="110">
        <v>0.1663</v>
      </c>
      <c r="K2975" s="110">
        <v>0.1663</v>
      </c>
      <c r="L2975">
        <v>5000</v>
      </c>
      <c r="M2975">
        <v>500000</v>
      </c>
      <c r="N2975" s="105">
        <v>44378</v>
      </c>
      <c r="O2975" s="105">
        <v>44561</v>
      </c>
      <c r="P2975" t="s">
        <v>718</v>
      </c>
      <c r="R2975" s="154"/>
      <c r="S2975" s="154"/>
      <c r="T2975" s="154"/>
      <c r="U2975" s="154"/>
    </row>
    <row r="2976" spans="1:21" ht="15" customHeight="1" x14ac:dyDescent="0.3">
      <c r="A2976" t="str">
        <f t="shared" si="47"/>
        <v/>
      </c>
      <c r="B2976" t="s">
        <v>13</v>
      </c>
      <c r="C2976">
        <v>16</v>
      </c>
      <c r="D2976" s="100" t="s">
        <v>25</v>
      </c>
      <c r="E2976" t="s">
        <v>720</v>
      </c>
      <c r="F2976" t="s">
        <v>18</v>
      </c>
      <c r="G2976" t="s">
        <v>744</v>
      </c>
      <c r="H2976" s="128">
        <v>0.26539999999999997</v>
      </c>
      <c r="J2976" s="110">
        <v>0.1663</v>
      </c>
      <c r="L2976">
        <v>5000</v>
      </c>
      <c r="M2976">
        <v>500000</v>
      </c>
      <c r="N2976" s="105">
        <v>44378</v>
      </c>
      <c r="O2976" s="105">
        <v>44561</v>
      </c>
      <c r="P2976" t="s">
        <v>718</v>
      </c>
      <c r="R2976" s="154"/>
      <c r="S2976" s="154"/>
      <c r="T2976" s="154"/>
      <c r="U2976" s="154"/>
    </row>
    <row r="2977" spans="1:21" ht="15" customHeight="1" x14ac:dyDescent="0.3">
      <c r="A2977" t="str">
        <f t="shared" si="47"/>
        <v>17-3-U-SmartPAY12 (Level 2)</v>
      </c>
      <c r="B2977" t="s">
        <v>13</v>
      </c>
      <c r="C2977">
        <v>17</v>
      </c>
      <c r="D2977" s="100" t="s">
        <v>26</v>
      </c>
      <c r="E2977" t="s">
        <v>716</v>
      </c>
      <c r="F2977" t="s">
        <v>16</v>
      </c>
      <c r="G2977" t="s">
        <v>744</v>
      </c>
      <c r="H2977" s="128">
        <v>0.34960000000000002</v>
      </c>
      <c r="I2977" s="110">
        <v>0.16900000000000001</v>
      </c>
      <c r="L2977">
        <v>5000</v>
      </c>
      <c r="M2977">
        <v>500000</v>
      </c>
      <c r="N2977" s="105">
        <v>44378</v>
      </c>
      <c r="O2977" s="105">
        <v>44561</v>
      </c>
      <c r="P2977" t="s">
        <v>718</v>
      </c>
      <c r="R2977" s="154"/>
      <c r="S2977" s="154"/>
      <c r="T2977" s="154"/>
      <c r="U2977" s="154"/>
    </row>
    <row r="2978" spans="1:21" ht="15" customHeight="1" x14ac:dyDescent="0.3">
      <c r="A2978" t="str">
        <f t="shared" si="47"/>
        <v>17-4-E7-SmartPAY12 (Level 2)</v>
      </c>
      <c r="B2978" t="s">
        <v>13</v>
      </c>
      <c r="C2978">
        <v>17</v>
      </c>
      <c r="D2978" s="100" t="s">
        <v>26</v>
      </c>
      <c r="E2978" t="s">
        <v>17</v>
      </c>
      <c r="F2978" t="s">
        <v>18</v>
      </c>
      <c r="G2978" t="s">
        <v>744</v>
      </c>
      <c r="H2978" s="128">
        <v>0.34960000000000002</v>
      </c>
      <c r="I2978" s="110">
        <v>0.16900000000000001</v>
      </c>
      <c r="J2978" s="110">
        <v>0.16900000000000001</v>
      </c>
      <c r="L2978">
        <v>5000</v>
      </c>
      <c r="M2978">
        <v>500000</v>
      </c>
      <c r="N2978" s="105">
        <v>44378</v>
      </c>
      <c r="O2978" s="105">
        <v>44561</v>
      </c>
      <c r="P2978" t="s">
        <v>718</v>
      </c>
      <c r="R2978" s="154"/>
      <c r="S2978" s="154"/>
      <c r="T2978" s="154"/>
      <c r="U2978" s="154"/>
    </row>
    <row r="2979" spans="1:21" ht="15" customHeight="1" x14ac:dyDescent="0.3">
      <c r="A2979" t="str">
        <f t="shared" ref="A2979:A3042" si="48">IF(E2979="OP","",CONCATENATE(C2979,"-",RIGHT(F2979,1),"-",IF(OR(E2979="1 Rate MD",E2979="DAY"),"U",IF(OR(E2979="2 Rate MD",E2979="E7"),"E7",IF(OR(E2979="3 Rate MD (EW)",E2979="EW"),"EW",IF(OR(E2979="3 Rate MD",E2979="EWN"),"3RATE",IF(E2979="HH 2RATE (CT)","HH 2RATE (CT)",IF(E2979="HH 2RATE (WC)","HH 2RATE (WC)",IF(E2979="HH 1RATE (CT)","HH 1RATE (CT)",IF(E2979="HH 1RATE (WC)","HH 1RATE (WC)")))))))),"-",G2979))</f>
        <v>17-3-EW-SmartPAY12 (Level 2)</v>
      </c>
      <c r="B2979" t="s">
        <v>13</v>
      </c>
      <c r="C2979">
        <v>17</v>
      </c>
      <c r="D2979" s="100" t="s">
        <v>26</v>
      </c>
      <c r="E2979" t="s">
        <v>19</v>
      </c>
      <c r="F2979" t="s">
        <v>16</v>
      </c>
      <c r="G2979" t="s">
        <v>744</v>
      </c>
      <c r="H2979" s="128">
        <v>0.34960000000000002</v>
      </c>
      <c r="I2979" s="110">
        <v>0.16900000000000001</v>
      </c>
      <c r="K2979" s="110">
        <v>0.16900000000000001</v>
      </c>
      <c r="L2979">
        <v>5000</v>
      </c>
      <c r="M2979">
        <v>500000</v>
      </c>
      <c r="N2979" s="105">
        <v>44378</v>
      </c>
      <c r="O2979" s="105">
        <v>44561</v>
      </c>
      <c r="P2979" t="s">
        <v>718</v>
      </c>
      <c r="R2979" s="154"/>
      <c r="S2979" s="154"/>
      <c r="T2979" s="154"/>
      <c r="U2979" s="154"/>
    </row>
    <row r="2980" spans="1:21" ht="15" customHeight="1" x14ac:dyDescent="0.3">
      <c r="A2980" t="str">
        <f t="shared" si="48"/>
        <v>17-4-3RATE-SmartPAY12 (Level 2)</v>
      </c>
      <c r="B2980" t="s">
        <v>13</v>
      </c>
      <c r="C2980">
        <v>17</v>
      </c>
      <c r="D2980" s="100" t="s">
        <v>26</v>
      </c>
      <c r="E2980" t="s">
        <v>719</v>
      </c>
      <c r="F2980" t="s">
        <v>18</v>
      </c>
      <c r="G2980" t="s">
        <v>744</v>
      </c>
      <c r="H2980" s="128">
        <v>0.34960000000000002</v>
      </c>
      <c r="I2980" s="110">
        <v>0.16900000000000001</v>
      </c>
      <c r="J2980" s="110">
        <v>0.16900000000000001</v>
      </c>
      <c r="K2980" s="110">
        <v>0.16900000000000001</v>
      </c>
      <c r="L2980">
        <v>5000</v>
      </c>
      <c r="M2980">
        <v>500000</v>
      </c>
      <c r="N2980" s="105">
        <v>44378</v>
      </c>
      <c r="O2980" s="105">
        <v>44561</v>
      </c>
      <c r="P2980" t="s">
        <v>718</v>
      </c>
      <c r="R2980" s="154"/>
      <c r="S2980" s="154"/>
      <c r="T2980" s="154"/>
      <c r="U2980" s="154"/>
    </row>
    <row r="2981" spans="1:21" ht="15" customHeight="1" x14ac:dyDescent="0.3">
      <c r="A2981" t="str">
        <f t="shared" si="48"/>
        <v/>
      </c>
      <c r="B2981" t="s">
        <v>13</v>
      </c>
      <c r="C2981">
        <v>17</v>
      </c>
      <c r="D2981" s="100" t="s">
        <v>26</v>
      </c>
      <c r="E2981" t="s">
        <v>720</v>
      </c>
      <c r="F2981" t="s">
        <v>18</v>
      </c>
      <c r="G2981" t="s">
        <v>744</v>
      </c>
      <c r="H2981" s="128">
        <v>0.34960000000000002</v>
      </c>
      <c r="J2981" s="110">
        <v>0.16900000000000001</v>
      </c>
      <c r="L2981">
        <v>5000</v>
      </c>
      <c r="M2981">
        <v>500000</v>
      </c>
      <c r="N2981" s="105">
        <v>44378</v>
      </c>
      <c r="O2981" s="105">
        <v>44561</v>
      </c>
      <c r="P2981" t="s">
        <v>718</v>
      </c>
      <c r="R2981" s="154"/>
      <c r="S2981" s="154"/>
      <c r="T2981" s="154"/>
      <c r="U2981" s="154"/>
    </row>
    <row r="2982" spans="1:21" ht="15" customHeight="1" x14ac:dyDescent="0.3">
      <c r="A2982" t="str">
        <f t="shared" si="48"/>
        <v>18-3-U-SmartPAY12 (Level 2)</v>
      </c>
      <c r="B2982" t="s">
        <v>13</v>
      </c>
      <c r="C2982">
        <v>18</v>
      </c>
      <c r="D2982" s="100" t="s">
        <v>27</v>
      </c>
      <c r="E2982" t="s">
        <v>716</v>
      </c>
      <c r="F2982" t="s">
        <v>16</v>
      </c>
      <c r="G2982" t="s">
        <v>744</v>
      </c>
      <c r="H2982" s="128">
        <v>0.30499999999999999</v>
      </c>
      <c r="I2982" s="110">
        <v>0.1643</v>
      </c>
      <c r="L2982">
        <v>5000</v>
      </c>
      <c r="M2982">
        <v>500000</v>
      </c>
      <c r="N2982" s="105">
        <v>44378</v>
      </c>
      <c r="O2982" s="105">
        <v>44561</v>
      </c>
      <c r="P2982" t="s">
        <v>718</v>
      </c>
      <c r="R2982" s="154"/>
      <c r="S2982" s="154"/>
      <c r="T2982" s="154"/>
      <c r="U2982" s="154"/>
    </row>
    <row r="2983" spans="1:21" ht="15" customHeight="1" x14ac:dyDescent="0.3">
      <c r="A2983" t="str">
        <f t="shared" si="48"/>
        <v>18-4-E7-SmartPAY12 (Level 2)</v>
      </c>
      <c r="B2983" t="s">
        <v>13</v>
      </c>
      <c r="C2983">
        <v>18</v>
      </c>
      <c r="D2983" s="100" t="s">
        <v>27</v>
      </c>
      <c r="E2983" t="s">
        <v>17</v>
      </c>
      <c r="F2983" t="s">
        <v>18</v>
      </c>
      <c r="G2983" t="s">
        <v>744</v>
      </c>
      <c r="H2983" s="128">
        <v>0.30499999999999999</v>
      </c>
      <c r="I2983" s="110">
        <v>0.1643</v>
      </c>
      <c r="J2983" s="110">
        <v>0.1643</v>
      </c>
      <c r="L2983">
        <v>5000</v>
      </c>
      <c r="M2983">
        <v>500000</v>
      </c>
      <c r="N2983" s="105">
        <v>44378</v>
      </c>
      <c r="O2983" s="105">
        <v>44561</v>
      </c>
      <c r="P2983" t="s">
        <v>718</v>
      </c>
      <c r="R2983" s="154"/>
      <c r="S2983" s="154"/>
      <c r="T2983" s="154"/>
      <c r="U2983" s="154"/>
    </row>
    <row r="2984" spans="1:21" ht="15" customHeight="1" x14ac:dyDescent="0.3">
      <c r="A2984" t="str">
        <f t="shared" si="48"/>
        <v>18-3-EW-SmartPAY12 (Level 2)</v>
      </c>
      <c r="B2984" t="s">
        <v>13</v>
      </c>
      <c r="C2984">
        <v>18</v>
      </c>
      <c r="D2984" s="100" t="s">
        <v>27</v>
      </c>
      <c r="E2984" t="s">
        <v>19</v>
      </c>
      <c r="F2984" t="s">
        <v>16</v>
      </c>
      <c r="G2984" t="s">
        <v>744</v>
      </c>
      <c r="H2984" s="128">
        <v>0.30499999999999999</v>
      </c>
      <c r="I2984" s="110">
        <v>0.1643</v>
      </c>
      <c r="K2984" s="110">
        <v>0.1643</v>
      </c>
      <c r="L2984">
        <v>5000</v>
      </c>
      <c r="M2984">
        <v>500000</v>
      </c>
      <c r="N2984" s="105">
        <v>44378</v>
      </c>
      <c r="O2984" s="105">
        <v>44561</v>
      </c>
      <c r="P2984" t="s">
        <v>718</v>
      </c>
      <c r="R2984" s="154"/>
      <c r="S2984" s="154"/>
      <c r="T2984" s="154"/>
      <c r="U2984" s="154"/>
    </row>
    <row r="2985" spans="1:21" ht="15" customHeight="1" x14ac:dyDescent="0.3">
      <c r="A2985" t="str">
        <f t="shared" si="48"/>
        <v>18-4-3RATE-SmartPAY12 (Level 2)</v>
      </c>
      <c r="B2985" t="s">
        <v>13</v>
      </c>
      <c r="C2985">
        <v>18</v>
      </c>
      <c r="D2985" s="100" t="s">
        <v>27</v>
      </c>
      <c r="E2985" t="s">
        <v>719</v>
      </c>
      <c r="F2985" t="s">
        <v>18</v>
      </c>
      <c r="G2985" t="s">
        <v>744</v>
      </c>
      <c r="H2985" s="128">
        <v>0.30499999999999999</v>
      </c>
      <c r="I2985" s="110">
        <v>0.1643</v>
      </c>
      <c r="J2985" s="110">
        <v>0.1643</v>
      </c>
      <c r="K2985" s="110">
        <v>0.1643</v>
      </c>
      <c r="L2985">
        <v>5000</v>
      </c>
      <c r="M2985">
        <v>500000</v>
      </c>
      <c r="N2985" s="105">
        <v>44378</v>
      </c>
      <c r="O2985" s="105">
        <v>44561</v>
      </c>
      <c r="P2985" t="s">
        <v>718</v>
      </c>
      <c r="R2985" s="154"/>
      <c r="S2985" s="154"/>
      <c r="T2985" s="154"/>
      <c r="U2985" s="154"/>
    </row>
    <row r="2986" spans="1:21" ht="15" customHeight="1" x14ac:dyDescent="0.3">
      <c r="A2986" t="str">
        <f t="shared" si="48"/>
        <v/>
      </c>
      <c r="B2986" t="s">
        <v>13</v>
      </c>
      <c r="C2986">
        <v>18</v>
      </c>
      <c r="D2986" s="100" t="s">
        <v>27</v>
      </c>
      <c r="E2986" t="s">
        <v>720</v>
      </c>
      <c r="F2986" t="s">
        <v>18</v>
      </c>
      <c r="G2986" t="s">
        <v>744</v>
      </c>
      <c r="H2986" s="128">
        <v>0.30499999999999999</v>
      </c>
      <c r="J2986" s="110">
        <v>0.1643</v>
      </c>
      <c r="L2986">
        <v>5000</v>
      </c>
      <c r="M2986">
        <v>500000</v>
      </c>
      <c r="N2986" s="105">
        <v>44378</v>
      </c>
      <c r="O2986" s="105">
        <v>44561</v>
      </c>
      <c r="P2986" t="s">
        <v>718</v>
      </c>
      <c r="R2986" s="154"/>
      <c r="S2986" s="154"/>
      <c r="T2986" s="154"/>
      <c r="U2986" s="154"/>
    </row>
    <row r="2987" spans="1:21" ht="15" customHeight="1" x14ac:dyDescent="0.3">
      <c r="A2987" t="str">
        <f t="shared" si="48"/>
        <v>19-3-U-SmartPAY12 (Level 2)</v>
      </c>
      <c r="B2987" t="s">
        <v>13</v>
      </c>
      <c r="C2987">
        <v>19</v>
      </c>
      <c r="D2987" s="100" t="s">
        <v>28</v>
      </c>
      <c r="E2987" t="s">
        <v>716</v>
      </c>
      <c r="F2987" t="s">
        <v>16</v>
      </c>
      <c r="G2987" t="s">
        <v>744</v>
      </c>
      <c r="H2987" s="128">
        <v>0.28989999999999999</v>
      </c>
      <c r="I2987" s="110">
        <v>0.1648</v>
      </c>
      <c r="L2987">
        <v>5000</v>
      </c>
      <c r="M2987">
        <v>500000</v>
      </c>
      <c r="N2987" s="105">
        <v>44378</v>
      </c>
      <c r="O2987" s="105">
        <v>44561</v>
      </c>
      <c r="P2987" t="s">
        <v>718</v>
      </c>
      <c r="R2987" s="154"/>
      <c r="S2987" s="154"/>
      <c r="T2987" s="154"/>
      <c r="U2987" s="154"/>
    </row>
    <row r="2988" spans="1:21" ht="15" customHeight="1" x14ac:dyDescent="0.3">
      <c r="A2988" t="str">
        <f t="shared" si="48"/>
        <v>19-4-E7-SmartPAY12 (Level 2)</v>
      </c>
      <c r="B2988" t="s">
        <v>13</v>
      </c>
      <c r="C2988">
        <v>19</v>
      </c>
      <c r="D2988" s="100" t="s">
        <v>28</v>
      </c>
      <c r="E2988" t="s">
        <v>17</v>
      </c>
      <c r="F2988" t="s">
        <v>18</v>
      </c>
      <c r="G2988" t="s">
        <v>744</v>
      </c>
      <c r="H2988" s="128">
        <v>0.28989999999999999</v>
      </c>
      <c r="I2988" s="110">
        <v>0.1648</v>
      </c>
      <c r="J2988" s="110">
        <v>0.1648</v>
      </c>
      <c r="L2988">
        <v>5000</v>
      </c>
      <c r="M2988">
        <v>500000</v>
      </c>
      <c r="N2988" s="105">
        <v>44378</v>
      </c>
      <c r="O2988" s="105">
        <v>44561</v>
      </c>
      <c r="P2988" t="s">
        <v>718</v>
      </c>
      <c r="R2988" s="154"/>
      <c r="S2988" s="154"/>
      <c r="T2988" s="154"/>
      <c r="U2988" s="154"/>
    </row>
    <row r="2989" spans="1:21" ht="15" customHeight="1" x14ac:dyDescent="0.3">
      <c r="A2989" t="str">
        <f t="shared" si="48"/>
        <v>19-3-EW-SmartPAY12 (Level 2)</v>
      </c>
      <c r="B2989" t="s">
        <v>13</v>
      </c>
      <c r="C2989">
        <v>19</v>
      </c>
      <c r="D2989" s="100" t="s">
        <v>28</v>
      </c>
      <c r="E2989" t="s">
        <v>19</v>
      </c>
      <c r="F2989" t="s">
        <v>16</v>
      </c>
      <c r="G2989" t="s">
        <v>744</v>
      </c>
      <c r="H2989" s="128">
        <v>0.28989999999999999</v>
      </c>
      <c r="I2989" s="110">
        <v>0.1648</v>
      </c>
      <c r="K2989" s="110">
        <v>0.1648</v>
      </c>
      <c r="L2989">
        <v>5000</v>
      </c>
      <c r="M2989">
        <v>500000</v>
      </c>
      <c r="N2989" s="105">
        <v>44378</v>
      </c>
      <c r="O2989" s="105">
        <v>44561</v>
      </c>
      <c r="P2989" t="s">
        <v>718</v>
      </c>
      <c r="R2989" s="154"/>
      <c r="S2989" s="154"/>
      <c r="T2989" s="154"/>
      <c r="U2989" s="154"/>
    </row>
    <row r="2990" spans="1:21" ht="15" customHeight="1" x14ac:dyDescent="0.3">
      <c r="A2990" t="str">
        <f t="shared" si="48"/>
        <v>19-4-3RATE-SmartPAY12 (Level 2)</v>
      </c>
      <c r="B2990" t="s">
        <v>13</v>
      </c>
      <c r="C2990">
        <v>19</v>
      </c>
      <c r="D2990" s="100" t="s">
        <v>28</v>
      </c>
      <c r="E2990" t="s">
        <v>719</v>
      </c>
      <c r="F2990" t="s">
        <v>18</v>
      </c>
      <c r="G2990" t="s">
        <v>744</v>
      </c>
      <c r="H2990" s="128">
        <v>0.28989999999999999</v>
      </c>
      <c r="I2990" s="110">
        <v>0.1648</v>
      </c>
      <c r="J2990" s="110">
        <v>0.1648</v>
      </c>
      <c r="K2990" s="110">
        <v>0.1648</v>
      </c>
      <c r="L2990">
        <v>5000</v>
      </c>
      <c r="M2990">
        <v>500000</v>
      </c>
      <c r="N2990" s="105">
        <v>44378</v>
      </c>
      <c r="O2990" s="105">
        <v>44561</v>
      </c>
      <c r="P2990" t="s">
        <v>718</v>
      </c>
      <c r="R2990" s="154"/>
      <c r="S2990" s="154"/>
      <c r="T2990" s="154"/>
      <c r="U2990" s="154"/>
    </row>
    <row r="2991" spans="1:21" ht="15" customHeight="1" x14ac:dyDescent="0.3">
      <c r="A2991" t="str">
        <f t="shared" si="48"/>
        <v/>
      </c>
      <c r="B2991" t="s">
        <v>13</v>
      </c>
      <c r="C2991">
        <v>19</v>
      </c>
      <c r="D2991" s="100" t="s">
        <v>28</v>
      </c>
      <c r="E2991" t="s">
        <v>720</v>
      </c>
      <c r="F2991" t="s">
        <v>18</v>
      </c>
      <c r="G2991" t="s">
        <v>744</v>
      </c>
      <c r="H2991" s="128">
        <v>0.28989999999999999</v>
      </c>
      <c r="J2991" s="110">
        <v>0.1648</v>
      </c>
      <c r="L2991">
        <v>5000</v>
      </c>
      <c r="M2991">
        <v>500000</v>
      </c>
      <c r="N2991" s="105">
        <v>44378</v>
      </c>
      <c r="O2991" s="105">
        <v>44561</v>
      </c>
      <c r="P2991" t="s">
        <v>718</v>
      </c>
      <c r="R2991" s="154"/>
      <c r="S2991" s="154"/>
      <c r="T2991" s="154"/>
      <c r="U2991" s="154"/>
    </row>
    <row r="2992" spans="1:21" ht="15" customHeight="1" x14ac:dyDescent="0.3">
      <c r="A2992" t="str">
        <f t="shared" si="48"/>
        <v>20-3-U-SmartPAY12 (Level 2)</v>
      </c>
      <c r="B2992" t="s">
        <v>13</v>
      </c>
      <c r="C2992">
        <v>20</v>
      </c>
      <c r="D2992" s="100" t="s">
        <v>29</v>
      </c>
      <c r="E2992" t="s">
        <v>716</v>
      </c>
      <c r="F2992" t="s">
        <v>16</v>
      </c>
      <c r="G2992" t="s">
        <v>744</v>
      </c>
      <c r="H2992" s="128">
        <v>0.2873</v>
      </c>
      <c r="I2992" s="110">
        <v>0.1605</v>
      </c>
      <c r="L2992">
        <v>5000</v>
      </c>
      <c r="M2992">
        <v>500000</v>
      </c>
      <c r="N2992" s="105">
        <v>44378</v>
      </c>
      <c r="O2992" s="105">
        <v>44561</v>
      </c>
      <c r="P2992" t="s">
        <v>718</v>
      </c>
      <c r="R2992" s="154"/>
      <c r="S2992" s="154"/>
      <c r="T2992" s="154"/>
      <c r="U2992" s="154"/>
    </row>
    <row r="2993" spans="1:21" ht="15" customHeight="1" x14ac:dyDescent="0.3">
      <c r="A2993" t="str">
        <f t="shared" si="48"/>
        <v>20-4-E7-SmartPAY12 (Level 2)</v>
      </c>
      <c r="B2993" t="s">
        <v>13</v>
      </c>
      <c r="C2993">
        <v>20</v>
      </c>
      <c r="D2993" s="100" t="s">
        <v>29</v>
      </c>
      <c r="E2993" t="s">
        <v>17</v>
      </c>
      <c r="F2993" t="s">
        <v>18</v>
      </c>
      <c r="G2993" t="s">
        <v>744</v>
      </c>
      <c r="H2993" s="128">
        <v>0.2873</v>
      </c>
      <c r="I2993" s="110">
        <v>0.1605</v>
      </c>
      <c r="J2993" s="110">
        <v>0.1605</v>
      </c>
      <c r="L2993">
        <v>5000</v>
      </c>
      <c r="M2993">
        <v>500000</v>
      </c>
      <c r="N2993" s="105">
        <v>44378</v>
      </c>
      <c r="O2993" s="105">
        <v>44561</v>
      </c>
      <c r="P2993" t="s">
        <v>718</v>
      </c>
      <c r="R2993" s="154"/>
      <c r="S2993" s="154"/>
      <c r="T2993" s="154"/>
      <c r="U2993" s="154"/>
    </row>
    <row r="2994" spans="1:21" ht="15" customHeight="1" x14ac:dyDescent="0.3">
      <c r="A2994" t="str">
        <f t="shared" si="48"/>
        <v>20-3-EW-SmartPAY12 (Level 2)</v>
      </c>
      <c r="B2994" t="s">
        <v>13</v>
      </c>
      <c r="C2994">
        <v>20</v>
      </c>
      <c r="D2994" s="100" t="s">
        <v>29</v>
      </c>
      <c r="E2994" t="s">
        <v>19</v>
      </c>
      <c r="F2994" t="s">
        <v>16</v>
      </c>
      <c r="G2994" t="s">
        <v>744</v>
      </c>
      <c r="H2994" s="128">
        <v>0.2873</v>
      </c>
      <c r="I2994" s="110">
        <v>0.1605</v>
      </c>
      <c r="K2994" s="110">
        <v>0.1605</v>
      </c>
      <c r="L2994">
        <v>5000</v>
      </c>
      <c r="M2994">
        <v>500000</v>
      </c>
      <c r="N2994" s="105">
        <v>44378</v>
      </c>
      <c r="O2994" s="105">
        <v>44561</v>
      </c>
      <c r="P2994" t="s">
        <v>718</v>
      </c>
      <c r="R2994" s="154"/>
      <c r="S2994" s="154"/>
      <c r="T2994" s="154"/>
      <c r="U2994" s="154"/>
    </row>
    <row r="2995" spans="1:21" ht="15" customHeight="1" x14ac:dyDescent="0.3">
      <c r="A2995" t="str">
        <f t="shared" si="48"/>
        <v>20-4-3RATE-SmartPAY12 (Level 2)</v>
      </c>
      <c r="B2995" t="s">
        <v>13</v>
      </c>
      <c r="C2995">
        <v>20</v>
      </c>
      <c r="D2995" s="100" t="s">
        <v>29</v>
      </c>
      <c r="E2995" t="s">
        <v>719</v>
      </c>
      <c r="F2995" t="s">
        <v>18</v>
      </c>
      <c r="G2995" t="s">
        <v>744</v>
      </c>
      <c r="H2995" s="128">
        <v>0.2873</v>
      </c>
      <c r="I2995" s="110">
        <v>0.1605</v>
      </c>
      <c r="J2995" s="110">
        <v>0.1605</v>
      </c>
      <c r="K2995" s="110">
        <v>0.1605</v>
      </c>
      <c r="L2995">
        <v>5000</v>
      </c>
      <c r="M2995">
        <v>500000</v>
      </c>
      <c r="N2995" s="105">
        <v>44378</v>
      </c>
      <c r="O2995" s="105">
        <v>44561</v>
      </c>
      <c r="P2995" t="s">
        <v>718</v>
      </c>
      <c r="R2995" s="154"/>
      <c r="S2995" s="154"/>
      <c r="T2995" s="154"/>
      <c r="U2995" s="154"/>
    </row>
    <row r="2996" spans="1:21" ht="15" customHeight="1" x14ac:dyDescent="0.3">
      <c r="A2996" t="str">
        <f t="shared" si="48"/>
        <v/>
      </c>
      <c r="B2996" t="s">
        <v>13</v>
      </c>
      <c r="C2996">
        <v>20</v>
      </c>
      <c r="D2996" s="100" t="s">
        <v>29</v>
      </c>
      <c r="E2996" t="s">
        <v>720</v>
      </c>
      <c r="F2996" t="s">
        <v>18</v>
      </c>
      <c r="G2996" t="s">
        <v>744</v>
      </c>
      <c r="H2996" s="128">
        <v>0.2873</v>
      </c>
      <c r="J2996" s="110">
        <v>0.1605</v>
      </c>
      <c r="L2996">
        <v>5000</v>
      </c>
      <c r="M2996">
        <v>500000</v>
      </c>
      <c r="N2996" s="105">
        <v>44378</v>
      </c>
      <c r="O2996" s="105">
        <v>44561</v>
      </c>
      <c r="P2996" t="s">
        <v>718</v>
      </c>
      <c r="R2996" s="154"/>
      <c r="S2996" s="154"/>
      <c r="T2996" s="154"/>
      <c r="U2996" s="154"/>
    </row>
    <row r="2997" spans="1:21" ht="15" customHeight="1" x14ac:dyDescent="0.3">
      <c r="A2997" t="str">
        <f t="shared" si="48"/>
        <v>21-3-U-SmartPAY12 (Level 2)</v>
      </c>
      <c r="B2997" t="s">
        <v>13</v>
      </c>
      <c r="C2997">
        <v>21</v>
      </c>
      <c r="D2997" s="100" t="s">
        <v>30</v>
      </c>
      <c r="E2997" t="s">
        <v>716</v>
      </c>
      <c r="F2997" t="s">
        <v>16</v>
      </c>
      <c r="G2997" t="s">
        <v>744</v>
      </c>
      <c r="H2997" s="128">
        <v>0.39759999999999995</v>
      </c>
      <c r="I2997" s="110">
        <v>0.1623</v>
      </c>
      <c r="L2997">
        <v>5000</v>
      </c>
      <c r="M2997">
        <v>500000</v>
      </c>
      <c r="N2997" s="105">
        <v>44378</v>
      </c>
      <c r="O2997" s="105">
        <v>44561</v>
      </c>
      <c r="P2997" t="s">
        <v>718</v>
      </c>
      <c r="R2997" s="154"/>
      <c r="S2997" s="154"/>
      <c r="T2997" s="154"/>
      <c r="U2997" s="154"/>
    </row>
    <row r="2998" spans="1:21" ht="15" customHeight="1" x14ac:dyDescent="0.3">
      <c r="A2998" t="str">
        <f t="shared" si="48"/>
        <v>21-4-E7-SmartPAY12 (Level 2)</v>
      </c>
      <c r="B2998" t="s">
        <v>13</v>
      </c>
      <c r="C2998">
        <v>21</v>
      </c>
      <c r="D2998" s="100" t="s">
        <v>30</v>
      </c>
      <c r="E2998" t="s">
        <v>17</v>
      </c>
      <c r="F2998" t="s">
        <v>18</v>
      </c>
      <c r="G2998" t="s">
        <v>744</v>
      </c>
      <c r="H2998" s="128">
        <v>0.39759999999999995</v>
      </c>
      <c r="I2998" s="110">
        <v>0.1623</v>
      </c>
      <c r="J2998" s="110">
        <v>0.1623</v>
      </c>
      <c r="L2998">
        <v>5000</v>
      </c>
      <c r="M2998">
        <v>500000</v>
      </c>
      <c r="N2998" s="105">
        <v>44378</v>
      </c>
      <c r="O2998" s="105">
        <v>44561</v>
      </c>
      <c r="P2998" t="s">
        <v>718</v>
      </c>
      <c r="R2998" s="154"/>
      <c r="S2998" s="154"/>
      <c r="T2998" s="154"/>
      <c r="U2998" s="154"/>
    </row>
    <row r="2999" spans="1:21" ht="15" customHeight="1" x14ac:dyDescent="0.3">
      <c r="A2999" t="str">
        <f t="shared" si="48"/>
        <v>21-3-EW-SmartPAY12 (Level 2)</v>
      </c>
      <c r="B2999" t="s">
        <v>13</v>
      </c>
      <c r="C2999">
        <v>21</v>
      </c>
      <c r="D2999" s="100" t="s">
        <v>30</v>
      </c>
      <c r="E2999" t="s">
        <v>19</v>
      </c>
      <c r="F2999" t="s">
        <v>16</v>
      </c>
      <c r="G2999" t="s">
        <v>744</v>
      </c>
      <c r="H2999" s="128">
        <v>0.39759999999999995</v>
      </c>
      <c r="I2999" s="110">
        <v>0.1623</v>
      </c>
      <c r="K2999" s="110">
        <v>0.1623</v>
      </c>
      <c r="L2999">
        <v>5000</v>
      </c>
      <c r="M2999">
        <v>500000</v>
      </c>
      <c r="N2999" s="105">
        <v>44378</v>
      </c>
      <c r="O2999" s="105">
        <v>44561</v>
      </c>
      <c r="P2999" t="s">
        <v>718</v>
      </c>
      <c r="R2999" s="154"/>
      <c r="S2999" s="154"/>
      <c r="T2999" s="154"/>
      <c r="U2999" s="154"/>
    </row>
    <row r="3000" spans="1:21" ht="15" customHeight="1" x14ac:dyDescent="0.3">
      <c r="A3000" t="str">
        <f t="shared" si="48"/>
        <v>21-4-3RATE-SmartPAY12 (Level 2)</v>
      </c>
      <c r="B3000" t="s">
        <v>13</v>
      </c>
      <c r="C3000">
        <v>21</v>
      </c>
      <c r="D3000" s="100" t="s">
        <v>30</v>
      </c>
      <c r="E3000" t="s">
        <v>719</v>
      </c>
      <c r="F3000" t="s">
        <v>18</v>
      </c>
      <c r="G3000" t="s">
        <v>744</v>
      </c>
      <c r="H3000" s="128">
        <v>0.39759999999999995</v>
      </c>
      <c r="I3000" s="110">
        <v>0.1623</v>
      </c>
      <c r="J3000" s="110">
        <v>0.1623</v>
      </c>
      <c r="K3000" s="110">
        <v>0.1623</v>
      </c>
      <c r="L3000">
        <v>5000</v>
      </c>
      <c r="M3000">
        <v>500000</v>
      </c>
      <c r="N3000" s="105">
        <v>44378</v>
      </c>
      <c r="O3000" s="105">
        <v>44561</v>
      </c>
      <c r="P3000" t="s">
        <v>718</v>
      </c>
      <c r="R3000" s="154"/>
      <c r="S3000" s="154"/>
      <c r="T3000" s="154"/>
      <c r="U3000" s="154"/>
    </row>
    <row r="3001" spans="1:21" ht="15" customHeight="1" x14ac:dyDescent="0.3">
      <c r="A3001" t="str">
        <f t="shared" si="48"/>
        <v/>
      </c>
      <c r="B3001" t="s">
        <v>13</v>
      </c>
      <c r="C3001">
        <v>21</v>
      </c>
      <c r="D3001" s="100" t="s">
        <v>30</v>
      </c>
      <c r="E3001" t="s">
        <v>720</v>
      </c>
      <c r="F3001" t="s">
        <v>18</v>
      </c>
      <c r="G3001" t="s">
        <v>744</v>
      </c>
      <c r="H3001" s="128">
        <v>0.39759999999999995</v>
      </c>
      <c r="J3001" s="110">
        <v>0.1623</v>
      </c>
      <c r="L3001">
        <v>5000</v>
      </c>
      <c r="M3001">
        <v>500000</v>
      </c>
      <c r="N3001" s="105">
        <v>44378</v>
      </c>
      <c r="O3001" s="105">
        <v>44561</v>
      </c>
      <c r="P3001" t="s">
        <v>718</v>
      </c>
      <c r="R3001" s="154"/>
      <c r="S3001" s="154"/>
      <c r="T3001" s="154"/>
      <c r="U3001" s="154"/>
    </row>
    <row r="3002" spans="1:21" ht="15" customHeight="1" x14ac:dyDescent="0.3">
      <c r="A3002" t="str">
        <f t="shared" si="48"/>
        <v>22-3-U-SmartPAY12 (Level 2)</v>
      </c>
      <c r="B3002" t="s">
        <v>13</v>
      </c>
      <c r="C3002">
        <v>22</v>
      </c>
      <c r="D3002" s="100" t="s">
        <v>31</v>
      </c>
      <c r="E3002" t="s">
        <v>716</v>
      </c>
      <c r="F3002" t="s">
        <v>16</v>
      </c>
      <c r="G3002" t="s">
        <v>744</v>
      </c>
      <c r="H3002" s="128">
        <v>0.34279999999999999</v>
      </c>
      <c r="I3002" s="110">
        <v>0.16870000000000002</v>
      </c>
      <c r="L3002">
        <v>5000</v>
      </c>
      <c r="M3002">
        <v>500000</v>
      </c>
      <c r="N3002" s="105">
        <v>44378</v>
      </c>
      <c r="O3002" s="105">
        <v>44561</v>
      </c>
      <c r="P3002" t="s">
        <v>718</v>
      </c>
      <c r="R3002" s="154"/>
      <c r="S3002" s="154"/>
      <c r="T3002" s="154"/>
      <c r="U3002" s="154"/>
    </row>
    <row r="3003" spans="1:21" ht="15" customHeight="1" x14ac:dyDescent="0.3">
      <c r="A3003" t="str">
        <f t="shared" si="48"/>
        <v>22-4-E7-SmartPAY12 (Level 2)</v>
      </c>
      <c r="B3003" t="s">
        <v>13</v>
      </c>
      <c r="C3003">
        <v>22</v>
      </c>
      <c r="D3003" s="100" t="s">
        <v>31</v>
      </c>
      <c r="E3003" t="s">
        <v>17</v>
      </c>
      <c r="F3003" t="s">
        <v>18</v>
      </c>
      <c r="G3003" t="s">
        <v>744</v>
      </c>
      <c r="H3003" s="128">
        <v>0.34279999999999999</v>
      </c>
      <c r="I3003" s="110">
        <v>0.16870000000000002</v>
      </c>
      <c r="J3003" s="110">
        <v>0.16870000000000002</v>
      </c>
      <c r="L3003">
        <v>5000</v>
      </c>
      <c r="M3003">
        <v>500000</v>
      </c>
      <c r="N3003" s="105">
        <v>44378</v>
      </c>
      <c r="O3003" s="105">
        <v>44561</v>
      </c>
      <c r="P3003" t="s">
        <v>718</v>
      </c>
      <c r="R3003" s="154"/>
      <c r="S3003" s="154"/>
      <c r="T3003" s="154"/>
      <c r="U3003" s="154"/>
    </row>
    <row r="3004" spans="1:21" ht="15" customHeight="1" x14ac:dyDescent="0.3">
      <c r="A3004" t="str">
        <f t="shared" si="48"/>
        <v>22-3-EW-SmartPAY12 (Level 2)</v>
      </c>
      <c r="B3004" t="s">
        <v>13</v>
      </c>
      <c r="C3004">
        <v>22</v>
      </c>
      <c r="D3004" s="100" t="s">
        <v>31</v>
      </c>
      <c r="E3004" t="s">
        <v>19</v>
      </c>
      <c r="F3004" t="s">
        <v>16</v>
      </c>
      <c r="G3004" t="s">
        <v>744</v>
      </c>
      <c r="H3004" s="128">
        <v>0.34279999999999999</v>
      </c>
      <c r="I3004" s="110">
        <v>0.16870000000000002</v>
      </c>
      <c r="K3004" s="110">
        <v>0.16870000000000002</v>
      </c>
      <c r="L3004">
        <v>5000</v>
      </c>
      <c r="M3004">
        <v>500000</v>
      </c>
      <c r="N3004" s="105">
        <v>44378</v>
      </c>
      <c r="O3004" s="105">
        <v>44561</v>
      </c>
      <c r="P3004" t="s">
        <v>718</v>
      </c>
      <c r="R3004" s="154"/>
      <c r="S3004" s="154"/>
      <c r="T3004" s="154"/>
      <c r="U3004" s="154"/>
    </row>
    <row r="3005" spans="1:21" ht="15" customHeight="1" x14ac:dyDescent="0.3">
      <c r="A3005" t="str">
        <f t="shared" si="48"/>
        <v>22-4-3RATE-SmartPAY12 (Level 2)</v>
      </c>
      <c r="B3005" t="s">
        <v>13</v>
      </c>
      <c r="C3005">
        <v>22</v>
      </c>
      <c r="D3005" s="100" t="s">
        <v>31</v>
      </c>
      <c r="E3005" t="s">
        <v>719</v>
      </c>
      <c r="F3005" t="s">
        <v>18</v>
      </c>
      <c r="G3005" t="s">
        <v>744</v>
      </c>
      <c r="H3005" s="128">
        <v>0.34279999999999999</v>
      </c>
      <c r="I3005" s="110">
        <v>0.16870000000000002</v>
      </c>
      <c r="J3005" s="110">
        <v>0.16870000000000002</v>
      </c>
      <c r="K3005" s="110">
        <v>0.16870000000000002</v>
      </c>
      <c r="L3005">
        <v>5000</v>
      </c>
      <c r="M3005">
        <v>500000</v>
      </c>
      <c r="N3005" s="105">
        <v>44378</v>
      </c>
      <c r="O3005" s="105">
        <v>44561</v>
      </c>
      <c r="P3005" t="s">
        <v>718</v>
      </c>
      <c r="R3005" s="154"/>
      <c r="S3005" s="154"/>
      <c r="T3005" s="154"/>
      <c r="U3005" s="154"/>
    </row>
    <row r="3006" spans="1:21" ht="15" customHeight="1" x14ac:dyDescent="0.3">
      <c r="A3006" t="str">
        <f t="shared" si="48"/>
        <v/>
      </c>
      <c r="B3006" t="s">
        <v>13</v>
      </c>
      <c r="C3006">
        <v>22</v>
      </c>
      <c r="D3006" s="100" t="s">
        <v>31</v>
      </c>
      <c r="E3006" t="s">
        <v>720</v>
      </c>
      <c r="F3006" t="s">
        <v>18</v>
      </c>
      <c r="G3006" t="s">
        <v>744</v>
      </c>
      <c r="H3006" s="128">
        <v>0.34279999999999999</v>
      </c>
      <c r="J3006" s="110">
        <v>0.16870000000000002</v>
      </c>
      <c r="L3006">
        <v>5000</v>
      </c>
      <c r="M3006">
        <v>500000</v>
      </c>
      <c r="N3006" s="105">
        <v>44378</v>
      </c>
      <c r="O3006" s="105">
        <v>44561</v>
      </c>
      <c r="P3006" t="s">
        <v>718</v>
      </c>
      <c r="R3006" s="154"/>
      <c r="S3006" s="154"/>
      <c r="T3006" s="154"/>
      <c r="U3006" s="154"/>
    </row>
    <row r="3007" spans="1:21" ht="15" customHeight="1" x14ac:dyDescent="0.3">
      <c r="A3007" t="str">
        <f t="shared" si="48"/>
        <v>23-3-U-SmartPAY12 (Level 2)</v>
      </c>
      <c r="B3007" t="s">
        <v>13</v>
      </c>
      <c r="C3007">
        <v>23</v>
      </c>
      <c r="D3007" s="100" t="s">
        <v>32</v>
      </c>
      <c r="E3007" t="s">
        <v>716</v>
      </c>
      <c r="F3007" t="s">
        <v>16</v>
      </c>
      <c r="G3007" t="s">
        <v>744</v>
      </c>
      <c r="H3007" s="128">
        <v>0.30120000000000002</v>
      </c>
      <c r="I3007" s="110">
        <v>0.16210000000000002</v>
      </c>
      <c r="L3007">
        <v>5000</v>
      </c>
      <c r="M3007">
        <v>500000</v>
      </c>
      <c r="N3007" s="105">
        <v>44378</v>
      </c>
      <c r="O3007" s="105">
        <v>44561</v>
      </c>
      <c r="P3007" t="s">
        <v>718</v>
      </c>
      <c r="R3007" s="154"/>
      <c r="S3007" s="154"/>
      <c r="T3007" s="154"/>
      <c r="U3007" s="154"/>
    </row>
    <row r="3008" spans="1:21" ht="15" customHeight="1" x14ac:dyDescent="0.3">
      <c r="A3008" t="str">
        <f t="shared" si="48"/>
        <v>23-4-E7-SmartPAY12 (Level 2)</v>
      </c>
      <c r="B3008" t="s">
        <v>13</v>
      </c>
      <c r="C3008">
        <v>23</v>
      </c>
      <c r="D3008" s="100" t="s">
        <v>32</v>
      </c>
      <c r="E3008" t="s">
        <v>17</v>
      </c>
      <c r="F3008" t="s">
        <v>18</v>
      </c>
      <c r="G3008" t="s">
        <v>744</v>
      </c>
      <c r="H3008" s="128">
        <v>0.30120000000000002</v>
      </c>
      <c r="I3008" s="110">
        <v>0.16210000000000002</v>
      </c>
      <c r="J3008" s="110">
        <v>0.16210000000000002</v>
      </c>
      <c r="L3008">
        <v>5000</v>
      </c>
      <c r="M3008">
        <v>500000</v>
      </c>
      <c r="N3008" s="105">
        <v>44378</v>
      </c>
      <c r="O3008" s="105">
        <v>44561</v>
      </c>
      <c r="P3008" t="s">
        <v>718</v>
      </c>
      <c r="R3008" s="154"/>
      <c r="S3008" s="154"/>
      <c r="T3008" s="154"/>
      <c r="U3008" s="154"/>
    </row>
    <row r="3009" spans="1:21" ht="15" customHeight="1" x14ac:dyDescent="0.3">
      <c r="A3009" t="str">
        <f t="shared" si="48"/>
        <v>23-3-EW-SmartPAY12 (Level 2)</v>
      </c>
      <c r="B3009" t="s">
        <v>13</v>
      </c>
      <c r="C3009">
        <v>23</v>
      </c>
      <c r="D3009" s="100" t="s">
        <v>32</v>
      </c>
      <c r="E3009" t="s">
        <v>19</v>
      </c>
      <c r="F3009" t="s">
        <v>16</v>
      </c>
      <c r="G3009" t="s">
        <v>744</v>
      </c>
      <c r="H3009" s="128">
        <v>0.30120000000000002</v>
      </c>
      <c r="I3009" s="110">
        <v>0.16210000000000002</v>
      </c>
      <c r="K3009" s="110">
        <v>0.16210000000000002</v>
      </c>
      <c r="L3009">
        <v>5000</v>
      </c>
      <c r="M3009">
        <v>500000</v>
      </c>
      <c r="N3009" s="105">
        <v>44378</v>
      </c>
      <c r="O3009" s="105">
        <v>44561</v>
      </c>
      <c r="P3009" t="s">
        <v>718</v>
      </c>
      <c r="R3009" s="154"/>
      <c r="S3009" s="154"/>
      <c r="T3009" s="154"/>
      <c r="U3009" s="154"/>
    </row>
    <row r="3010" spans="1:21" ht="15" customHeight="1" x14ac:dyDescent="0.3">
      <c r="A3010" t="str">
        <f t="shared" si="48"/>
        <v>23-4-3RATE-SmartPAY12 (Level 2)</v>
      </c>
      <c r="B3010" t="s">
        <v>13</v>
      </c>
      <c r="C3010">
        <v>23</v>
      </c>
      <c r="D3010" s="100" t="s">
        <v>32</v>
      </c>
      <c r="E3010" t="s">
        <v>719</v>
      </c>
      <c r="F3010" t="s">
        <v>18</v>
      </c>
      <c r="G3010" t="s">
        <v>744</v>
      </c>
      <c r="H3010" s="128">
        <v>0.30120000000000002</v>
      </c>
      <c r="I3010" s="110">
        <v>0.16210000000000002</v>
      </c>
      <c r="J3010" s="110">
        <v>0.16210000000000002</v>
      </c>
      <c r="K3010" s="110">
        <v>0.16210000000000002</v>
      </c>
      <c r="L3010">
        <v>5000</v>
      </c>
      <c r="M3010">
        <v>500000</v>
      </c>
      <c r="N3010" s="105">
        <v>44378</v>
      </c>
      <c r="O3010" s="105">
        <v>44561</v>
      </c>
      <c r="P3010" t="s">
        <v>718</v>
      </c>
      <c r="R3010" s="154"/>
      <c r="S3010" s="154"/>
      <c r="T3010" s="154"/>
      <c r="U3010" s="154"/>
    </row>
    <row r="3011" spans="1:21" ht="15" customHeight="1" x14ac:dyDescent="0.3">
      <c r="A3011" t="str">
        <f t="shared" si="48"/>
        <v/>
      </c>
      <c r="B3011" t="s">
        <v>13</v>
      </c>
      <c r="C3011">
        <v>23</v>
      </c>
      <c r="D3011" s="100" t="s">
        <v>32</v>
      </c>
      <c r="E3011" t="s">
        <v>720</v>
      </c>
      <c r="F3011" t="s">
        <v>18</v>
      </c>
      <c r="G3011" t="s">
        <v>744</v>
      </c>
      <c r="H3011" s="128">
        <v>0.30120000000000002</v>
      </c>
      <c r="J3011" s="110">
        <v>0.16210000000000002</v>
      </c>
      <c r="L3011">
        <v>5000</v>
      </c>
      <c r="M3011">
        <v>500000</v>
      </c>
      <c r="N3011" s="105">
        <v>44378</v>
      </c>
      <c r="O3011" s="105">
        <v>44561</v>
      </c>
      <c r="P3011" t="s">
        <v>718</v>
      </c>
      <c r="R3011" s="154"/>
      <c r="S3011" s="154"/>
      <c r="T3011" s="154"/>
      <c r="U3011" s="154"/>
    </row>
    <row r="3012" spans="1:21" ht="15" customHeight="1" x14ac:dyDescent="0.3">
      <c r="A3012" t="str">
        <f t="shared" si="48"/>
        <v>10-3-U-SmartPAY24 (Level 2)</v>
      </c>
      <c r="B3012" t="s">
        <v>13</v>
      </c>
      <c r="C3012">
        <v>10</v>
      </c>
      <c r="D3012" s="100" t="s">
        <v>14</v>
      </c>
      <c r="E3012" t="s">
        <v>716</v>
      </c>
      <c r="F3012" t="s">
        <v>16</v>
      </c>
      <c r="G3012" t="s">
        <v>745</v>
      </c>
      <c r="H3012" s="128">
        <v>0.30510000000000004</v>
      </c>
      <c r="I3012" s="110">
        <v>0.16449999999999998</v>
      </c>
      <c r="L3012">
        <v>5000</v>
      </c>
      <c r="M3012">
        <v>500000</v>
      </c>
      <c r="N3012" s="105">
        <v>44378</v>
      </c>
      <c r="O3012" s="105">
        <v>44561</v>
      </c>
      <c r="P3012" t="s">
        <v>718</v>
      </c>
      <c r="R3012" s="154"/>
      <c r="S3012" s="154"/>
      <c r="T3012" s="154"/>
      <c r="U3012" s="154"/>
    </row>
    <row r="3013" spans="1:21" ht="15" customHeight="1" x14ac:dyDescent="0.3">
      <c r="A3013" t="str">
        <f t="shared" si="48"/>
        <v>10-4-E7-SmartPAY24 (Level 2)</v>
      </c>
      <c r="B3013" t="s">
        <v>13</v>
      </c>
      <c r="C3013">
        <v>10</v>
      </c>
      <c r="D3013" s="100" t="s">
        <v>14</v>
      </c>
      <c r="E3013" t="s">
        <v>17</v>
      </c>
      <c r="F3013" t="s">
        <v>18</v>
      </c>
      <c r="G3013" t="s">
        <v>745</v>
      </c>
      <c r="H3013" s="128">
        <v>0.30510000000000004</v>
      </c>
      <c r="I3013" s="110">
        <v>0.16449999999999998</v>
      </c>
      <c r="J3013" s="110">
        <v>0.16449999999999998</v>
      </c>
      <c r="L3013">
        <v>5000</v>
      </c>
      <c r="M3013">
        <v>500000</v>
      </c>
      <c r="N3013" s="105">
        <v>44378</v>
      </c>
      <c r="O3013" s="105">
        <v>44561</v>
      </c>
      <c r="P3013" t="s">
        <v>718</v>
      </c>
      <c r="R3013" s="154"/>
      <c r="S3013" s="154"/>
      <c r="T3013" s="154"/>
      <c r="U3013" s="154"/>
    </row>
    <row r="3014" spans="1:21" ht="15" customHeight="1" x14ac:dyDescent="0.3">
      <c r="A3014" t="str">
        <f t="shared" si="48"/>
        <v>10-3-EW-SmartPAY24 (Level 2)</v>
      </c>
      <c r="B3014" t="s">
        <v>13</v>
      </c>
      <c r="C3014">
        <v>10</v>
      </c>
      <c r="D3014" s="100" t="s">
        <v>14</v>
      </c>
      <c r="E3014" t="s">
        <v>19</v>
      </c>
      <c r="F3014" t="s">
        <v>16</v>
      </c>
      <c r="G3014" t="s">
        <v>745</v>
      </c>
      <c r="H3014" s="128">
        <v>0.30510000000000004</v>
      </c>
      <c r="I3014" s="110">
        <v>0.16449999999999998</v>
      </c>
      <c r="K3014" s="110">
        <v>0.16449999999999998</v>
      </c>
      <c r="L3014">
        <v>5000</v>
      </c>
      <c r="M3014">
        <v>500000</v>
      </c>
      <c r="N3014" s="105">
        <v>44378</v>
      </c>
      <c r="O3014" s="105">
        <v>44561</v>
      </c>
      <c r="P3014" t="s">
        <v>718</v>
      </c>
      <c r="R3014" s="154"/>
      <c r="S3014" s="154"/>
      <c r="T3014" s="154"/>
      <c r="U3014" s="154"/>
    </row>
    <row r="3015" spans="1:21" ht="15" customHeight="1" x14ac:dyDescent="0.3">
      <c r="A3015" t="str">
        <f t="shared" si="48"/>
        <v>10-4-3RATE-SmartPAY24 (Level 2)</v>
      </c>
      <c r="B3015" t="s">
        <v>13</v>
      </c>
      <c r="C3015">
        <v>10</v>
      </c>
      <c r="D3015" s="100" t="s">
        <v>14</v>
      </c>
      <c r="E3015" t="s">
        <v>719</v>
      </c>
      <c r="F3015" t="s">
        <v>18</v>
      </c>
      <c r="G3015" t="s">
        <v>745</v>
      </c>
      <c r="H3015" s="128">
        <v>0.30510000000000004</v>
      </c>
      <c r="I3015" s="110">
        <v>0.16449999999999998</v>
      </c>
      <c r="J3015" s="110">
        <v>0.16449999999999998</v>
      </c>
      <c r="K3015" s="110">
        <v>0.16449999999999998</v>
      </c>
      <c r="L3015">
        <v>5000</v>
      </c>
      <c r="M3015">
        <v>500000</v>
      </c>
      <c r="N3015" s="105">
        <v>44378</v>
      </c>
      <c r="O3015" s="105">
        <v>44561</v>
      </c>
      <c r="P3015" t="s">
        <v>718</v>
      </c>
      <c r="R3015" s="154"/>
      <c r="S3015" s="154"/>
      <c r="T3015" s="154"/>
      <c r="U3015" s="154"/>
    </row>
    <row r="3016" spans="1:21" ht="15" customHeight="1" x14ac:dyDescent="0.3">
      <c r="A3016" t="str">
        <f t="shared" si="48"/>
        <v/>
      </c>
      <c r="B3016" t="s">
        <v>13</v>
      </c>
      <c r="C3016">
        <v>10</v>
      </c>
      <c r="D3016" s="100" t="s">
        <v>14</v>
      </c>
      <c r="E3016" t="s">
        <v>720</v>
      </c>
      <c r="F3016" t="s">
        <v>18</v>
      </c>
      <c r="G3016" t="s">
        <v>745</v>
      </c>
      <c r="H3016" s="128">
        <v>0.30510000000000004</v>
      </c>
      <c r="J3016" s="110">
        <v>0.16449999999999998</v>
      </c>
      <c r="L3016">
        <v>5000</v>
      </c>
      <c r="M3016">
        <v>500000</v>
      </c>
      <c r="N3016" s="105">
        <v>44378</v>
      </c>
      <c r="O3016" s="105">
        <v>44561</v>
      </c>
      <c r="P3016" t="s">
        <v>718</v>
      </c>
      <c r="R3016" s="154"/>
      <c r="S3016" s="154"/>
      <c r="T3016" s="154"/>
      <c r="U3016" s="154"/>
    </row>
    <row r="3017" spans="1:21" ht="15" customHeight="1" x14ac:dyDescent="0.3">
      <c r="A3017" t="str">
        <f t="shared" si="48"/>
        <v>11-3-U-SmartPAY24 (Level 2)</v>
      </c>
      <c r="B3017" t="s">
        <v>13</v>
      </c>
      <c r="C3017">
        <v>11</v>
      </c>
      <c r="D3017" s="100" t="s">
        <v>20</v>
      </c>
      <c r="E3017" t="s">
        <v>716</v>
      </c>
      <c r="F3017" t="s">
        <v>16</v>
      </c>
      <c r="G3017" t="s">
        <v>745</v>
      </c>
      <c r="H3017" s="128">
        <v>0.31440000000000001</v>
      </c>
      <c r="I3017" s="110">
        <v>0.1648</v>
      </c>
      <c r="L3017">
        <v>5000</v>
      </c>
      <c r="M3017">
        <v>500000</v>
      </c>
      <c r="N3017" s="105">
        <v>44378</v>
      </c>
      <c r="O3017" s="105">
        <v>44561</v>
      </c>
      <c r="P3017" t="s">
        <v>718</v>
      </c>
      <c r="R3017" s="154"/>
      <c r="S3017" s="154"/>
      <c r="T3017" s="154"/>
      <c r="U3017" s="154"/>
    </row>
    <row r="3018" spans="1:21" ht="15" customHeight="1" x14ac:dyDescent="0.3">
      <c r="A3018" t="str">
        <f t="shared" si="48"/>
        <v>11-4-E7-SmartPAY24 (Level 2)</v>
      </c>
      <c r="B3018" t="s">
        <v>13</v>
      </c>
      <c r="C3018">
        <v>11</v>
      </c>
      <c r="D3018" s="100" t="s">
        <v>20</v>
      </c>
      <c r="E3018" t="s">
        <v>17</v>
      </c>
      <c r="F3018" t="s">
        <v>18</v>
      </c>
      <c r="G3018" t="s">
        <v>745</v>
      </c>
      <c r="H3018" s="128">
        <v>0.31440000000000001</v>
      </c>
      <c r="I3018" s="110">
        <v>0.1648</v>
      </c>
      <c r="J3018" s="110">
        <v>0.1648</v>
      </c>
      <c r="L3018">
        <v>5000</v>
      </c>
      <c r="M3018">
        <v>500000</v>
      </c>
      <c r="N3018" s="105">
        <v>44378</v>
      </c>
      <c r="O3018" s="105">
        <v>44561</v>
      </c>
      <c r="P3018" t="s">
        <v>718</v>
      </c>
      <c r="R3018" s="154"/>
      <c r="S3018" s="154"/>
      <c r="T3018" s="154"/>
      <c r="U3018" s="154"/>
    </row>
    <row r="3019" spans="1:21" ht="15" customHeight="1" x14ac:dyDescent="0.3">
      <c r="A3019" t="str">
        <f t="shared" si="48"/>
        <v>11-3-EW-SmartPAY24 (Level 2)</v>
      </c>
      <c r="B3019" t="s">
        <v>13</v>
      </c>
      <c r="C3019">
        <v>11</v>
      </c>
      <c r="D3019" s="100" t="s">
        <v>20</v>
      </c>
      <c r="E3019" t="s">
        <v>19</v>
      </c>
      <c r="F3019" t="s">
        <v>16</v>
      </c>
      <c r="G3019" t="s">
        <v>745</v>
      </c>
      <c r="H3019" s="128">
        <v>0.31440000000000001</v>
      </c>
      <c r="I3019" s="110">
        <v>0.1648</v>
      </c>
      <c r="K3019" s="110">
        <v>0.1648</v>
      </c>
      <c r="L3019">
        <v>5000</v>
      </c>
      <c r="M3019">
        <v>500000</v>
      </c>
      <c r="N3019" s="105">
        <v>44378</v>
      </c>
      <c r="O3019" s="105">
        <v>44561</v>
      </c>
      <c r="P3019" t="s">
        <v>718</v>
      </c>
      <c r="R3019" s="154"/>
      <c r="S3019" s="154"/>
      <c r="T3019" s="154"/>
      <c r="U3019" s="154"/>
    </row>
    <row r="3020" spans="1:21" ht="15" customHeight="1" x14ac:dyDescent="0.3">
      <c r="A3020" t="str">
        <f t="shared" si="48"/>
        <v>11-4-3RATE-SmartPAY24 (Level 2)</v>
      </c>
      <c r="B3020" t="s">
        <v>13</v>
      </c>
      <c r="C3020">
        <v>11</v>
      </c>
      <c r="D3020" s="100" t="s">
        <v>20</v>
      </c>
      <c r="E3020" t="s">
        <v>719</v>
      </c>
      <c r="F3020" t="s">
        <v>18</v>
      </c>
      <c r="G3020" t="s">
        <v>745</v>
      </c>
      <c r="H3020" s="128">
        <v>0.31440000000000001</v>
      </c>
      <c r="I3020" s="110">
        <v>0.1648</v>
      </c>
      <c r="J3020" s="110">
        <v>0.1648</v>
      </c>
      <c r="K3020" s="110">
        <v>0.1648</v>
      </c>
      <c r="L3020">
        <v>5000</v>
      </c>
      <c r="M3020">
        <v>500000</v>
      </c>
      <c r="N3020" s="105">
        <v>44378</v>
      </c>
      <c r="O3020" s="105">
        <v>44561</v>
      </c>
      <c r="P3020" t="s">
        <v>718</v>
      </c>
      <c r="R3020" s="154"/>
      <c r="S3020" s="154"/>
      <c r="T3020" s="154"/>
      <c r="U3020" s="154"/>
    </row>
    <row r="3021" spans="1:21" ht="15" customHeight="1" x14ac:dyDescent="0.3">
      <c r="A3021" t="str">
        <f t="shared" si="48"/>
        <v/>
      </c>
      <c r="B3021" t="s">
        <v>13</v>
      </c>
      <c r="C3021">
        <v>11</v>
      </c>
      <c r="D3021" s="100" t="s">
        <v>20</v>
      </c>
      <c r="E3021" t="s">
        <v>720</v>
      </c>
      <c r="F3021" t="s">
        <v>18</v>
      </c>
      <c r="G3021" t="s">
        <v>745</v>
      </c>
      <c r="H3021" s="128">
        <v>0.31440000000000001</v>
      </c>
      <c r="J3021" s="110">
        <v>0.1648</v>
      </c>
      <c r="L3021">
        <v>5000</v>
      </c>
      <c r="M3021">
        <v>500000</v>
      </c>
      <c r="N3021" s="105">
        <v>44378</v>
      </c>
      <c r="O3021" s="105">
        <v>44561</v>
      </c>
      <c r="P3021" t="s">
        <v>718</v>
      </c>
      <c r="R3021" s="154"/>
      <c r="S3021" s="154"/>
      <c r="T3021" s="154"/>
      <c r="U3021" s="154"/>
    </row>
    <row r="3022" spans="1:21" ht="15" customHeight="1" x14ac:dyDescent="0.3">
      <c r="A3022" t="str">
        <f t="shared" si="48"/>
        <v>12-3-U-SmartPAY24 (Level 2)</v>
      </c>
      <c r="B3022" t="s">
        <v>13</v>
      </c>
      <c r="C3022">
        <v>12</v>
      </c>
      <c r="D3022" s="100" t="s">
        <v>21</v>
      </c>
      <c r="E3022" t="s">
        <v>716</v>
      </c>
      <c r="F3022" t="s">
        <v>16</v>
      </c>
      <c r="G3022" t="s">
        <v>745</v>
      </c>
      <c r="H3022" s="128">
        <v>0.23719999999999999</v>
      </c>
      <c r="I3022" s="110">
        <v>0.15869999999999998</v>
      </c>
      <c r="L3022">
        <v>5000</v>
      </c>
      <c r="M3022">
        <v>500000</v>
      </c>
      <c r="N3022" s="105">
        <v>44378</v>
      </c>
      <c r="O3022" s="105">
        <v>44561</v>
      </c>
      <c r="P3022" t="s">
        <v>718</v>
      </c>
      <c r="R3022" s="154"/>
      <c r="S3022" s="154"/>
      <c r="T3022" s="154"/>
      <c r="U3022" s="154"/>
    </row>
    <row r="3023" spans="1:21" ht="15" customHeight="1" x14ac:dyDescent="0.3">
      <c r="A3023" t="str">
        <f t="shared" si="48"/>
        <v>12-4-E7-SmartPAY24 (Level 2)</v>
      </c>
      <c r="B3023" t="s">
        <v>13</v>
      </c>
      <c r="C3023">
        <v>12</v>
      </c>
      <c r="D3023" s="100" t="s">
        <v>21</v>
      </c>
      <c r="E3023" t="s">
        <v>17</v>
      </c>
      <c r="F3023" t="s">
        <v>18</v>
      </c>
      <c r="G3023" t="s">
        <v>745</v>
      </c>
      <c r="H3023" s="128">
        <v>0.23719999999999999</v>
      </c>
      <c r="I3023" s="110">
        <v>0.15869999999999998</v>
      </c>
      <c r="J3023" s="110">
        <v>0.15869999999999998</v>
      </c>
      <c r="L3023">
        <v>5000</v>
      </c>
      <c r="M3023">
        <v>500000</v>
      </c>
      <c r="N3023" s="105">
        <v>44378</v>
      </c>
      <c r="O3023" s="105">
        <v>44561</v>
      </c>
      <c r="P3023" t="s">
        <v>718</v>
      </c>
      <c r="R3023" s="154"/>
      <c r="S3023" s="154"/>
      <c r="T3023" s="154"/>
      <c r="U3023" s="154"/>
    </row>
    <row r="3024" spans="1:21" ht="15" customHeight="1" x14ac:dyDescent="0.3">
      <c r="A3024" t="str">
        <f t="shared" si="48"/>
        <v>12-3-EW-SmartPAY24 (Level 2)</v>
      </c>
      <c r="B3024" t="s">
        <v>13</v>
      </c>
      <c r="C3024">
        <v>12</v>
      </c>
      <c r="D3024" s="100" t="s">
        <v>21</v>
      </c>
      <c r="E3024" t="s">
        <v>19</v>
      </c>
      <c r="F3024" t="s">
        <v>16</v>
      </c>
      <c r="G3024" t="s">
        <v>745</v>
      </c>
      <c r="H3024" s="128">
        <v>0.23719999999999999</v>
      </c>
      <c r="I3024" s="110">
        <v>0.15869999999999998</v>
      </c>
      <c r="K3024" s="110">
        <v>0.15869999999999998</v>
      </c>
      <c r="L3024">
        <v>5000</v>
      </c>
      <c r="M3024">
        <v>500000</v>
      </c>
      <c r="N3024" s="105">
        <v>44378</v>
      </c>
      <c r="O3024" s="105">
        <v>44561</v>
      </c>
      <c r="P3024" t="s">
        <v>718</v>
      </c>
      <c r="R3024" s="154"/>
      <c r="S3024" s="154"/>
      <c r="T3024" s="154"/>
      <c r="U3024" s="154"/>
    </row>
    <row r="3025" spans="1:21" ht="15" customHeight="1" x14ac:dyDescent="0.3">
      <c r="A3025" t="str">
        <f t="shared" si="48"/>
        <v>12-4-3RATE-SmartPAY24 (Level 2)</v>
      </c>
      <c r="B3025" t="s">
        <v>13</v>
      </c>
      <c r="C3025">
        <v>12</v>
      </c>
      <c r="D3025" s="100" t="s">
        <v>21</v>
      </c>
      <c r="E3025" t="s">
        <v>719</v>
      </c>
      <c r="F3025" t="s">
        <v>18</v>
      </c>
      <c r="G3025" t="s">
        <v>745</v>
      </c>
      <c r="H3025" s="128">
        <v>0.23719999999999999</v>
      </c>
      <c r="I3025" s="110">
        <v>0.15869999999999998</v>
      </c>
      <c r="J3025" s="110">
        <v>0.15869999999999998</v>
      </c>
      <c r="K3025" s="110">
        <v>0.15869999999999998</v>
      </c>
      <c r="L3025">
        <v>5000</v>
      </c>
      <c r="M3025">
        <v>500000</v>
      </c>
      <c r="N3025" s="105">
        <v>44378</v>
      </c>
      <c r="O3025" s="105">
        <v>44561</v>
      </c>
      <c r="P3025" t="s">
        <v>718</v>
      </c>
      <c r="R3025" s="154"/>
      <c r="S3025" s="154"/>
      <c r="T3025" s="154"/>
      <c r="U3025" s="154"/>
    </row>
    <row r="3026" spans="1:21" ht="15" customHeight="1" x14ac:dyDescent="0.3">
      <c r="A3026" t="str">
        <f t="shared" si="48"/>
        <v/>
      </c>
      <c r="B3026" t="s">
        <v>13</v>
      </c>
      <c r="C3026">
        <v>12</v>
      </c>
      <c r="D3026" s="100" t="s">
        <v>21</v>
      </c>
      <c r="E3026" t="s">
        <v>720</v>
      </c>
      <c r="F3026" t="s">
        <v>18</v>
      </c>
      <c r="G3026" t="s">
        <v>745</v>
      </c>
      <c r="H3026" s="128">
        <v>0.23719999999999999</v>
      </c>
      <c r="J3026" s="110">
        <v>0.15869999999999998</v>
      </c>
      <c r="L3026">
        <v>5000</v>
      </c>
      <c r="M3026">
        <v>500000</v>
      </c>
      <c r="N3026" s="105">
        <v>44378</v>
      </c>
      <c r="O3026" s="105">
        <v>44561</v>
      </c>
      <c r="P3026" t="s">
        <v>718</v>
      </c>
      <c r="R3026" s="154"/>
      <c r="S3026" s="154"/>
      <c r="T3026" s="154"/>
      <c r="U3026" s="154"/>
    </row>
    <row r="3027" spans="1:21" ht="15" customHeight="1" x14ac:dyDescent="0.3">
      <c r="A3027" t="str">
        <f t="shared" si="48"/>
        <v>13-3-U-SmartPAY24 (Level 2)</v>
      </c>
      <c r="B3027" t="s">
        <v>13</v>
      </c>
      <c r="C3027">
        <v>13</v>
      </c>
      <c r="D3027" s="100" t="s">
        <v>22</v>
      </c>
      <c r="E3027" t="s">
        <v>716</v>
      </c>
      <c r="F3027" t="s">
        <v>16</v>
      </c>
      <c r="G3027" t="s">
        <v>745</v>
      </c>
      <c r="H3027" s="128">
        <v>0.2792</v>
      </c>
      <c r="I3027" s="110">
        <v>0.18429999999999999</v>
      </c>
      <c r="L3027">
        <v>5000</v>
      </c>
      <c r="M3027">
        <v>500000</v>
      </c>
      <c r="N3027" s="105">
        <v>44378</v>
      </c>
      <c r="O3027" s="105">
        <v>44561</v>
      </c>
      <c r="P3027" t="s">
        <v>718</v>
      </c>
      <c r="R3027" s="154"/>
      <c r="S3027" s="154"/>
      <c r="T3027" s="154"/>
      <c r="U3027" s="154"/>
    </row>
    <row r="3028" spans="1:21" ht="15" customHeight="1" x14ac:dyDescent="0.3">
      <c r="A3028" t="str">
        <f t="shared" si="48"/>
        <v>13-4-E7-SmartPAY24 (Level 2)</v>
      </c>
      <c r="B3028" t="s">
        <v>13</v>
      </c>
      <c r="C3028">
        <v>13</v>
      </c>
      <c r="D3028" s="100" t="s">
        <v>22</v>
      </c>
      <c r="E3028" t="s">
        <v>17</v>
      </c>
      <c r="F3028" t="s">
        <v>18</v>
      </c>
      <c r="G3028" t="s">
        <v>745</v>
      </c>
      <c r="H3028" s="128">
        <v>0.2792</v>
      </c>
      <c r="I3028" s="110">
        <v>0.18429999999999999</v>
      </c>
      <c r="J3028" s="110">
        <v>0.18429999999999999</v>
      </c>
      <c r="L3028">
        <v>5000</v>
      </c>
      <c r="M3028">
        <v>500000</v>
      </c>
      <c r="N3028" s="105">
        <v>44378</v>
      </c>
      <c r="O3028" s="105">
        <v>44561</v>
      </c>
      <c r="P3028" t="s">
        <v>718</v>
      </c>
      <c r="R3028" s="154"/>
      <c r="S3028" s="154"/>
      <c r="T3028" s="154"/>
      <c r="U3028" s="154"/>
    </row>
    <row r="3029" spans="1:21" ht="15" customHeight="1" x14ac:dyDescent="0.3">
      <c r="A3029" t="str">
        <f t="shared" si="48"/>
        <v>13-3-EW-SmartPAY24 (Level 2)</v>
      </c>
      <c r="B3029" t="s">
        <v>13</v>
      </c>
      <c r="C3029">
        <v>13</v>
      </c>
      <c r="D3029" s="100" t="s">
        <v>22</v>
      </c>
      <c r="E3029" t="s">
        <v>19</v>
      </c>
      <c r="F3029" t="s">
        <v>16</v>
      </c>
      <c r="G3029" t="s">
        <v>745</v>
      </c>
      <c r="H3029" s="128">
        <v>0.2792</v>
      </c>
      <c r="I3029" s="110">
        <v>0.18429999999999999</v>
      </c>
      <c r="K3029" s="110">
        <v>0.18429999999999999</v>
      </c>
      <c r="L3029">
        <v>5000</v>
      </c>
      <c r="M3029">
        <v>500000</v>
      </c>
      <c r="N3029" s="105">
        <v>44378</v>
      </c>
      <c r="O3029" s="105">
        <v>44561</v>
      </c>
      <c r="P3029" t="s">
        <v>718</v>
      </c>
      <c r="R3029" s="154"/>
      <c r="S3029" s="154"/>
      <c r="T3029" s="154"/>
      <c r="U3029" s="154"/>
    </row>
    <row r="3030" spans="1:21" ht="15" customHeight="1" x14ac:dyDescent="0.3">
      <c r="A3030" t="str">
        <f t="shared" si="48"/>
        <v>13-4-3RATE-SmartPAY24 (Level 2)</v>
      </c>
      <c r="B3030" t="s">
        <v>13</v>
      </c>
      <c r="C3030">
        <v>13</v>
      </c>
      <c r="D3030" s="100" t="s">
        <v>22</v>
      </c>
      <c r="E3030" t="s">
        <v>719</v>
      </c>
      <c r="F3030" t="s">
        <v>18</v>
      </c>
      <c r="G3030" t="s">
        <v>745</v>
      </c>
      <c r="H3030" s="128">
        <v>0.2792</v>
      </c>
      <c r="I3030" s="110">
        <v>0.18429999999999999</v>
      </c>
      <c r="J3030" s="110">
        <v>0.18429999999999999</v>
      </c>
      <c r="K3030" s="110">
        <v>0.18429999999999999</v>
      </c>
      <c r="L3030">
        <v>5000</v>
      </c>
      <c r="M3030">
        <v>500000</v>
      </c>
      <c r="N3030" s="105">
        <v>44378</v>
      </c>
      <c r="O3030" s="105">
        <v>44561</v>
      </c>
      <c r="P3030" t="s">
        <v>718</v>
      </c>
      <c r="R3030" s="154"/>
      <c r="S3030" s="154"/>
      <c r="T3030" s="154"/>
      <c r="U3030" s="154"/>
    </row>
    <row r="3031" spans="1:21" ht="15" customHeight="1" x14ac:dyDescent="0.3">
      <c r="A3031" t="str">
        <f t="shared" si="48"/>
        <v/>
      </c>
      <c r="B3031" t="s">
        <v>13</v>
      </c>
      <c r="C3031">
        <v>13</v>
      </c>
      <c r="D3031" s="100" t="s">
        <v>22</v>
      </c>
      <c r="E3031" t="s">
        <v>720</v>
      </c>
      <c r="F3031" t="s">
        <v>18</v>
      </c>
      <c r="G3031" t="s">
        <v>745</v>
      </c>
      <c r="H3031" s="128">
        <v>0.2792</v>
      </c>
      <c r="J3031" s="110">
        <v>0.18429999999999999</v>
      </c>
      <c r="L3031">
        <v>5000</v>
      </c>
      <c r="M3031">
        <v>500000</v>
      </c>
      <c r="N3031" s="105">
        <v>44378</v>
      </c>
      <c r="O3031" s="105">
        <v>44561</v>
      </c>
      <c r="P3031" t="s">
        <v>718</v>
      </c>
      <c r="R3031" s="154"/>
      <c r="S3031" s="154"/>
      <c r="T3031" s="154"/>
      <c r="U3031" s="154"/>
    </row>
    <row r="3032" spans="1:21" ht="15" customHeight="1" x14ac:dyDescent="0.3">
      <c r="A3032" t="str">
        <f t="shared" si="48"/>
        <v>14-3-U-SmartPAY24 (Level 2)</v>
      </c>
      <c r="B3032" t="s">
        <v>13</v>
      </c>
      <c r="C3032">
        <v>14</v>
      </c>
      <c r="D3032" s="100" t="s">
        <v>23</v>
      </c>
      <c r="E3032" t="s">
        <v>716</v>
      </c>
      <c r="F3032" t="s">
        <v>16</v>
      </c>
      <c r="G3032" t="s">
        <v>745</v>
      </c>
      <c r="H3032" s="128">
        <v>0.34450000000000003</v>
      </c>
      <c r="I3032" s="110">
        <v>0.16800000000000001</v>
      </c>
      <c r="L3032">
        <v>5000</v>
      </c>
      <c r="M3032">
        <v>500000</v>
      </c>
      <c r="N3032" s="105">
        <v>44378</v>
      </c>
      <c r="O3032" s="105">
        <v>44561</v>
      </c>
      <c r="P3032" t="s">
        <v>718</v>
      </c>
      <c r="R3032" s="154"/>
      <c r="S3032" s="154"/>
      <c r="T3032" s="154"/>
      <c r="U3032" s="154"/>
    </row>
    <row r="3033" spans="1:21" ht="15" customHeight="1" x14ac:dyDescent="0.3">
      <c r="A3033" t="str">
        <f t="shared" si="48"/>
        <v>14-4-E7-SmartPAY24 (Level 2)</v>
      </c>
      <c r="B3033" t="s">
        <v>13</v>
      </c>
      <c r="C3033">
        <v>14</v>
      </c>
      <c r="D3033" s="100" t="s">
        <v>23</v>
      </c>
      <c r="E3033" t="s">
        <v>17</v>
      </c>
      <c r="F3033" t="s">
        <v>18</v>
      </c>
      <c r="G3033" t="s">
        <v>745</v>
      </c>
      <c r="H3033" s="128">
        <v>0.34450000000000003</v>
      </c>
      <c r="I3033" s="110">
        <v>0.16800000000000001</v>
      </c>
      <c r="J3033" s="110">
        <v>0.16800000000000001</v>
      </c>
      <c r="L3033">
        <v>5000</v>
      </c>
      <c r="M3033">
        <v>500000</v>
      </c>
      <c r="N3033" s="105">
        <v>44378</v>
      </c>
      <c r="O3033" s="105">
        <v>44561</v>
      </c>
      <c r="P3033" t="s">
        <v>718</v>
      </c>
      <c r="R3033" s="154"/>
      <c r="S3033" s="154"/>
      <c r="T3033" s="154"/>
      <c r="U3033" s="154"/>
    </row>
    <row r="3034" spans="1:21" ht="15" customHeight="1" x14ac:dyDescent="0.3">
      <c r="A3034" t="str">
        <f t="shared" si="48"/>
        <v>14-3-EW-SmartPAY24 (Level 2)</v>
      </c>
      <c r="B3034" t="s">
        <v>13</v>
      </c>
      <c r="C3034">
        <v>14</v>
      </c>
      <c r="D3034" s="100" t="s">
        <v>23</v>
      </c>
      <c r="E3034" t="s">
        <v>19</v>
      </c>
      <c r="F3034" t="s">
        <v>16</v>
      </c>
      <c r="G3034" t="s">
        <v>745</v>
      </c>
      <c r="H3034" s="128">
        <v>0.34450000000000003</v>
      </c>
      <c r="I3034" s="110">
        <v>0.16800000000000001</v>
      </c>
      <c r="K3034" s="110">
        <v>0.16800000000000001</v>
      </c>
      <c r="L3034">
        <v>5000</v>
      </c>
      <c r="M3034">
        <v>500000</v>
      </c>
      <c r="N3034" s="105">
        <v>44378</v>
      </c>
      <c r="O3034" s="105">
        <v>44561</v>
      </c>
      <c r="P3034" t="s">
        <v>718</v>
      </c>
      <c r="R3034" s="154"/>
      <c r="S3034" s="154"/>
      <c r="T3034" s="154"/>
      <c r="U3034" s="154"/>
    </row>
    <row r="3035" spans="1:21" ht="15" customHeight="1" x14ac:dyDescent="0.3">
      <c r="A3035" t="str">
        <f t="shared" si="48"/>
        <v>14-4-3RATE-SmartPAY24 (Level 2)</v>
      </c>
      <c r="B3035" t="s">
        <v>13</v>
      </c>
      <c r="C3035">
        <v>14</v>
      </c>
      <c r="D3035" s="100" t="s">
        <v>23</v>
      </c>
      <c r="E3035" t="s">
        <v>719</v>
      </c>
      <c r="F3035" t="s">
        <v>18</v>
      </c>
      <c r="G3035" t="s">
        <v>745</v>
      </c>
      <c r="H3035" s="128">
        <v>0.34450000000000003</v>
      </c>
      <c r="I3035" s="110">
        <v>0.16800000000000001</v>
      </c>
      <c r="J3035" s="110">
        <v>0.16800000000000001</v>
      </c>
      <c r="K3035" s="110">
        <v>0.16800000000000001</v>
      </c>
      <c r="L3035">
        <v>5000</v>
      </c>
      <c r="M3035">
        <v>500000</v>
      </c>
      <c r="N3035" s="105">
        <v>44378</v>
      </c>
      <c r="O3035" s="105">
        <v>44561</v>
      </c>
      <c r="P3035" t="s">
        <v>718</v>
      </c>
      <c r="R3035" s="154"/>
      <c r="S3035" s="154"/>
      <c r="T3035" s="154"/>
      <c r="U3035" s="154"/>
    </row>
    <row r="3036" spans="1:21" ht="15" customHeight="1" x14ac:dyDescent="0.3">
      <c r="A3036" t="str">
        <f t="shared" si="48"/>
        <v/>
      </c>
      <c r="B3036" t="s">
        <v>13</v>
      </c>
      <c r="C3036">
        <v>14</v>
      </c>
      <c r="D3036" s="100" t="s">
        <v>23</v>
      </c>
      <c r="E3036" t="s">
        <v>720</v>
      </c>
      <c r="F3036" t="s">
        <v>18</v>
      </c>
      <c r="G3036" t="s">
        <v>745</v>
      </c>
      <c r="H3036" s="128">
        <v>0.34450000000000003</v>
      </c>
      <c r="J3036" s="110">
        <v>0.16800000000000001</v>
      </c>
      <c r="L3036">
        <v>5000</v>
      </c>
      <c r="M3036">
        <v>500000</v>
      </c>
      <c r="N3036" s="105">
        <v>44378</v>
      </c>
      <c r="O3036" s="105">
        <v>44561</v>
      </c>
      <c r="P3036" t="s">
        <v>718</v>
      </c>
      <c r="R3036" s="154"/>
      <c r="S3036" s="154"/>
      <c r="T3036" s="154"/>
      <c r="U3036" s="154"/>
    </row>
    <row r="3037" spans="1:21" ht="15" customHeight="1" x14ac:dyDescent="0.3">
      <c r="A3037" t="str">
        <f t="shared" si="48"/>
        <v>15-3-U-SmartPAY24 (Level 2)</v>
      </c>
      <c r="B3037" t="s">
        <v>13</v>
      </c>
      <c r="C3037">
        <v>15</v>
      </c>
      <c r="D3037" s="100" t="s">
        <v>24</v>
      </c>
      <c r="E3037" t="s">
        <v>716</v>
      </c>
      <c r="F3037" t="s">
        <v>16</v>
      </c>
      <c r="G3037" t="s">
        <v>745</v>
      </c>
      <c r="H3037" s="128">
        <v>0.31980000000000003</v>
      </c>
      <c r="I3037" s="110">
        <v>0.16769999999999999</v>
      </c>
      <c r="L3037">
        <v>5000</v>
      </c>
      <c r="M3037">
        <v>500000</v>
      </c>
      <c r="N3037" s="105">
        <v>44378</v>
      </c>
      <c r="O3037" s="105">
        <v>44561</v>
      </c>
      <c r="P3037" t="s">
        <v>718</v>
      </c>
      <c r="R3037" s="154"/>
      <c r="S3037" s="154"/>
      <c r="T3037" s="154"/>
      <c r="U3037" s="154"/>
    </row>
    <row r="3038" spans="1:21" ht="15" customHeight="1" x14ac:dyDescent="0.3">
      <c r="A3038" t="str">
        <f t="shared" si="48"/>
        <v>15-4-E7-SmartPAY24 (Level 2)</v>
      </c>
      <c r="B3038" t="s">
        <v>13</v>
      </c>
      <c r="C3038">
        <v>15</v>
      </c>
      <c r="D3038" s="100" t="s">
        <v>24</v>
      </c>
      <c r="E3038" t="s">
        <v>17</v>
      </c>
      <c r="F3038" t="s">
        <v>18</v>
      </c>
      <c r="G3038" t="s">
        <v>745</v>
      </c>
      <c r="H3038" s="128">
        <v>0.31980000000000003</v>
      </c>
      <c r="I3038" s="110">
        <v>0.16769999999999999</v>
      </c>
      <c r="J3038" s="110">
        <v>0.16769999999999999</v>
      </c>
      <c r="L3038">
        <v>5000</v>
      </c>
      <c r="M3038">
        <v>500000</v>
      </c>
      <c r="N3038" s="105">
        <v>44378</v>
      </c>
      <c r="O3038" s="105">
        <v>44561</v>
      </c>
      <c r="P3038" t="s">
        <v>718</v>
      </c>
      <c r="R3038" s="154"/>
      <c r="S3038" s="154"/>
      <c r="T3038" s="154"/>
      <c r="U3038" s="154"/>
    </row>
    <row r="3039" spans="1:21" ht="15" customHeight="1" x14ac:dyDescent="0.3">
      <c r="A3039" t="str">
        <f t="shared" si="48"/>
        <v>15-3-EW-SmartPAY24 (Level 2)</v>
      </c>
      <c r="B3039" t="s">
        <v>13</v>
      </c>
      <c r="C3039">
        <v>15</v>
      </c>
      <c r="D3039" s="100" t="s">
        <v>24</v>
      </c>
      <c r="E3039" t="s">
        <v>19</v>
      </c>
      <c r="F3039" t="s">
        <v>16</v>
      </c>
      <c r="G3039" t="s">
        <v>745</v>
      </c>
      <c r="H3039" s="128">
        <v>0.31980000000000003</v>
      </c>
      <c r="I3039" s="110">
        <v>0.16769999999999999</v>
      </c>
      <c r="K3039" s="110">
        <v>0.16769999999999999</v>
      </c>
      <c r="L3039">
        <v>5000</v>
      </c>
      <c r="M3039">
        <v>500000</v>
      </c>
      <c r="N3039" s="105">
        <v>44378</v>
      </c>
      <c r="O3039" s="105">
        <v>44561</v>
      </c>
      <c r="P3039" t="s">
        <v>718</v>
      </c>
      <c r="R3039" s="154"/>
      <c r="S3039" s="154"/>
      <c r="T3039" s="154"/>
      <c r="U3039" s="154"/>
    </row>
    <row r="3040" spans="1:21" ht="15" customHeight="1" x14ac:dyDescent="0.3">
      <c r="A3040" t="str">
        <f t="shared" si="48"/>
        <v>15-4-3RATE-SmartPAY24 (Level 2)</v>
      </c>
      <c r="B3040" t="s">
        <v>13</v>
      </c>
      <c r="C3040">
        <v>15</v>
      </c>
      <c r="D3040" s="100" t="s">
        <v>24</v>
      </c>
      <c r="E3040" t="s">
        <v>719</v>
      </c>
      <c r="F3040" t="s">
        <v>18</v>
      </c>
      <c r="G3040" t="s">
        <v>745</v>
      </c>
      <c r="H3040" s="128">
        <v>0.31980000000000003</v>
      </c>
      <c r="I3040" s="110">
        <v>0.16769999999999999</v>
      </c>
      <c r="J3040" s="110">
        <v>0.16769999999999999</v>
      </c>
      <c r="K3040" s="110">
        <v>0.16769999999999999</v>
      </c>
      <c r="L3040">
        <v>5000</v>
      </c>
      <c r="M3040">
        <v>500000</v>
      </c>
      <c r="N3040" s="105">
        <v>44378</v>
      </c>
      <c r="O3040" s="105">
        <v>44561</v>
      </c>
      <c r="P3040" t="s">
        <v>718</v>
      </c>
      <c r="R3040" s="154"/>
      <c r="S3040" s="154"/>
      <c r="T3040" s="154"/>
      <c r="U3040" s="154"/>
    </row>
    <row r="3041" spans="1:21" ht="15" customHeight="1" x14ac:dyDescent="0.3">
      <c r="A3041" t="str">
        <f t="shared" si="48"/>
        <v/>
      </c>
      <c r="B3041" t="s">
        <v>13</v>
      </c>
      <c r="C3041">
        <v>15</v>
      </c>
      <c r="D3041" s="100" t="s">
        <v>24</v>
      </c>
      <c r="E3041" t="s">
        <v>720</v>
      </c>
      <c r="F3041" t="s">
        <v>18</v>
      </c>
      <c r="G3041" t="s">
        <v>745</v>
      </c>
      <c r="H3041" s="128">
        <v>0.31980000000000003</v>
      </c>
      <c r="J3041" s="110">
        <v>0.16769999999999999</v>
      </c>
      <c r="L3041">
        <v>5000</v>
      </c>
      <c r="M3041">
        <v>500000</v>
      </c>
      <c r="N3041" s="105">
        <v>44378</v>
      </c>
      <c r="O3041" s="105">
        <v>44561</v>
      </c>
      <c r="P3041" t="s">
        <v>718</v>
      </c>
      <c r="R3041" s="154"/>
      <c r="S3041" s="154"/>
      <c r="T3041" s="154"/>
      <c r="U3041" s="154"/>
    </row>
    <row r="3042" spans="1:21" ht="15" customHeight="1" x14ac:dyDescent="0.3">
      <c r="A3042" t="str">
        <f t="shared" si="48"/>
        <v>16-3-U-SmartPAY24 (Level 2)</v>
      </c>
      <c r="B3042" t="s">
        <v>13</v>
      </c>
      <c r="C3042">
        <v>16</v>
      </c>
      <c r="D3042" s="100" t="s">
        <v>25</v>
      </c>
      <c r="E3042" t="s">
        <v>716</v>
      </c>
      <c r="F3042" t="s">
        <v>16</v>
      </c>
      <c r="G3042" t="s">
        <v>745</v>
      </c>
      <c r="H3042" s="128">
        <v>0.2707</v>
      </c>
      <c r="I3042" s="110">
        <v>0.1699</v>
      </c>
      <c r="L3042">
        <v>5000</v>
      </c>
      <c r="M3042">
        <v>500000</v>
      </c>
      <c r="N3042" s="105">
        <v>44378</v>
      </c>
      <c r="O3042" s="105">
        <v>44561</v>
      </c>
      <c r="P3042" t="s">
        <v>718</v>
      </c>
      <c r="R3042" s="154"/>
      <c r="S3042" s="154"/>
      <c r="T3042" s="154"/>
      <c r="U3042" s="154"/>
    </row>
    <row r="3043" spans="1:21" ht="15" customHeight="1" x14ac:dyDescent="0.3">
      <c r="A3043" t="str">
        <f t="shared" ref="A3043:A3106" si="49">IF(E3043="OP","",CONCATENATE(C3043,"-",RIGHT(F3043,1),"-",IF(OR(E3043="1 Rate MD",E3043="DAY"),"U",IF(OR(E3043="2 Rate MD",E3043="E7"),"E7",IF(OR(E3043="3 Rate MD (EW)",E3043="EW"),"EW",IF(OR(E3043="3 Rate MD",E3043="EWN"),"3RATE",IF(E3043="HH 2RATE (CT)","HH 2RATE (CT)",IF(E3043="HH 2RATE (WC)","HH 2RATE (WC)",IF(E3043="HH 1RATE (CT)","HH 1RATE (CT)",IF(E3043="HH 1RATE (WC)","HH 1RATE (WC)")))))))),"-",G3043))</f>
        <v>16-4-E7-SmartPAY24 (Level 2)</v>
      </c>
      <c r="B3043" t="s">
        <v>13</v>
      </c>
      <c r="C3043">
        <v>16</v>
      </c>
      <c r="D3043" s="100" t="s">
        <v>25</v>
      </c>
      <c r="E3043" t="s">
        <v>17</v>
      </c>
      <c r="F3043" t="s">
        <v>18</v>
      </c>
      <c r="G3043" t="s">
        <v>745</v>
      </c>
      <c r="H3043" s="128">
        <v>0.2707</v>
      </c>
      <c r="I3043" s="110">
        <v>0.1699</v>
      </c>
      <c r="J3043" s="110">
        <v>0.1699</v>
      </c>
      <c r="L3043">
        <v>5000</v>
      </c>
      <c r="M3043">
        <v>500000</v>
      </c>
      <c r="N3043" s="105">
        <v>44378</v>
      </c>
      <c r="O3043" s="105">
        <v>44561</v>
      </c>
      <c r="P3043" t="s">
        <v>718</v>
      </c>
      <c r="R3043" s="154"/>
      <c r="S3043" s="154"/>
      <c r="T3043" s="154"/>
      <c r="U3043" s="154"/>
    </row>
    <row r="3044" spans="1:21" ht="15" customHeight="1" x14ac:dyDescent="0.3">
      <c r="A3044" t="str">
        <f t="shared" si="49"/>
        <v>16-3-EW-SmartPAY24 (Level 2)</v>
      </c>
      <c r="B3044" t="s">
        <v>13</v>
      </c>
      <c r="C3044">
        <v>16</v>
      </c>
      <c r="D3044" s="100" t="s">
        <v>25</v>
      </c>
      <c r="E3044" t="s">
        <v>19</v>
      </c>
      <c r="F3044" t="s">
        <v>16</v>
      </c>
      <c r="G3044" t="s">
        <v>745</v>
      </c>
      <c r="H3044" s="128">
        <v>0.2707</v>
      </c>
      <c r="I3044" s="110">
        <v>0.1699</v>
      </c>
      <c r="K3044" s="110">
        <v>0.1699</v>
      </c>
      <c r="L3044">
        <v>5000</v>
      </c>
      <c r="M3044">
        <v>500000</v>
      </c>
      <c r="N3044" s="105">
        <v>44378</v>
      </c>
      <c r="O3044" s="105">
        <v>44561</v>
      </c>
      <c r="P3044" t="s">
        <v>718</v>
      </c>
      <c r="R3044" s="154"/>
      <c r="S3044" s="154"/>
      <c r="T3044" s="154"/>
      <c r="U3044" s="154"/>
    </row>
    <row r="3045" spans="1:21" ht="15" customHeight="1" x14ac:dyDescent="0.3">
      <c r="A3045" t="str">
        <f t="shared" si="49"/>
        <v>16-4-3RATE-SmartPAY24 (Level 2)</v>
      </c>
      <c r="B3045" t="s">
        <v>13</v>
      </c>
      <c r="C3045">
        <v>16</v>
      </c>
      <c r="D3045" s="100" t="s">
        <v>25</v>
      </c>
      <c r="E3045" t="s">
        <v>719</v>
      </c>
      <c r="F3045" t="s">
        <v>18</v>
      </c>
      <c r="G3045" t="s">
        <v>745</v>
      </c>
      <c r="H3045" s="128">
        <v>0.2707</v>
      </c>
      <c r="I3045" s="110">
        <v>0.1699</v>
      </c>
      <c r="J3045" s="110">
        <v>0.1699</v>
      </c>
      <c r="K3045" s="110">
        <v>0.1699</v>
      </c>
      <c r="L3045">
        <v>5000</v>
      </c>
      <c r="M3045">
        <v>500000</v>
      </c>
      <c r="N3045" s="105">
        <v>44378</v>
      </c>
      <c r="O3045" s="105">
        <v>44561</v>
      </c>
      <c r="P3045" t="s">
        <v>718</v>
      </c>
      <c r="R3045" s="154"/>
      <c r="S3045" s="154"/>
      <c r="T3045" s="154"/>
      <c r="U3045" s="154"/>
    </row>
    <row r="3046" spans="1:21" ht="15" customHeight="1" x14ac:dyDescent="0.3">
      <c r="A3046" t="str">
        <f t="shared" si="49"/>
        <v/>
      </c>
      <c r="B3046" t="s">
        <v>13</v>
      </c>
      <c r="C3046">
        <v>16</v>
      </c>
      <c r="D3046" s="100" t="s">
        <v>25</v>
      </c>
      <c r="E3046" t="s">
        <v>720</v>
      </c>
      <c r="F3046" t="s">
        <v>18</v>
      </c>
      <c r="G3046" t="s">
        <v>745</v>
      </c>
      <c r="H3046" s="128">
        <v>0.2707</v>
      </c>
      <c r="J3046" s="110">
        <v>0.1699</v>
      </c>
      <c r="L3046">
        <v>5000</v>
      </c>
      <c r="M3046">
        <v>500000</v>
      </c>
      <c r="N3046" s="105">
        <v>44378</v>
      </c>
      <c r="O3046" s="105">
        <v>44561</v>
      </c>
      <c r="P3046" t="s">
        <v>718</v>
      </c>
      <c r="R3046" s="154"/>
      <c r="S3046" s="154"/>
      <c r="T3046" s="154"/>
      <c r="U3046" s="154"/>
    </row>
    <row r="3047" spans="1:21" ht="15" customHeight="1" x14ac:dyDescent="0.3">
      <c r="A3047" t="str">
        <f t="shared" si="49"/>
        <v>17-3-U-SmartPAY24 (Level 2)</v>
      </c>
      <c r="B3047" t="s">
        <v>13</v>
      </c>
      <c r="C3047">
        <v>17</v>
      </c>
      <c r="D3047" s="100" t="s">
        <v>26</v>
      </c>
      <c r="E3047" t="s">
        <v>716</v>
      </c>
      <c r="F3047" t="s">
        <v>16</v>
      </c>
      <c r="G3047" t="s">
        <v>745</v>
      </c>
      <c r="H3047" s="128">
        <v>0.35659999999999997</v>
      </c>
      <c r="I3047" s="110">
        <v>0.17280000000000001</v>
      </c>
      <c r="L3047">
        <v>5000</v>
      </c>
      <c r="M3047">
        <v>500000</v>
      </c>
      <c r="N3047" s="105">
        <v>44378</v>
      </c>
      <c r="O3047" s="105">
        <v>44561</v>
      </c>
      <c r="P3047" t="s">
        <v>718</v>
      </c>
      <c r="R3047" s="154"/>
      <c r="S3047" s="154"/>
      <c r="T3047" s="154"/>
      <c r="U3047" s="154"/>
    </row>
    <row r="3048" spans="1:21" ht="15" customHeight="1" x14ac:dyDescent="0.3">
      <c r="A3048" t="str">
        <f t="shared" si="49"/>
        <v>17-4-E7-SmartPAY24 (Level 2)</v>
      </c>
      <c r="B3048" t="s">
        <v>13</v>
      </c>
      <c r="C3048">
        <v>17</v>
      </c>
      <c r="D3048" s="100" t="s">
        <v>26</v>
      </c>
      <c r="E3048" t="s">
        <v>17</v>
      </c>
      <c r="F3048" t="s">
        <v>18</v>
      </c>
      <c r="G3048" t="s">
        <v>745</v>
      </c>
      <c r="H3048" s="128">
        <v>0.35659999999999997</v>
      </c>
      <c r="I3048" s="110">
        <v>0.17280000000000001</v>
      </c>
      <c r="J3048" s="110">
        <v>0.17280000000000001</v>
      </c>
      <c r="L3048">
        <v>5000</v>
      </c>
      <c r="M3048">
        <v>500000</v>
      </c>
      <c r="N3048" s="105">
        <v>44378</v>
      </c>
      <c r="O3048" s="105">
        <v>44561</v>
      </c>
      <c r="P3048" t="s">
        <v>718</v>
      </c>
      <c r="R3048" s="154"/>
      <c r="S3048" s="154"/>
      <c r="T3048" s="154"/>
      <c r="U3048" s="154"/>
    </row>
    <row r="3049" spans="1:21" ht="15" customHeight="1" x14ac:dyDescent="0.3">
      <c r="A3049" t="str">
        <f t="shared" si="49"/>
        <v>17-3-EW-SmartPAY24 (Level 2)</v>
      </c>
      <c r="B3049" t="s">
        <v>13</v>
      </c>
      <c r="C3049">
        <v>17</v>
      </c>
      <c r="D3049" s="100" t="s">
        <v>26</v>
      </c>
      <c r="E3049" t="s">
        <v>19</v>
      </c>
      <c r="F3049" t="s">
        <v>16</v>
      </c>
      <c r="G3049" t="s">
        <v>745</v>
      </c>
      <c r="H3049" s="128">
        <v>0.35659999999999997</v>
      </c>
      <c r="I3049" s="110">
        <v>0.17280000000000001</v>
      </c>
      <c r="K3049" s="110">
        <v>0.17280000000000001</v>
      </c>
      <c r="L3049">
        <v>5000</v>
      </c>
      <c r="M3049">
        <v>500000</v>
      </c>
      <c r="N3049" s="105">
        <v>44378</v>
      </c>
      <c r="O3049" s="105">
        <v>44561</v>
      </c>
      <c r="P3049" t="s">
        <v>718</v>
      </c>
      <c r="R3049" s="154"/>
      <c r="S3049" s="154"/>
      <c r="T3049" s="154"/>
      <c r="U3049" s="154"/>
    </row>
    <row r="3050" spans="1:21" ht="15" customHeight="1" x14ac:dyDescent="0.3">
      <c r="A3050" t="str">
        <f t="shared" si="49"/>
        <v>17-4-3RATE-SmartPAY24 (Level 2)</v>
      </c>
      <c r="B3050" t="s">
        <v>13</v>
      </c>
      <c r="C3050">
        <v>17</v>
      </c>
      <c r="D3050" s="100" t="s">
        <v>26</v>
      </c>
      <c r="E3050" t="s">
        <v>719</v>
      </c>
      <c r="F3050" t="s">
        <v>18</v>
      </c>
      <c r="G3050" t="s">
        <v>745</v>
      </c>
      <c r="H3050" s="128">
        <v>0.35659999999999997</v>
      </c>
      <c r="I3050" s="110">
        <v>0.17280000000000001</v>
      </c>
      <c r="J3050" s="110">
        <v>0.17280000000000001</v>
      </c>
      <c r="K3050" s="110">
        <v>0.17280000000000001</v>
      </c>
      <c r="L3050">
        <v>5000</v>
      </c>
      <c r="M3050">
        <v>500000</v>
      </c>
      <c r="N3050" s="105">
        <v>44378</v>
      </c>
      <c r="O3050" s="105">
        <v>44561</v>
      </c>
      <c r="P3050" t="s">
        <v>718</v>
      </c>
      <c r="R3050" s="154"/>
      <c r="S3050" s="154"/>
      <c r="T3050" s="154"/>
      <c r="U3050" s="154"/>
    </row>
    <row r="3051" spans="1:21" ht="15" customHeight="1" x14ac:dyDescent="0.3">
      <c r="A3051" t="str">
        <f t="shared" si="49"/>
        <v/>
      </c>
      <c r="B3051" t="s">
        <v>13</v>
      </c>
      <c r="C3051">
        <v>17</v>
      </c>
      <c r="D3051" s="100" t="s">
        <v>26</v>
      </c>
      <c r="E3051" t="s">
        <v>720</v>
      </c>
      <c r="F3051" t="s">
        <v>18</v>
      </c>
      <c r="G3051" t="s">
        <v>745</v>
      </c>
      <c r="H3051" s="128">
        <v>0.35659999999999997</v>
      </c>
      <c r="J3051" s="110">
        <v>0.17280000000000001</v>
      </c>
      <c r="L3051">
        <v>5000</v>
      </c>
      <c r="M3051">
        <v>500000</v>
      </c>
      <c r="N3051" s="105">
        <v>44378</v>
      </c>
      <c r="O3051" s="105">
        <v>44561</v>
      </c>
      <c r="P3051" t="s">
        <v>718</v>
      </c>
      <c r="R3051" s="154"/>
      <c r="S3051" s="154"/>
      <c r="T3051" s="154"/>
      <c r="U3051" s="154"/>
    </row>
    <row r="3052" spans="1:21" ht="15" customHeight="1" x14ac:dyDescent="0.3">
      <c r="A3052" t="str">
        <f t="shared" si="49"/>
        <v>18-3-U-SmartPAY24 (Level 2)</v>
      </c>
      <c r="B3052" t="s">
        <v>13</v>
      </c>
      <c r="C3052">
        <v>18</v>
      </c>
      <c r="D3052" s="100" t="s">
        <v>27</v>
      </c>
      <c r="E3052" t="s">
        <v>716</v>
      </c>
      <c r="F3052" t="s">
        <v>16</v>
      </c>
      <c r="G3052" t="s">
        <v>745</v>
      </c>
      <c r="H3052" s="128">
        <v>0.31109999999999999</v>
      </c>
      <c r="I3052" s="110">
        <v>0.16930000000000001</v>
      </c>
      <c r="L3052">
        <v>5000</v>
      </c>
      <c r="M3052">
        <v>500000</v>
      </c>
      <c r="N3052" s="105">
        <v>44378</v>
      </c>
      <c r="O3052" s="105">
        <v>44561</v>
      </c>
      <c r="P3052" t="s">
        <v>718</v>
      </c>
      <c r="R3052" s="154"/>
      <c r="S3052" s="154"/>
      <c r="T3052" s="154"/>
      <c r="U3052" s="154"/>
    </row>
    <row r="3053" spans="1:21" ht="15" customHeight="1" x14ac:dyDescent="0.3">
      <c r="A3053" t="str">
        <f t="shared" si="49"/>
        <v>18-4-E7-SmartPAY24 (Level 2)</v>
      </c>
      <c r="B3053" t="s">
        <v>13</v>
      </c>
      <c r="C3053">
        <v>18</v>
      </c>
      <c r="D3053" s="100" t="s">
        <v>27</v>
      </c>
      <c r="E3053" t="s">
        <v>17</v>
      </c>
      <c r="F3053" t="s">
        <v>18</v>
      </c>
      <c r="G3053" t="s">
        <v>745</v>
      </c>
      <c r="H3053" s="128">
        <v>0.31109999999999999</v>
      </c>
      <c r="I3053" s="110">
        <v>0.16930000000000001</v>
      </c>
      <c r="J3053" s="110">
        <v>0.16930000000000001</v>
      </c>
      <c r="L3053">
        <v>5000</v>
      </c>
      <c r="M3053">
        <v>500000</v>
      </c>
      <c r="N3053" s="105">
        <v>44378</v>
      </c>
      <c r="O3053" s="105">
        <v>44561</v>
      </c>
      <c r="P3053" t="s">
        <v>718</v>
      </c>
      <c r="R3053" s="154"/>
      <c r="S3053" s="154"/>
      <c r="T3053" s="154"/>
      <c r="U3053" s="154"/>
    </row>
    <row r="3054" spans="1:21" ht="15" customHeight="1" x14ac:dyDescent="0.3">
      <c r="A3054" t="str">
        <f t="shared" si="49"/>
        <v>18-3-EW-SmartPAY24 (Level 2)</v>
      </c>
      <c r="B3054" t="s">
        <v>13</v>
      </c>
      <c r="C3054">
        <v>18</v>
      </c>
      <c r="D3054" s="100" t="s">
        <v>27</v>
      </c>
      <c r="E3054" t="s">
        <v>19</v>
      </c>
      <c r="F3054" t="s">
        <v>16</v>
      </c>
      <c r="G3054" t="s">
        <v>745</v>
      </c>
      <c r="H3054" s="128">
        <v>0.31109999999999999</v>
      </c>
      <c r="I3054" s="110">
        <v>0.16930000000000001</v>
      </c>
      <c r="K3054" s="110">
        <v>0.16930000000000001</v>
      </c>
      <c r="L3054">
        <v>5000</v>
      </c>
      <c r="M3054">
        <v>500000</v>
      </c>
      <c r="N3054" s="105">
        <v>44378</v>
      </c>
      <c r="O3054" s="105">
        <v>44561</v>
      </c>
      <c r="P3054" t="s">
        <v>718</v>
      </c>
      <c r="R3054" s="154"/>
      <c r="S3054" s="154"/>
      <c r="T3054" s="154"/>
      <c r="U3054" s="154"/>
    </row>
    <row r="3055" spans="1:21" ht="15" customHeight="1" x14ac:dyDescent="0.3">
      <c r="A3055" t="str">
        <f t="shared" si="49"/>
        <v>18-4-3RATE-SmartPAY24 (Level 2)</v>
      </c>
      <c r="B3055" t="s">
        <v>13</v>
      </c>
      <c r="C3055">
        <v>18</v>
      </c>
      <c r="D3055" s="100" t="s">
        <v>27</v>
      </c>
      <c r="E3055" t="s">
        <v>719</v>
      </c>
      <c r="F3055" t="s">
        <v>18</v>
      </c>
      <c r="G3055" t="s">
        <v>745</v>
      </c>
      <c r="H3055" s="128">
        <v>0.31109999999999999</v>
      </c>
      <c r="I3055" s="110">
        <v>0.16930000000000001</v>
      </c>
      <c r="J3055" s="110">
        <v>0.16930000000000001</v>
      </c>
      <c r="K3055" s="110">
        <v>0.16930000000000001</v>
      </c>
      <c r="L3055">
        <v>5000</v>
      </c>
      <c r="M3055">
        <v>500000</v>
      </c>
      <c r="N3055" s="105">
        <v>44378</v>
      </c>
      <c r="O3055" s="105">
        <v>44561</v>
      </c>
      <c r="P3055" t="s">
        <v>718</v>
      </c>
      <c r="R3055" s="154"/>
      <c r="S3055" s="154"/>
      <c r="T3055" s="154"/>
      <c r="U3055" s="154"/>
    </row>
    <row r="3056" spans="1:21" ht="15" customHeight="1" x14ac:dyDescent="0.3">
      <c r="A3056" t="str">
        <f t="shared" si="49"/>
        <v/>
      </c>
      <c r="B3056" t="s">
        <v>13</v>
      </c>
      <c r="C3056">
        <v>18</v>
      </c>
      <c r="D3056" s="100" t="s">
        <v>27</v>
      </c>
      <c r="E3056" t="s">
        <v>720</v>
      </c>
      <c r="F3056" t="s">
        <v>18</v>
      </c>
      <c r="G3056" t="s">
        <v>745</v>
      </c>
      <c r="H3056" s="128">
        <v>0.31109999999999999</v>
      </c>
      <c r="J3056" s="110">
        <v>0.16930000000000001</v>
      </c>
      <c r="L3056">
        <v>5000</v>
      </c>
      <c r="M3056">
        <v>500000</v>
      </c>
      <c r="N3056" s="105">
        <v>44378</v>
      </c>
      <c r="O3056" s="105">
        <v>44561</v>
      </c>
      <c r="P3056" t="s">
        <v>718</v>
      </c>
      <c r="R3056" s="154"/>
      <c r="S3056" s="154"/>
      <c r="T3056" s="154"/>
      <c r="U3056" s="154"/>
    </row>
    <row r="3057" spans="1:21" ht="15" customHeight="1" x14ac:dyDescent="0.3">
      <c r="A3057" t="str">
        <f t="shared" si="49"/>
        <v>19-3-U-SmartPAY24 (Level 2)</v>
      </c>
      <c r="B3057" t="s">
        <v>13</v>
      </c>
      <c r="C3057">
        <v>19</v>
      </c>
      <c r="D3057" s="100" t="s">
        <v>28</v>
      </c>
      <c r="E3057" t="s">
        <v>716</v>
      </c>
      <c r="F3057" t="s">
        <v>16</v>
      </c>
      <c r="G3057" t="s">
        <v>745</v>
      </c>
      <c r="H3057" s="128">
        <v>0.29570000000000002</v>
      </c>
      <c r="I3057" s="110">
        <v>0.1671</v>
      </c>
      <c r="L3057">
        <v>5000</v>
      </c>
      <c r="M3057">
        <v>500000</v>
      </c>
      <c r="N3057" s="105">
        <v>44378</v>
      </c>
      <c r="O3057" s="105">
        <v>44561</v>
      </c>
      <c r="P3057" t="s">
        <v>718</v>
      </c>
      <c r="R3057" s="154"/>
      <c r="S3057" s="154"/>
      <c r="T3057" s="154"/>
      <c r="U3057" s="154"/>
    </row>
    <row r="3058" spans="1:21" ht="15" customHeight="1" x14ac:dyDescent="0.3">
      <c r="A3058" t="str">
        <f t="shared" si="49"/>
        <v>19-4-E7-SmartPAY24 (Level 2)</v>
      </c>
      <c r="B3058" t="s">
        <v>13</v>
      </c>
      <c r="C3058">
        <v>19</v>
      </c>
      <c r="D3058" s="100" t="s">
        <v>28</v>
      </c>
      <c r="E3058" t="s">
        <v>17</v>
      </c>
      <c r="F3058" t="s">
        <v>18</v>
      </c>
      <c r="G3058" t="s">
        <v>745</v>
      </c>
      <c r="H3058" s="128">
        <v>0.29570000000000002</v>
      </c>
      <c r="I3058" s="110">
        <v>0.1671</v>
      </c>
      <c r="J3058" s="110">
        <v>0.1671</v>
      </c>
      <c r="L3058">
        <v>5000</v>
      </c>
      <c r="M3058">
        <v>500000</v>
      </c>
      <c r="N3058" s="105">
        <v>44378</v>
      </c>
      <c r="O3058" s="105">
        <v>44561</v>
      </c>
      <c r="P3058" t="s">
        <v>718</v>
      </c>
      <c r="R3058" s="154"/>
      <c r="S3058" s="154"/>
      <c r="T3058" s="154"/>
      <c r="U3058" s="154"/>
    </row>
    <row r="3059" spans="1:21" ht="15" customHeight="1" x14ac:dyDescent="0.3">
      <c r="A3059" t="str">
        <f t="shared" si="49"/>
        <v>19-3-EW-SmartPAY24 (Level 2)</v>
      </c>
      <c r="B3059" t="s">
        <v>13</v>
      </c>
      <c r="C3059">
        <v>19</v>
      </c>
      <c r="D3059" s="100" t="s">
        <v>28</v>
      </c>
      <c r="E3059" t="s">
        <v>19</v>
      </c>
      <c r="F3059" t="s">
        <v>16</v>
      </c>
      <c r="G3059" t="s">
        <v>745</v>
      </c>
      <c r="H3059" s="128">
        <v>0.29570000000000002</v>
      </c>
      <c r="I3059" s="110">
        <v>0.1671</v>
      </c>
      <c r="K3059" s="110">
        <v>0.1671</v>
      </c>
      <c r="L3059">
        <v>5000</v>
      </c>
      <c r="M3059">
        <v>500000</v>
      </c>
      <c r="N3059" s="105">
        <v>44378</v>
      </c>
      <c r="O3059" s="105">
        <v>44561</v>
      </c>
      <c r="P3059" t="s">
        <v>718</v>
      </c>
      <c r="R3059" s="154"/>
      <c r="S3059" s="154"/>
      <c r="T3059" s="154"/>
      <c r="U3059" s="154"/>
    </row>
    <row r="3060" spans="1:21" ht="15" customHeight="1" x14ac:dyDescent="0.3">
      <c r="A3060" t="str">
        <f t="shared" si="49"/>
        <v>19-4-3RATE-SmartPAY24 (Level 2)</v>
      </c>
      <c r="B3060" t="s">
        <v>13</v>
      </c>
      <c r="C3060">
        <v>19</v>
      </c>
      <c r="D3060" s="100" t="s">
        <v>28</v>
      </c>
      <c r="E3060" t="s">
        <v>719</v>
      </c>
      <c r="F3060" t="s">
        <v>18</v>
      </c>
      <c r="G3060" t="s">
        <v>745</v>
      </c>
      <c r="H3060" s="128">
        <v>0.29570000000000002</v>
      </c>
      <c r="I3060" s="110">
        <v>0.1671</v>
      </c>
      <c r="J3060" s="110">
        <v>0.1671</v>
      </c>
      <c r="K3060" s="110">
        <v>0.1671</v>
      </c>
      <c r="L3060">
        <v>5000</v>
      </c>
      <c r="M3060">
        <v>500000</v>
      </c>
      <c r="N3060" s="105">
        <v>44378</v>
      </c>
      <c r="O3060" s="105">
        <v>44561</v>
      </c>
      <c r="P3060" t="s">
        <v>718</v>
      </c>
      <c r="R3060" s="154"/>
      <c r="S3060" s="154"/>
      <c r="T3060" s="154"/>
      <c r="U3060" s="154"/>
    </row>
    <row r="3061" spans="1:21" ht="15" customHeight="1" x14ac:dyDescent="0.3">
      <c r="A3061" t="str">
        <f t="shared" si="49"/>
        <v/>
      </c>
      <c r="B3061" t="s">
        <v>13</v>
      </c>
      <c r="C3061">
        <v>19</v>
      </c>
      <c r="D3061" s="100" t="s">
        <v>28</v>
      </c>
      <c r="E3061" t="s">
        <v>720</v>
      </c>
      <c r="F3061" t="s">
        <v>18</v>
      </c>
      <c r="G3061" t="s">
        <v>745</v>
      </c>
      <c r="H3061" s="128">
        <v>0.29570000000000002</v>
      </c>
      <c r="J3061" s="110">
        <v>0.1671</v>
      </c>
      <c r="L3061">
        <v>5000</v>
      </c>
      <c r="M3061">
        <v>500000</v>
      </c>
      <c r="N3061" s="105">
        <v>44378</v>
      </c>
      <c r="O3061" s="105">
        <v>44561</v>
      </c>
      <c r="P3061" t="s">
        <v>718</v>
      </c>
      <c r="R3061" s="154"/>
      <c r="S3061" s="154"/>
      <c r="T3061" s="154"/>
      <c r="U3061" s="154"/>
    </row>
    <row r="3062" spans="1:21" ht="15" customHeight="1" x14ac:dyDescent="0.3">
      <c r="A3062" t="str">
        <f t="shared" si="49"/>
        <v>20-3-U-SmartPAY24 (Level 2)</v>
      </c>
      <c r="B3062" t="s">
        <v>13</v>
      </c>
      <c r="C3062">
        <v>20</v>
      </c>
      <c r="D3062" s="100" t="s">
        <v>29</v>
      </c>
      <c r="E3062" t="s">
        <v>716</v>
      </c>
      <c r="F3062" t="s">
        <v>16</v>
      </c>
      <c r="G3062" t="s">
        <v>745</v>
      </c>
      <c r="H3062" s="128">
        <v>0.29299999999999998</v>
      </c>
      <c r="I3062" s="110">
        <v>0.16490000000000002</v>
      </c>
      <c r="L3062">
        <v>5000</v>
      </c>
      <c r="M3062">
        <v>500000</v>
      </c>
      <c r="N3062" s="105">
        <v>44378</v>
      </c>
      <c r="O3062" s="105">
        <v>44561</v>
      </c>
      <c r="P3062" t="s">
        <v>718</v>
      </c>
      <c r="R3062" s="154"/>
      <c r="S3062" s="154"/>
      <c r="T3062" s="154"/>
      <c r="U3062" s="154"/>
    </row>
    <row r="3063" spans="1:21" ht="15" customHeight="1" x14ac:dyDescent="0.3">
      <c r="A3063" t="str">
        <f t="shared" si="49"/>
        <v>20-4-E7-SmartPAY24 (Level 2)</v>
      </c>
      <c r="B3063" t="s">
        <v>13</v>
      </c>
      <c r="C3063">
        <v>20</v>
      </c>
      <c r="D3063" s="100" t="s">
        <v>29</v>
      </c>
      <c r="E3063" t="s">
        <v>17</v>
      </c>
      <c r="F3063" t="s">
        <v>18</v>
      </c>
      <c r="G3063" t="s">
        <v>745</v>
      </c>
      <c r="H3063" s="128">
        <v>0.29299999999999998</v>
      </c>
      <c r="I3063" s="110">
        <v>0.16490000000000002</v>
      </c>
      <c r="J3063" s="110">
        <v>0.16490000000000002</v>
      </c>
      <c r="L3063">
        <v>5000</v>
      </c>
      <c r="M3063">
        <v>500000</v>
      </c>
      <c r="N3063" s="105">
        <v>44378</v>
      </c>
      <c r="O3063" s="105">
        <v>44561</v>
      </c>
      <c r="P3063" t="s">
        <v>718</v>
      </c>
      <c r="R3063" s="154"/>
      <c r="S3063" s="154"/>
      <c r="T3063" s="154"/>
      <c r="U3063" s="154"/>
    </row>
    <row r="3064" spans="1:21" ht="15" customHeight="1" x14ac:dyDescent="0.3">
      <c r="A3064" t="str">
        <f t="shared" si="49"/>
        <v>20-3-EW-SmartPAY24 (Level 2)</v>
      </c>
      <c r="B3064" t="s">
        <v>13</v>
      </c>
      <c r="C3064">
        <v>20</v>
      </c>
      <c r="D3064" s="100" t="s">
        <v>29</v>
      </c>
      <c r="E3064" t="s">
        <v>19</v>
      </c>
      <c r="F3064" t="s">
        <v>16</v>
      </c>
      <c r="G3064" t="s">
        <v>745</v>
      </c>
      <c r="H3064" s="128">
        <v>0.29299999999999998</v>
      </c>
      <c r="I3064" s="110">
        <v>0.16490000000000002</v>
      </c>
      <c r="K3064" s="110">
        <v>0.16490000000000002</v>
      </c>
      <c r="L3064">
        <v>5000</v>
      </c>
      <c r="M3064">
        <v>500000</v>
      </c>
      <c r="N3064" s="105">
        <v>44378</v>
      </c>
      <c r="O3064" s="105">
        <v>44561</v>
      </c>
      <c r="P3064" t="s">
        <v>718</v>
      </c>
      <c r="R3064" s="154"/>
      <c r="S3064" s="154"/>
      <c r="T3064" s="154"/>
      <c r="U3064" s="154"/>
    </row>
    <row r="3065" spans="1:21" ht="15" customHeight="1" x14ac:dyDescent="0.3">
      <c r="A3065" t="str">
        <f t="shared" si="49"/>
        <v>20-4-3RATE-SmartPAY24 (Level 2)</v>
      </c>
      <c r="B3065" t="s">
        <v>13</v>
      </c>
      <c r="C3065">
        <v>20</v>
      </c>
      <c r="D3065" s="100" t="s">
        <v>29</v>
      </c>
      <c r="E3065" t="s">
        <v>719</v>
      </c>
      <c r="F3065" t="s">
        <v>18</v>
      </c>
      <c r="G3065" t="s">
        <v>745</v>
      </c>
      <c r="H3065" s="128">
        <v>0.29299999999999998</v>
      </c>
      <c r="I3065" s="110">
        <v>0.16490000000000002</v>
      </c>
      <c r="J3065" s="110">
        <v>0.16490000000000002</v>
      </c>
      <c r="K3065" s="110">
        <v>0.16490000000000002</v>
      </c>
      <c r="L3065">
        <v>5000</v>
      </c>
      <c r="M3065">
        <v>500000</v>
      </c>
      <c r="N3065" s="105">
        <v>44378</v>
      </c>
      <c r="O3065" s="105">
        <v>44561</v>
      </c>
      <c r="P3065" t="s">
        <v>718</v>
      </c>
      <c r="R3065" s="154"/>
      <c r="S3065" s="154"/>
      <c r="T3065" s="154"/>
      <c r="U3065" s="154"/>
    </row>
    <row r="3066" spans="1:21" ht="15" customHeight="1" x14ac:dyDescent="0.3">
      <c r="A3066" t="str">
        <f t="shared" si="49"/>
        <v/>
      </c>
      <c r="B3066" t="s">
        <v>13</v>
      </c>
      <c r="C3066">
        <v>20</v>
      </c>
      <c r="D3066" s="100" t="s">
        <v>29</v>
      </c>
      <c r="E3066" t="s">
        <v>720</v>
      </c>
      <c r="F3066" t="s">
        <v>18</v>
      </c>
      <c r="G3066" t="s">
        <v>745</v>
      </c>
      <c r="H3066" s="128">
        <v>0.29299999999999998</v>
      </c>
      <c r="J3066" s="110">
        <v>0.16490000000000002</v>
      </c>
      <c r="L3066">
        <v>5000</v>
      </c>
      <c r="M3066">
        <v>500000</v>
      </c>
      <c r="N3066" s="105">
        <v>44378</v>
      </c>
      <c r="O3066" s="105">
        <v>44561</v>
      </c>
      <c r="P3066" t="s">
        <v>718</v>
      </c>
      <c r="R3066" s="154"/>
      <c r="S3066" s="154"/>
      <c r="T3066" s="154"/>
      <c r="U3066" s="154"/>
    </row>
    <row r="3067" spans="1:21" ht="15" customHeight="1" x14ac:dyDescent="0.3">
      <c r="A3067" t="str">
        <f t="shared" si="49"/>
        <v>21-3-U-SmartPAY24 (Level 2)</v>
      </c>
      <c r="B3067" t="s">
        <v>13</v>
      </c>
      <c r="C3067">
        <v>21</v>
      </c>
      <c r="D3067" s="100" t="s">
        <v>30</v>
      </c>
      <c r="E3067" t="s">
        <v>716</v>
      </c>
      <c r="F3067" t="s">
        <v>16</v>
      </c>
      <c r="G3067" t="s">
        <v>745</v>
      </c>
      <c r="H3067" s="128">
        <v>0.40549999999999997</v>
      </c>
      <c r="I3067" s="110">
        <v>0.16699999999999998</v>
      </c>
      <c r="L3067">
        <v>5000</v>
      </c>
      <c r="M3067">
        <v>500000</v>
      </c>
      <c r="N3067" s="105">
        <v>44378</v>
      </c>
      <c r="O3067" s="105">
        <v>44561</v>
      </c>
      <c r="P3067" t="s">
        <v>718</v>
      </c>
      <c r="R3067" s="154"/>
      <c r="S3067" s="154"/>
      <c r="T3067" s="154"/>
      <c r="U3067" s="154"/>
    </row>
    <row r="3068" spans="1:21" ht="15" customHeight="1" x14ac:dyDescent="0.3">
      <c r="A3068" t="str">
        <f t="shared" si="49"/>
        <v>21-4-E7-SmartPAY24 (Level 2)</v>
      </c>
      <c r="B3068" t="s">
        <v>13</v>
      </c>
      <c r="C3068">
        <v>21</v>
      </c>
      <c r="D3068" s="100" t="s">
        <v>30</v>
      </c>
      <c r="E3068" t="s">
        <v>17</v>
      </c>
      <c r="F3068" t="s">
        <v>18</v>
      </c>
      <c r="G3068" t="s">
        <v>745</v>
      </c>
      <c r="H3068" s="128">
        <v>0.40549999999999997</v>
      </c>
      <c r="I3068" s="110">
        <v>0.16699999999999998</v>
      </c>
      <c r="J3068" s="110">
        <v>0.16699999999999998</v>
      </c>
      <c r="L3068">
        <v>5000</v>
      </c>
      <c r="M3068">
        <v>500000</v>
      </c>
      <c r="N3068" s="105">
        <v>44378</v>
      </c>
      <c r="O3068" s="105">
        <v>44561</v>
      </c>
      <c r="P3068" t="s">
        <v>718</v>
      </c>
      <c r="R3068" s="154"/>
      <c r="S3068" s="154"/>
      <c r="T3068" s="154"/>
      <c r="U3068" s="154"/>
    </row>
    <row r="3069" spans="1:21" ht="15" customHeight="1" x14ac:dyDescent="0.3">
      <c r="A3069" t="str">
        <f t="shared" si="49"/>
        <v>21-3-EW-SmartPAY24 (Level 2)</v>
      </c>
      <c r="B3069" t="s">
        <v>13</v>
      </c>
      <c r="C3069">
        <v>21</v>
      </c>
      <c r="D3069" s="100" t="s">
        <v>30</v>
      </c>
      <c r="E3069" t="s">
        <v>19</v>
      </c>
      <c r="F3069" t="s">
        <v>16</v>
      </c>
      <c r="G3069" t="s">
        <v>745</v>
      </c>
      <c r="H3069" s="128">
        <v>0.40549999999999997</v>
      </c>
      <c r="I3069" s="110">
        <v>0.16699999999999998</v>
      </c>
      <c r="K3069" s="110">
        <v>0.16699999999999998</v>
      </c>
      <c r="L3069">
        <v>5000</v>
      </c>
      <c r="M3069">
        <v>500000</v>
      </c>
      <c r="N3069" s="105">
        <v>44378</v>
      </c>
      <c r="O3069" s="105">
        <v>44561</v>
      </c>
      <c r="P3069" t="s">
        <v>718</v>
      </c>
      <c r="R3069" s="154"/>
      <c r="S3069" s="154"/>
      <c r="T3069" s="154"/>
      <c r="U3069" s="154"/>
    </row>
    <row r="3070" spans="1:21" ht="15" customHeight="1" x14ac:dyDescent="0.3">
      <c r="A3070" t="str">
        <f t="shared" si="49"/>
        <v>21-4-3RATE-SmartPAY24 (Level 2)</v>
      </c>
      <c r="B3070" t="s">
        <v>13</v>
      </c>
      <c r="C3070">
        <v>21</v>
      </c>
      <c r="D3070" s="100" t="s">
        <v>30</v>
      </c>
      <c r="E3070" t="s">
        <v>719</v>
      </c>
      <c r="F3070" t="s">
        <v>18</v>
      </c>
      <c r="G3070" t="s">
        <v>745</v>
      </c>
      <c r="H3070" s="128">
        <v>0.40549999999999997</v>
      </c>
      <c r="I3070" s="110">
        <v>0.16699999999999998</v>
      </c>
      <c r="J3070" s="110">
        <v>0.16699999999999998</v>
      </c>
      <c r="K3070" s="110">
        <v>0.16699999999999998</v>
      </c>
      <c r="L3070">
        <v>5000</v>
      </c>
      <c r="M3070">
        <v>500000</v>
      </c>
      <c r="N3070" s="105">
        <v>44378</v>
      </c>
      <c r="O3070" s="105">
        <v>44561</v>
      </c>
      <c r="P3070" t="s">
        <v>718</v>
      </c>
      <c r="R3070" s="154"/>
      <c r="S3070" s="154"/>
      <c r="T3070" s="154"/>
      <c r="U3070" s="154"/>
    </row>
    <row r="3071" spans="1:21" ht="15" customHeight="1" x14ac:dyDescent="0.3">
      <c r="A3071" t="str">
        <f t="shared" si="49"/>
        <v/>
      </c>
      <c r="B3071" t="s">
        <v>13</v>
      </c>
      <c r="C3071">
        <v>21</v>
      </c>
      <c r="D3071" s="100" t="s">
        <v>30</v>
      </c>
      <c r="E3071" t="s">
        <v>720</v>
      </c>
      <c r="F3071" t="s">
        <v>18</v>
      </c>
      <c r="G3071" t="s">
        <v>745</v>
      </c>
      <c r="H3071" s="128">
        <v>0.40549999999999997</v>
      </c>
      <c r="J3071" s="110">
        <v>0.16699999999999998</v>
      </c>
      <c r="L3071">
        <v>5000</v>
      </c>
      <c r="M3071">
        <v>500000</v>
      </c>
      <c r="N3071" s="105">
        <v>44378</v>
      </c>
      <c r="O3071" s="105">
        <v>44561</v>
      </c>
      <c r="P3071" t="s">
        <v>718</v>
      </c>
      <c r="R3071" s="154"/>
      <c r="S3071" s="154"/>
      <c r="T3071" s="154"/>
      <c r="U3071" s="154"/>
    </row>
    <row r="3072" spans="1:21" ht="15" customHeight="1" x14ac:dyDescent="0.3">
      <c r="A3072" t="str">
        <f t="shared" si="49"/>
        <v>22-3-U-SmartPAY24 (Level 2)</v>
      </c>
      <c r="B3072" t="s">
        <v>13</v>
      </c>
      <c r="C3072">
        <v>22</v>
      </c>
      <c r="D3072" s="100" t="s">
        <v>31</v>
      </c>
      <c r="E3072" t="s">
        <v>716</v>
      </c>
      <c r="F3072" t="s">
        <v>16</v>
      </c>
      <c r="G3072" t="s">
        <v>745</v>
      </c>
      <c r="H3072" s="128">
        <v>0.34970000000000001</v>
      </c>
      <c r="I3072" s="110">
        <v>0.17030000000000001</v>
      </c>
      <c r="L3072">
        <v>5000</v>
      </c>
      <c r="M3072">
        <v>500000</v>
      </c>
      <c r="N3072" s="105">
        <v>44378</v>
      </c>
      <c r="O3072" s="105">
        <v>44561</v>
      </c>
      <c r="P3072" t="s">
        <v>718</v>
      </c>
      <c r="R3072" s="154"/>
      <c r="S3072" s="154"/>
      <c r="T3072" s="154"/>
      <c r="U3072" s="154"/>
    </row>
    <row r="3073" spans="1:21" ht="15" customHeight="1" x14ac:dyDescent="0.3">
      <c r="A3073" t="str">
        <f t="shared" si="49"/>
        <v>22-4-E7-SmartPAY24 (Level 2)</v>
      </c>
      <c r="B3073" t="s">
        <v>13</v>
      </c>
      <c r="C3073">
        <v>22</v>
      </c>
      <c r="D3073" s="100" t="s">
        <v>31</v>
      </c>
      <c r="E3073" t="s">
        <v>17</v>
      </c>
      <c r="F3073" t="s">
        <v>18</v>
      </c>
      <c r="G3073" t="s">
        <v>745</v>
      </c>
      <c r="H3073" s="128">
        <v>0.34970000000000001</v>
      </c>
      <c r="I3073" s="110">
        <v>0.17030000000000001</v>
      </c>
      <c r="J3073" s="110">
        <v>0.17030000000000001</v>
      </c>
      <c r="L3073">
        <v>5000</v>
      </c>
      <c r="M3073">
        <v>500000</v>
      </c>
      <c r="N3073" s="105">
        <v>44378</v>
      </c>
      <c r="O3073" s="105">
        <v>44561</v>
      </c>
      <c r="P3073" t="s">
        <v>718</v>
      </c>
      <c r="R3073" s="154"/>
      <c r="S3073" s="154"/>
      <c r="T3073" s="154"/>
      <c r="U3073" s="154"/>
    </row>
    <row r="3074" spans="1:21" ht="15" customHeight="1" x14ac:dyDescent="0.3">
      <c r="A3074" t="str">
        <f t="shared" si="49"/>
        <v>22-3-EW-SmartPAY24 (Level 2)</v>
      </c>
      <c r="B3074" t="s">
        <v>13</v>
      </c>
      <c r="C3074">
        <v>22</v>
      </c>
      <c r="D3074" s="100" t="s">
        <v>31</v>
      </c>
      <c r="E3074" t="s">
        <v>19</v>
      </c>
      <c r="F3074" t="s">
        <v>16</v>
      </c>
      <c r="G3074" t="s">
        <v>745</v>
      </c>
      <c r="H3074" s="128">
        <v>0.34970000000000001</v>
      </c>
      <c r="I3074" s="110">
        <v>0.17030000000000001</v>
      </c>
      <c r="K3074" s="110">
        <v>0.17030000000000001</v>
      </c>
      <c r="L3074">
        <v>5000</v>
      </c>
      <c r="M3074">
        <v>500000</v>
      </c>
      <c r="N3074" s="105">
        <v>44378</v>
      </c>
      <c r="O3074" s="105">
        <v>44561</v>
      </c>
      <c r="P3074" t="s">
        <v>718</v>
      </c>
      <c r="R3074" s="154"/>
      <c r="S3074" s="154"/>
      <c r="T3074" s="154"/>
      <c r="U3074" s="154"/>
    </row>
    <row r="3075" spans="1:21" ht="15" customHeight="1" x14ac:dyDescent="0.3">
      <c r="A3075" t="str">
        <f t="shared" si="49"/>
        <v>22-4-3RATE-SmartPAY24 (Level 2)</v>
      </c>
      <c r="B3075" t="s">
        <v>13</v>
      </c>
      <c r="C3075">
        <v>22</v>
      </c>
      <c r="D3075" s="100" t="s">
        <v>31</v>
      </c>
      <c r="E3075" t="s">
        <v>719</v>
      </c>
      <c r="F3075" t="s">
        <v>18</v>
      </c>
      <c r="G3075" t="s">
        <v>745</v>
      </c>
      <c r="H3075" s="128">
        <v>0.34970000000000001</v>
      </c>
      <c r="I3075" s="110">
        <v>0.17030000000000001</v>
      </c>
      <c r="J3075" s="110">
        <v>0.17030000000000001</v>
      </c>
      <c r="K3075" s="110">
        <v>0.17030000000000001</v>
      </c>
      <c r="L3075">
        <v>5000</v>
      </c>
      <c r="M3075">
        <v>500000</v>
      </c>
      <c r="N3075" s="105">
        <v>44378</v>
      </c>
      <c r="O3075" s="105">
        <v>44561</v>
      </c>
      <c r="P3075" t="s">
        <v>718</v>
      </c>
      <c r="R3075" s="154"/>
      <c r="S3075" s="154"/>
      <c r="T3075" s="154"/>
      <c r="U3075" s="154"/>
    </row>
    <row r="3076" spans="1:21" ht="15" customHeight="1" x14ac:dyDescent="0.3">
      <c r="A3076" t="str">
        <f t="shared" si="49"/>
        <v/>
      </c>
      <c r="B3076" t="s">
        <v>13</v>
      </c>
      <c r="C3076">
        <v>22</v>
      </c>
      <c r="D3076" s="100" t="s">
        <v>31</v>
      </c>
      <c r="E3076" t="s">
        <v>720</v>
      </c>
      <c r="F3076" t="s">
        <v>18</v>
      </c>
      <c r="G3076" t="s">
        <v>745</v>
      </c>
      <c r="H3076" s="128">
        <v>0.34970000000000001</v>
      </c>
      <c r="J3076" s="110">
        <v>0.17030000000000001</v>
      </c>
      <c r="L3076">
        <v>5000</v>
      </c>
      <c r="M3076">
        <v>500000</v>
      </c>
      <c r="N3076" s="105">
        <v>44378</v>
      </c>
      <c r="O3076" s="105">
        <v>44561</v>
      </c>
      <c r="P3076" t="s">
        <v>718</v>
      </c>
      <c r="R3076" s="154"/>
      <c r="S3076" s="154"/>
      <c r="T3076" s="154"/>
      <c r="U3076" s="154"/>
    </row>
    <row r="3077" spans="1:21" ht="15" customHeight="1" x14ac:dyDescent="0.3">
      <c r="A3077" t="str">
        <f t="shared" si="49"/>
        <v>23-3-U-SmartPAY24 (Level 2)</v>
      </c>
      <c r="B3077" t="s">
        <v>13</v>
      </c>
      <c r="C3077">
        <v>23</v>
      </c>
      <c r="D3077" s="100" t="s">
        <v>32</v>
      </c>
      <c r="E3077" t="s">
        <v>716</v>
      </c>
      <c r="F3077" t="s">
        <v>16</v>
      </c>
      <c r="G3077" t="s">
        <v>745</v>
      </c>
      <c r="H3077" s="128">
        <v>0.30719999999999997</v>
      </c>
      <c r="I3077" s="110">
        <v>0.16579999999999998</v>
      </c>
      <c r="L3077">
        <v>5000</v>
      </c>
      <c r="M3077">
        <v>500000</v>
      </c>
      <c r="N3077" s="105">
        <v>44378</v>
      </c>
      <c r="O3077" s="105">
        <v>44561</v>
      </c>
      <c r="P3077" t="s">
        <v>718</v>
      </c>
      <c r="R3077" s="154"/>
      <c r="S3077" s="154"/>
      <c r="T3077" s="154"/>
      <c r="U3077" s="154"/>
    </row>
    <row r="3078" spans="1:21" ht="15" customHeight="1" x14ac:dyDescent="0.3">
      <c r="A3078" t="str">
        <f t="shared" si="49"/>
        <v>23-4-E7-SmartPAY24 (Level 2)</v>
      </c>
      <c r="B3078" t="s">
        <v>13</v>
      </c>
      <c r="C3078">
        <v>23</v>
      </c>
      <c r="D3078" s="100" t="s">
        <v>32</v>
      </c>
      <c r="E3078" t="s">
        <v>17</v>
      </c>
      <c r="F3078" t="s">
        <v>18</v>
      </c>
      <c r="G3078" t="s">
        <v>745</v>
      </c>
      <c r="H3078" s="128">
        <v>0.30719999999999997</v>
      </c>
      <c r="I3078" s="110">
        <v>0.16579999999999998</v>
      </c>
      <c r="J3078" s="110">
        <v>0.16579999999999998</v>
      </c>
      <c r="L3078">
        <v>5000</v>
      </c>
      <c r="M3078">
        <v>500000</v>
      </c>
      <c r="N3078" s="105">
        <v>44378</v>
      </c>
      <c r="O3078" s="105">
        <v>44561</v>
      </c>
      <c r="P3078" t="s">
        <v>718</v>
      </c>
      <c r="R3078" s="154"/>
      <c r="S3078" s="154"/>
      <c r="T3078" s="154"/>
      <c r="U3078" s="154"/>
    </row>
    <row r="3079" spans="1:21" ht="15" customHeight="1" x14ac:dyDescent="0.3">
      <c r="A3079" t="str">
        <f t="shared" si="49"/>
        <v>23-3-EW-SmartPAY24 (Level 2)</v>
      </c>
      <c r="B3079" t="s">
        <v>13</v>
      </c>
      <c r="C3079">
        <v>23</v>
      </c>
      <c r="D3079" s="100" t="s">
        <v>32</v>
      </c>
      <c r="E3079" t="s">
        <v>19</v>
      </c>
      <c r="F3079" t="s">
        <v>16</v>
      </c>
      <c r="G3079" t="s">
        <v>745</v>
      </c>
      <c r="H3079" s="128">
        <v>0.30719999999999997</v>
      </c>
      <c r="I3079" s="110">
        <v>0.16579999999999998</v>
      </c>
      <c r="K3079" s="110">
        <v>0.16579999999999998</v>
      </c>
      <c r="L3079">
        <v>5000</v>
      </c>
      <c r="M3079">
        <v>500000</v>
      </c>
      <c r="N3079" s="105">
        <v>44378</v>
      </c>
      <c r="O3079" s="105">
        <v>44561</v>
      </c>
      <c r="P3079" t="s">
        <v>718</v>
      </c>
      <c r="R3079" s="154"/>
      <c r="S3079" s="154"/>
      <c r="T3079" s="154"/>
      <c r="U3079" s="154"/>
    </row>
    <row r="3080" spans="1:21" ht="15" customHeight="1" x14ac:dyDescent="0.3">
      <c r="A3080" t="str">
        <f t="shared" si="49"/>
        <v>23-4-3RATE-SmartPAY24 (Level 2)</v>
      </c>
      <c r="B3080" t="s">
        <v>13</v>
      </c>
      <c r="C3080">
        <v>23</v>
      </c>
      <c r="D3080" s="100" t="s">
        <v>32</v>
      </c>
      <c r="E3080" t="s">
        <v>719</v>
      </c>
      <c r="F3080" t="s">
        <v>18</v>
      </c>
      <c r="G3080" t="s">
        <v>745</v>
      </c>
      <c r="H3080" s="128">
        <v>0.30719999999999997</v>
      </c>
      <c r="I3080" s="110">
        <v>0.16579999999999998</v>
      </c>
      <c r="J3080" s="110">
        <v>0.16579999999999998</v>
      </c>
      <c r="K3080" s="110">
        <v>0.16579999999999998</v>
      </c>
      <c r="L3080">
        <v>5000</v>
      </c>
      <c r="M3080">
        <v>500000</v>
      </c>
      <c r="N3080" s="105">
        <v>44378</v>
      </c>
      <c r="O3080" s="105">
        <v>44561</v>
      </c>
      <c r="P3080" t="s">
        <v>718</v>
      </c>
      <c r="R3080" s="154"/>
      <c r="S3080" s="154"/>
      <c r="T3080" s="154"/>
      <c r="U3080" s="154"/>
    </row>
    <row r="3081" spans="1:21" ht="15" customHeight="1" x14ac:dyDescent="0.3">
      <c r="A3081" t="str">
        <f t="shared" si="49"/>
        <v/>
      </c>
      <c r="B3081" t="s">
        <v>13</v>
      </c>
      <c r="C3081">
        <v>23</v>
      </c>
      <c r="D3081" s="100" t="s">
        <v>32</v>
      </c>
      <c r="E3081" t="s">
        <v>720</v>
      </c>
      <c r="F3081" t="s">
        <v>18</v>
      </c>
      <c r="G3081" t="s">
        <v>745</v>
      </c>
      <c r="H3081" s="128">
        <v>0.30719999999999997</v>
      </c>
      <c r="J3081" s="110">
        <v>0.16579999999999998</v>
      </c>
      <c r="L3081">
        <v>5000</v>
      </c>
      <c r="M3081">
        <v>500000</v>
      </c>
      <c r="N3081" s="105">
        <v>44378</v>
      </c>
      <c r="O3081" s="105">
        <v>44561</v>
      </c>
      <c r="P3081" t="s">
        <v>718</v>
      </c>
      <c r="R3081" s="154"/>
      <c r="S3081" s="154"/>
      <c r="T3081" s="154"/>
      <c r="U3081" s="154"/>
    </row>
    <row r="3082" spans="1:21" ht="15" customHeight="1" x14ac:dyDescent="0.3">
      <c r="A3082" t="str">
        <f t="shared" si="49"/>
        <v>10-3-U-SmartPAY36 (Level 2)</v>
      </c>
      <c r="B3082" t="s">
        <v>13</v>
      </c>
      <c r="C3082">
        <v>10</v>
      </c>
      <c r="D3082" s="100" t="s">
        <v>14</v>
      </c>
      <c r="E3082" t="s">
        <v>716</v>
      </c>
      <c r="F3082" t="s">
        <v>16</v>
      </c>
      <c r="G3082" t="s">
        <v>746</v>
      </c>
      <c r="H3082" s="128">
        <v>0.31120000000000003</v>
      </c>
      <c r="I3082" s="110">
        <v>0.17</v>
      </c>
      <c r="L3082">
        <v>5000</v>
      </c>
      <c r="M3082">
        <v>500000</v>
      </c>
      <c r="N3082" s="105">
        <v>44378</v>
      </c>
      <c r="O3082" s="105">
        <v>44561</v>
      </c>
      <c r="P3082" t="s">
        <v>718</v>
      </c>
      <c r="R3082" s="154"/>
      <c r="S3082" s="154"/>
      <c r="T3082" s="154"/>
      <c r="U3082" s="154"/>
    </row>
    <row r="3083" spans="1:21" ht="15" customHeight="1" x14ac:dyDescent="0.3">
      <c r="A3083" t="str">
        <f t="shared" si="49"/>
        <v>10-4-E7-SmartPAY36 (Level 2)</v>
      </c>
      <c r="B3083" t="s">
        <v>13</v>
      </c>
      <c r="C3083">
        <v>10</v>
      </c>
      <c r="D3083" s="100" t="s">
        <v>14</v>
      </c>
      <c r="E3083" t="s">
        <v>17</v>
      </c>
      <c r="F3083" t="s">
        <v>18</v>
      </c>
      <c r="G3083" t="s">
        <v>746</v>
      </c>
      <c r="H3083" s="128">
        <v>0.31120000000000003</v>
      </c>
      <c r="I3083" s="110">
        <v>0.17</v>
      </c>
      <c r="J3083" s="110">
        <v>0.17</v>
      </c>
      <c r="L3083">
        <v>5000</v>
      </c>
      <c r="M3083">
        <v>500000</v>
      </c>
      <c r="N3083" s="105">
        <v>44378</v>
      </c>
      <c r="O3083" s="105">
        <v>44561</v>
      </c>
      <c r="P3083" t="s">
        <v>718</v>
      </c>
      <c r="R3083" s="154"/>
      <c r="S3083" s="154"/>
      <c r="T3083" s="154"/>
      <c r="U3083" s="154"/>
    </row>
    <row r="3084" spans="1:21" ht="15" customHeight="1" x14ac:dyDescent="0.3">
      <c r="A3084" t="str">
        <f t="shared" si="49"/>
        <v>10-3-EW-SmartPAY36 (Level 2)</v>
      </c>
      <c r="B3084" t="s">
        <v>13</v>
      </c>
      <c r="C3084">
        <v>10</v>
      </c>
      <c r="D3084" s="100" t="s">
        <v>14</v>
      </c>
      <c r="E3084" t="s">
        <v>19</v>
      </c>
      <c r="F3084" t="s">
        <v>16</v>
      </c>
      <c r="G3084" t="s">
        <v>746</v>
      </c>
      <c r="H3084" s="128">
        <v>0.31120000000000003</v>
      </c>
      <c r="I3084" s="110">
        <v>0.17</v>
      </c>
      <c r="K3084" s="110">
        <v>0.17</v>
      </c>
      <c r="L3084">
        <v>5000</v>
      </c>
      <c r="M3084">
        <v>500000</v>
      </c>
      <c r="N3084" s="105">
        <v>44378</v>
      </c>
      <c r="O3084" s="105">
        <v>44561</v>
      </c>
      <c r="P3084" t="s">
        <v>718</v>
      </c>
      <c r="R3084" s="154"/>
      <c r="S3084" s="154"/>
      <c r="T3084" s="154"/>
      <c r="U3084" s="154"/>
    </row>
    <row r="3085" spans="1:21" ht="15" customHeight="1" x14ac:dyDescent="0.3">
      <c r="A3085" t="str">
        <f t="shared" si="49"/>
        <v>10-4-3RATE-SmartPAY36 (Level 2)</v>
      </c>
      <c r="B3085" t="s">
        <v>13</v>
      </c>
      <c r="C3085">
        <v>10</v>
      </c>
      <c r="D3085" s="100" t="s">
        <v>14</v>
      </c>
      <c r="E3085" t="s">
        <v>719</v>
      </c>
      <c r="F3085" t="s">
        <v>18</v>
      </c>
      <c r="G3085" t="s">
        <v>746</v>
      </c>
      <c r="H3085" s="128">
        <v>0.31120000000000003</v>
      </c>
      <c r="I3085" s="110">
        <v>0.17</v>
      </c>
      <c r="J3085" s="110">
        <v>0.17</v>
      </c>
      <c r="K3085" s="110">
        <v>0.17</v>
      </c>
      <c r="L3085">
        <v>5000</v>
      </c>
      <c r="M3085">
        <v>500000</v>
      </c>
      <c r="N3085" s="105">
        <v>44378</v>
      </c>
      <c r="O3085" s="105">
        <v>44561</v>
      </c>
      <c r="P3085" t="s">
        <v>718</v>
      </c>
      <c r="R3085" s="154"/>
      <c r="S3085" s="154"/>
      <c r="T3085" s="154"/>
      <c r="U3085" s="154"/>
    </row>
    <row r="3086" spans="1:21" ht="15" customHeight="1" x14ac:dyDescent="0.3">
      <c r="A3086" t="str">
        <f t="shared" si="49"/>
        <v/>
      </c>
      <c r="B3086" t="s">
        <v>13</v>
      </c>
      <c r="C3086">
        <v>10</v>
      </c>
      <c r="D3086" s="100" t="s">
        <v>14</v>
      </c>
      <c r="E3086" t="s">
        <v>720</v>
      </c>
      <c r="F3086" t="s">
        <v>18</v>
      </c>
      <c r="G3086" t="s">
        <v>746</v>
      </c>
      <c r="H3086" s="128">
        <v>0.31120000000000003</v>
      </c>
      <c r="J3086" s="110">
        <v>0.17</v>
      </c>
      <c r="L3086">
        <v>5000</v>
      </c>
      <c r="M3086">
        <v>500000</v>
      </c>
      <c r="N3086" s="105">
        <v>44378</v>
      </c>
      <c r="O3086" s="105">
        <v>44561</v>
      </c>
      <c r="P3086" t="s">
        <v>718</v>
      </c>
      <c r="R3086" s="154"/>
      <c r="S3086" s="154"/>
      <c r="T3086" s="154"/>
      <c r="U3086" s="154"/>
    </row>
    <row r="3087" spans="1:21" ht="15" customHeight="1" x14ac:dyDescent="0.3">
      <c r="A3087" t="str">
        <f t="shared" si="49"/>
        <v>11-3-U-SmartPAY36 (Level 2)</v>
      </c>
      <c r="B3087" t="s">
        <v>13</v>
      </c>
      <c r="C3087">
        <v>11</v>
      </c>
      <c r="D3087" s="100" t="s">
        <v>20</v>
      </c>
      <c r="E3087" t="s">
        <v>716</v>
      </c>
      <c r="F3087" t="s">
        <v>16</v>
      </c>
      <c r="G3087" t="s">
        <v>746</v>
      </c>
      <c r="H3087" s="128">
        <v>0.32069999999999999</v>
      </c>
      <c r="I3087" s="110">
        <v>0.17030000000000001</v>
      </c>
      <c r="L3087">
        <v>5000</v>
      </c>
      <c r="M3087">
        <v>500000</v>
      </c>
      <c r="N3087" s="105">
        <v>44378</v>
      </c>
      <c r="O3087" s="105">
        <v>44561</v>
      </c>
      <c r="P3087" t="s">
        <v>718</v>
      </c>
      <c r="R3087" s="154"/>
      <c r="S3087" s="154"/>
      <c r="T3087" s="154"/>
      <c r="U3087" s="154"/>
    </row>
    <row r="3088" spans="1:21" ht="15" customHeight="1" x14ac:dyDescent="0.3">
      <c r="A3088" t="str">
        <f t="shared" si="49"/>
        <v>11-4-E7-SmartPAY36 (Level 2)</v>
      </c>
      <c r="B3088" t="s">
        <v>13</v>
      </c>
      <c r="C3088">
        <v>11</v>
      </c>
      <c r="D3088" s="100" t="s">
        <v>20</v>
      </c>
      <c r="E3088" t="s">
        <v>17</v>
      </c>
      <c r="F3088" t="s">
        <v>18</v>
      </c>
      <c r="G3088" t="s">
        <v>746</v>
      </c>
      <c r="H3088" s="128">
        <v>0.32069999999999999</v>
      </c>
      <c r="I3088" s="110">
        <v>0.17030000000000001</v>
      </c>
      <c r="J3088" s="110">
        <v>0.17030000000000001</v>
      </c>
      <c r="L3088">
        <v>5000</v>
      </c>
      <c r="M3088">
        <v>500000</v>
      </c>
      <c r="N3088" s="105">
        <v>44378</v>
      </c>
      <c r="O3088" s="105">
        <v>44561</v>
      </c>
      <c r="P3088" t="s">
        <v>718</v>
      </c>
      <c r="R3088" s="154"/>
      <c r="S3088" s="154"/>
      <c r="T3088" s="154"/>
      <c r="U3088" s="154"/>
    </row>
    <row r="3089" spans="1:21" ht="15" customHeight="1" x14ac:dyDescent="0.3">
      <c r="A3089" t="str">
        <f t="shared" si="49"/>
        <v>11-3-EW-SmartPAY36 (Level 2)</v>
      </c>
      <c r="B3089" t="s">
        <v>13</v>
      </c>
      <c r="C3089">
        <v>11</v>
      </c>
      <c r="D3089" s="100" t="s">
        <v>20</v>
      </c>
      <c r="E3089" t="s">
        <v>19</v>
      </c>
      <c r="F3089" t="s">
        <v>16</v>
      </c>
      <c r="G3089" t="s">
        <v>746</v>
      </c>
      <c r="H3089" s="128">
        <v>0.32069999999999999</v>
      </c>
      <c r="I3089" s="110">
        <v>0.17030000000000001</v>
      </c>
      <c r="K3089" s="110">
        <v>0.17030000000000001</v>
      </c>
      <c r="L3089">
        <v>5000</v>
      </c>
      <c r="M3089">
        <v>500000</v>
      </c>
      <c r="N3089" s="105">
        <v>44378</v>
      </c>
      <c r="O3089" s="105">
        <v>44561</v>
      </c>
      <c r="P3089" t="s">
        <v>718</v>
      </c>
      <c r="R3089" s="154"/>
      <c r="S3089" s="154"/>
      <c r="T3089" s="154"/>
      <c r="U3089" s="154"/>
    </row>
    <row r="3090" spans="1:21" ht="15" customHeight="1" x14ac:dyDescent="0.3">
      <c r="A3090" t="str">
        <f t="shared" si="49"/>
        <v>11-4-3RATE-SmartPAY36 (Level 2)</v>
      </c>
      <c r="B3090" t="s">
        <v>13</v>
      </c>
      <c r="C3090">
        <v>11</v>
      </c>
      <c r="D3090" s="100" t="s">
        <v>20</v>
      </c>
      <c r="E3090" t="s">
        <v>719</v>
      </c>
      <c r="F3090" t="s">
        <v>18</v>
      </c>
      <c r="G3090" t="s">
        <v>746</v>
      </c>
      <c r="H3090" s="128">
        <v>0.32069999999999999</v>
      </c>
      <c r="I3090" s="110">
        <v>0.17030000000000001</v>
      </c>
      <c r="J3090" s="110">
        <v>0.17030000000000001</v>
      </c>
      <c r="K3090" s="110">
        <v>0.17030000000000001</v>
      </c>
      <c r="L3090">
        <v>5000</v>
      </c>
      <c r="M3090">
        <v>500000</v>
      </c>
      <c r="N3090" s="105">
        <v>44378</v>
      </c>
      <c r="O3090" s="105">
        <v>44561</v>
      </c>
      <c r="P3090" t="s">
        <v>718</v>
      </c>
      <c r="R3090" s="154"/>
      <c r="S3090" s="154"/>
      <c r="T3090" s="154"/>
      <c r="U3090" s="154"/>
    </row>
    <row r="3091" spans="1:21" ht="15" customHeight="1" x14ac:dyDescent="0.3">
      <c r="A3091" t="str">
        <f t="shared" si="49"/>
        <v/>
      </c>
      <c r="B3091" t="s">
        <v>13</v>
      </c>
      <c r="C3091">
        <v>11</v>
      </c>
      <c r="D3091" s="100" t="s">
        <v>20</v>
      </c>
      <c r="E3091" t="s">
        <v>720</v>
      </c>
      <c r="F3091" t="s">
        <v>18</v>
      </c>
      <c r="G3091" t="s">
        <v>746</v>
      </c>
      <c r="H3091" s="128">
        <v>0.32069999999999999</v>
      </c>
      <c r="J3091" s="110">
        <v>0.17030000000000001</v>
      </c>
      <c r="L3091">
        <v>5000</v>
      </c>
      <c r="M3091">
        <v>500000</v>
      </c>
      <c r="N3091" s="105">
        <v>44378</v>
      </c>
      <c r="O3091" s="105">
        <v>44561</v>
      </c>
      <c r="P3091" t="s">
        <v>718</v>
      </c>
      <c r="R3091" s="154"/>
      <c r="S3091" s="154"/>
      <c r="T3091" s="154"/>
      <c r="U3091" s="154"/>
    </row>
    <row r="3092" spans="1:21" ht="15" customHeight="1" x14ac:dyDescent="0.3">
      <c r="A3092" t="str">
        <f t="shared" si="49"/>
        <v>12-3-U-SmartPAY36 (Level 2)</v>
      </c>
      <c r="B3092" t="s">
        <v>13</v>
      </c>
      <c r="C3092">
        <v>12</v>
      </c>
      <c r="D3092" s="100" t="s">
        <v>21</v>
      </c>
      <c r="E3092" t="s">
        <v>716</v>
      </c>
      <c r="F3092" t="s">
        <v>16</v>
      </c>
      <c r="G3092" t="s">
        <v>746</v>
      </c>
      <c r="H3092" s="128">
        <v>0.24199999999999999</v>
      </c>
      <c r="I3092" s="110">
        <v>0.16420000000000001</v>
      </c>
      <c r="L3092">
        <v>5000</v>
      </c>
      <c r="M3092">
        <v>500000</v>
      </c>
      <c r="N3092" s="105">
        <v>44378</v>
      </c>
      <c r="O3092" s="105">
        <v>44561</v>
      </c>
      <c r="P3092" t="s">
        <v>718</v>
      </c>
      <c r="R3092" s="154"/>
      <c r="S3092" s="154"/>
      <c r="T3092" s="154"/>
      <c r="U3092" s="154"/>
    </row>
    <row r="3093" spans="1:21" ht="15" customHeight="1" x14ac:dyDescent="0.3">
      <c r="A3093" t="str">
        <f t="shared" si="49"/>
        <v>12-4-E7-SmartPAY36 (Level 2)</v>
      </c>
      <c r="B3093" t="s">
        <v>13</v>
      </c>
      <c r="C3093">
        <v>12</v>
      </c>
      <c r="D3093" s="100" t="s">
        <v>21</v>
      </c>
      <c r="E3093" t="s">
        <v>17</v>
      </c>
      <c r="F3093" t="s">
        <v>18</v>
      </c>
      <c r="G3093" t="s">
        <v>746</v>
      </c>
      <c r="H3093" s="128">
        <v>0.24199999999999999</v>
      </c>
      <c r="I3093" s="110">
        <v>0.16420000000000001</v>
      </c>
      <c r="J3093" s="110">
        <v>0.16420000000000001</v>
      </c>
      <c r="L3093">
        <v>5000</v>
      </c>
      <c r="M3093">
        <v>500000</v>
      </c>
      <c r="N3093" s="105">
        <v>44378</v>
      </c>
      <c r="O3093" s="105">
        <v>44561</v>
      </c>
      <c r="P3093" t="s">
        <v>718</v>
      </c>
      <c r="R3093" s="154"/>
      <c r="S3093" s="154"/>
      <c r="T3093" s="154"/>
      <c r="U3093" s="154"/>
    </row>
    <row r="3094" spans="1:21" ht="15" customHeight="1" x14ac:dyDescent="0.3">
      <c r="A3094" t="str">
        <f t="shared" si="49"/>
        <v>12-3-EW-SmartPAY36 (Level 2)</v>
      </c>
      <c r="B3094" t="s">
        <v>13</v>
      </c>
      <c r="C3094">
        <v>12</v>
      </c>
      <c r="D3094" s="100" t="s">
        <v>21</v>
      </c>
      <c r="E3094" t="s">
        <v>19</v>
      </c>
      <c r="F3094" t="s">
        <v>16</v>
      </c>
      <c r="G3094" t="s">
        <v>746</v>
      </c>
      <c r="H3094" s="128">
        <v>0.24199999999999999</v>
      </c>
      <c r="I3094" s="110">
        <v>0.16420000000000001</v>
      </c>
      <c r="K3094" s="110">
        <v>0.16420000000000001</v>
      </c>
      <c r="L3094">
        <v>5000</v>
      </c>
      <c r="M3094">
        <v>500000</v>
      </c>
      <c r="N3094" s="105">
        <v>44378</v>
      </c>
      <c r="O3094" s="105">
        <v>44561</v>
      </c>
      <c r="P3094" t="s">
        <v>718</v>
      </c>
      <c r="R3094" s="154"/>
      <c r="S3094" s="154"/>
      <c r="T3094" s="154"/>
      <c r="U3094" s="154"/>
    </row>
    <row r="3095" spans="1:21" ht="15" customHeight="1" x14ac:dyDescent="0.3">
      <c r="A3095" t="str">
        <f t="shared" si="49"/>
        <v>12-4-3RATE-SmartPAY36 (Level 2)</v>
      </c>
      <c r="B3095" t="s">
        <v>13</v>
      </c>
      <c r="C3095">
        <v>12</v>
      </c>
      <c r="D3095" s="100" t="s">
        <v>21</v>
      </c>
      <c r="E3095" t="s">
        <v>719</v>
      </c>
      <c r="F3095" t="s">
        <v>18</v>
      </c>
      <c r="G3095" t="s">
        <v>746</v>
      </c>
      <c r="H3095" s="128">
        <v>0.24199999999999999</v>
      </c>
      <c r="I3095" s="110">
        <v>0.16420000000000001</v>
      </c>
      <c r="J3095" s="110">
        <v>0.16420000000000001</v>
      </c>
      <c r="K3095" s="110">
        <v>0.16420000000000001</v>
      </c>
      <c r="L3095">
        <v>5000</v>
      </c>
      <c r="M3095">
        <v>500000</v>
      </c>
      <c r="N3095" s="105">
        <v>44378</v>
      </c>
      <c r="O3095" s="105">
        <v>44561</v>
      </c>
      <c r="P3095" t="s">
        <v>718</v>
      </c>
      <c r="R3095" s="154"/>
      <c r="S3095" s="154"/>
      <c r="T3095" s="154"/>
      <c r="U3095" s="154"/>
    </row>
    <row r="3096" spans="1:21" ht="15" customHeight="1" x14ac:dyDescent="0.3">
      <c r="A3096" t="str">
        <f t="shared" si="49"/>
        <v/>
      </c>
      <c r="B3096" t="s">
        <v>13</v>
      </c>
      <c r="C3096">
        <v>12</v>
      </c>
      <c r="D3096" s="100" t="s">
        <v>21</v>
      </c>
      <c r="E3096" t="s">
        <v>720</v>
      </c>
      <c r="F3096" t="s">
        <v>18</v>
      </c>
      <c r="G3096" t="s">
        <v>746</v>
      </c>
      <c r="H3096" s="128">
        <v>0.24199999999999999</v>
      </c>
      <c r="J3096" s="110">
        <v>0.16420000000000001</v>
      </c>
      <c r="L3096">
        <v>5000</v>
      </c>
      <c r="M3096">
        <v>500000</v>
      </c>
      <c r="N3096" s="105">
        <v>44378</v>
      </c>
      <c r="O3096" s="105">
        <v>44561</v>
      </c>
      <c r="P3096" t="s">
        <v>718</v>
      </c>
      <c r="R3096" s="154"/>
      <c r="S3096" s="154"/>
      <c r="T3096" s="154"/>
      <c r="U3096" s="154"/>
    </row>
    <row r="3097" spans="1:21" ht="15" customHeight="1" x14ac:dyDescent="0.3">
      <c r="A3097" t="str">
        <f t="shared" si="49"/>
        <v>13-3-U-SmartPAY36 (Level 2)</v>
      </c>
      <c r="B3097" t="s">
        <v>13</v>
      </c>
      <c r="C3097">
        <v>13</v>
      </c>
      <c r="D3097" s="100" t="s">
        <v>22</v>
      </c>
      <c r="E3097" t="s">
        <v>716</v>
      </c>
      <c r="F3097" t="s">
        <v>16</v>
      </c>
      <c r="G3097" t="s">
        <v>746</v>
      </c>
      <c r="H3097" s="128">
        <v>0.28489999999999999</v>
      </c>
      <c r="I3097" s="110">
        <v>0.1895</v>
      </c>
      <c r="L3097">
        <v>5000</v>
      </c>
      <c r="M3097">
        <v>500000</v>
      </c>
      <c r="N3097" s="105">
        <v>44378</v>
      </c>
      <c r="O3097" s="105">
        <v>44561</v>
      </c>
      <c r="P3097" t="s">
        <v>718</v>
      </c>
      <c r="R3097" s="154"/>
      <c r="S3097" s="154"/>
      <c r="T3097" s="154"/>
      <c r="U3097" s="154"/>
    </row>
    <row r="3098" spans="1:21" ht="15" customHeight="1" x14ac:dyDescent="0.3">
      <c r="A3098" t="str">
        <f t="shared" si="49"/>
        <v>13-4-E7-SmartPAY36 (Level 2)</v>
      </c>
      <c r="B3098" t="s">
        <v>13</v>
      </c>
      <c r="C3098">
        <v>13</v>
      </c>
      <c r="D3098" s="100" t="s">
        <v>22</v>
      </c>
      <c r="E3098" t="s">
        <v>17</v>
      </c>
      <c r="F3098" t="s">
        <v>18</v>
      </c>
      <c r="G3098" t="s">
        <v>746</v>
      </c>
      <c r="H3098" s="128">
        <v>0.28489999999999999</v>
      </c>
      <c r="I3098" s="110">
        <v>0.1895</v>
      </c>
      <c r="J3098" s="110">
        <v>0.1895</v>
      </c>
      <c r="L3098">
        <v>5000</v>
      </c>
      <c r="M3098">
        <v>500000</v>
      </c>
      <c r="N3098" s="105">
        <v>44378</v>
      </c>
      <c r="O3098" s="105">
        <v>44561</v>
      </c>
      <c r="P3098" t="s">
        <v>718</v>
      </c>
      <c r="R3098" s="154"/>
      <c r="S3098" s="154"/>
      <c r="T3098" s="154"/>
      <c r="U3098" s="154"/>
    </row>
    <row r="3099" spans="1:21" ht="15" customHeight="1" x14ac:dyDescent="0.3">
      <c r="A3099" t="str">
        <f t="shared" si="49"/>
        <v>13-3-EW-SmartPAY36 (Level 2)</v>
      </c>
      <c r="B3099" t="s">
        <v>13</v>
      </c>
      <c r="C3099">
        <v>13</v>
      </c>
      <c r="D3099" s="100" t="s">
        <v>22</v>
      </c>
      <c r="E3099" t="s">
        <v>19</v>
      </c>
      <c r="F3099" t="s">
        <v>16</v>
      </c>
      <c r="G3099" t="s">
        <v>746</v>
      </c>
      <c r="H3099" s="128">
        <v>0.28489999999999999</v>
      </c>
      <c r="I3099" s="110">
        <v>0.1895</v>
      </c>
      <c r="K3099" s="110">
        <v>0.1895</v>
      </c>
      <c r="L3099">
        <v>5000</v>
      </c>
      <c r="M3099">
        <v>500000</v>
      </c>
      <c r="N3099" s="105">
        <v>44378</v>
      </c>
      <c r="O3099" s="105">
        <v>44561</v>
      </c>
      <c r="P3099" t="s">
        <v>718</v>
      </c>
      <c r="R3099" s="154"/>
      <c r="S3099" s="154"/>
      <c r="T3099" s="154"/>
      <c r="U3099" s="154"/>
    </row>
    <row r="3100" spans="1:21" ht="15" customHeight="1" x14ac:dyDescent="0.3">
      <c r="A3100" t="str">
        <f t="shared" si="49"/>
        <v>13-4-3RATE-SmartPAY36 (Level 2)</v>
      </c>
      <c r="B3100" t="s">
        <v>13</v>
      </c>
      <c r="C3100">
        <v>13</v>
      </c>
      <c r="D3100" s="100" t="s">
        <v>22</v>
      </c>
      <c r="E3100" t="s">
        <v>719</v>
      </c>
      <c r="F3100" t="s">
        <v>18</v>
      </c>
      <c r="G3100" t="s">
        <v>746</v>
      </c>
      <c r="H3100" s="128">
        <v>0.28489999999999999</v>
      </c>
      <c r="I3100" s="110">
        <v>0.1895</v>
      </c>
      <c r="J3100" s="110">
        <v>0.1895</v>
      </c>
      <c r="K3100" s="110">
        <v>0.1895</v>
      </c>
      <c r="L3100">
        <v>5000</v>
      </c>
      <c r="M3100">
        <v>500000</v>
      </c>
      <c r="N3100" s="105">
        <v>44378</v>
      </c>
      <c r="O3100" s="105">
        <v>44561</v>
      </c>
      <c r="P3100" t="s">
        <v>718</v>
      </c>
      <c r="R3100" s="154"/>
      <c r="S3100" s="154"/>
      <c r="T3100" s="154"/>
      <c r="U3100" s="154"/>
    </row>
    <row r="3101" spans="1:21" ht="15" customHeight="1" x14ac:dyDescent="0.3">
      <c r="A3101" t="str">
        <f t="shared" si="49"/>
        <v/>
      </c>
      <c r="B3101" t="s">
        <v>13</v>
      </c>
      <c r="C3101">
        <v>13</v>
      </c>
      <c r="D3101" s="100" t="s">
        <v>22</v>
      </c>
      <c r="E3101" t="s">
        <v>720</v>
      </c>
      <c r="F3101" t="s">
        <v>18</v>
      </c>
      <c r="G3101" t="s">
        <v>746</v>
      </c>
      <c r="H3101" s="128">
        <v>0.28489999999999999</v>
      </c>
      <c r="J3101" s="110">
        <v>0.1895</v>
      </c>
      <c r="L3101">
        <v>5000</v>
      </c>
      <c r="M3101">
        <v>500000</v>
      </c>
      <c r="N3101" s="105">
        <v>44378</v>
      </c>
      <c r="O3101" s="105">
        <v>44561</v>
      </c>
      <c r="P3101" t="s">
        <v>718</v>
      </c>
      <c r="R3101" s="154"/>
      <c r="S3101" s="154"/>
      <c r="T3101" s="154"/>
      <c r="U3101" s="154"/>
    </row>
    <row r="3102" spans="1:21" ht="15" customHeight="1" x14ac:dyDescent="0.3">
      <c r="A3102" t="str">
        <f t="shared" si="49"/>
        <v>14-3-U-SmartPAY36 (Level 2)</v>
      </c>
      <c r="B3102" t="s">
        <v>13</v>
      </c>
      <c r="C3102">
        <v>14</v>
      </c>
      <c r="D3102" s="100" t="s">
        <v>23</v>
      </c>
      <c r="E3102" t="s">
        <v>716</v>
      </c>
      <c r="F3102" t="s">
        <v>16</v>
      </c>
      <c r="G3102" t="s">
        <v>746</v>
      </c>
      <c r="H3102" s="128">
        <v>0.35139999999999999</v>
      </c>
      <c r="I3102" s="110">
        <v>0.17420000000000002</v>
      </c>
      <c r="L3102">
        <v>5000</v>
      </c>
      <c r="M3102">
        <v>500000</v>
      </c>
      <c r="N3102" s="105">
        <v>44378</v>
      </c>
      <c r="O3102" s="105">
        <v>44561</v>
      </c>
      <c r="P3102" t="s">
        <v>718</v>
      </c>
      <c r="R3102" s="154"/>
      <c r="S3102" s="154"/>
      <c r="T3102" s="154"/>
      <c r="U3102" s="154"/>
    </row>
    <row r="3103" spans="1:21" ht="15" customHeight="1" x14ac:dyDescent="0.3">
      <c r="A3103" t="str">
        <f t="shared" si="49"/>
        <v>14-4-E7-SmartPAY36 (Level 2)</v>
      </c>
      <c r="B3103" t="s">
        <v>13</v>
      </c>
      <c r="C3103">
        <v>14</v>
      </c>
      <c r="D3103" s="100" t="s">
        <v>23</v>
      </c>
      <c r="E3103" t="s">
        <v>17</v>
      </c>
      <c r="F3103" t="s">
        <v>18</v>
      </c>
      <c r="G3103" t="s">
        <v>746</v>
      </c>
      <c r="H3103" s="128">
        <v>0.35139999999999999</v>
      </c>
      <c r="I3103" s="110">
        <v>0.17420000000000002</v>
      </c>
      <c r="J3103" s="110">
        <v>0.17420000000000002</v>
      </c>
      <c r="L3103">
        <v>5000</v>
      </c>
      <c r="M3103">
        <v>500000</v>
      </c>
      <c r="N3103" s="105">
        <v>44378</v>
      </c>
      <c r="O3103" s="105">
        <v>44561</v>
      </c>
      <c r="P3103" t="s">
        <v>718</v>
      </c>
      <c r="R3103" s="154"/>
      <c r="S3103" s="154"/>
      <c r="T3103" s="154"/>
      <c r="U3103" s="154"/>
    </row>
    <row r="3104" spans="1:21" ht="15" customHeight="1" x14ac:dyDescent="0.3">
      <c r="A3104" t="str">
        <f t="shared" si="49"/>
        <v>14-3-EW-SmartPAY36 (Level 2)</v>
      </c>
      <c r="B3104" t="s">
        <v>13</v>
      </c>
      <c r="C3104">
        <v>14</v>
      </c>
      <c r="D3104" s="100" t="s">
        <v>23</v>
      </c>
      <c r="E3104" t="s">
        <v>19</v>
      </c>
      <c r="F3104" t="s">
        <v>16</v>
      </c>
      <c r="G3104" t="s">
        <v>746</v>
      </c>
      <c r="H3104" s="128">
        <v>0.35139999999999999</v>
      </c>
      <c r="I3104" s="110">
        <v>0.17420000000000002</v>
      </c>
      <c r="K3104" s="110">
        <v>0.17420000000000002</v>
      </c>
      <c r="L3104">
        <v>5000</v>
      </c>
      <c r="M3104">
        <v>500000</v>
      </c>
      <c r="N3104" s="105">
        <v>44378</v>
      </c>
      <c r="O3104" s="105">
        <v>44561</v>
      </c>
      <c r="P3104" t="s">
        <v>718</v>
      </c>
      <c r="R3104" s="154"/>
      <c r="S3104" s="154"/>
      <c r="T3104" s="154"/>
      <c r="U3104" s="154"/>
    </row>
    <row r="3105" spans="1:21" ht="15" customHeight="1" x14ac:dyDescent="0.3">
      <c r="A3105" t="str">
        <f t="shared" si="49"/>
        <v>14-4-3RATE-SmartPAY36 (Level 2)</v>
      </c>
      <c r="B3105" t="s">
        <v>13</v>
      </c>
      <c r="C3105">
        <v>14</v>
      </c>
      <c r="D3105" s="100" t="s">
        <v>23</v>
      </c>
      <c r="E3105" t="s">
        <v>719</v>
      </c>
      <c r="F3105" t="s">
        <v>18</v>
      </c>
      <c r="G3105" t="s">
        <v>746</v>
      </c>
      <c r="H3105" s="128">
        <v>0.35139999999999999</v>
      </c>
      <c r="I3105" s="110">
        <v>0.17420000000000002</v>
      </c>
      <c r="J3105" s="110">
        <v>0.17420000000000002</v>
      </c>
      <c r="K3105" s="110">
        <v>0.17420000000000002</v>
      </c>
      <c r="L3105">
        <v>5000</v>
      </c>
      <c r="M3105">
        <v>500000</v>
      </c>
      <c r="N3105" s="105">
        <v>44378</v>
      </c>
      <c r="O3105" s="105">
        <v>44561</v>
      </c>
      <c r="P3105" t="s">
        <v>718</v>
      </c>
      <c r="R3105" s="154"/>
      <c r="S3105" s="154"/>
      <c r="T3105" s="154"/>
      <c r="U3105" s="154"/>
    </row>
    <row r="3106" spans="1:21" ht="15" customHeight="1" x14ac:dyDescent="0.3">
      <c r="A3106" t="str">
        <f t="shared" si="49"/>
        <v/>
      </c>
      <c r="B3106" t="s">
        <v>13</v>
      </c>
      <c r="C3106">
        <v>14</v>
      </c>
      <c r="D3106" s="100" t="s">
        <v>23</v>
      </c>
      <c r="E3106" t="s">
        <v>720</v>
      </c>
      <c r="F3106" t="s">
        <v>18</v>
      </c>
      <c r="G3106" t="s">
        <v>746</v>
      </c>
      <c r="H3106" s="128">
        <v>0.35139999999999999</v>
      </c>
      <c r="J3106" s="110">
        <v>0.17420000000000002</v>
      </c>
      <c r="L3106">
        <v>5000</v>
      </c>
      <c r="M3106">
        <v>500000</v>
      </c>
      <c r="N3106" s="105">
        <v>44378</v>
      </c>
      <c r="O3106" s="105">
        <v>44561</v>
      </c>
      <c r="P3106" t="s">
        <v>718</v>
      </c>
      <c r="R3106" s="154"/>
      <c r="S3106" s="154"/>
      <c r="T3106" s="154"/>
      <c r="U3106" s="154"/>
    </row>
    <row r="3107" spans="1:21" ht="15" customHeight="1" x14ac:dyDescent="0.3">
      <c r="A3107" t="str">
        <f t="shared" ref="A3107:A3170" si="50">IF(E3107="OP","",CONCATENATE(C3107,"-",RIGHT(F3107,1),"-",IF(OR(E3107="1 Rate MD",E3107="DAY"),"U",IF(OR(E3107="2 Rate MD",E3107="E7"),"E7",IF(OR(E3107="3 Rate MD (EW)",E3107="EW"),"EW",IF(OR(E3107="3 Rate MD",E3107="EWN"),"3RATE",IF(E3107="HH 2RATE (CT)","HH 2RATE (CT)",IF(E3107="HH 2RATE (WC)","HH 2RATE (WC)",IF(E3107="HH 1RATE (CT)","HH 1RATE (CT)",IF(E3107="HH 1RATE (WC)","HH 1RATE (WC)")))))))),"-",G3107))</f>
        <v>15-3-U-SmartPAY36 (Level 2)</v>
      </c>
      <c r="B3107" t="s">
        <v>13</v>
      </c>
      <c r="C3107">
        <v>15</v>
      </c>
      <c r="D3107" s="100" t="s">
        <v>24</v>
      </c>
      <c r="E3107" t="s">
        <v>716</v>
      </c>
      <c r="F3107" t="s">
        <v>16</v>
      </c>
      <c r="G3107" t="s">
        <v>746</v>
      </c>
      <c r="H3107" s="128">
        <v>0.32630000000000003</v>
      </c>
      <c r="I3107" s="110">
        <v>0.17280000000000001</v>
      </c>
      <c r="L3107">
        <v>5000</v>
      </c>
      <c r="M3107">
        <v>500000</v>
      </c>
      <c r="N3107" s="105">
        <v>44378</v>
      </c>
      <c r="O3107" s="105">
        <v>44561</v>
      </c>
      <c r="P3107" t="s">
        <v>718</v>
      </c>
      <c r="R3107" s="154"/>
      <c r="S3107" s="154"/>
      <c r="T3107" s="154"/>
      <c r="U3107" s="154"/>
    </row>
    <row r="3108" spans="1:21" ht="15" customHeight="1" x14ac:dyDescent="0.3">
      <c r="A3108" t="str">
        <f t="shared" si="50"/>
        <v>15-4-E7-SmartPAY36 (Level 2)</v>
      </c>
      <c r="B3108" t="s">
        <v>13</v>
      </c>
      <c r="C3108">
        <v>15</v>
      </c>
      <c r="D3108" s="100" t="s">
        <v>24</v>
      </c>
      <c r="E3108" t="s">
        <v>17</v>
      </c>
      <c r="F3108" t="s">
        <v>18</v>
      </c>
      <c r="G3108" t="s">
        <v>746</v>
      </c>
      <c r="H3108" s="128">
        <v>0.32630000000000003</v>
      </c>
      <c r="I3108" s="110">
        <v>0.17280000000000001</v>
      </c>
      <c r="J3108" s="110">
        <v>0.17280000000000001</v>
      </c>
      <c r="L3108">
        <v>5000</v>
      </c>
      <c r="M3108">
        <v>500000</v>
      </c>
      <c r="N3108" s="105">
        <v>44378</v>
      </c>
      <c r="O3108" s="105">
        <v>44561</v>
      </c>
      <c r="P3108" t="s">
        <v>718</v>
      </c>
      <c r="R3108" s="154"/>
      <c r="S3108" s="154"/>
      <c r="T3108" s="154"/>
      <c r="U3108" s="154"/>
    </row>
    <row r="3109" spans="1:21" ht="15" customHeight="1" x14ac:dyDescent="0.3">
      <c r="A3109" t="str">
        <f t="shared" si="50"/>
        <v>15-3-EW-SmartPAY36 (Level 2)</v>
      </c>
      <c r="B3109" t="s">
        <v>13</v>
      </c>
      <c r="C3109">
        <v>15</v>
      </c>
      <c r="D3109" s="100" t="s">
        <v>24</v>
      </c>
      <c r="E3109" t="s">
        <v>19</v>
      </c>
      <c r="F3109" t="s">
        <v>16</v>
      </c>
      <c r="G3109" t="s">
        <v>746</v>
      </c>
      <c r="H3109" s="128">
        <v>0.32630000000000003</v>
      </c>
      <c r="I3109" s="110">
        <v>0.17280000000000001</v>
      </c>
      <c r="K3109" s="110">
        <v>0.17280000000000001</v>
      </c>
      <c r="L3109">
        <v>5000</v>
      </c>
      <c r="M3109">
        <v>500000</v>
      </c>
      <c r="N3109" s="105">
        <v>44378</v>
      </c>
      <c r="O3109" s="105">
        <v>44561</v>
      </c>
      <c r="P3109" t="s">
        <v>718</v>
      </c>
      <c r="R3109" s="154"/>
      <c r="S3109" s="154"/>
      <c r="T3109" s="154"/>
      <c r="U3109" s="154"/>
    </row>
    <row r="3110" spans="1:21" ht="15" customHeight="1" x14ac:dyDescent="0.3">
      <c r="A3110" t="str">
        <f t="shared" si="50"/>
        <v>15-4-3RATE-SmartPAY36 (Level 2)</v>
      </c>
      <c r="B3110" t="s">
        <v>13</v>
      </c>
      <c r="C3110">
        <v>15</v>
      </c>
      <c r="D3110" s="100" t="s">
        <v>24</v>
      </c>
      <c r="E3110" t="s">
        <v>719</v>
      </c>
      <c r="F3110" t="s">
        <v>18</v>
      </c>
      <c r="G3110" t="s">
        <v>746</v>
      </c>
      <c r="H3110" s="128">
        <v>0.32630000000000003</v>
      </c>
      <c r="I3110" s="110">
        <v>0.17280000000000001</v>
      </c>
      <c r="J3110" s="110">
        <v>0.17280000000000001</v>
      </c>
      <c r="K3110" s="110">
        <v>0.17280000000000001</v>
      </c>
      <c r="L3110">
        <v>5000</v>
      </c>
      <c r="M3110">
        <v>500000</v>
      </c>
      <c r="N3110" s="105">
        <v>44378</v>
      </c>
      <c r="O3110" s="105">
        <v>44561</v>
      </c>
      <c r="P3110" t="s">
        <v>718</v>
      </c>
      <c r="R3110" s="154"/>
      <c r="S3110" s="154"/>
      <c r="T3110" s="154"/>
      <c r="U3110" s="154"/>
    </row>
    <row r="3111" spans="1:21" ht="15" customHeight="1" x14ac:dyDescent="0.3">
      <c r="A3111" t="str">
        <f t="shared" si="50"/>
        <v/>
      </c>
      <c r="B3111" t="s">
        <v>13</v>
      </c>
      <c r="C3111">
        <v>15</v>
      </c>
      <c r="D3111" s="100" t="s">
        <v>24</v>
      </c>
      <c r="E3111" t="s">
        <v>720</v>
      </c>
      <c r="F3111" t="s">
        <v>18</v>
      </c>
      <c r="G3111" t="s">
        <v>746</v>
      </c>
      <c r="H3111" s="128">
        <v>0.32630000000000003</v>
      </c>
      <c r="J3111" s="110">
        <v>0.17280000000000001</v>
      </c>
      <c r="L3111">
        <v>5000</v>
      </c>
      <c r="M3111">
        <v>500000</v>
      </c>
      <c r="N3111" s="105">
        <v>44378</v>
      </c>
      <c r="O3111" s="105">
        <v>44561</v>
      </c>
      <c r="P3111" t="s">
        <v>718</v>
      </c>
      <c r="R3111" s="154"/>
      <c r="S3111" s="154"/>
      <c r="T3111" s="154"/>
      <c r="U3111" s="154"/>
    </row>
    <row r="3112" spans="1:21" ht="15" customHeight="1" x14ac:dyDescent="0.3">
      <c r="A3112" t="str">
        <f t="shared" si="50"/>
        <v>16-3-U-SmartPAY36 (Level 2)</v>
      </c>
      <c r="B3112" t="s">
        <v>13</v>
      </c>
      <c r="C3112">
        <v>16</v>
      </c>
      <c r="D3112" s="100" t="s">
        <v>25</v>
      </c>
      <c r="E3112" t="s">
        <v>716</v>
      </c>
      <c r="F3112" t="s">
        <v>16</v>
      </c>
      <c r="G3112" t="s">
        <v>746</v>
      </c>
      <c r="H3112" s="128">
        <v>0.27610000000000001</v>
      </c>
      <c r="I3112" s="110">
        <v>0.17420000000000002</v>
      </c>
      <c r="L3112">
        <v>5000</v>
      </c>
      <c r="M3112">
        <v>500000</v>
      </c>
      <c r="N3112" s="105">
        <v>44378</v>
      </c>
      <c r="O3112" s="105">
        <v>44561</v>
      </c>
      <c r="P3112" t="s">
        <v>718</v>
      </c>
      <c r="R3112" s="154"/>
      <c r="S3112" s="154"/>
      <c r="T3112" s="154"/>
      <c r="U3112" s="154"/>
    </row>
    <row r="3113" spans="1:21" ht="15" customHeight="1" x14ac:dyDescent="0.3">
      <c r="A3113" t="str">
        <f t="shared" si="50"/>
        <v>16-4-E7-SmartPAY36 (Level 2)</v>
      </c>
      <c r="B3113" t="s">
        <v>13</v>
      </c>
      <c r="C3113">
        <v>16</v>
      </c>
      <c r="D3113" s="100" t="s">
        <v>25</v>
      </c>
      <c r="E3113" t="s">
        <v>17</v>
      </c>
      <c r="F3113" t="s">
        <v>18</v>
      </c>
      <c r="G3113" t="s">
        <v>746</v>
      </c>
      <c r="H3113" s="128">
        <v>0.27610000000000001</v>
      </c>
      <c r="I3113" s="110">
        <v>0.17420000000000002</v>
      </c>
      <c r="J3113" s="110">
        <v>0.17420000000000002</v>
      </c>
      <c r="L3113">
        <v>5000</v>
      </c>
      <c r="M3113">
        <v>500000</v>
      </c>
      <c r="N3113" s="105">
        <v>44378</v>
      </c>
      <c r="O3113" s="105">
        <v>44561</v>
      </c>
      <c r="P3113" t="s">
        <v>718</v>
      </c>
      <c r="R3113" s="154"/>
      <c r="S3113" s="154"/>
      <c r="T3113" s="154"/>
      <c r="U3113" s="154"/>
    </row>
    <row r="3114" spans="1:21" ht="15" customHeight="1" x14ac:dyDescent="0.3">
      <c r="A3114" t="str">
        <f t="shared" si="50"/>
        <v>16-3-EW-SmartPAY36 (Level 2)</v>
      </c>
      <c r="B3114" t="s">
        <v>13</v>
      </c>
      <c r="C3114">
        <v>16</v>
      </c>
      <c r="D3114" s="100" t="s">
        <v>25</v>
      </c>
      <c r="E3114" t="s">
        <v>19</v>
      </c>
      <c r="F3114" t="s">
        <v>16</v>
      </c>
      <c r="G3114" t="s">
        <v>746</v>
      </c>
      <c r="H3114" s="128">
        <v>0.27610000000000001</v>
      </c>
      <c r="I3114" s="110">
        <v>0.17420000000000002</v>
      </c>
      <c r="K3114" s="110">
        <v>0.17420000000000002</v>
      </c>
      <c r="L3114">
        <v>5000</v>
      </c>
      <c r="M3114">
        <v>500000</v>
      </c>
      <c r="N3114" s="105">
        <v>44378</v>
      </c>
      <c r="O3114" s="105">
        <v>44561</v>
      </c>
      <c r="P3114" t="s">
        <v>718</v>
      </c>
      <c r="R3114" s="154"/>
      <c r="S3114" s="154"/>
      <c r="T3114" s="154"/>
      <c r="U3114" s="154"/>
    </row>
    <row r="3115" spans="1:21" ht="15" customHeight="1" x14ac:dyDescent="0.3">
      <c r="A3115" t="str">
        <f t="shared" si="50"/>
        <v>16-4-3RATE-SmartPAY36 (Level 2)</v>
      </c>
      <c r="B3115" t="s">
        <v>13</v>
      </c>
      <c r="C3115">
        <v>16</v>
      </c>
      <c r="D3115" s="100" t="s">
        <v>25</v>
      </c>
      <c r="E3115" t="s">
        <v>719</v>
      </c>
      <c r="F3115" t="s">
        <v>18</v>
      </c>
      <c r="G3115" t="s">
        <v>746</v>
      </c>
      <c r="H3115" s="128">
        <v>0.27610000000000001</v>
      </c>
      <c r="I3115" s="110">
        <v>0.17420000000000002</v>
      </c>
      <c r="J3115" s="110">
        <v>0.17420000000000002</v>
      </c>
      <c r="K3115" s="110">
        <v>0.17420000000000002</v>
      </c>
      <c r="L3115">
        <v>5000</v>
      </c>
      <c r="M3115">
        <v>500000</v>
      </c>
      <c r="N3115" s="105">
        <v>44378</v>
      </c>
      <c r="O3115" s="105">
        <v>44561</v>
      </c>
      <c r="P3115" t="s">
        <v>718</v>
      </c>
      <c r="R3115" s="154"/>
      <c r="S3115" s="154"/>
      <c r="T3115" s="154"/>
      <c r="U3115" s="154"/>
    </row>
    <row r="3116" spans="1:21" ht="15" customHeight="1" x14ac:dyDescent="0.3">
      <c r="A3116" t="str">
        <f t="shared" si="50"/>
        <v/>
      </c>
      <c r="B3116" t="s">
        <v>13</v>
      </c>
      <c r="C3116">
        <v>16</v>
      </c>
      <c r="D3116" s="100" t="s">
        <v>25</v>
      </c>
      <c r="E3116" t="s">
        <v>720</v>
      </c>
      <c r="F3116" t="s">
        <v>18</v>
      </c>
      <c r="G3116" t="s">
        <v>746</v>
      </c>
      <c r="H3116" s="128">
        <v>0.27610000000000001</v>
      </c>
      <c r="J3116" s="110">
        <v>0.17420000000000002</v>
      </c>
      <c r="L3116">
        <v>5000</v>
      </c>
      <c r="M3116">
        <v>500000</v>
      </c>
      <c r="N3116" s="105">
        <v>44378</v>
      </c>
      <c r="O3116" s="105">
        <v>44561</v>
      </c>
      <c r="P3116" t="s">
        <v>718</v>
      </c>
      <c r="R3116" s="154"/>
      <c r="S3116" s="154"/>
      <c r="T3116" s="154"/>
      <c r="U3116" s="154"/>
    </row>
    <row r="3117" spans="1:21" ht="15" customHeight="1" x14ac:dyDescent="0.3">
      <c r="A3117" t="str">
        <f t="shared" si="50"/>
        <v>17-3-U-SmartPAY36 (Level 2)</v>
      </c>
      <c r="B3117" t="s">
        <v>13</v>
      </c>
      <c r="C3117">
        <v>17</v>
      </c>
      <c r="D3117" s="100" t="s">
        <v>26</v>
      </c>
      <c r="E3117" t="s">
        <v>716</v>
      </c>
      <c r="F3117" t="s">
        <v>16</v>
      </c>
      <c r="G3117" t="s">
        <v>746</v>
      </c>
      <c r="H3117" s="128">
        <v>0.36369999999999997</v>
      </c>
      <c r="I3117" s="110">
        <v>0.18090000000000001</v>
      </c>
      <c r="L3117">
        <v>5000</v>
      </c>
      <c r="M3117">
        <v>500000</v>
      </c>
      <c r="N3117" s="105">
        <v>44378</v>
      </c>
      <c r="O3117" s="105">
        <v>44561</v>
      </c>
      <c r="P3117" t="s">
        <v>718</v>
      </c>
      <c r="R3117" s="154"/>
      <c r="S3117" s="154"/>
      <c r="T3117" s="154"/>
      <c r="U3117" s="154"/>
    </row>
    <row r="3118" spans="1:21" ht="15" customHeight="1" x14ac:dyDescent="0.3">
      <c r="A3118" t="str">
        <f t="shared" si="50"/>
        <v>17-4-E7-SmartPAY36 (Level 2)</v>
      </c>
      <c r="B3118" t="s">
        <v>13</v>
      </c>
      <c r="C3118">
        <v>17</v>
      </c>
      <c r="D3118" s="100" t="s">
        <v>26</v>
      </c>
      <c r="E3118" t="s">
        <v>17</v>
      </c>
      <c r="F3118" t="s">
        <v>18</v>
      </c>
      <c r="G3118" t="s">
        <v>746</v>
      </c>
      <c r="H3118" s="128">
        <v>0.36369999999999997</v>
      </c>
      <c r="I3118" s="110">
        <v>0.18090000000000001</v>
      </c>
      <c r="J3118" s="110">
        <v>0.18090000000000001</v>
      </c>
      <c r="L3118">
        <v>5000</v>
      </c>
      <c r="M3118">
        <v>500000</v>
      </c>
      <c r="N3118" s="105">
        <v>44378</v>
      </c>
      <c r="O3118" s="105">
        <v>44561</v>
      </c>
      <c r="P3118" t="s">
        <v>718</v>
      </c>
      <c r="R3118" s="154"/>
      <c r="S3118" s="154"/>
      <c r="T3118" s="154"/>
      <c r="U3118" s="154"/>
    </row>
    <row r="3119" spans="1:21" ht="15" customHeight="1" x14ac:dyDescent="0.3">
      <c r="A3119" t="str">
        <f t="shared" si="50"/>
        <v>17-3-EW-SmartPAY36 (Level 2)</v>
      </c>
      <c r="B3119" t="s">
        <v>13</v>
      </c>
      <c r="C3119">
        <v>17</v>
      </c>
      <c r="D3119" s="100" t="s">
        <v>26</v>
      </c>
      <c r="E3119" t="s">
        <v>19</v>
      </c>
      <c r="F3119" t="s">
        <v>16</v>
      </c>
      <c r="G3119" t="s">
        <v>746</v>
      </c>
      <c r="H3119" s="128">
        <v>0.36369999999999997</v>
      </c>
      <c r="I3119" s="110">
        <v>0.18090000000000001</v>
      </c>
      <c r="K3119" s="110">
        <v>0.18090000000000001</v>
      </c>
      <c r="L3119">
        <v>5000</v>
      </c>
      <c r="M3119">
        <v>500000</v>
      </c>
      <c r="N3119" s="105">
        <v>44378</v>
      </c>
      <c r="O3119" s="105">
        <v>44561</v>
      </c>
      <c r="P3119" t="s">
        <v>718</v>
      </c>
      <c r="R3119" s="154"/>
      <c r="S3119" s="154"/>
      <c r="T3119" s="154"/>
      <c r="U3119" s="154"/>
    </row>
    <row r="3120" spans="1:21" ht="15" customHeight="1" x14ac:dyDescent="0.3">
      <c r="A3120" t="str">
        <f t="shared" si="50"/>
        <v>17-4-3RATE-SmartPAY36 (Level 2)</v>
      </c>
      <c r="B3120" t="s">
        <v>13</v>
      </c>
      <c r="C3120">
        <v>17</v>
      </c>
      <c r="D3120" s="100" t="s">
        <v>26</v>
      </c>
      <c r="E3120" t="s">
        <v>719</v>
      </c>
      <c r="F3120" t="s">
        <v>18</v>
      </c>
      <c r="G3120" t="s">
        <v>746</v>
      </c>
      <c r="H3120" s="128">
        <v>0.36369999999999997</v>
      </c>
      <c r="I3120" s="110">
        <v>0.18090000000000001</v>
      </c>
      <c r="J3120" s="110">
        <v>0.18090000000000001</v>
      </c>
      <c r="K3120" s="110">
        <v>0.18090000000000001</v>
      </c>
      <c r="L3120">
        <v>5000</v>
      </c>
      <c r="M3120">
        <v>500000</v>
      </c>
      <c r="N3120" s="105">
        <v>44378</v>
      </c>
      <c r="O3120" s="105">
        <v>44561</v>
      </c>
      <c r="P3120" t="s">
        <v>718</v>
      </c>
      <c r="R3120" s="154"/>
      <c r="S3120" s="154"/>
      <c r="T3120" s="154"/>
      <c r="U3120" s="154"/>
    </row>
    <row r="3121" spans="1:21" ht="15" customHeight="1" x14ac:dyDescent="0.3">
      <c r="A3121" t="str">
        <f t="shared" si="50"/>
        <v/>
      </c>
      <c r="B3121" t="s">
        <v>13</v>
      </c>
      <c r="C3121">
        <v>17</v>
      </c>
      <c r="D3121" s="100" t="s">
        <v>26</v>
      </c>
      <c r="E3121" t="s">
        <v>720</v>
      </c>
      <c r="F3121" t="s">
        <v>18</v>
      </c>
      <c r="G3121" t="s">
        <v>746</v>
      </c>
      <c r="H3121" s="128">
        <v>0.36369999999999997</v>
      </c>
      <c r="J3121" s="110">
        <v>0.18090000000000001</v>
      </c>
      <c r="L3121">
        <v>5000</v>
      </c>
      <c r="M3121">
        <v>500000</v>
      </c>
      <c r="N3121" s="105">
        <v>44378</v>
      </c>
      <c r="O3121" s="105">
        <v>44561</v>
      </c>
      <c r="P3121" t="s">
        <v>718</v>
      </c>
      <c r="R3121" s="154"/>
      <c r="S3121" s="154"/>
      <c r="T3121" s="154"/>
      <c r="U3121" s="154"/>
    </row>
    <row r="3122" spans="1:21" ht="15" customHeight="1" x14ac:dyDescent="0.3">
      <c r="A3122" t="str">
        <f t="shared" si="50"/>
        <v>18-3-U-SmartPAY36 (Level 2)</v>
      </c>
      <c r="B3122" t="s">
        <v>13</v>
      </c>
      <c r="C3122">
        <v>18</v>
      </c>
      <c r="D3122" s="100" t="s">
        <v>27</v>
      </c>
      <c r="E3122" t="s">
        <v>716</v>
      </c>
      <c r="F3122" t="s">
        <v>16</v>
      </c>
      <c r="G3122" t="s">
        <v>746</v>
      </c>
      <c r="H3122" s="128">
        <v>0.31730000000000003</v>
      </c>
      <c r="I3122" s="110">
        <v>0.17379999999999998</v>
      </c>
      <c r="L3122">
        <v>5000</v>
      </c>
      <c r="M3122">
        <v>500000</v>
      </c>
      <c r="N3122" s="105">
        <v>44378</v>
      </c>
      <c r="O3122" s="105">
        <v>44561</v>
      </c>
      <c r="P3122" t="s">
        <v>718</v>
      </c>
      <c r="R3122" s="154"/>
      <c r="S3122" s="154"/>
      <c r="T3122" s="154"/>
      <c r="U3122" s="154"/>
    </row>
    <row r="3123" spans="1:21" ht="15" customHeight="1" x14ac:dyDescent="0.3">
      <c r="A3123" t="str">
        <f t="shared" si="50"/>
        <v>18-4-E7-SmartPAY36 (Level 2)</v>
      </c>
      <c r="B3123" t="s">
        <v>13</v>
      </c>
      <c r="C3123">
        <v>18</v>
      </c>
      <c r="D3123" s="100" t="s">
        <v>27</v>
      </c>
      <c r="E3123" t="s">
        <v>17</v>
      </c>
      <c r="F3123" t="s">
        <v>18</v>
      </c>
      <c r="G3123" t="s">
        <v>746</v>
      </c>
      <c r="H3123" s="128">
        <v>0.31730000000000003</v>
      </c>
      <c r="I3123" s="110">
        <v>0.17379999999999998</v>
      </c>
      <c r="J3123" s="110">
        <v>0.17379999999999998</v>
      </c>
      <c r="L3123">
        <v>5000</v>
      </c>
      <c r="M3123">
        <v>500000</v>
      </c>
      <c r="N3123" s="105">
        <v>44378</v>
      </c>
      <c r="O3123" s="105">
        <v>44561</v>
      </c>
      <c r="P3123" t="s">
        <v>718</v>
      </c>
      <c r="R3123" s="154"/>
      <c r="S3123" s="154"/>
      <c r="T3123" s="154"/>
      <c r="U3123" s="154"/>
    </row>
    <row r="3124" spans="1:21" ht="15" customHeight="1" x14ac:dyDescent="0.3">
      <c r="A3124" t="str">
        <f t="shared" si="50"/>
        <v>18-3-EW-SmartPAY36 (Level 2)</v>
      </c>
      <c r="B3124" t="s">
        <v>13</v>
      </c>
      <c r="C3124">
        <v>18</v>
      </c>
      <c r="D3124" s="100" t="s">
        <v>27</v>
      </c>
      <c r="E3124" t="s">
        <v>19</v>
      </c>
      <c r="F3124" t="s">
        <v>16</v>
      </c>
      <c r="G3124" t="s">
        <v>746</v>
      </c>
      <c r="H3124" s="128">
        <v>0.31730000000000003</v>
      </c>
      <c r="I3124" s="110">
        <v>0.17379999999999998</v>
      </c>
      <c r="K3124" s="110">
        <v>0.17379999999999998</v>
      </c>
      <c r="L3124">
        <v>5000</v>
      </c>
      <c r="M3124">
        <v>500000</v>
      </c>
      <c r="N3124" s="105">
        <v>44378</v>
      </c>
      <c r="O3124" s="105">
        <v>44561</v>
      </c>
      <c r="P3124" t="s">
        <v>718</v>
      </c>
      <c r="R3124" s="154"/>
      <c r="S3124" s="154"/>
      <c r="T3124" s="154"/>
      <c r="U3124" s="154"/>
    </row>
    <row r="3125" spans="1:21" ht="15" customHeight="1" x14ac:dyDescent="0.3">
      <c r="A3125" t="str">
        <f t="shared" si="50"/>
        <v>18-4-3RATE-SmartPAY36 (Level 2)</v>
      </c>
      <c r="B3125" t="s">
        <v>13</v>
      </c>
      <c r="C3125">
        <v>18</v>
      </c>
      <c r="D3125" s="100" t="s">
        <v>27</v>
      </c>
      <c r="E3125" t="s">
        <v>719</v>
      </c>
      <c r="F3125" t="s">
        <v>18</v>
      </c>
      <c r="G3125" t="s">
        <v>746</v>
      </c>
      <c r="H3125" s="128">
        <v>0.31730000000000003</v>
      </c>
      <c r="I3125" s="110">
        <v>0.17379999999999998</v>
      </c>
      <c r="J3125" s="110">
        <v>0.17379999999999998</v>
      </c>
      <c r="K3125" s="110">
        <v>0.17379999999999998</v>
      </c>
      <c r="L3125">
        <v>5000</v>
      </c>
      <c r="M3125">
        <v>500000</v>
      </c>
      <c r="N3125" s="105">
        <v>44378</v>
      </c>
      <c r="O3125" s="105">
        <v>44561</v>
      </c>
      <c r="P3125" t="s">
        <v>718</v>
      </c>
      <c r="R3125" s="154"/>
      <c r="S3125" s="154"/>
      <c r="T3125" s="154"/>
      <c r="U3125" s="154"/>
    </row>
    <row r="3126" spans="1:21" ht="15" customHeight="1" x14ac:dyDescent="0.3">
      <c r="A3126" t="str">
        <f t="shared" si="50"/>
        <v/>
      </c>
      <c r="B3126" t="s">
        <v>13</v>
      </c>
      <c r="C3126">
        <v>18</v>
      </c>
      <c r="D3126" s="100" t="s">
        <v>27</v>
      </c>
      <c r="E3126" t="s">
        <v>720</v>
      </c>
      <c r="F3126" t="s">
        <v>18</v>
      </c>
      <c r="G3126" t="s">
        <v>746</v>
      </c>
      <c r="H3126" s="128">
        <v>0.31730000000000003</v>
      </c>
      <c r="J3126" s="110">
        <v>0.17379999999999998</v>
      </c>
      <c r="L3126">
        <v>5000</v>
      </c>
      <c r="M3126">
        <v>500000</v>
      </c>
      <c r="N3126" s="105">
        <v>44378</v>
      </c>
      <c r="O3126" s="105">
        <v>44561</v>
      </c>
      <c r="P3126" t="s">
        <v>718</v>
      </c>
      <c r="R3126" s="154"/>
      <c r="S3126" s="154"/>
      <c r="T3126" s="154"/>
      <c r="U3126" s="154"/>
    </row>
    <row r="3127" spans="1:21" ht="15" customHeight="1" x14ac:dyDescent="0.3">
      <c r="A3127" t="str">
        <f t="shared" si="50"/>
        <v>19-3-U-SmartPAY36 (Level 2)</v>
      </c>
      <c r="B3127" t="s">
        <v>13</v>
      </c>
      <c r="C3127">
        <v>19</v>
      </c>
      <c r="D3127" s="100" t="s">
        <v>28</v>
      </c>
      <c r="E3127" t="s">
        <v>716</v>
      </c>
      <c r="F3127" t="s">
        <v>16</v>
      </c>
      <c r="G3127" t="s">
        <v>746</v>
      </c>
      <c r="H3127" s="128">
        <v>0.30149999999999999</v>
      </c>
      <c r="I3127" s="110">
        <v>0.17120000000000002</v>
      </c>
      <c r="L3127">
        <v>5000</v>
      </c>
      <c r="M3127">
        <v>500000</v>
      </c>
      <c r="N3127" s="105">
        <v>44378</v>
      </c>
      <c r="O3127" s="105">
        <v>44561</v>
      </c>
      <c r="P3127" t="s">
        <v>718</v>
      </c>
      <c r="R3127" s="154"/>
      <c r="S3127" s="154"/>
      <c r="T3127" s="154"/>
      <c r="U3127" s="154"/>
    </row>
    <row r="3128" spans="1:21" ht="15" customHeight="1" x14ac:dyDescent="0.3">
      <c r="A3128" t="str">
        <f t="shared" si="50"/>
        <v>19-4-E7-SmartPAY36 (Level 2)</v>
      </c>
      <c r="B3128" t="s">
        <v>13</v>
      </c>
      <c r="C3128">
        <v>19</v>
      </c>
      <c r="D3128" s="100" t="s">
        <v>28</v>
      </c>
      <c r="E3128" t="s">
        <v>17</v>
      </c>
      <c r="F3128" t="s">
        <v>18</v>
      </c>
      <c r="G3128" t="s">
        <v>746</v>
      </c>
      <c r="H3128" s="128">
        <v>0.30149999999999999</v>
      </c>
      <c r="I3128" s="110">
        <v>0.17120000000000002</v>
      </c>
      <c r="J3128" s="110">
        <v>0.17120000000000002</v>
      </c>
      <c r="L3128">
        <v>5000</v>
      </c>
      <c r="M3128">
        <v>500000</v>
      </c>
      <c r="N3128" s="105">
        <v>44378</v>
      </c>
      <c r="O3128" s="105">
        <v>44561</v>
      </c>
      <c r="P3128" t="s">
        <v>718</v>
      </c>
      <c r="R3128" s="154"/>
      <c r="S3128" s="154"/>
      <c r="T3128" s="154"/>
      <c r="U3128" s="154"/>
    </row>
    <row r="3129" spans="1:21" ht="15" customHeight="1" x14ac:dyDescent="0.3">
      <c r="A3129" t="str">
        <f t="shared" si="50"/>
        <v>19-3-EW-SmartPAY36 (Level 2)</v>
      </c>
      <c r="B3129" t="s">
        <v>13</v>
      </c>
      <c r="C3129">
        <v>19</v>
      </c>
      <c r="D3129" s="100" t="s">
        <v>28</v>
      </c>
      <c r="E3129" t="s">
        <v>19</v>
      </c>
      <c r="F3129" t="s">
        <v>16</v>
      </c>
      <c r="G3129" t="s">
        <v>746</v>
      </c>
      <c r="H3129" s="128">
        <v>0.30149999999999999</v>
      </c>
      <c r="I3129" s="110">
        <v>0.17120000000000002</v>
      </c>
      <c r="K3129" s="110">
        <v>0.17120000000000002</v>
      </c>
      <c r="L3129">
        <v>5000</v>
      </c>
      <c r="M3129">
        <v>500000</v>
      </c>
      <c r="N3129" s="105">
        <v>44378</v>
      </c>
      <c r="O3129" s="105">
        <v>44561</v>
      </c>
      <c r="P3129" t="s">
        <v>718</v>
      </c>
      <c r="R3129" s="154"/>
      <c r="S3129" s="154"/>
      <c r="T3129" s="154"/>
      <c r="U3129" s="154"/>
    </row>
    <row r="3130" spans="1:21" ht="15" customHeight="1" x14ac:dyDescent="0.3">
      <c r="A3130" t="str">
        <f t="shared" si="50"/>
        <v>19-4-3RATE-SmartPAY36 (Level 2)</v>
      </c>
      <c r="B3130" t="s">
        <v>13</v>
      </c>
      <c r="C3130">
        <v>19</v>
      </c>
      <c r="D3130" s="100" t="s">
        <v>28</v>
      </c>
      <c r="E3130" t="s">
        <v>719</v>
      </c>
      <c r="F3130" t="s">
        <v>18</v>
      </c>
      <c r="G3130" t="s">
        <v>746</v>
      </c>
      <c r="H3130" s="128">
        <v>0.30149999999999999</v>
      </c>
      <c r="I3130" s="110">
        <v>0.17120000000000002</v>
      </c>
      <c r="J3130" s="110">
        <v>0.17120000000000002</v>
      </c>
      <c r="K3130" s="110">
        <v>0.17120000000000002</v>
      </c>
      <c r="L3130">
        <v>5000</v>
      </c>
      <c r="M3130">
        <v>500000</v>
      </c>
      <c r="N3130" s="105">
        <v>44378</v>
      </c>
      <c r="O3130" s="105">
        <v>44561</v>
      </c>
      <c r="P3130" t="s">
        <v>718</v>
      </c>
      <c r="R3130" s="154"/>
      <c r="S3130" s="154"/>
      <c r="T3130" s="154"/>
      <c r="U3130" s="154"/>
    </row>
    <row r="3131" spans="1:21" ht="15" customHeight="1" x14ac:dyDescent="0.3">
      <c r="A3131" t="str">
        <f t="shared" si="50"/>
        <v/>
      </c>
      <c r="B3131" t="s">
        <v>13</v>
      </c>
      <c r="C3131">
        <v>19</v>
      </c>
      <c r="D3131" s="100" t="s">
        <v>28</v>
      </c>
      <c r="E3131" t="s">
        <v>720</v>
      </c>
      <c r="F3131" t="s">
        <v>18</v>
      </c>
      <c r="G3131" t="s">
        <v>746</v>
      </c>
      <c r="H3131" s="128">
        <v>0.30149999999999999</v>
      </c>
      <c r="J3131" s="110">
        <v>0.17120000000000002</v>
      </c>
      <c r="L3131">
        <v>5000</v>
      </c>
      <c r="M3131">
        <v>500000</v>
      </c>
      <c r="N3131" s="105">
        <v>44378</v>
      </c>
      <c r="O3131" s="105">
        <v>44561</v>
      </c>
      <c r="P3131" t="s">
        <v>718</v>
      </c>
      <c r="R3131" s="154"/>
      <c r="S3131" s="154"/>
      <c r="T3131" s="154"/>
      <c r="U3131" s="154"/>
    </row>
    <row r="3132" spans="1:21" ht="15" customHeight="1" x14ac:dyDescent="0.3">
      <c r="A3132" t="str">
        <f t="shared" si="50"/>
        <v>20-3-U-SmartPAY36 (Level 2)</v>
      </c>
      <c r="B3132" t="s">
        <v>13</v>
      </c>
      <c r="C3132">
        <v>20</v>
      </c>
      <c r="D3132" s="100" t="s">
        <v>29</v>
      </c>
      <c r="E3132" t="s">
        <v>716</v>
      </c>
      <c r="F3132" t="s">
        <v>16</v>
      </c>
      <c r="G3132" t="s">
        <v>746</v>
      </c>
      <c r="H3132" s="128">
        <v>0.2989</v>
      </c>
      <c r="I3132" s="110">
        <v>0.17030000000000001</v>
      </c>
      <c r="L3132">
        <v>5000</v>
      </c>
      <c r="M3132">
        <v>500000</v>
      </c>
      <c r="N3132" s="105">
        <v>44378</v>
      </c>
      <c r="O3132" s="105">
        <v>44561</v>
      </c>
      <c r="P3132" t="s">
        <v>718</v>
      </c>
      <c r="R3132" s="154"/>
      <c r="S3132" s="154"/>
      <c r="T3132" s="154"/>
      <c r="U3132" s="154"/>
    </row>
    <row r="3133" spans="1:21" ht="15" customHeight="1" x14ac:dyDescent="0.3">
      <c r="A3133" t="str">
        <f t="shared" si="50"/>
        <v>20-4-E7-SmartPAY36 (Level 2)</v>
      </c>
      <c r="B3133" t="s">
        <v>13</v>
      </c>
      <c r="C3133">
        <v>20</v>
      </c>
      <c r="D3133" s="100" t="s">
        <v>29</v>
      </c>
      <c r="E3133" t="s">
        <v>17</v>
      </c>
      <c r="F3133" t="s">
        <v>18</v>
      </c>
      <c r="G3133" t="s">
        <v>746</v>
      </c>
      <c r="H3133" s="128">
        <v>0.2989</v>
      </c>
      <c r="I3133" s="110">
        <v>0.17030000000000001</v>
      </c>
      <c r="J3133" s="110">
        <v>0.17030000000000001</v>
      </c>
      <c r="L3133">
        <v>5000</v>
      </c>
      <c r="M3133">
        <v>500000</v>
      </c>
      <c r="N3133" s="105">
        <v>44378</v>
      </c>
      <c r="O3133" s="105">
        <v>44561</v>
      </c>
      <c r="P3133" t="s">
        <v>718</v>
      </c>
      <c r="R3133" s="154"/>
      <c r="S3133" s="154"/>
      <c r="T3133" s="154"/>
      <c r="U3133" s="154"/>
    </row>
    <row r="3134" spans="1:21" ht="15" customHeight="1" x14ac:dyDescent="0.3">
      <c r="A3134" t="str">
        <f t="shared" si="50"/>
        <v>20-3-EW-SmartPAY36 (Level 2)</v>
      </c>
      <c r="B3134" t="s">
        <v>13</v>
      </c>
      <c r="C3134">
        <v>20</v>
      </c>
      <c r="D3134" s="100" t="s">
        <v>29</v>
      </c>
      <c r="E3134" t="s">
        <v>19</v>
      </c>
      <c r="F3134" t="s">
        <v>16</v>
      </c>
      <c r="G3134" t="s">
        <v>746</v>
      </c>
      <c r="H3134" s="128">
        <v>0.2989</v>
      </c>
      <c r="I3134" s="110">
        <v>0.17030000000000001</v>
      </c>
      <c r="K3134" s="110">
        <v>0.17030000000000001</v>
      </c>
      <c r="L3134">
        <v>5000</v>
      </c>
      <c r="M3134">
        <v>500000</v>
      </c>
      <c r="N3134" s="105">
        <v>44378</v>
      </c>
      <c r="O3134" s="105">
        <v>44561</v>
      </c>
      <c r="P3134" t="s">
        <v>718</v>
      </c>
      <c r="R3134" s="154"/>
      <c r="S3134" s="154"/>
      <c r="T3134" s="154"/>
      <c r="U3134" s="154"/>
    </row>
    <row r="3135" spans="1:21" ht="15" customHeight="1" x14ac:dyDescent="0.3">
      <c r="A3135" t="str">
        <f t="shared" si="50"/>
        <v>20-4-3RATE-SmartPAY36 (Level 2)</v>
      </c>
      <c r="B3135" t="s">
        <v>13</v>
      </c>
      <c r="C3135">
        <v>20</v>
      </c>
      <c r="D3135" s="100" t="s">
        <v>29</v>
      </c>
      <c r="E3135" t="s">
        <v>719</v>
      </c>
      <c r="F3135" t="s">
        <v>18</v>
      </c>
      <c r="G3135" t="s">
        <v>746</v>
      </c>
      <c r="H3135" s="128">
        <v>0.2989</v>
      </c>
      <c r="I3135" s="110">
        <v>0.17030000000000001</v>
      </c>
      <c r="J3135" s="110">
        <v>0.17030000000000001</v>
      </c>
      <c r="K3135" s="110">
        <v>0.17030000000000001</v>
      </c>
      <c r="L3135">
        <v>5000</v>
      </c>
      <c r="M3135">
        <v>500000</v>
      </c>
      <c r="N3135" s="105">
        <v>44378</v>
      </c>
      <c r="O3135" s="105">
        <v>44561</v>
      </c>
      <c r="P3135" t="s">
        <v>718</v>
      </c>
      <c r="R3135" s="154"/>
      <c r="S3135" s="154"/>
      <c r="T3135" s="154"/>
      <c r="U3135" s="154"/>
    </row>
    <row r="3136" spans="1:21" ht="15" customHeight="1" x14ac:dyDescent="0.3">
      <c r="A3136" t="str">
        <f t="shared" si="50"/>
        <v/>
      </c>
      <c r="B3136" t="s">
        <v>13</v>
      </c>
      <c r="C3136">
        <v>20</v>
      </c>
      <c r="D3136" s="100" t="s">
        <v>29</v>
      </c>
      <c r="E3136" t="s">
        <v>720</v>
      </c>
      <c r="F3136" t="s">
        <v>18</v>
      </c>
      <c r="G3136" t="s">
        <v>746</v>
      </c>
      <c r="H3136" s="128">
        <v>0.2989</v>
      </c>
      <c r="J3136" s="110">
        <v>0.17030000000000001</v>
      </c>
      <c r="L3136">
        <v>5000</v>
      </c>
      <c r="M3136">
        <v>500000</v>
      </c>
      <c r="N3136" s="105">
        <v>44378</v>
      </c>
      <c r="O3136" s="105">
        <v>44561</v>
      </c>
      <c r="P3136" t="s">
        <v>718</v>
      </c>
      <c r="R3136" s="154"/>
      <c r="S3136" s="154"/>
      <c r="T3136" s="154"/>
      <c r="U3136" s="154"/>
    </row>
    <row r="3137" spans="1:21" ht="15" customHeight="1" x14ac:dyDescent="0.3">
      <c r="A3137" t="str">
        <f t="shared" si="50"/>
        <v>21-3-U-SmartPAY36 (Level 2)</v>
      </c>
      <c r="B3137" t="s">
        <v>13</v>
      </c>
      <c r="C3137">
        <v>21</v>
      </c>
      <c r="D3137" s="100" t="s">
        <v>30</v>
      </c>
      <c r="E3137" t="s">
        <v>716</v>
      </c>
      <c r="F3137" t="s">
        <v>16</v>
      </c>
      <c r="G3137" t="s">
        <v>746</v>
      </c>
      <c r="H3137" s="128">
        <v>0.41369999999999996</v>
      </c>
      <c r="I3137" s="110">
        <v>0.17129999999999998</v>
      </c>
      <c r="L3137">
        <v>5000</v>
      </c>
      <c r="M3137">
        <v>500000</v>
      </c>
      <c r="N3137" s="105">
        <v>44378</v>
      </c>
      <c r="O3137" s="105">
        <v>44561</v>
      </c>
      <c r="P3137" t="s">
        <v>718</v>
      </c>
      <c r="R3137" s="154"/>
      <c r="S3137" s="154"/>
      <c r="T3137" s="154"/>
      <c r="U3137" s="154"/>
    </row>
    <row r="3138" spans="1:21" ht="15" customHeight="1" x14ac:dyDescent="0.3">
      <c r="A3138" t="str">
        <f t="shared" si="50"/>
        <v>21-4-E7-SmartPAY36 (Level 2)</v>
      </c>
      <c r="B3138" t="s">
        <v>13</v>
      </c>
      <c r="C3138">
        <v>21</v>
      </c>
      <c r="D3138" s="100" t="s">
        <v>30</v>
      </c>
      <c r="E3138" t="s">
        <v>17</v>
      </c>
      <c r="F3138" t="s">
        <v>18</v>
      </c>
      <c r="G3138" t="s">
        <v>746</v>
      </c>
      <c r="H3138" s="128">
        <v>0.41369999999999996</v>
      </c>
      <c r="I3138" s="110">
        <v>0.17129999999999998</v>
      </c>
      <c r="J3138" s="110">
        <v>0.17129999999999998</v>
      </c>
      <c r="L3138">
        <v>5000</v>
      </c>
      <c r="M3138">
        <v>500000</v>
      </c>
      <c r="N3138" s="105">
        <v>44378</v>
      </c>
      <c r="O3138" s="105">
        <v>44561</v>
      </c>
      <c r="P3138" t="s">
        <v>718</v>
      </c>
      <c r="R3138" s="154"/>
      <c r="S3138" s="154"/>
      <c r="T3138" s="154"/>
      <c r="U3138" s="154"/>
    </row>
    <row r="3139" spans="1:21" ht="15" customHeight="1" x14ac:dyDescent="0.3">
      <c r="A3139" t="str">
        <f t="shared" si="50"/>
        <v>21-3-EW-SmartPAY36 (Level 2)</v>
      </c>
      <c r="B3139" t="s">
        <v>13</v>
      </c>
      <c r="C3139">
        <v>21</v>
      </c>
      <c r="D3139" s="100" t="s">
        <v>30</v>
      </c>
      <c r="E3139" t="s">
        <v>19</v>
      </c>
      <c r="F3139" t="s">
        <v>16</v>
      </c>
      <c r="G3139" t="s">
        <v>746</v>
      </c>
      <c r="H3139" s="128">
        <v>0.41369999999999996</v>
      </c>
      <c r="I3139" s="110">
        <v>0.17129999999999998</v>
      </c>
      <c r="K3139" s="110">
        <v>0.17129999999999998</v>
      </c>
      <c r="L3139">
        <v>5000</v>
      </c>
      <c r="M3139">
        <v>500000</v>
      </c>
      <c r="N3139" s="105">
        <v>44378</v>
      </c>
      <c r="O3139" s="105">
        <v>44561</v>
      </c>
      <c r="P3139" t="s">
        <v>718</v>
      </c>
      <c r="R3139" s="154"/>
      <c r="S3139" s="154"/>
      <c r="T3139" s="154"/>
      <c r="U3139" s="154"/>
    </row>
    <row r="3140" spans="1:21" ht="15" customHeight="1" x14ac:dyDescent="0.3">
      <c r="A3140" t="str">
        <f t="shared" si="50"/>
        <v>21-4-3RATE-SmartPAY36 (Level 2)</v>
      </c>
      <c r="B3140" t="s">
        <v>13</v>
      </c>
      <c r="C3140">
        <v>21</v>
      </c>
      <c r="D3140" s="100" t="s">
        <v>30</v>
      </c>
      <c r="E3140" t="s">
        <v>719</v>
      </c>
      <c r="F3140" t="s">
        <v>18</v>
      </c>
      <c r="G3140" t="s">
        <v>746</v>
      </c>
      <c r="H3140" s="128">
        <v>0.41369999999999996</v>
      </c>
      <c r="I3140" s="110">
        <v>0.17129999999999998</v>
      </c>
      <c r="J3140" s="110">
        <v>0.17129999999999998</v>
      </c>
      <c r="K3140" s="110">
        <v>0.17129999999999998</v>
      </c>
      <c r="L3140">
        <v>5000</v>
      </c>
      <c r="M3140">
        <v>500000</v>
      </c>
      <c r="N3140" s="105">
        <v>44378</v>
      </c>
      <c r="O3140" s="105">
        <v>44561</v>
      </c>
      <c r="P3140" t="s">
        <v>718</v>
      </c>
      <c r="R3140" s="154"/>
      <c r="S3140" s="154"/>
      <c r="T3140" s="154"/>
      <c r="U3140" s="154"/>
    </row>
    <row r="3141" spans="1:21" ht="15" customHeight="1" x14ac:dyDescent="0.3">
      <c r="A3141" t="str">
        <f t="shared" si="50"/>
        <v/>
      </c>
      <c r="B3141" t="s">
        <v>13</v>
      </c>
      <c r="C3141">
        <v>21</v>
      </c>
      <c r="D3141" s="100" t="s">
        <v>30</v>
      </c>
      <c r="E3141" t="s">
        <v>720</v>
      </c>
      <c r="F3141" t="s">
        <v>18</v>
      </c>
      <c r="G3141" t="s">
        <v>746</v>
      </c>
      <c r="H3141" s="128">
        <v>0.41369999999999996</v>
      </c>
      <c r="J3141" s="110">
        <v>0.17129999999999998</v>
      </c>
      <c r="L3141">
        <v>5000</v>
      </c>
      <c r="M3141">
        <v>500000</v>
      </c>
      <c r="N3141" s="105">
        <v>44378</v>
      </c>
      <c r="O3141" s="105">
        <v>44561</v>
      </c>
      <c r="P3141" t="s">
        <v>718</v>
      </c>
      <c r="R3141" s="154"/>
      <c r="S3141" s="154"/>
      <c r="T3141" s="154"/>
      <c r="U3141" s="154"/>
    </row>
    <row r="3142" spans="1:21" ht="15" customHeight="1" x14ac:dyDescent="0.3">
      <c r="A3142" t="str">
        <f t="shared" si="50"/>
        <v>22-3-U-SmartPAY36 (Level 2)</v>
      </c>
      <c r="B3142" t="s">
        <v>13</v>
      </c>
      <c r="C3142">
        <v>22</v>
      </c>
      <c r="D3142" s="100" t="s">
        <v>31</v>
      </c>
      <c r="E3142" t="s">
        <v>716</v>
      </c>
      <c r="F3142" t="s">
        <v>16</v>
      </c>
      <c r="G3142" t="s">
        <v>746</v>
      </c>
      <c r="H3142" s="128">
        <v>0.35670000000000002</v>
      </c>
      <c r="I3142" s="110">
        <v>0.1769</v>
      </c>
      <c r="L3142">
        <v>5000</v>
      </c>
      <c r="M3142">
        <v>500000</v>
      </c>
      <c r="N3142" s="105">
        <v>44378</v>
      </c>
      <c r="O3142" s="105">
        <v>44561</v>
      </c>
      <c r="P3142" t="s">
        <v>718</v>
      </c>
      <c r="R3142" s="154"/>
      <c r="S3142" s="154"/>
      <c r="T3142" s="154"/>
      <c r="U3142" s="154"/>
    </row>
    <row r="3143" spans="1:21" ht="15" customHeight="1" x14ac:dyDescent="0.3">
      <c r="A3143" t="str">
        <f t="shared" si="50"/>
        <v>22-4-E7-SmartPAY36 (Level 2)</v>
      </c>
      <c r="B3143" t="s">
        <v>13</v>
      </c>
      <c r="C3143">
        <v>22</v>
      </c>
      <c r="D3143" s="100" t="s">
        <v>31</v>
      </c>
      <c r="E3143" t="s">
        <v>17</v>
      </c>
      <c r="F3143" t="s">
        <v>18</v>
      </c>
      <c r="G3143" t="s">
        <v>746</v>
      </c>
      <c r="H3143" s="128">
        <v>0.35670000000000002</v>
      </c>
      <c r="I3143" s="110">
        <v>0.1769</v>
      </c>
      <c r="J3143" s="110">
        <v>0.1769</v>
      </c>
      <c r="L3143">
        <v>5000</v>
      </c>
      <c r="M3143">
        <v>500000</v>
      </c>
      <c r="N3143" s="105">
        <v>44378</v>
      </c>
      <c r="O3143" s="105">
        <v>44561</v>
      </c>
      <c r="P3143" t="s">
        <v>718</v>
      </c>
      <c r="R3143" s="154"/>
      <c r="S3143" s="154"/>
      <c r="T3143" s="154"/>
      <c r="U3143" s="154"/>
    </row>
    <row r="3144" spans="1:21" ht="15" customHeight="1" x14ac:dyDescent="0.3">
      <c r="A3144" t="str">
        <f t="shared" si="50"/>
        <v>22-3-EW-SmartPAY36 (Level 2)</v>
      </c>
      <c r="B3144" t="s">
        <v>13</v>
      </c>
      <c r="C3144">
        <v>22</v>
      </c>
      <c r="D3144" s="100" t="s">
        <v>31</v>
      </c>
      <c r="E3144" t="s">
        <v>19</v>
      </c>
      <c r="F3144" t="s">
        <v>16</v>
      </c>
      <c r="G3144" t="s">
        <v>746</v>
      </c>
      <c r="H3144" s="128">
        <v>0.35670000000000002</v>
      </c>
      <c r="I3144" s="110">
        <v>0.1769</v>
      </c>
      <c r="K3144" s="110">
        <v>0.1769</v>
      </c>
      <c r="L3144">
        <v>5000</v>
      </c>
      <c r="M3144">
        <v>500000</v>
      </c>
      <c r="N3144" s="105">
        <v>44378</v>
      </c>
      <c r="O3144" s="105">
        <v>44561</v>
      </c>
      <c r="P3144" t="s">
        <v>718</v>
      </c>
      <c r="R3144" s="154"/>
      <c r="S3144" s="154"/>
      <c r="T3144" s="154"/>
      <c r="U3144" s="154"/>
    </row>
    <row r="3145" spans="1:21" ht="15" customHeight="1" x14ac:dyDescent="0.3">
      <c r="A3145" t="str">
        <f t="shared" si="50"/>
        <v>22-4-3RATE-SmartPAY36 (Level 2)</v>
      </c>
      <c r="B3145" t="s">
        <v>13</v>
      </c>
      <c r="C3145">
        <v>22</v>
      </c>
      <c r="D3145" s="100" t="s">
        <v>31</v>
      </c>
      <c r="E3145" t="s">
        <v>719</v>
      </c>
      <c r="F3145" t="s">
        <v>18</v>
      </c>
      <c r="G3145" t="s">
        <v>746</v>
      </c>
      <c r="H3145" s="128">
        <v>0.35670000000000002</v>
      </c>
      <c r="I3145" s="110">
        <v>0.1769</v>
      </c>
      <c r="J3145" s="110">
        <v>0.1769</v>
      </c>
      <c r="K3145" s="110">
        <v>0.1769</v>
      </c>
      <c r="L3145">
        <v>5000</v>
      </c>
      <c r="M3145">
        <v>500000</v>
      </c>
      <c r="N3145" s="105">
        <v>44378</v>
      </c>
      <c r="O3145" s="105">
        <v>44561</v>
      </c>
      <c r="P3145" t="s">
        <v>718</v>
      </c>
      <c r="R3145" s="154"/>
      <c r="S3145" s="154"/>
      <c r="T3145" s="154"/>
      <c r="U3145" s="154"/>
    </row>
    <row r="3146" spans="1:21" ht="15" customHeight="1" x14ac:dyDescent="0.3">
      <c r="A3146" t="str">
        <f t="shared" si="50"/>
        <v/>
      </c>
      <c r="B3146" t="s">
        <v>13</v>
      </c>
      <c r="C3146">
        <v>22</v>
      </c>
      <c r="D3146" s="100" t="s">
        <v>31</v>
      </c>
      <c r="E3146" t="s">
        <v>720</v>
      </c>
      <c r="F3146" t="s">
        <v>18</v>
      </c>
      <c r="G3146" t="s">
        <v>746</v>
      </c>
      <c r="H3146" s="128">
        <v>0.35670000000000002</v>
      </c>
      <c r="J3146" s="110">
        <v>0.1769</v>
      </c>
      <c r="L3146">
        <v>5000</v>
      </c>
      <c r="M3146">
        <v>500000</v>
      </c>
      <c r="N3146" s="105">
        <v>44378</v>
      </c>
      <c r="O3146" s="105">
        <v>44561</v>
      </c>
      <c r="P3146" t="s">
        <v>718</v>
      </c>
      <c r="R3146" s="154"/>
      <c r="S3146" s="154"/>
      <c r="T3146" s="154"/>
      <c r="U3146" s="154"/>
    </row>
    <row r="3147" spans="1:21" ht="15" customHeight="1" x14ac:dyDescent="0.3">
      <c r="A3147" t="str">
        <f t="shared" si="50"/>
        <v>23-3-U-SmartPAY36 (Level 2)</v>
      </c>
      <c r="B3147" t="s">
        <v>13</v>
      </c>
      <c r="C3147">
        <v>23</v>
      </c>
      <c r="D3147" s="100" t="s">
        <v>32</v>
      </c>
      <c r="E3147" t="s">
        <v>716</v>
      </c>
      <c r="F3147" t="s">
        <v>16</v>
      </c>
      <c r="G3147" t="s">
        <v>746</v>
      </c>
      <c r="H3147" s="128">
        <v>0.31329999999999997</v>
      </c>
      <c r="I3147" s="110">
        <v>0.17129999999999998</v>
      </c>
      <c r="L3147">
        <v>5000</v>
      </c>
      <c r="M3147">
        <v>500000</v>
      </c>
      <c r="N3147" s="105">
        <v>44378</v>
      </c>
      <c r="O3147" s="105">
        <v>44561</v>
      </c>
      <c r="P3147" t="s">
        <v>718</v>
      </c>
      <c r="R3147" s="154"/>
      <c r="S3147" s="154"/>
      <c r="T3147" s="154"/>
      <c r="U3147" s="154"/>
    </row>
    <row r="3148" spans="1:21" ht="15" customHeight="1" x14ac:dyDescent="0.3">
      <c r="A3148" t="str">
        <f t="shared" si="50"/>
        <v>23-4-E7-SmartPAY36 (Level 2)</v>
      </c>
      <c r="B3148" t="s">
        <v>13</v>
      </c>
      <c r="C3148">
        <v>23</v>
      </c>
      <c r="D3148" s="100" t="s">
        <v>32</v>
      </c>
      <c r="E3148" t="s">
        <v>17</v>
      </c>
      <c r="F3148" t="s">
        <v>18</v>
      </c>
      <c r="G3148" t="s">
        <v>746</v>
      </c>
      <c r="H3148" s="128">
        <v>0.31329999999999997</v>
      </c>
      <c r="I3148" s="110">
        <v>0.17129999999999998</v>
      </c>
      <c r="J3148" s="110">
        <v>0.17129999999999998</v>
      </c>
      <c r="L3148">
        <v>5000</v>
      </c>
      <c r="M3148">
        <v>500000</v>
      </c>
      <c r="N3148" s="105">
        <v>44378</v>
      </c>
      <c r="O3148" s="105">
        <v>44561</v>
      </c>
      <c r="P3148" t="s">
        <v>718</v>
      </c>
      <c r="R3148" s="154"/>
      <c r="S3148" s="154"/>
      <c r="T3148" s="154"/>
      <c r="U3148" s="154"/>
    </row>
    <row r="3149" spans="1:21" ht="15" customHeight="1" x14ac:dyDescent="0.3">
      <c r="A3149" t="str">
        <f t="shared" si="50"/>
        <v>23-3-EW-SmartPAY36 (Level 2)</v>
      </c>
      <c r="B3149" t="s">
        <v>13</v>
      </c>
      <c r="C3149">
        <v>23</v>
      </c>
      <c r="D3149" s="100" t="s">
        <v>32</v>
      </c>
      <c r="E3149" t="s">
        <v>19</v>
      </c>
      <c r="F3149" t="s">
        <v>16</v>
      </c>
      <c r="G3149" t="s">
        <v>746</v>
      </c>
      <c r="H3149" s="128">
        <v>0.31329999999999997</v>
      </c>
      <c r="I3149" s="110">
        <v>0.17129999999999998</v>
      </c>
      <c r="K3149" s="110">
        <v>0.17129999999999998</v>
      </c>
      <c r="L3149">
        <v>5000</v>
      </c>
      <c r="M3149">
        <v>500000</v>
      </c>
      <c r="N3149" s="105">
        <v>44378</v>
      </c>
      <c r="O3149" s="105">
        <v>44561</v>
      </c>
      <c r="P3149" t="s">
        <v>718</v>
      </c>
      <c r="R3149" s="154"/>
      <c r="S3149" s="154"/>
      <c r="T3149" s="154"/>
      <c r="U3149" s="154"/>
    </row>
    <row r="3150" spans="1:21" ht="15" customHeight="1" x14ac:dyDescent="0.3">
      <c r="A3150" t="str">
        <f t="shared" si="50"/>
        <v>23-4-3RATE-SmartPAY36 (Level 2)</v>
      </c>
      <c r="B3150" t="s">
        <v>13</v>
      </c>
      <c r="C3150">
        <v>23</v>
      </c>
      <c r="D3150" s="100" t="s">
        <v>32</v>
      </c>
      <c r="E3150" t="s">
        <v>719</v>
      </c>
      <c r="F3150" t="s">
        <v>18</v>
      </c>
      <c r="G3150" t="s">
        <v>746</v>
      </c>
      <c r="H3150" s="128">
        <v>0.31329999999999997</v>
      </c>
      <c r="I3150" s="110">
        <v>0.17129999999999998</v>
      </c>
      <c r="J3150" s="110">
        <v>0.17129999999999998</v>
      </c>
      <c r="K3150" s="110">
        <v>0.17129999999999998</v>
      </c>
      <c r="L3150">
        <v>5000</v>
      </c>
      <c r="M3150">
        <v>500000</v>
      </c>
      <c r="N3150" s="105">
        <v>44378</v>
      </c>
      <c r="O3150" s="105">
        <v>44561</v>
      </c>
      <c r="P3150" t="s">
        <v>718</v>
      </c>
      <c r="R3150" s="154"/>
      <c r="S3150" s="154"/>
      <c r="T3150" s="154"/>
      <c r="U3150" s="154"/>
    </row>
    <row r="3151" spans="1:21" ht="15" customHeight="1" x14ac:dyDescent="0.3">
      <c r="A3151" t="str">
        <f t="shared" si="50"/>
        <v/>
      </c>
      <c r="B3151" t="s">
        <v>13</v>
      </c>
      <c r="C3151">
        <v>23</v>
      </c>
      <c r="D3151" s="100" t="s">
        <v>32</v>
      </c>
      <c r="E3151" t="s">
        <v>720</v>
      </c>
      <c r="F3151" t="s">
        <v>18</v>
      </c>
      <c r="G3151" t="s">
        <v>746</v>
      </c>
      <c r="H3151" s="128">
        <v>0.31329999999999997</v>
      </c>
      <c r="J3151" s="110">
        <v>0.17129999999999998</v>
      </c>
      <c r="L3151">
        <v>5000</v>
      </c>
      <c r="M3151">
        <v>500000</v>
      </c>
      <c r="N3151" s="105">
        <v>44378</v>
      </c>
      <c r="O3151" s="105">
        <v>44561</v>
      </c>
      <c r="P3151" t="s">
        <v>718</v>
      </c>
      <c r="R3151" s="154"/>
      <c r="S3151" s="154"/>
      <c r="T3151" s="154"/>
      <c r="U3151" s="154"/>
    </row>
    <row r="3152" spans="1:21" ht="15" customHeight="1" x14ac:dyDescent="0.3">
      <c r="A3152" t="str">
        <f t="shared" si="50"/>
        <v>10-3-U-SmartPAY12_Renewal (Level 2)</v>
      </c>
      <c r="B3152" t="s">
        <v>13</v>
      </c>
      <c r="C3152">
        <v>10</v>
      </c>
      <c r="D3152" s="100" t="s">
        <v>14</v>
      </c>
      <c r="E3152" t="s">
        <v>716</v>
      </c>
      <c r="F3152" t="s">
        <v>16</v>
      </c>
      <c r="G3152" t="s">
        <v>747</v>
      </c>
      <c r="H3152" s="128">
        <v>0.32900000000000001</v>
      </c>
      <c r="I3152" s="110">
        <v>0.17050000000000001</v>
      </c>
      <c r="L3152">
        <v>5000</v>
      </c>
      <c r="M3152">
        <v>500000</v>
      </c>
      <c r="N3152" s="105">
        <v>44378</v>
      </c>
      <c r="O3152" s="105">
        <v>44561</v>
      </c>
      <c r="P3152" t="s">
        <v>718</v>
      </c>
      <c r="R3152" s="154"/>
      <c r="S3152" s="154"/>
      <c r="T3152" s="154"/>
      <c r="U3152" s="154"/>
    </row>
    <row r="3153" spans="1:21" ht="15" customHeight="1" x14ac:dyDescent="0.3">
      <c r="A3153" t="str">
        <f t="shared" si="50"/>
        <v>10-4-E7-SmartPAY12_Renewal (Level 2)</v>
      </c>
      <c r="B3153" t="s">
        <v>13</v>
      </c>
      <c r="C3153">
        <v>10</v>
      </c>
      <c r="D3153" s="100" t="s">
        <v>14</v>
      </c>
      <c r="E3153" t="s">
        <v>17</v>
      </c>
      <c r="F3153" t="s">
        <v>18</v>
      </c>
      <c r="G3153" t="s">
        <v>747</v>
      </c>
      <c r="H3153" s="128">
        <v>0.32900000000000001</v>
      </c>
      <c r="I3153" s="110">
        <v>0.17050000000000001</v>
      </c>
      <c r="J3153" s="110">
        <v>0.17050000000000001</v>
      </c>
      <c r="L3153">
        <v>5000</v>
      </c>
      <c r="M3153">
        <v>500000</v>
      </c>
      <c r="N3153" s="105">
        <v>44378</v>
      </c>
      <c r="O3153" s="105">
        <v>44561</v>
      </c>
      <c r="P3153" t="s">
        <v>718</v>
      </c>
      <c r="R3153" s="154"/>
      <c r="S3153" s="154"/>
      <c r="T3153" s="154"/>
      <c r="U3153" s="154"/>
    </row>
    <row r="3154" spans="1:21" ht="15" customHeight="1" x14ac:dyDescent="0.3">
      <c r="A3154" t="str">
        <f t="shared" si="50"/>
        <v>10-3-EW-SmartPAY12_Renewal (Level 2)</v>
      </c>
      <c r="B3154" t="s">
        <v>13</v>
      </c>
      <c r="C3154">
        <v>10</v>
      </c>
      <c r="D3154" s="100" t="s">
        <v>14</v>
      </c>
      <c r="E3154" t="s">
        <v>19</v>
      </c>
      <c r="F3154" t="s">
        <v>16</v>
      </c>
      <c r="G3154" t="s">
        <v>747</v>
      </c>
      <c r="H3154" s="128">
        <v>0.32900000000000001</v>
      </c>
      <c r="I3154" s="110">
        <v>0.17050000000000001</v>
      </c>
      <c r="K3154" s="110">
        <v>0.17050000000000001</v>
      </c>
      <c r="L3154">
        <v>5000</v>
      </c>
      <c r="M3154">
        <v>500000</v>
      </c>
      <c r="N3154" s="105">
        <v>44378</v>
      </c>
      <c r="O3154" s="105">
        <v>44561</v>
      </c>
      <c r="P3154" t="s">
        <v>718</v>
      </c>
      <c r="R3154" s="154"/>
      <c r="S3154" s="154"/>
      <c r="T3154" s="154"/>
      <c r="U3154" s="154"/>
    </row>
    <row r="3155" spans="1:21" ht="15" customHeight="1" x14ac:dyDescent="0.3">
      <c r="A3155" t="str">
        <f t="shared" si="50"/>
        <v>10-4-3RATE-SmartPAY12_Renewal (Level 2)</v>
      </c>
      <c r="B3155" t="s">
        <v>13</v>
      </c>
      <c r="C3155">
        <v>10</v>
      </c>
      <c r="D3155" s="100" t="s">
        <v>14</v>
      </c>
      <c r="E3155" t="s">
        <v>719</v>
      </c>
      <c r="F3155" t="s">
        <v>18</v>
      </c>
      <c r="G3155" t="s">
        <v>747</v>
      </c>
      <c r="H3155" s="128">
        <v>0.32900000000000001</v>
      </c>
      <c r="I3155" s="110">
        <v>0.17050000000000001</v>
      </c>
      <c r="J3155" s="110">
        <v>0.17050000000000001</v>
      </c>
      <c r="K3155" s="110">
        <v>0.17050000000000001</v>
      </c>
      <c r="L3155">
        <v>5000</v>
      </c>
      <c r="M3155">
        <v>500000</v>
      </c>
      <c r="N3155" s="105">
        <v>44378</v>
      </c>
      <c r="O3155" s="105">
        <v>44561</v>
      </c>
      <c r="P3155" t="s">
        <v>718</v>
      </c>
      <c r="R3155" s="154"/>
      <c r="S3155" s="154"/>
      <c r="T3155" s="154"/>
      <c r="U3155" s="154"/>
    </row>
    <row r="3156" spans="1:21" ht="15" customHeight="1" x14ac:dyDescent="0.3">
      <c r="A3156" t="str">
        <f t="shared" si="50"/>
        <v/>
      </c>
      <c r="B3156" t="s">
        <v>13</v>
      </c>
      <c r="C3156">
        <v>10</v>
      </c>
      <c r="D3156" s="100" t="s">
        <v>14</v>
      </c>
      <c r="E3156" t="s">
        <v>720</v>
      </c>
      <c r="F3156" t="s">
        <v>18</v>
      </c>
      <c r="G3156" t="s">
        <v>747</v>
      </c>
      <c r="H3156" s="128">
        <v>0.32900000000000001</v>
      </c>
      <c r="J3156" s="110">
        <v>0.17050000000000001</v>
      </c>
      <c r="L3156">
        <v>5000</v>
      </c>
      <c r="M3156">
        <v>500000</v>
      </c>
      <c r="N3156" s="105">
        <v>44378</v>
      </c>
      <c r="O3156" s="105">
        <v>44561</v>
      </c>
      <c r="P3156" t="s">
        <v>718</v>
      </c>
      <c r="R3156" s="154"/>
      <c r="S3156" s="154"/>
      <c r="T3156" s="154"/>
      <c r="U3156" s="154"/>
    </row>
    <row r="3157" spans="1:21" ht="15" customHeight="1" x14ac:dyDescent="0.3">
      <c r="A3157" t="str">
        <f t="shared" si="50"/>
        <v>11-3-U-SmartPAY12_Renewal (Level 2)</v>
      </c>
      <c r="B3157" t="s">
        <v>13</v>
      </c>
      <c r="C3157">
        <v>11</v>
      </c>
      <c r="D3157" s="100" t="s">
        <v>20</v>
      </c>
      <c r="E3157" t="s">
        <v>716</v>
      </c>
      <c r="F3157" t="s">
        <v>16</v>
      </c>
      <c r="G3157" t="s">
        <v>747</v>
      </c>
      <c r="H3157" s="128">
        <v>0.33900000000000002</v>
      </c>
      <c r="I3157" s="110">
        <v>0.17</v>
      </c>
      <c r="L3157">
        <v>5000</v>
      </c>
      <c r="M3157">
        <v>500000</v>
      </c>
      <c r="N3157" s="105">
        <v>44378</v>
      </c>
      <c r="O3157" s="105">
        <v>44561</v>
      </c>
      <c r="P3157" t="s">
        <v>718</v>
      </c>
      <c r="R3157" s="154"/>
      <c r="S3157" s="154"/>
      <c r="T3157" s="154"/>
      <c r="U3157" s="154"/>
    </row>
    <row r="3158" spans="1:21" ht="15" customHeight="1" x14ac:dyDescent="0.3">
      <c r="A3158" t="str">
        <f t="shared" si="50"/>
        <v>11-4-E7-SmartPAY12_Renewal (Level 2)</v>
      </c>
      <c r="B3158" t="s">
        <v>13</v>
      </c>
      <c r="C3158">
        <v>11</v>
      </c>
      <c r="D3158" s="100" t="s">
        <v>20</v>
      </c>
      <c r="E3158" t="s">
        <v>17</v>
      </c>
      <c r="F3158" t="s">
        <v>18</v>
      </c>
      <c r="G3158" t="s">
        <v>747</v>
      </c>
      <c r="H3158" s="128">
        <v>0.33900000000000002</v>
      </c>
      <c r="I3158" s="110">
        <v>0.17</v>
      </c>
      <c r="J3158" s="110">
        <v>0.17</v>
      </c>
      <c r="L3158">
        <v>5000</v>
      </c>
      <c r="M3158">
        <v>500000</v>
      </c>
      <c r="N3158" s="105">
        <v>44378</v>
      </c>
      <c r="O3158" s="105">
        <v>44561</v>
      </c>
      <c r="P3158" t="s">
        <v>718</v>
      </c>
      <c r="R3158" s="154"/>
      <c r="S3158" s="154"/>
      <c r="T3158" s="154"/>
      <c r="U3158" s="154"/>
    </row>
    <row r="3159" spans="1:21" ht="15" customHeight="1" x14ac:dyDescent="0.3">
      <c r="A3159" t="str">
        <f t="shared" si="50"/>
        <v>11-3-EW-SmartPAY12_Renewal (Level 2)</v>
      </c>
      <c r="B3159" t="s">
        <v>13</v>
      </c>
      <c r="C3159">
        <v>11</v>
      </c>
      <c r="D3159" s="100" t="s">
        <v>20</v>
      </c>
      <c r="E3159" t="s">
        <v>19</v>
      </c>
      <c r="F3159" t="s">
        <v>16</v>
      </c>
      <c r="G3159" t="s">
        <v>747</v>
      </c>
      <c r="H3159" s="128">
        <v>0.33900000000000002</v>
      </c>
      <c r="I3159" s="110">
        <v>0.17</v>
      </c>
      <c r="K3159" s="110">
        <v>0.17</v>
      </c>
      <c r="L3159">
        <v>5000</v>
      </c>
      <c r="M3159">
        <v>500000</v>
      </c>
      <c r="N3159" s="105">
        <v>44378</v>
      </c>
      <c r="O3159" s="105">
        <v>44561</v>
      </c>
      <c r="P3159" t="s">
        <v>718</v>
      </c>
      <c r="R3159" s="154"/>
      <c r="S3159" s="154"/>
      <c r="T3159" s="154"/>
      <c r="U3159" s="154"/>
    </row>
    <row r="3160" spans="1:21" ht="15" customHeight="1" x14ac:dyDescent="0.3">
      <c r="A3160" t="str">
        <f t="shared" si="50"/>
        <v>11-4-3RATE-SmartPAY12_Renewal (Level 2)</v>
      </c>
      <c r="B3160" t="s">
        <v>13</v>
      </c>
      <c r="C3160">
        <v>11</v>
      </c>
      <c r="D3160" s="100" t="s">
        <v>20</v>
      </c>
      <c r="E3160" t="s">
        <v>719</v>
      </c>
      <c r="F3160" t="s">
        <v>18</v>
      </c>
      <c r="G3160" t="s">
        <v>747</v>
      </c>
      <c r="H3160" s="128">
        <v>0.33900000000000002</v>
      </c>
      <c r="I3160" s="110">
        <v>0.17</v>
      </c>
      <c r="J3160" s="110">
        <v>0.17</v>
      </c>
      <c r="K3160" s="110">
        <v>0.17</v>
      </c>
      <c r="L3160">
        <v>5000</v>
      </c>
      <c r="M3160">
        <v>500000</v>
      </c>
      <c r="N3160" s="105">
        <v>44378</v>
      </c>
      <c r="O3160" s="105">
        <v>44561</v>
      </c>
      <c r="P3160" t="s">
        <v>718</v>
      </c>
      <c r="R3160" s="154"/>
      <c r="S3160" s="154"/>
      <c r="T3160" s="154"/>
      <c r="U3160" s="154"/>
    </row>
    <row r="3161" spans="1:21" ht="15" customHeight="1" x14ac:dyDescent="0.3">
      <c r="A3161" t="str">
        <f t="shared" si="50"/>
        <v/>
      </c>
      <c r="B3161" t="s">
        <v>13</v>
      </c>
      <c r="C3161">
        <v>11</v>
      </c>
      <c r="D3161" s="100" t="s">
        <v>20</v>
      </c>
      <c r="E3161" t="s">
        <v>720</v>
      </c>
      <c r="F3161" t="s">
        <v>18</v>
      </c>
      <c r="G3161" t="s">
        <v>747</v>
      </c>
      <c r="H3161" s="128">
        <v>0.33900000000000002</v>
      </c>
      <c r="J3161" s="110">
        <v>0.17</v>
      </c>
      <c r="L3161">
        <v>5000</v>
      </c>
      <c r="M3161">
        <v>500000</v>
      </c>
      <c r="N3161" s="105">
        <v>44378</v>
      </c>
      <c r="O3161" s="105">
        <v>44561</v>
      </c>
      <c r="P3161" t="s">
        <v>718</v>
      </c>
      <c r="R3161" s="154"/>
      <c r="S3161" s="154"/>
      <c r="T3161" s="154"/>
      <c r="U3161" s="154"/>
    </row>
    <row r="3162" spans="1:21" ht="15" customHeight="1" x14ac:dyDescent="0.3">
      <c r="A3162" t="str">
        <f t="shared" si="50"/>
        <v>12-3-U-SmartPAY12_Renewal (Level 2)</v>
      </c>
      <c r="B3162" t="s">
        <v>13</v>
      </c>
      <c r="C3162">
        <v>12</v>
      </c>
      <c r="D3162" s="100" t="s">
        <v>21</v>
      </c>
      <c r="E3162" t="s">
        <v>716</v>
      </c>
      <c r="F3162" t="s">
        <v>16</v>
      </c>
      <c r="G3162" t="s">
        <v>747</v>
      </c>
      <c r="H3162" s="128">
        <v>0.25590000000000002</v>
      </c>
      <c r="I3162" s="110">
        <v>0.16290000000000002</v>
      </c>
      <c r="L3162">
        <v>5000</v>
      </c>
      <c r="M3162">
        <v>500000</v>
      </c>
      <c r="N3162" s="105">
        <v>44378</v>
      </c>
      <c r="O3162" s="105">
        <v>44561</v>
      </c>
      <c r="P3162" t="s">
        <v>718</v>
      </c>
      <c r="R3162" s="154"/>
      <c r="S3162" s="154"/>
      <c r="T3162" s="154"/>
      <c r="U3162" s="154"/>
    </row>
    <row r="3163" spans="1:21" ht="15" customHeight="1" x14ac:dyDescent="0.3">
      <c r="A3163" t="str">
        <f t="shared" si="50"/>
        <v>12-4-E7-SmartPAY12_Renewal (Level 2)</v>
      </c>
      <c r="B3163" t="s">
        <v>13</v>
      </c>
      <c r="C3163">
        <v>12</v>
      </c>
      <c r="D3163" s="100" t="s">
        <v>21</v>
      </c>
      <c r="E3163" t="s">
        <v>17</v>
      </c>
      <c r="F3163" t="s">
        <v>18</v>
      </c>
      <c r="G3163" t="s">
        <v>747</v>
      </c>
      <c r="H3163" s="128">
        <v>0.25590000000000002</v>
      </c>
      <c r="I3163" s="110">
        <v>0.16290000000000002</v>
      </c>
      <c r="J3163" s="110">
        <v>0.16290000000000002</v>
      </c>
      <c r="L3163">
        <v>5000</v>
      </c>
      <c r="M3163">
        <v>500000</v>
      </c>
      <c r="N3163" s="105">
        <v>44378</v>
      </c>
      <c r="O3163" s="105">
        <v>44561</v>
      </c>
      <c r="P3163" t="s">
        <v>718</v>
      </c>
      <c r="R3163" s="154"/>
      <c r="S3163" s="154"/>
      <c r="T3163" s="154"/>
      <c r="U3163" s="154"/>
    </row>
    <row r="3164" spans="1:21" ht="15" customHeight="1" x14ac:dyDescent="0.3">
      <c r="A3164" t="str">
        <f t="shared" si="50"/>
        <v>12-3-EW-SmartPAY12_Renewal (Level 2)</v>
      </c>
      <c r="B3164" t="s">
        <v>13</v>
      </c>
      <c r="C3164">
        <v>12</v>
      </c>
      <c r="D3164" s="100" t="s">
        <v>21</v>
      </c>
      <c r="E3164" t="s">
        <v>19</v>
      </c>
      <c r="F3164" t="s">
        <v>16</v>
      </c>
      <c r="G3164" t="s">
        <v>747</v>
      </c>
      <c r="H3164" s="128">
        <v>0.25590000000000002</v>
      </c>
      <c r="I3164" s="110">
        <v>0.16290000000000002</v>
      </c>
      <c r="K3164" s="110">
        <v>0.16290000000000002</v>
      </c>
      <c r="L3164">
        <v>5000</v>
      </c>
      <c r="M3164">
        <v>500000</v>
      </c>
      <c r="N3164" s="105">
        <v>44378</v>
      </c>
      <c r="O3164" s="105">
        <v>44561</v>
      </c>
      <c r="P3164" t="s">
        <v>718</v>
      </c>
      <c r="R3164" s="154"/>
      <c r="S3164" s="154"/>
      <c r="T3164" s="154"/>
      <c r="U3164" s="154"/>
    </row>
    <row r="3165" spans="1:21" ht="15" customHeight="1" x14ac:dyDescent="0.3">
      <c r="A3165" t="str">
        <f t="shared" si="50"/>
        <v>12-4-3RATE-SmartPAY12_Renewal (Level 2)</v>
      </c>
      <c r="B3165" t="s">
        <v>13</v>
      </c>
      <c r="C3165">
        <v>12</v>
      </c>
      <c r="D3165" s="100" t="s">
        <v>21</v>
      </c>
      <c r="E3165" t="s">
        <v>719</v>
      </c>
      <c r="F3165" t="s">
        <v>18</v>
      </c>
      <c r="G3165" t="s">
        <v>747</v>
      </c>
      <c r="H3165" s="128">
        <v>0.25590000000000002</v>
      </c>
      <c r="I3165" s="110">
        <v>0.16290000000000002</v>
      </c>
      <c r="J3165" s="110">
        <v>0.16290000000000002</v>
      </c>
      <c r="K3165" s="110">
        <v>0.16290000000000002</v>
      </c>
      <c r="L3165">
        <v>5000</v>
      </c>
      <c r="M3165">
        <v>500000</v>
      </c>
      <c r="N3165" s="105">
        <v>44378</v>
      </c>
      <c r="O3165" s="105">
        <v>44561</v>
      </c>
      <c r="P3165" t="s">
        <v>718</v>
      </c>
      <c r="R3165" s="154"/>
      <c r="S3165" s="154"/>
      <c r="T3165" s="154"/>
      <c r="U3165" s="154"/>
    </row>
    <row r="3166" spans="1:21" ht="15" customHeight="1" x14ac:dyDescent="0.3">
      <c r="A3166" t="str">
        <f t="shared" si="50"/>
        <v/>
      </c>
      <c r="B3166" t="s">
        <v>13</v>
      </c>
      <c r="C3166">
        <v>12</v>
      </c>
      <c r="D3166" s="100" t="s">
        <v>21</v>
      </c>
      <c r="E3166" t="s">
        <v>720</v>
      </c>
      <c r="F3166" t="s">
        <v>18</v>
      </c>
      <c r="G3166" t="s">
        <v>747</v>
      </c>
      <c r="H3166" s="128">
        <v>0.25590000000000002</v>
      </c>
      <c r="J3166" s="110">
        <v>0.16290000000000002</v>
      </c>
      <c r="L3166">
        <v>5000</v>
      </c>
      <c r="M3166">
        <v>500000</v>
      </c>
      <c r="N3166" s="105">
        <v>44378</v>
      </c>
      <c r="O3166" s="105">
        <v>44561</v>
      </c>
      <c r="P3166" t="s">
        <v>718</v>
      </c>
      <c r="R3166" s="154"/>
      <c r="S3166" s="154"/>
      <c r="T3166" s="154"/>
      <c r="U3166" s="154"/>
    </row>
    <row r="3167" spans="1:21" ht="15" customHeight="1" x14ac:dyDescent="0.3">
      <c r="A3167" t="str">
        <f t="shared" si="50"/>
        <v>13-3-U-SmartPAY12_Renewal (Level 2)</v>
      </c>
      <c r="B3167" t="s">
        <v>13</v>
      </c>
      <c r="C3167">
        <v>13</v>
      </c>
      <c r="D3167" s="100" t="s">
        <v>22</v>
      </c>
      <c r="E3167" t="s">
        <v>716</v>
      </c>
      <c r="F3167" t="s">
        <v>16</v>
      </c>
      <c r="G3167" t="s">
        <v>747</v>
      </c>
      <c r="H3167" s="128">
        <v>0.30109999999999998</v>
      </c>
      <c r="I3167" s="110">
        <v>0.18790000000000004</v>
      </c>
      <c r="L3167">
        <v>5000</v>
      </c>
      <c r="M3167">
        <v>500000</v>
      </c>
      <c r="N3167" s="105">
        <v>44378</v>
      </c>
      <c r="O3167" s="105">
        <v>44561</v>
      </c>
      <c r="P3167" t="s">
        <v>718</v>
      </c>
      <c r="R3167" s="154"/>
      <c r="S3167" s="154"/>
      <c r="T3167" s="154"/>
      <c r="U3167" s="154"/>
    </row>
    <row r="3168" spans="1:21" ht="15" customHeight="1" x14ac:dyDescent="0.3">
      <c r="A3168" t="str">
        <f t="shared" si="50"/>
        <v>13-4-E7-SmartPAY12_Renewal (Level 2)</v>
      </c>
      <c r="B3168" t="s">
        <v>13</v>
      </c>
      <c r="C3168">
        <v>13</v>
      </c>
      <c r="D3168" s="100" t="s">
        <v>22</v>
      </c>
      <c r="E3168" t="s">
        <v>17</v>
      </c>
      <c r="F3168" t="s">
        <v>18</v>
      </c>
      <c r="G3168" t="s">
        <v>747</v>
      </c>
      <c r="H3168" s="128">
        <v>0.30109999999999998</v>
      </c>
      <c r="I3168" s="110">
        <v>0.18790000000000004</v>
      </c>
      <c r="J3168" s="110">
        <v>0.18790000000000004</v>
      </c>
      <c r="L3168">
        <v>5000</v>
      </c>
      <c r="M3168">
        <v>500000</v>
      </c>
      <c r="N3168" s="105">
        <v>44378</v>
      </c>
      <c r="O3168" s="105">
        <v>44561</v>
      </c>
      <c r="P3168" t="s">
        <v>718</v>
      </c>
      <c r="R3168" s="154"/>
      <c r="S3168" s="154"/>
      <c r="T3168" s="154"/>
      <c r="U3168" s="154"/>
    </row>
    <row r="3169" spans="1:21" ht="15" customHeight="1" x14ac:dyDescent="0.3">
      <c r="A3169" t="str">
        <f t="shared" si="50"/>
        <v>13-3-EW-SmartPAY12_Renewal (Level 2)</v>
      </c>
      <c r="B3169" t="s">
        <v>13</v>
      </c>
      <c r="C3169">
        <v>13</v>
      </c>
      <c r="D3169" s="100" t="s">
        <v>22</v>
      </c>
      <c r="E3169" t="s">
        <v>19</v>
      </c>
      <c r="F3169" t="s">
        <v>16</v>
      </c>
      <c r="G3169" t="s">
        <v>747</v>
      </c>
      <c r="H3169" s="128">
        <v>0.30109999999999998</v>
      </c>
      <c r="I3169" s="110">
        <v>0.18790000000000004</v>
      </c>
      <c r="K3169" s="110">
        <v>0.18790000000000004</v>
      </c>
      <c r="L3169">
        <v>5000</v>
      </c>
      <c r="M3169">
        <v>500000</v>
      </c>
      <c r="N3169" s="105">
        <v>44378</v>
      </c>
      <c r="O3169" s="105">
        <v>44561</v>
      </c>
      <c r="P3169" t="s">
        <v>718</v>
      </c>
      <c r="R3169" s="154"/>
      <c r="S3169" s="154"/>
      <c r="T3169" s="154"/>
      <c r="U3169" s="154"/>
    </row>
    <row r="3170" spans="1:21" ht="15" customHeight="1" x14ac:dyDescent="0.3">
      <c r="A3170" t="str">
        <f t="shared" si="50"/>
        <v>13-4-3RATE-SmartPAY12_Renewal (Level 2)</v>
      </c>
      <c r="B3170" t="s">
        <v>13</v>
      </c>
      <c r="C3170">
        <v>13</v>
      </c>
      <c r="D3170" s="100" t="s">
        <v>22</v>
      </c>
      <c r="E3170" t="s">
        <v>719</v>
      </c>
      <c r="F3170" t="s">
        <v>18</v>
      </c>
      <c r="G3170" t="s">
        <v>747</v>
      </c>
      <c r="H3170" s="128">
        <v>0.30109999999999998</v>
      </c>
      <c r="I3170" s="110">
        <v>0.18790000000000004</v>
      </c>
      <c r="J3170" s="110">
        <v>0.18790000000000004</v>
      </c>
      <c r="K3170" s="110">
        <v>0.18790000000000004</v>
      </c>
      <c r="L3170">
        <v>5000</v>
      </c>
      <c r="M3170">
        <v>500000</v>
      </c>
      <c r="N3170" s="105">
        <v>44378</v>
      </c>
      <c r="O3170" s="105">
        <v>44561</v>
      </c>
      <c r="P3170" t="s">
        <v>718</v>
      </c>
      <c r="R3170" s="154"/>
      <c r="S3170" s="154"/>
      <c r="T3170" s="154"/>
      <c r="U3170" s="154"/>
    </row>
    <row r="3171" spans="1:21" ht="15" customHeight="1" x14ac:dyDescent="0.3">
      <c r="A3171" t="str">
        <f t="shared" ref="A3171:A3234" si="51">IF(E3171="OP","",CONCATENATE(C3171,"-",RIGHT(F3171,1),"-",IF(OR(E3171="1 Rate MD",E3171="DAY"),"U",IF(OR(E3171="2 Rate MD",E3171="E7"),"E7",IF(OR(E3171="3 Rate MD (EW)",E3171="EW"),"EW",IF(OR(E3171="3 Rate MD",E3171="EWN"),"3RATE",IF(E3171="HH 2RATE (CT)","HH 2RATE (CT)",IF(E3171="HH 2RATE (WC)","HH 2RATE (WC)",IF(E3171="HH 1RATE (CT)","HH 1RATE (CT)",IF(E3171="HH 1RATE (WC)","HH 1RATE (WC)")))))))),"-",G3171))</f>
        <v/>
      </c>
      <c r="B3171" t="s">
        <v>13</v>
      </c>
      <c r="C3171">
        <v>13</v>
      </c>
      <c r="D3171" s="100" t="s">
        <v>22</v>
      </c>
      <c r="E3171" t="s">
        <v>720</v>
      </c>
      <c r="F3171" t="s">
        <v>18</v>
      </c>
      <c r="G3171" t="s">
        <v>747</v>
      </c>
      <c r="H3171" s="128">
        <v>0.30109999999999998</v>
      </c>
      <c r="J3171" s="110">
        <v>0.18790000000000004</v>
      </c>
      <c r="L3171">
        <v>5000</v>
      </c>
      <c r="M3171">
        <v>500000</v>
      </c>
      <c r="N3171" s="105">
        <v>44378</v>
      </c>
      <c r="O3171" s="105">
        <v>44561</v>
      </c>
      <c r="P3171" t="s">
        <v>718</v>
      </c>
      <c r="R3171" s="154"/>
      <c r="S3171" s="154"/>
      <c r="T3171" s="154"/>
      <c r="U3171" s="154"/>
    </row>
    <row r="3172" spans="1:21" ht="15" customHeight="1" x14ac:dyDescent="0.3">
      <c r="A3172" t="str">
        <f t="shared" si="51"/>
        <v>14-3-U-SmartPAY12_Renewal (Level 2)</v>
      </c>
      <c r="B3172" t="s">
        <v>13</v>
      </c>
      <c r="C3172">
        <v>14</v>
      </c>
      <c r="D3172" s="100" t="s">
        <v>23</v>
      </c>
      <c r="E3172" t="s">
        <v>716</v>
      </c>
      <c r="F3172" t="s">
        <v>16</v>
      </c>
      <c r="G3172" t="s">
        <v>747</v>
      </c>
      <c r="H3172" s="128">
        <v>0.37159999999999999</v>
      </c>
      <c r="I3172" s="110">
        <v>0.17300000000000001</v>
      </c>
      <c r="L3172">
        <v>5000</v>
      </c>
      <c r="M3172">
        <v>500000</v>
      </c>
      <c r="N3172" s="105">
        <v>44378</v>
      </c>
      <c r="O3172" s="105">
        <v>44561</v>
      </c>
      <c r="P3172" t="s">
        <v>718</v>
      </c>
      <c r="R3172" s="154"/>
      <c r="S3172" s="154"/>
      <c r="T3172" s="154"/>
      <c r="U3172" s="154"/>
    </row>
    <row r="3173" spans="1:21" ht="15" customHeight="1" x14ac:dyDescent="0.3">
      <c r="A3173" t="str">
        <f t="shared" si="51"/>
        <v>14-4-E7-SmartPAY12_Renewal (Level 2)</v>
      </c>
      <c r="B3173" t="s">
        <v>13</v>
      </c>
      <c r="C3173">
        <v>14</v>
      </c>
      <c r="D3173" s="100" t="s">
        <v>23</v>
      </c>
      <c r="E3173" t="s">
        <v>17</v>
      </c>
      <c r="F3173" t="s">
        <v>18</v>
      </c>
      <c r="G3173" t="s">
        <v>747</v>
      </c>
      <c r="H3173" s="128">
        <v>0.37159999999999999</v>
      </c>
      <c r="I3173" s="110">
        <v>0.17300000000000001</v>
      </c>
      <c r="J3173" s="110">
        <v>0.17300000000000001</v>
      </c>
      <c r="L3173">
        <v>5000</v>
      </c>
      <c r="M3173">
        <v>500000</v>
      </c>
      <c r="N3173" s="105">
        <v>44378</v>
      </c>
      <c r="O3173" s="105">
        <v>44561</v>
      </c>
      <c r="P3173" t="s">
        <v>718</v>
      </c>
      <c r="R3173" s="154"/>
      <c r="S3173" s="154"/>
      <c r="T3173" s="154"/>
      <c r="U3173" s="154"/>
    </row>
    <row r="3174" spans="1:21" ht="15" customHeight="1" x14ac:dyDescent="0.3">
      <c r="A3174" t="str">
        <f t="shared" si="51"/>
        <v>14-3-EW-SmartPAY12_Renewal (Level 2)</v>
      </c>
      <c r="B3174" t="s">
        <v>13</v>
      </c>
      <c r="C3174">
        <v>14</v>
      </c>
      <c r="D3174" s="100" t="s">
        <v>23</v>
      </c>
      <c r="E3174" t="s">
        <v>19</v>
      </c>
      <c r="F3174" t="s">
        <v>16</v>
      </c>
      <c r="G3174" t="s">
        <v>747</v>
      </c>
      <c r="H3174" s="128">
        <v>0.37159999999999999</v>
      </c>
      <c r="I3174" s="110">
        <v>0.17300000000000001</v>
      </c>
      <c r="K3174" s="110">
        <v>0.17300000000000001</v>
      </c>
      <c r="L3174">
        <v>5000</v>
      </c>
      <c r="M3174">
        <v>500000</v>
      </c>
      <c r="N3174" s="105">
        <v>44378</v>
      </c>
      <c r="O3174" s="105">
        <v>44561</v>
      </c>
      <c r="P3174" t="s">
        <v>718</v>
      </c>
      <c r="R3174" s="154"/>
      <c r="S3174" s="154"/>
      <c r="T3174" s="154"/>
      <c r="U3174" s="154"/>
    </row>
    <row r="3175" spans="1:21" ht="15" customHeight="1" x14ac:dyDescent="0.3">
      <c r="A3175" t="str">
        <f t="shared" si="51"/>
        <v>14-4-3RATE-SmartPAY12_Renewal (Level 2)</v>
      </c>
      <c r="B3175" t="s">
        <v>13</v>
      </c>
      <c r="C3175">
        <v>14</v>
      </c>
      <c r="D3175" s="100" t="s">
        <v>23</v>
      </c>
      <c r="E3175" t="s">
        <v>719</v>
      </c>
      <c r="F3175" t="s">
        <v>18</v>
      </c>
      <c r="G3175" t="s">
        <v>747</v>
      </c>
      <c r="H3175" s="128">
        <v>0.37159999999999999</v>
      </c>
      <c r="I3175" s="110">
        <v>0.17300000000000001</v>
      </c>
      <c r="J3175" s="110">
        <v>0.17300000000000001</v>
      </c>
      <c r="K3175" s="110">
        <v>0.17300000000000001</v>
      </c>
      <c r="L3175">
        <v>5000</v>
      </c>
      <c r="M3175">
        <v>500000</v>
      </c>
      <c r="N3175" s="105">
        <v>44378</v>
      </c>
      <c r="O3175" s="105">
        <v>44561</v>
      </c>
      <c r="P3175" t="s">
        <v>718</v>
      </c>
      <c r="R3175" s="154"/>
      <c r="S3175" s="154"/>
      <c r="T3175" s="154"/>
      <c r="U3175" s="154"/>
    </row>
    <row r="3176" spans="1:21" ht="15" customHeight="1" x14ac:dyDescent="0.3">
      <c r="A3176" t="str">
        <f t="shared" si="51"/>
        <v/>
      </c>
      <c r="B3176" t="s">
        <v>13</v>
      </c>
      <c r="C3176">
        <v>14</v>
      </c>
      <c r="D3176" s="100" t="s">
        <v>23</v>
      </c>
      <c r="E3176" t="s">
        <v>720</v>
      </c>
      <c r="F3176" t="s">
        <v>18</v>
      </c>
      <c r="G3176" t="s">
        <v>747</v>
      </c>
      <c r="H3176" s="128">
        <v>0.37159999999999999</v>
      </c>
      <c r="J3176" s="110">
        <v>0.17300000000000001</v>
      </c>
      <c r="L3176">
        <v>5000</v>
      </c>
      <c r="M3176">
        <v>500000</v>
      </c>
      <c r="N3176" s="105">
        <v>44378</v>
      </c>
      <c r="O3176" s="105">
        <v>44561</v>
      </c>
      <c r="P3176" t="s">
        <v>718</v>
      </c>
      <c r="R3176" s="154"/>
      <c r="S3176" s="154"/>
      <c r="T3176" s="154"/>
      <c r="U3176" s="154"/>
    </row>
    <row r="3177" spans="1:21" ht="15" customHeight="1" x14ac:dyDescent="0.3">
      <c r="A3177" t="str">
        <f t="shared" si="51"/>
        <v>15-3-U-SmartPAY12_Renewal (Level 2)</v>
      </c>
      <c r="B3177" t="s">
        <v>13</v>
      </c>
      <c r="C3177">
        <v>15</v>
      </c>
      <c r="D3177" s="100" t="s">
        <v>24</v>
      </c>
      <c r="E3177" t="s">
        <v>716</v>
      </c>
      <c r="F3177" t="s">
        <v>16</v>
      </c>
      <c r="G3177" t="s">
        <v>747</v>
      </c>
      <c r="H3177" s="128">
        <v>0.34489999999999998</v>
      </c>
      <c r="I3177" s="110">
        <v>0.17190000000000003</v>
      </c>
      <c r="L3177">
        <v>5000</v>
      </c>
      <c r="M3177">
        <v>500000</v>
      </c>
      <c r="N3177" s="105">
        <v>44378</v>
      </c>
      <c r="O3177" s="105">
        <v>44561</v>
      </c>
      <c r="P3177" t="s">
        <v>718</v>
      </c>
      <c r="R3177" s="154"/>
      <c r="S3177" s="154"/>
      <c r="T3177" s="154"/>
      <c r="U3177" s="154"/>
    </row>
    <row r="3178" spans="1:21" ht="15" customHeight="1" x14ac:dyDescent="0.3">
      <c r="A3178" t="str">
        <f t="shared" si="51"/>
        <v>15-4-E7-SmartPAY12_Renewal (Level 2)</v>
      </c>
      <c r="B3178" t="s">
        <v>13</v>
      </c>
      <c r="C3178">
        <v>15</v>
      </c>
      <c r="D3178" s="100" t="s">
        <v>24</v>
      </c>
      <c r="E3178" t="s">
        <v>17</v>
      </c>
      <c r="F3178" t="s">
        <v>18</v>
      </c>
      <c r="G3178" t="s">
        <v>747</v>
      </c>
      <c r="H3178" s="128">
        <v>0.34489999999999998</v>
      </c>
      <c r="I3178" s="110">
        <v>0.17190000000000003</v>
      </c>
      <c r="J3178" s="110">
        <v>0.17190000000000003</v>
      </c>
      <c r="L3178">
        <v>5000</v>
      </c>
      <c r="M3178">
        <v>500000</v>
      </c>
      <c r="N3178" s="105">
        <v>44378</v>
      </c>
      <c r="O3178" s="105">
        <v>44561</v>
      </c>
      <c r="P3178" t="s">
        <v>718</v>
      </c>
      <c r="R3178" s="154"/>
      <c r="S3178" s="154"/>
      <c r="T3178" s="154"/>
      <c r="U3178" s="154"/>
    </row>
    <row r="3179" spans="1:21" ht="15" customHeight="1" x14ac:dyDescent="0.3">
      <c r="A3179" t="str">
        <f t="shared" si="51"/>
        <v>15-3-EW-SmartPAY12_Renewal (Level 2)</v>
      </c>
      <c r="B3179" t="s">
        <v>13</v>
      </c>
      <c r="C3179">
        <v>15</v>
      </c>
      <c r="D3179" s="100" t="s">
        <v>24</v>
      </c>
      <c r="E3179" t="s">
        <v>19</v>
      </c>
      <c r="F3179" t="s">
        <v>16</v>
      </c>
      <c r="G3179" t="s">
        <v>747</v>
      </c>
      <c r="H3179" s="128">
        <v>0.34489999999999998</v>
      </c>
      <c r="I3179" s="110">
        <v>0.17190000000000003</v>
      </c>
      <c r="K3179" s="110">
        <v>0.17190000000000003</v>
      </c>
      <c r="L3179">
        <v>5000</v>
      </c>
      <c r="M3179">
        <v>500000</v>
      </c>
      <c r="N3179" s="105">
        <v>44378</v>
      </c>
      <c r="O3179" s="105">
        <v>44561</v>
      </c>
      <c r="P3179" t="s">
        <v>718</v>
      </c>
      <c r="R3179" s="154"/>
      <c r="S3179" s="154"/>
      <c r="T3179" s="154"/>
      <c r="U3179" s="154"/>
    </row>
    <row r="3180" spans="1:21" ht="15" customHeight="1" x14ac:dyDescent="0.3">
      <c r="A3180" t="str">
        <f t="shared" si="51"/>
        <v>15-4-3RATE-SmartPAY12_Renewal (Level 2)</v>
      </c>
      <c r="B3180" t="s">
        <v>13</v>
      </c>
      <c r="C3180">
        <v>15</v>
      </c>
      <c r="D3180" s="100" t="s">
        <v>24</v>
      </c>
      <c r="E3180" t="s">
        <v>719</v>
      </c>
      <c r="F3180" t="s">
        <v>18</v>
      </c>
      <c r="G3180" t="s">
        <v>747</v>
      </c>
      <c r="H3180" s="128">
        <v>0.34489999999999998</v>
      </c>
      <c r="I3180" s="110">
        <v>0.17190000000000003</v>
      </c>
      <c r="J3180" s="110">
        <v>0.17190000000000003</v>
      </c>
      <c r="K3180" s="110">
        <v>0.17190000000000003</v>
      </c>
      <c r="L3180">
        <v>5000</v>
      </c>
      <c r="M3180">
        <v>500000</v>
      </c>
      <c r="N3180" s="105">
        <v>44378</v>
      </c>
      <c r="O3180" s="105">
        <v>44561</v>
      </c>
      <c r="P3180" t="s">
        <v>718</v>
      </c>
      <c r="R3180" s="154"/>
      <c r="S3180" s="154"/>
      <c r="T3180" s="154"/>
      <c r="U3180" s="154"/>
    </row>
    <row r="3181" spans="1:21" ht="15" customHeight="1" x14ac:dyDescent="0.3">
      <c r="A3181" t="str">
        <f t="shared" si="51"/>
        <v/>
      </c>
      <c r="B3181" t="s">
        <v>13</v>
      </c>
      <c r="C3181">
        <v>15</v>
      </c>
      <c r="D3181" s="100" t="s">
        <v>24</v>
      </c>
      <c r="E3181" t="s">
        <v>720</v>
      </c>
      <c r="F3181" t="s">
        <v>18</v>
      </c>
      <c r="G3181" t="s">
        <v>747</v>
      </c>
      <c r="H3181" s="128">
        <v>0.34489999999999998</v>
      </c>
      <c r="J3181" s="110">
        <v>0.17190000000000003</v>
      </c>
      <c r="L3181">
        <v>5000</v>
      </c>
      <c r="M3181">
        <v>500000</v>
      </c>
      <c r="N3181" s="105">
        <v>44378</v>
      </c>
      <c r="O3181" s="105">
        <v>44561</v>
      </c>
      <c r="P3181" t="s">
        <v>718</v>
      </c>
      <c r="R3181" s="154"/>
      <c r="S3181" s="154"/>
      <c r="T3181" s="154"/>
      <c r="U3181" s="154"/>
    </row>
    <row r="3182" spans="1:21" ht="15" customHeight="1" x14ac:dyDescent="0.3">
      <c r="A3182" t="str">
        <f t="shared" si="51"/>
        <v>16-3-U-SmartPAY12_Renewal (Level 2)</v>
      </c>
      <c r="B3182" t="s">
        <v>13</v>
      </c>
      <c r="C3182">
        <v>16</v>
      </c>
      <c r="D3182" s="100" t="s">
        <v>25</v>
      </c>
      <c r="E3182" t="s">
        <v>716</v>
      </c>
      <c r="F3182" t="s">
        <v>16</v>
      </c>
      <c r="G3182" t="s">
        <v>747</v>
      </c>
      <c r="H3182" s="128">
        <v>0.29189999999999999</v>
      </c>
      <c r="I3182" s="110">
        <v>0.17430000000000001</v>
      </c>
      <c r="L3182">
        <v>5000</v>
      </c>
      <c r="M3182">
        <v>500000</v>
      </c>
      <c r="N3182" s="105">
        <v>44378</v>
      </c>
      <c r="O3182" s="105">
        <v>44561</v>
      </c>
      <c r="P3182" t="s">
        <v>718</v>
      </c>
      <c r="R3182" s="154"/>
      <c r="S3182" s="154"/>
      <c r="T3182" s="154"/>
      <c r="U3182" s="154"/>
    </row>
    <row r="3183" spans="1:21" ht="15" customHeight="1" x14ac:dyDescent="0.3">
      <c r="A3183" t="str">
        <f t="shared" si="51"/>
        <v>16-4-E7-SmartPAY12_Renewal (Level 2)</v>
      </c>
      <c r="B3183" t="s">
        <v>13</v>
      </c>
      <c r="C3183">
        <v>16</v>
      </c>
      <c r="D3183" s="100" t="s">
        <v>25</v>
      </c>
      <c r="E3183" t="s">
        <v>17</v>
      </c>
      <c r="F3183" t="s">
        <v>18</v>
      </c>
      <c r="G3183" t="s">
        <v>747</v>
      </c>
      <c r="H3183" s="128">
        <v>0.29189999999999999</v>
      </c>
      <c r="I3183" s="110">
        <v>0.17430000000000001</v>
      </c>
      <c r="J3183" s="110">
        <v>0.17430000000000001</v>
      </c>
      <c r="L3183">
        <v>5000</v>
      </c>
      <c r="M3183">
        <v>500000</v>
      </c>
      <c r="N3183" s="105">
        <v>44378</v>
      </c>
      <c r="O3183" s="105">
        <v>44561</v>
      </c>
      <c r="P3183" t="s">
        <v>718</v>
      </c>
      <c r="R3183" s="154"/>
      <c r="S3183" s="154"/>
      <c r="T3183" s="154"/>
      <c r="U3183" s="154"/>
    </row>
    <row r="3184" spans="1:21" ht="15" customHeight="1" x14ac:dyDescent="0.3">
      <c r="A3184" t="str">
        <f t="shared" si="51"/>
        <v>16-3-EW-SmartPAY12_Renewal (Level 2)</v>
      </c>
      <c r="B3184" t="s">
        <v>13</v>
      </c>
      <c r="C3184">
        <v>16</v>
      </c>
      <c r="D3184" s="100" t="s">
        <v>25</v>
      </c>
      <c r="E3184" t="s">
        <v>19</v>
      </c>
      <c r="F3184" t="s">
        <v>16</v>
      </c>
      <c r="G3184" t="s">
        <v>747</v>
      </c>
      <c r="H3184" s="128">
        <v>0.29189999999999999</v>
      </c>
      <c r="I3184" s="110">
        <v>0.17430000000000001</v>
      </c>
      <c r="K3184" s="110">
        <v>0.17430000000000001</v>
      </c>
      <c r="L3184">
        <v>5000</v>
      </c>
      <c r="M3184">
        <v>500000</v>
      </c>
      <c r="N3184" s="105">
        <v>44378</v>
      </c>
      <c r="O3184" s="105">
        <v>44561</v>
      </c>
      <c r="P3184" t="s">
        <v>718</v>
      </c>
      <c r="R3184" s="154"/>
      <c r="S3184" s="154"/>
      <c r="T3184" s="154"/>
      <c r="U3184" s="154"/>
    </row>
    <row r="3185" spans="1:21" ht="15" customHeight="1" x14ac:dyDescent="0.3">
      <c r="A3185" t="str">
        <f t="shared" si="51"/>
        <v>16-4-3RATE-SmartPAY12_Renewal (Level 2)</v>
      </c>
      <c r="B3185" t="s">
        <v>13</v>
      </c>
      <c r="C3185">
        <v>16</v>
      </c>
      <c r="D3185" s="100" t="s">
        <v>25</v>
      </c>
      <c r="E3185" t="s">
        <v>719</v>
      </c>
      <c r="F3185" t="s">
        <v>18</v>
      </c>
      <c r="G3185" t="s">
        <v>747</v>
      </c>
      <c r="H3185" s="128">
        <v>0.29189999999999999</v>
      </c>
      <c r="I3185" s="110">
        <v>0.17430000000000001</v>
      </c>
      <c r="J3185" s="110">
        <v>0.17430000000000001</v>
      </c>
      <c r="K3185" s="110">
        <v>0.17430000000000001</v>
      </c>
      <c r="L3185">
        <v>5000</v>
      </c>
      <c r="M3185">
        <v>500000</v>
      </c>
      <c r="N3185" s="105">
        <v>44378</v>
      </c>
      <c r="O3185" s="105">
        <v>44561</v>
      </c>
      <c r="P3185" t="s">
        <v>718</v>
      </c>
      <c r="R3185" s="154"/>
      <c r="S3185" s="154"/>
      <c r="T3185" s="154"/>
      <c r="U3185" s="154"/>
    </row>
    <row r="3186" spans="1:21" ht="15" customHeight="1" x14ac:dyDescent="0.3">
      <c r="A3186" t="str">
        <f t="shared" si="51"/>
        <v/>
      </c>
      <c r="B3186" t="s">
        <v>13</v>
      </c>
      <c r="C3186">
        <v>16</v>
      </c>
      <c r="D3186" s="100" t="s">
        <v>25</v>
      </c>
      <c r="E3186" t="s">
        <v>720</v>
      </c>
      <c r="F3186" t="s">
        <v>18</v>
      </c>
      <c r="G3186" t="s">
        <v>747</v>
      </c>
      <c r="H3186" s="128">
        <v>0.29189999999999999</v>
      </c>
      <c r="J3186" s="110">
        <v>0.17430000000000001</v>
      </c>
      <c r="L3186">
        <v>5000</v>
      </c>
      <c r="M3186">
        <v>500000</v>
      </c>
      <c r="N3186" s="105">
        <v>44378</v>
      </c>
      <c r="O3186" s="105">
        <v>44561</v>
      </c>
      <c r="P3186" t="s">
        <v>718</v>
      </c>
      <c r="R3186" s="154"/>
      <c r="S3186" s="154"/>
      <c r="T3186" s="154"/>
      <c r="U3186" s="154"/>
    </row>
    <row r="3187" spans="1:21" ht="15" customHeight="1" x14ac:dyDescent="0.3">
      <c r="A3187" t="str">
        <f t="shared" si="51"/>
        <v>17-3-U-SmartPAY12_Renewal (Level 2)</v>
      </c>
      <c r="B3187" t="s">
        <v>13</v>
      </c>
      <c r="C3187">
        <v>17</v>
      </c>
      <c r="D3187" s="100" t="s">
        <v>26</v>
      </c>
      <c r="E3187" t="s">
        <v>716</v>
      </c>
      <c r="F3187" t="s">
        <v>16</v>
      </c>
      <c r="G3187" t="s">
        <v>747</v>
      </c>
      <c r="H3187" s="128">
        <v>0.3846</v>
      </c>
      <c r="I3187" s="110">
        <v>0.17700000000000002</v>
      </c>
      <c r="L3187">
        <v>5000</v>
      </c>
      <c r="M3187">
        <v>500000</v>
      </c>
      <c r="N3187" s="105">
        <v>44378</v>
      </c>
      <c r="O3187" s="105">
        <v>44561</v>
      </c>
      <c r="P3187" t="s">
        <v>718</v>
      </c>
      <c r="R3187" s="154"/>
      <c r="S3187" s="154"/>
      <c r="T3187" s="154"/>
      <c r="U3187" s="154"/>
    </row>
    <row r="3188" spans="1:21" ht="15" customHeight="1" x14ac:dyDescent="0.3">
      <c r="A3188" t="str">
        <f t="shared" si="51"/>
        <v>17-4-E7-SmartPAY12_Renewal (Level 2)</v>
      </c>
      <c r="B3188" t="s">
        <v>13</v>
      </c>
      <c r="C3188">
        <v>17</v>
      </c>
      <c r="D3188" s="100" t="s">
        <v>26</v>
      </c>
      <c r="E3188" t="s">
        <v>17</v>
      </c>
      <c r="F3188" t="s">
        <v>18</v>
      </c>
      <c r="G3188" t="s">
        <v>747</v>
      </c>
      <c r="H3188" s="128">
        <v>0.3846</v>
      </c>
      <c r="I3188" s="110">
        <v>0.17700000000000002</v>
      </c>
      <c r="J3188" s="110">
        <v>0.17700000000000002</v>
      </c>
      <c r="L3188">
        <v>5000</v>
      </c>
      <c r="M3188">
        <v>500000</v>
      </c>
      <c r="N3188" s="105">
        <v>44378</v>
      </c>
      <c r="O3188" s="105">
        <v>44561</v>
      </c>
      <c r="P3188" t="s">
        <v>718</v>
      </c>
      <c r="R3188" s="154"/>
      <c r="S3188" s="154"/>
      <c r="T3188" s="154"/>
      <c r="U3188" s="154"/>
    </row>
    <row r="3189" spans="1:21" ht="15" customHeight="1" x14ac:dyDescent="0.3">
      <c r="A3189" t="str">
        <f t="shared" si="51"/>
        <v>17-3-EW-SmartPAY12_Renewal (Level 2)</v>
      </c>
      <c r="B3189" t="s">
        <v>13</v>
      </c>
      <c r="C3189">
        <v>17</v>
      </c>
      <c r="D3189" s="100" t="s">
        <v>26</v>
      </c>
      <c r="E3189" t="s">
        <v>19</v>
      </c>
      <c r="F3189" t="s">
        <v>16</v>
      </c>
      <c r="G3189" t="s">
        <v>747</v>
      </c>
      <c r="H3189" s="128">
        <v>0.3846</v>
      </c>
      <c r="I3189" s="110">
        <v>0.17700000000000002</v>
      </c>
      <c r="K3189" s="110">
        <v>0.17700000000000002</v>
      </c>
      <c r="L3189">
        <v>5000</v>
      </c>
      <c r="M3189">
        <v>500000</v>
      </c>
      <c r="N3189" s="105">
        <v>44378</v>
      </c>
      <c r="O3189" s="105">
        <v>44561</v>
      </c>
      <c r="P3189" t="s">
        <v>718</v>
      </c>
      <c r="R3189" s="154"/>
      <c r="S3189" s="154"/>
      <c r="T3189" s="154"/>
      <c r="U3189" s="154"/>
    </row>
    <row r="3190" spans="1:21" ht="15" customHeight="1" x14ac:dyDescent="0.3">
      <c r="A3190" t="str">
        <f t="shared" si="51"/>
        <v>17-4-3RATE-SmartPAY12_Renewal (Level 2)</v>
      </c>
      <c r="B3190" t="s">
        <v>13</v>
      </c>
      <c r="C3190">
        <v>17</v>
      </c>
      <c r="D3190" s="100" t="s">
        <v>26</v>
      </c>
      <c r="E3190" t="s">
        <v>719</v>
      </c>
      <c r="F3190" t="s">
        <v>18</v>
      </c>
      <c r="G3190" t="s">
        <v>747</v>
      </c>
      <c r="H3190" s="128">
        <v>0.3846</v>
      </c>
      <c r="I3190" s="110">
        <v>0.17700000000000002</v>
      </c>
      <c r="J3190" s="110">
        <v>0.17700000000000002</v>
      </c>
      <c r="K3190" s="110">
        <v>0.17700000000000002</v>
      </c>
      <c r="L3190">
        <v>5000</v>
      </c>
      <c r="M3190">
        <v>500000</v>
      </c>
      <c r="N3190" s="105">
        <v>44378</v>
      </c>
      <c r="O3190" s="105">
        <v>44561</v>
      </c>
      <c r="P3190" t="s">
        <v>718</v>
      </c>
      <c r="R3190" s="154"/>
      <c r="S3190" s="154"/>
      <c r="T3190" s="154"/>
      <c r="U3190" s="154"/>
    </row>
    <row r="3191" spans="1:21" ht="15" customHeight="1" x14ac:dyDescent="0.3">
      <c r="A3191" t="str">
        <f t="shared" si="51"/>
        <v/>
      </c>
      <c r="B3191" t="s">
        <v>13</v>
      </c>
      <c r="C3191">
        <v>17</v>
      </c>
      <c r="D3191" s="100" t="s">
        <v>26</v>
      </c>
      <c r="E3191" t="s">
        <v>720</v>
      </c>
      <c r="F3191" t="s">
        <v>18</v>
      </c>
      <c r="G3191" t="s">
        <v>747</v>
      </c>
      <c r="H3191" s="128">
        <v>0.3846</v>
      </c>
      <c r="J3191" s="110">
        <v>0.17700000000000002</v>
      </c>
      <c r="L3191">
        <v>5000</v>
      </c>
      <c r="M3191">
        <v>500000</v>
      </c>
      <c r="N3191" s="105">
        <v>44378</v>
      </c>
      <c r="O3191" s="105">
        <v>44561</v>
      </c>
      <c r="P3191" t="s">
        <v>718</v>
      </c>
      <c r="R3191" s="154"/>
      <c r="S3191" s="154"/>
      <c r="T3191" s="154"/>
      <c r="U3191" s="154"/>
    </row>
    <row r="3192" spans="1:21" ht="15" customHeight="1" x14ac:dyDescent="0.3">
      <c r="A3192" t="str">
        <f t="shared" si="51"/>
        <v>18-3-U-SmartPAY12_Renewal (Level 2)</v>
      </c>
      <c r="B3192" t="s">
        <v>13</v>
      </c>
      <c r="C3192">
        <v>18</v>
      </c>
      <c r="D3192" s="100" t="s">
        <v>27</v>
      </c>
      <c r="E3192" t="s">
        <v>716</v>
      </c>
      <c r="F3192" t="s">
        <v>16</v>
      </c>
      <c r="G3192" t="s">
        <v>747</v>
      </c>
      <c r="H3192" s="128">
        <v>0.33550000000000002</v>
      </c>
      <c r="I3192" s="110">
        <v>0.17230000000000001</v>
      </c>
      <c r="L3192">
        <v>5000</v>
      </c>
      <c r="M3192">
        <v>500000</v>
      </c>
      <c r="N3192" s="105">
        <v>44378</v>
      </c>
      <c r="O3192" s="105">
        <v>44561</v>
      </c>
      <c r="P3192" t="s">
        <v>718</v>
      </c>
      <c r="R3192" s="154"/>
      <c r="S3192" s="154"/>
      <c r="T3192" s="154"/>
      <c r="U3192" s="154"/>
    </row>
    <row r="3193" spans="1:21" ht="15" customHeight="1" x14ac:dyDescent="0.3">
      <c r="A3193" t="str">
        <f t="shared" si="51"/>
        <v>18-4-E7-SmartPAY12_Renewal (Level 2)</v>
      </c>
      <c r="B3193" t="s">
        <v>13</v>
      </c>
      <c r="C3193">
        <v>18</v>
      </c>
      <c r="D3193" s="100" t="s">
        <v>27</v>
      </c>
      <c r="E3193" t="s">
        <v>17</v>
      </c>
      <c r="F3193" t="s">
        <v>18</v>
      </c>
      <c r="G3193" t="s">
        <v>747</v>
      </c>
      <c r="H3193" s="128">
        <v>0.33550000000000002</v>
      </c>
      <c r="I3193" s="110">
        <v>0.17230000000000001</v>
      </c>
      <c r="J3193" s="110">
        <v>0.17230000000000001</v>
      </c>
      <c r="L3193">
        <v>5000</v>
      </c>
      <c r="M3193">
        <v>500000</v>
      </c>
      <c r="N3193" s="105">
        <v>44378</v>
      </c>
      <c r="O3193" s="105">
        <v>44561</v>
      </c>
      <c r="P3193" t="s">
        <v>718</v>
      </c>
      <c r="R3193" s="154"/>
      <c r="S3193" s="154"/>
      <c r="T3193" s="154"/>
      <c r="U3193" s="154"/>
    </row>
    <row r="3194" spans="1:21" ht="15" customHeight="1" x14ac:dyDescent="0.3">
      <c r="A3194" t="str">
        <f t="shared" si="51"/>
        <v>18-3-EW-SmartPAY12_Renewal (Level 2)</v>
      </c>
      <c r="B3194" t="s">
        <v>13</v>
      </c>
      <c r="C3194">
        <v>18</v>
      </c>
      <c r="D3194" s="100" t="s">
        <v>27</v>
      </c>
      <c r="E3194" t="s">
        <v>19</v>
      </c>
      <c r="F3194" t="s">
        <v>16</v>
      </c>
      <c r="G3194" t="s">
        <v>747</v>
      </c>
      <c r="H3194" s="128">
        <v>0.33550000000000002</v>
      </c>
      <c r="I3194" s="110">
        <v>0.17230000000000001</v>
      </c>
      <c r="K3194" s="110">
        <v>0.17230000000000001</v>
      </c>
      <c r="L3194">
        <v>5000</v>
      </c>
      <c r="M3194">
        <v>500000</v>
      </c>
      <c r="N3194" s="105">
        <v>44378</v>
      </c>
      <c r="O3194" s="105">
        <v>44561</v>
      </c>
      <c r="P3194" t="s">
        <v>718</v>
      </c>
      <c r="R3194" s="154"/>
      <c r="S3194" s="154"/>
      <c r="T3194" s="154"/>
      <c r="U3194" s="154"/>
    </row>
    <row r="3195" spans="1:21" ht="15" customHeight="1" x14ac:dyDescent="0.3">
      <c r="A3195" t="str">
        <f t="shared" si="51"/>
        <v>18-4-3RATE-SmartPAY12_Renewal (Level 2)</v>
      </c>
      <c r="B3195" t="s">
        <v>13</v>
      </c>
      <c r="C3195">
        <v>18</v>
      </c>
      <c r="D3195" s="100" t="s">
        <v>27</v>
      </c>
      <c r="E3195" t="s">
        <v>719</v>
      </c>
      <c r="F3195" t="s">
        <v>18</v>
      </c>
      <c r="G3195" t="s">
        <v>747</v>
      </c>
      <c r="H3195" s="128">
        <v>0.33550000000000002</v>
      </c>
      <c r="I3195" s="110">
        <v>0.17230000000000001</v>
      </c>
      <c r="J3195" s="110">
        <v>0.17230000000000001</v>
      </c>
      <c r="K3195" s="110">
        <v>0.17230000000000001</v>
      </c>
      <c r="L3195">
        <v>5000</v>
      </c>
      <c r="M3195">
        <v>500000</v>
      </c>
      <c r="N3195" s="105">
        <v>44378</v>
      </c>
      <c r="O3195" s="105">
        <v>44561</v>
      </c>
      <c r="P3195" t="s">
        <v>718</v>
      </c>
      <c r="R3195" s="154"/>
      <c r="S3195" s="154"/>
      <c r="T3195" s="154"/>
      <c r="U3195" s="154"/>
    </row>
    <row r="3196" spans="1:21" ht="15" customHeight="1" x14ac:dyDescent="0.3">
      <c r="A3196" t="str">
        <f t="shared" si="51"/>
        <v/>
      </c>
      <c r="B3196" t="s">
        <v>13</v>
      </c>
      <c r="C3196">
        <v>18</v>
      </c>
      <c r="D3196" s="100" t="s">
        <v>27</v>
      </c>
      <c r="E3196" t="s">
        <v>720</v>
      </c>
      <c r="F3196" t="s">
        <v>18</v>
      </c>
      <c r="G3196" t="s">
        <v>747</v>
      </c>
      <c r="H3196" s="128">
        <v>0.33550000000000002</v>
      </c>
      <c r="J3196" s="110">
        <v>0.17230000000000001</v>
      </c>
      <c r="L3196">
        <v>5000</v>
      </c>
      <c r="M3196">
        <v>500000</v>
      </c>
      <c r="N3196" s="105">
        <v>44378</v>
      </c>
      <c r="O3196" s="105">
        <v>44561</v>
      </c>
      <c r="P3196" t="s">
        <v>718</v>
      </c>
      <c r="R3196" s="154"/>
      <c r="S3196" s="154"/>
      <c r="T3196" s="154"/>
      <c r="U3196" s="154"/>
    </row>
    <row r="3197" spans="1:21" ht="15" customHeight="1" x14ac:dyDescent="0.3">
      <c r="A3197" t="str">
        <f t="shared" si="51"/>
        <v>19-3-U-SmartPAY12_Renewal (Level 2)</v>
      </c>
      <c r="B3197" t="s">
        <v>13</v>
      </c>
      <c r="C3197">
        <v>19</v>
      </c>
      <c r="D3197" s="100" t="s">
        <v>28</v>
      </c>
      <c r="E3197" t="s">
        <v>716</v>
      </c>
      <c r="F3197" t="s">
        <v>16</v>
      </c>
      <c r="G3197" t="s">
        <v>747</v>
      </c>
      <c r="H3197" s="128">
        <v>0.31890000000000002</v>
      </c>
      <c r="I3197" s="110">
        <v>0.17280000000000001</v>
      </c>
      <c r="L3197">
        <v>5000</v>
      </c>
      <c r="M3197">
        <v>500000</v>
      </c>
      <c r="N3197" s="105">
        <v>44378</v>
      </c>
      <c r="O3197" s="105">
        <v>44561</v>
      </c>
      <c r="P3197" t="s">
        <v>718</v>
      </c>
      <c r="R3197" s="154"/>
      <c r="S3197" s="154"/>
      <c r="T3197" s="154"/>
      <c r="U3197" s="154"/>
    </row>
    <row r="3198" spans="1:21" ht="15" customHeight="1" x14ac:dyDescent="0.3">
      <c r="A3198" t="str">
        <f t="shared" si="51"/>
        <v>19-4-E7-SmartPAY12_Renewal (Level 2)</v>
      </c>
      <c r="B3198" t="s">
        <v>13</v>
      </c>
      <c r="C3198">
        <v>19</v>
      </c>
      <c r="D3198" s="100" t="s">
        <v>28</v>
      </c>
      <c r="E3198" t="s">
        <v>17</v>
      </c>
      <c r="F3198" t="s">
        <v>18</v>
      </c>
      <c r="G3198" t="s">
        <v>747</v>
      </c>
      <c r="H3198" s="128">
        <v>0.31890000000000002</v>
      </c>
      <c r="I3198" s="110">
        <v>0.17280000000000001</v>
      </c>
      <c r="J3198" s="110">
        <v>0.17280000000000001</v>
      </c>
      <c r="L3198">
        <v>5000</v>
      </c>
      <c r="M3198">
        <v>500000</v>
      </c>
      <c r="N3198" s="105">
        <v>44378</v>
      </c>
      <c r="O3198" s="105">
        <v>44561</v>
      </c>
      <c r="P3198" t="s">
        <v>718</v>
      </c>
      <c r="R3198" s="154"/>
      <c r="S3198" s="154"/>
      <c r="T3198" s="154"/>
      <c r="U3198" s="154"/>
    </row>
    <row r="3199" spans="1:21" ht="15" customHeight="1" x14ac:dyDescent="0.3">
      <c r="A3199" t="str">
        <f t="shared" si="51"/>
        <v>19-3-EW-SmartPAY12_Renewal (Level 2)</v>
      </c>
      <c r="B3199" t="s">
        <v>13</v>
      </c>
      <c r="C3199">
        <v>19</v>
      </c>
      <c r="D3199" s="100" t="s">
        <v>28</v>
      </c>
      <c r="E3199" t="s">
        <v>19</v>
      </c>
      <c r="F3199" t="s">
        <v>16</v>
      </c>
      <c r="G3199" t="s">
        <v>747</v>
      </c>
      <c r="H3199" s="128">
        <v>0.31890000000000002</v>
      </c>
      <c r="I3199" s="110">
        <v>0.17280000000000001</v>
      </c>
      <c r="K3199" s="110">
        <v>0.17280000000000001</v>
      </c>
      <c r="L3199">
        <v>5000</v>
      </c>
      <c r="M3199">
        <v>500000</v>
      </c>
      <c r="N3199" s="105">
        <v>44378</v>
      </c>
      <c r="O3199" s="105">
        <v>44561</v>
      </c>
      <c r="P3199" t="s">
        <v>718</v>
      </c>
      <c r="R3199" s="154"/>
      <c r="S3199" s="154"/>
      <c r="T3199" s="154"/>
      <c r="U3199" s="154"/>
    </row>
    <row r="3200" spans="1:21" ht="15" customHeight="1" x14ac:dyDescent="0.3">
      <c r="A3200" t="str">
        <f t="shared" si="51"/>
        <v>19-4-3RATE-SmartPAY12_Renewal (Level 2)</v>
      </c>
      <c r="B3200" t="s">
        <v>13</v>
      </c>
      <c r="C3200">
        <v>19</v>
      </c>
      <c r="D3200" s="100" t="s">
        <v>28</v>
      </c>
      <c r="E3200" t="s">
        <v>719</v>
      </c>
      <c r="F3200" t="s">
        <v>18</v>
      </c>
      <c r="G3200" t="s">
        <v>747</v>
      </c>
      <c r="H3200" s="128">
        <v>0.31890000000000002</v>
      </c>
      <c r="I3200" s="110">
        <v>0.17280000000000001</v>
      </c>
      <c r="J3200" s="110">
        <v>0.17280000000000001</v>
      </c>
      <c r="K3200" s="110">
        <v>0.17280000000000001</v>
      </c>
      <c r="L3200">
        <v>5000</v>
      </c>
      <c r="M3200">
        <v>500000</v>
      </c>
      <c r="N3200" s="105">
        <v>44378</v>
      </c>
      <c r="O3200" s="105">
        <v>44561</v>
      </c>
      <c r="P3200" t="s">
        <v>718</v>
      </c>
      <c r="R3200" s="154"/>
      <c r="S3200" s="154"/>
      <c r="T3200" s="154"/>
      <c r="U3200" s="154"/>
    </row>
    <row r="3201" spans="1:21" ht="15" customHeight="1" x14ac:dyDescent="0.3">
      <c r="A3201" t="str">
        <f t="shared" si="51"/>
        <v/>
      </c>
      <c r="B3201" t="s">
        <v>13</v>
      </c>
      <c r="C3201">
        <v>19</v>
      </c>
      <c r="D3201" s="100" t="s">
        <v>28</v>
      </c>
      <c r="E3201" t="s">
        <v>720</v>
      </c>
      <c r="F3201" t="s">
        <v>18</v>
      </c>
      <c r="G3201" t="s">
        <v>747</v>
      </c>
      <c r="H3201" s="128">
        <v>0.31890000000000002</v>
      </c>
      <c r="J3201" s="110">
        <v>0.17280000000000001</v>
      </c>
      <c r="L3201">
        <v>5000</v>
      </c>
      <c r="M3201">
        <v>500000</v>
      </c>
      <c r="N3201" s="105">
        <v>44378</v>
      </c>
      <c r="O3201" s="105">
        <v>44561</v>
      </c>
      <c r="P3201" t="s">
        <v>718</v>
      </c>
      <c r="R3201" s="154"/>
      <c r="S3201" s="154"/>
      <c r="T3201" s="154"/>
      <c r="U3201" s="154"/>
    </row>
    <row r="3202" spans="1:21" ht="15" customHeight="1" x14ac:dyDescent="0.3">
      <c r="A3202" t="str">
        <f t="shared" si="51"/>
        <v>20-3-U-SmartPAY12_Renewal (Level 2)</v>
      </c>
      <c r="B3202" t="s">
        <v>13</v>
      </c>
      <c r="C3202">
        <v>20</v>
      </c>
      <c r="D3202" s="100" t="s">
        <v>29</v>
      </c>
      <c r="E3202" t="s">
        <v>716</v>
      </c>
      <c r="F3202" t="s">
        <v>16</v>
      </c>
      <c r="G3202" t="s">
        <v>747</v>
      </c>
      <c r="H3202" s="128">
        <v>0.316</v>
      </c>
      <c r="I3202" s="110">
        <v>0.16850000000000001</v>
      </c>
      <c r="L3202">
        <v>5000</v>
      </c>
      <c r="M3202">
        <v>500000</v>
      </c>
      <c r="N3202" s="105">
        <v>44378</v>
      </c>
      <c r="O3202" s="105">
        <v>44561</v>
      </c>
      <c r="P3202" t="s">
        <v>718</v>
      </c>
      <c r="R3202" s="154"/>
      <c r="S3202" s="154"/>
      <c r="T3202" s="154"/>
      <c r="U3202" s="154"/>
    </row>
    <row r="3203" spans="1:21" ht="15" customHeight="1" x14ac:dyDescent="0.3">
      <c r="A3203" t="str">
        <f t="shared" si="51"/>
        <v>20-4-E7-SmartPAY12_Renewal (Level 2)</v>
      </c>
      <c r="B3203" t="s">
        <v>13</v>
      </c>
      <c r="C3203">
        <v>20</v>
      </c>
      <c r="D3203" s="100" t="s">
        <v>29</v>
      </c>
      <c r="E3203" t="s">
        <v>17</v>
      </c>
      <c r="F3203" t="s">
        <v>18</v>
      </c>
      <c r="G3203" t="s">
        <v>747</v>
      </c>
      <c r="H3203" s="128">
        <v>0.316</v>
      </c>
      <c r="I3203" s="110">
        <v>0.16850000000000001</v>
      </c>
      <c r="J3203" s="110">
        <v>0.16850000000000001</v>
      </c>
      <c r="L3203">
        <v>5000</v>
      </c>
      <c r="M3203">
        <v>500000</v>
      </c>
      <c r="N3203" s="105">
        <v>44378</v>
      </c>
      <c r="O3203" s="105">
        <v>44561</v>
      </c>
      <c r="P3203" t="s">
        <v>718</v>
      </c>
      <c r="R3203" s="154"/>
      <c r="S3203" s="154"/>
      <c r="T3203" s="154"/>
      <c r="U3203" s="154"/>
    </row>
    <row r="3204" spans="1:21" ht="15" customHeight="1" x14ac:dyDescent="0.3">
      <c r="A3204" t="str">
        <f t="shared" si="51"/>
        <v>20-3-EW-SmartPAY12_Renewal (Level 2)</v>
      </c>
      <c r="B3204" t="s">
        <v>13</v>
      </c>
      <c r="C3204">
        <v>20</v>
      </c>
      <c r="D3204" s="100" t="s">
        <v>29</v>
      </c>
      <c r="E3204" t="s">
        <v>19</v>
      </c>
      <c r="F3204" t="s">
        <v>16</v>
      </c>
      <c r="G3204" t="s">
        <v>747</v>
      </c>
      <c r="H3204" s="128">
        <v>0.316</v>
      </c>
      <c r="I3204" s="110">
        <v>0.16850000000000001</v>
      </c>
      <c r="K3204" s="110">
        <v>0.16850000000000001</v>
      </c>
      <c r="L3204">
        <v>5000</v>
      </c>
      <c r="M3204">
        <v>500000</v>
      </c>
      <c r="N3204" s="105">
        <v>44378</v>
      </c>
      <c r="O3204" s="105">
        <v>44561</v>
      </c>
      <c r="P3204" t="s">
        <v>718</v>
      </c>
      <c r="R3204" s="154"/>
      <c r="S3204" s="154"/>
      <c r="T3204" s="154"/>
      <c r="U3204" s="154"/>
    </row>
    <row r="3205" spans="1:21" ht="15" customHeight="1" x14ac:dyDescent="0.3">
      <c r="A3205" t="str">
        <f t="shared" si="51"/>
        <v>20-4-3RATE-SmartPAY12_Renewal (Level 2)</v>
      </c>
      <c r="B3205" t="s">
        <v>13</v>
      </c>
      <c r="C3205">
        <v>20</v>
      </c>
      <c r="D3205" s="100" t="s">
        <v>29</v>
      </c>
      <c r="E3205" t="s">
        <v>719</v>
      </c>
      <c r="F3205" t="s">
        <v>18</v>
      </c>
      <c r="G3205" t="s">
        <v>747</v>
      </c>
      <c r="H3205" s="128">
        <v>0.316</v>
      </c>
      <c r="I3205" s="110">
        <v>0.16850000000000001</v>
      </c>
      <c r="J3205" s="110">
        <v>0.16850000000000001</v>
      </c>
      <c r="K3205" s="110">
        <v>0.16850000000000001</v>
      </c>
      <c r="L3205">
        <v>5000</v>
      </c>
      <c r="M3205">
        <v>500000</v>
      </c>
      <c r="N3205" s="105">
        <v>44378</v>
      </c>
      <c r="O3205" s="105">
        <v>44561</v>
      </c>
      <c r="P3205" t="s">
        <v>718</v>
      </c>
      <c r="R3205" s="154"/>
      <c r="S3205" s="154"/>
      <c r="T3205" s="154"/>
      <c r="U3205" s="154"/>
    </row>
    <row r="3206" spans="1:21" ht="15" customHeight="1" x14ac:dyDescent="0.3">
      <c r="A3206" t="str">
        <f t="shared" si="51"/>
        <v/>
      </c>
      <c r="B3206" t="s">
        <v>13</v>
      </c>
      <c r="C3206">
        <v>20</v>
      </c>
      <c r="D3206" s="100" t="s">
        <v>29</v>
      </c>
      <c r="E3206" t="s">
        <v>720</v>
      </c>
      <c r="F3206" t="s">
        <v>18</v>
      </c>
      <c r="G3206" t="s">
        <v>747</v>
      </c>
      <c r="H3206" s="128">
        <v>0.316</v>
      </c>
      <c r="J3206" s="110">
        <v>0.16850000000000001</v>
      </c>
      <c r="L3206">
        <v>5000</v>
      </c>
      <c r="M3206">
        <v>500000</v>
      </c>
      <c r="N3206" s="105">
        <v>44378</v>
      </c>
      <c r="O3206" s="105">
        <v>44561</v>
      </c>
      <c r="P3206" t="s">
        <v>718</v>
      </c>
      <c r="R3206" s="154"/>
      <c r="S3206" s="154"/>
      <c r="T3206" s="154"/>
      <c r="U3206" s="154"/>
    </row>
    <row r="3207" spans="1:21" ht="15" customHeight="1" x14ac:dyDescent="0.3">
      <c r="A3207" t="str">
        <f t="shared" si="51"/>
        <v>21-3-U-SmartPAY12_Renewal (Level 2)</v>
      </c>
      <c r="B3207" t="s">
        <v>13</v>
      </c>
      <c r="C3207">
        <v>21</v>
      </c>
      <c r="D3207" s="100" t="s">
        <v>30</v>
      </c>
      <c r="E3207" t="s">
        <v>716</v>
      </c>
      <c r="F3207" t="s">
        <v>16</v>
      </c>
      <c r="G3207" t="s">
        <v>747</v>
      </c>
      <c r="H3207" s="128">
        <v>0.43740000000000001</v>
      </c>
      <c r="I3207" s="110">
        <v>0.17030000000000001</v>
      </c>
      <c r="L3207">
        <v>5000</v>
      </c>
      <c r="M3207">
        <v>500000</v>
      </c>
      <c r="N3207" s="105">
        <v>44378</v>
      </c>
      <c r="O3207" s="105">
        <v>44561</v>
      </c>
      <c r="P3207" t="s">
        <v>718</v>
      </c>
      <c r="R3207" s="154"/>
      <c r="S3207" s="154"/>
      <c r="T3207" s="154"/>
      <c r="U3207" s="154"/>
    </row>
    <row r="3208" spans="1:21" ht="15" customHeight="1" x14ac:dyDescent="0.3">
      <c r="A3208" t="str">
        <f t="shared" si="51"/>
        <v>21-4-E7-SmartPAY12_Renewal (Level 2)</v>
      </c>
      <c r="B3208" t="s">
        <v>13</v>
      </c>
      <c r="C3208">
        <v>21</v>
      </c>
      <c r="D3208" s="100" t="s">
        <v>30</v>
      </c>
      <c r="E3208" t="s">
        <v>17</v>
      </c>
      <c r="F3208" t="s">
        <v>18</v>
      </c>
      <c r="G3208" t="s">
        <v>747</v>
      </c>
      <c r="H3208" s="128">
        <v>0.43740000000000001</v>
      </c>
      <c r="I3208" s="110">
        <v>0.17030000000000001</v>
      </c>
      <c r="J3208" s="110">
        <v>0.17030000000000001</v>
      </c>
      <c r="L3208">
        <v>5000</v>
      </c>
      <c r="M3208">
        <v>500000</v>
      </c>
      <c r="N3208" s="105">
        <v>44378</v>
      </c>
      <c r="O3208" s="105">
        <v>44561</v>
      </c>
      <c r="P3208" t="s">
        <v>718</v>
      </c>
      <c r="R3208" s="154"/>
      <c r="S3208" s="154"/>
      <c r="T3208" s="154"/>
      <c r="U3208" s="154"/>
    </row>
    <row r="3209" spans="1:21" ht="15" customHeight="1" x14ac:dyDescent="0.3">
      <c r="A3209" t="str">
        <f t="shared" si="51"/>
        <v>21-3-EW-SmartPAY12_Renewal (Level 2)</v>
      </c>
      <c r="B3209" t="s">
        <v>13</v>
      </c>
      <c r="C3209">
        <v>21</v>
      </c>
      <c r="D3209" s="100" t="s">
        <v>30</v>
      </c>
      <c r="E3209" t="s">
        <v>19</v>
      </c>
      <c r="F3209" t="s">
        <v>16</v>
      </c>
      <c r="G3209" t="s">
        <v>747</v>
      </c>
      <c r="H3209" s="128">
        <v>0.43740000000000001</v>
      </c>
      <c r="I3209" s="110">
        <v>0.17030000000000001</v>
      </c>
      <c r="K3209" s="110">
        <v>0.17030000000000001</v>
      </c>
      <c r="L3209">
        <v>5000</v>
      </c>
      <c r="M3209">
        <v>500000</v>
      </c>
      <c r="N3209" s="105">
        <v>44378</v>
      </c>
      <c r="O3209" s="105">
        <v>44561</v>
      </c>
      <c r="P3209" t="s">
        <v>718</v>
      </c>
      <c r="R3209" s="154"/>
      <c r="S3209" s="154"/>
      <c r="T3209" s="154"/>
      <c r="U3209" s="154"/>
    </row>
    <row r="3210" spans="1:21" ht="15" customHeight="1" x14ac:dyDescent="0.3">
      <c r="A3210" t="str">
        <f t="shared" si="51"/>
        <v>21-4-3RATE-SmartPAY12_Renewal (Level 2)</v>
      </c>
      <c r="B3210" t="s">
        <v>13</v>
      </c>
      <c r="C3210">
        <v>21</v>
      </c>
      <c r="D3210" s="100" t="s">
        <v>30</v>
      </c>
      <c r="E3210" t="s">
        <v>719</v>
      </c>
      <c r="F3210" t="s">
        <v>18</v>
      </c>
      <c r="G3210" t="s">
        <v>747</v>
      </c>
      <c r="H3210" s="128">
        <v>0.43740000000000001</v>
      </c>
      <c r="I3210" s="110">
        <v>0.17030000000000001</v>
      </c>
      <c r="J3210" s="110">
        <v>0.17030000000000001</v>
      </c>
      <c r="K3210" s="110">
        <v>0.17030000000000001</v>
      </c>
      <c r="L3210">
        <v>5000</v>
      </c>
      <c r="M3210">
        <v>500000</v>
      </c>
      <c r="N3210" s="105">
        <v>44378</v>
      </c>
      <c r="O3210" s="105">
        <v>44561</v>
      </c>
      <c r="P3210" t="s">
        <v>718</v>
      </c>
      <c r="R3210" s="154"/>
      <c r="S3210" s="154"/>
      <c r="T3210" s="154"/>
      <c r="U3210" s="154"/>
    </row>
    <row r="3211" spans="1:21" ht="15" customHeight="1" x14ac:dyDescent="0.3">
      <c r="A3211" t="str">
        <f t="shared" si="51"/>
        <v/>
      </c>
      <c r="B3211" t="s">
        <v>13</v>
      </c>
      <c r="C3211">
        <v>21</v>
      </c>
      <c r="D3211" s="100" t="s">
        <v>30</v>
      </c>
      <c r="E3211" t="s">
        <v>720</v>
      </c>
      <c r="F3211" t="s">
        <v>18</v>
      </c>
      <c r="G3211" t="s">
        <v>747</v>
      </c>
      <c r="H3211" s="128">
        <v>0.43740000000000001</v>
      </c>
      <c r="J3211" s="110">
        <v>0.17030000000000001</v>
      </c>
      <c r="L3211">
        <v>5000</v>
      </c>
      <c r="M3211">
        <v>500000</v>
      </c>
      <c r="N3211" s="105">
        <v>44378</v>
      </c>
      <c r="O3211" s="105">
        <v>44561</v>
      </c>
      <c r="P3211" t="s">
        <v>718</v>
      </c>
      <c r="R3211" s="154"/>
      <c r="S3211" s="154"/>
      <c r="T3211" s="154"/>
      <c r="U3211" s="154"/>
    </row>
    <row r="3212" spans="1:21" ht="15" customHeight="1" x14ac:dyDescent="0.3">
      <c r="A3212" t="str">
        <f t="shared" si="51"/>
        <v>22-3-U-SmartPAY12_Renewal (Level 2)</v>
      </c>
      <c r="B3212" t="s">
        <v>13</v>
      </c>
      <c r="C3212">
        <v>22</v>
      </c>
      <c r="D3212" s="100" t="s">
        <v>31</v>
      </c>
      <c r="E3212" t="s">
        <v>716</v>
      </c>
      <c r="F3212" t="s">
        <v>16</v>
      </c>
      <c r="G3212" t="s">
        <v>747</v>
      </c>
      <c r="H3212" s="128">
        <v>0.37709999999999999</v>
      </c>
      <c r="I3212" s="110">
        <v>0.17670000000000002</v>
      </c>
      <c r="L3212">
        <v>5000</v>
      </c>
      <c r="M3212">
        <v>500000</v>
      </c>
      <c r="N3212" s="105">
        <v>44378</v>
      </c>
      <c r="O3212" s="105">
        <v>44561</v>
      </c>
      <c r="P3212" t="s">
        <v>718</v>
      </c>
      <c r="R3212" s="154"/>
      <c r="S3212" s="154"/>
      <c r="T3212" s="154"/>
      <c r="U3212" s="154"/>
    </row>
    <row r="3213" spans="1:21" ht="15" customHeight="1" x14ac:dyDescent="0.3">
      <c r="A3213" t="str">
        <f t="shared" si="51"/>
        <v>22-4-E7-SmartPAY12_Renewal (Level 2)</v>
      </c>
      <c r="B3213" t="s">
        <v>13</v>
      </c>
      <c r="C3213">
        <v>22</v>
      </c>
      <c r="D3213" s="100" t="s">
        <v>31</v>
      </c>
      <c r="E3213" t="s">
        <v>17</v>
      </c>
      <c r="F3213" t="s">
        <v>18</v>
      </c>
      <c r="G3213" t="s">
        <v>747</v>
      </c>
      <c r="H3213" s="128">
        <v>0.37709999999999999</v>
      </c>
      <c r="I3213" s="110">
        <v>0.17670000000000002</v>
      </c>
      <c r="J3213" s="110">
        <v>0.17670000000000002</v>
      </c>
      <c r="L3213">
        <v>5000</v>
      </c>
      <c r="M3213">
        <v>500000</v>
      </c>
      <c r="N3213" s="105">
        <v>44378</v>
      </c>
      <c r="O3213" s="105">
        <v>44561</v>
      </c>
      <c r="P3213" t="s">
        <v>718</v>
      </c>
      <c r="R3213" s="154"/>
      <c r="S3213" s="154"/>
      <c r="T3213" s="154"/>
      <c r="U3213" s="154"/>
    </row>
    <row r="3214" spans="1:21" ht="15" customHeight="1" x14ac:dyDescent="0.3">
      <c r="A3214" t="str">
        <f t="shared" si="51"/>
        <v>22-3-EW-SmartPAY12_Renewal (Level 2)</v>
      </c>
      <c r="B3214" t="s">
        <v>13</v>
      </c>
      <c r="C3214">
        <v>22</v>
      </c>
      <c r="D3214" s="100" t="s">
        <v>31</v>
      </c>
      <c r="E3214" t="s">
        <v>19</v>
      </c>
      <c r="F3214" t="s">
        <v>16</v>
      </c>
      <c r="G3214" t="s">
        <v>747</v>
      </c>
      <c r="H3214" s="128">
        <v>0.37709999999999999</v>
      </c>
      <c r="I3214" s="110">
        <v>0.17670000000000002</v>
      </c>
      <c r="K3214" s="110">
        <v>0.17670000000000002</v>
      </c>
      <c r="L3214">
        <v>5000</v>
      </c>
      <c r="M3214">
        <v>500000</v>
      </c>
      <c r="N3214" s="105">
        <v>44378</v>
      </c>
      <c r="O3214" s="105">
        <v>44561</v>
      </c>
      <c r="P3214" t="s">
        <v>718</v>
      </c>
      <c r="R3214" s="154"/>
      <c r="S3214" s="154"/>
      <c r="T3214" s="154"/>
      <c r="U3214" s="154"/>
    </row>
    <row r="3215" spans="1:21" ht="15" customHeight="1" x14ac:dyDescent="0.3">
      <c r="A3215" t="str">
        <f t="shared" si="51"/>
        <v>22-4-3RATE-SmartPAY12_Renewal (Level 2)</v>
      </c>
      <c r="B3215" t="s">
        <v>13</v>
      </c>
      <c r="C3215">
        <v>22</v>
      </c>
      <c r="D3215" s="100" t="s">
        <v>31</v>
      </c>
      <c r="E3215" t="s">
        <v>719</v>
      </c>
      <c r="F3215" t="s">
        <v>18</v>
      </c>
      <c r="G3215" t="s">
        <v>747</v>
      </c>
      <c r="H3215" s="128">
        <v>0.37709999999999999</v>
      </c>
      <c r="I3215" s="110">
        <v>0.17670000000000002</v>
      </c>
      <c r="J3215" s="110">
        <v>0.17670000000000002</v>
      </c>
      <c r="K3215" s="110">
        <v>0.17670000000000002</v>
      </c>
      <c r="L3215">
        <v>5000</v>
      </c>
      <c r="M3215">
        <v>500000</v>
      </c>
      <c r="N3215" s="105">
        <v>44378</v>
      </c>
      <c r="O3215" s="105">
        <v>44561</v>
      </c>
      <c r="P3215" t="s">
        <v>718</v>
      </c>
      <c r="R3215" s="154"/>
      <c r="S3215" s="154"/>
      <c r="T3215" s="154"/>
      <c r="U3215" s="154"/>
    </row>
    <row r="3216" spans="1:21" ht="15" customHeight="1" x14ac:dyDescent="0.3">
      <c r="A3216" t="str">
        <f t="shared" si="51"/>
        <v/>
      </c>
      <c r="B3216" t="s">
        <v>13</v>
      </c>
      <c r="C3216">
        <v>22</v>
      </c>
      <c r="D3216" s="100" t="s">
        <v>31</v>
      </c>
      <c r="E3216" t="s">
        <v>720</v>
      </c>
      <c r="F3216" t="s">
        <v>18</v>
      </c>
      <c r="G3216" t="s">
        <v>747</v>
      </c>
      <c r="H3216" s="128">
        <v>0.37709999999999999</v>
      </c>
      <c r="J3216" s="110">
        <v>0.17670000000000002</v>
      </c>
      <c r="L3216">
        <v>5000</v>
      </c>
      <c r="M3216">
        <v>500000</v>
      </c>
      <c r="N3216" s="105">
        <v>44378</v>
      </c>
      <c r="O3216" s="105">
        <v>44561</v>
      </c>
      <c r="P3216" t="s">
        <v>718</v>
      </c>
      <c r="R3216" s="154"/>
      <c r="S3216" s="154"/>
      <c r="T3216" s="154"/>
      <c r="U3216" s="154"/>
    </row>
    <row r="3217" spans="1:21" ht="15" customHeight="1" x14ac:dyDescent="0.3">
      <c r="A3217" t="str">
        <f t="shared" si="51"/>
        <v>23-3-U-SmartPAY12_Renewal (Level 2)</v>
      </c>
      <c r="B3217" t="s">
        <v>13</v>
      </c>
      <c r="C3217">
        <v>23</v>
      </c>
      <c r="D3217" s="100" t="s">
        <v>32</v>
      </c>
      <c r="E3217" t="s">
        <v>716</v>
      </c>
      <c r="F3217" t="s">
        <v>16</v>
      </c>
      <c r="G3217" t="s">
        <v>747</v>
      </c>
      <c r="H3217" s="128">
        <v>0.33129999999999998</v>
      </c>
      <c r="I3217" s="110">
        <v>0.17010000000000003</v>
      </c>
      <c r="L3217">
        <v>5000</v>
      </c>
      <c r="M3217">
        <v>500000</v>
      </c>
      <c r="N3217" s="105">
        <v>44378</v>
      </c>
      <c r="O3217" s="105">
        <v>44561</v>
      </c>
      <c r="P3217" t="s">
        <v>718</v>
      </c>
      <c r="R3217" s="154"/>
      <c r="S3217" s="154"/>
      <c r="T3217" s="154"/>
      <c r="U3217" s="154"/>
    </row>
    <row r="3218" spans="1:21" ht="15" customHeight="1" x14ac:dyDescent="0.3">
      <c r="A3218" t="str">
        <f t="shared" si="51"/>
        <v>23-4-E7-SmartPAY12_Renewal (Level 2)</v>
      </c>
      <c r="B3218" t="s">
        <v>13</v>
      </c>
      <c r="C3218">
        <v>23</v>
      </c>
      <c r="D3218" s="100" t="s">
        <v>32</v>
      </c>
      <c r="E3218" t="s">
        <v>17</v>
      </c>
      <c r="F3218" t="s">
        <v>18</v>
      </c>
      <c r="G3218" t="s">
        <v>747</v>
      </c>
      <c r="H3218" s="128">
        <v>0.33129999999999998</v>
      </c>
      <c r="I3218" s="110">
        <v>0.17010000000000003</v>
      </c>
      <c r="J3218" s="110">
        <v>0.17010000000000003</v>
      </c>
      <c r="L3218">
        <v>5000</v>
      </c>
      <c r="M3218">
        <v>500000</v>
      </c>
      <c r="N3218" s="105">
        <v>44378</v>
      </c>
      <c r="O3218" s="105">
        <v>44561</v>
      </c>
      <c r="P3218" t="s">
        <v>718</v>
      </c>
      <c r="R3218" s="154"/>
      <c r="S3218" s="154"/>
      <c r="T3218" s="154"/>
      <c r="U3218" s="154"/>
    </row>
    <row r="3219" spans="1:21" ht="15" customHeight="1" x14ac:dyDescent="0.3">
      <c r="A3219" t="str">
        <f t="shared" si="51"/>
        <v>23-3-EW-SmartPAY12_Renewal (Level 2)</v>
      </c>
      <c r="B3219" t="s">
        <v>13</v>
      </c>
      <c r="C3219">
        <v>23</v>
      </c>
      <c r="D3219" s="100" t="s">
        <v>32</v>
      </c>
      <c r="E3219" t="s">
        <v>19</v>
      </c>
      <c r="F3219" t="s">
        <v>16</v>
      </c>
      <c r="G3219" t="s">
        <v>747</v>
      </c>
      <c r="H3219" s="128">
        <v>0.33129999999999998</v>
      </c>
      <c r="I3219" s="110">
        <v>0.17010000000000003</v>
      </c>
      <c r="K3219" s="110">
        <v>0.17010000000000003</v>
      </c>
      <c r="L3219">
        <v>5000</v>
      </c>
      <c r="M3219">
        <v>500000</v>
      </c>
      <c r="N3219" s="105">
        <v>44378</v>
      </c>
      <c r="O3219" s="105">
        <v>44561</v>
      </c>
      <c r="P3219" t="s">
        <v>718</v>
      </c>
      <c r="R3219" s="154"/>
      <c r="S3219" s="154"/>
      <c r="T3219" s="154"/>
      <c r="U3219" s="154"/>
    </row>
    <row r="3220" spans="1:21" ht="15" customHeight="1" x14ac:dyDescent="0.3">
      <c r="A3220" t="str">
        <f t="shared" si="51"/>
        <v>23-4-3RATE-SmartPAY12_Renewal (Level 2)</v>
      </c>
      <c r="B3220" t="s">
        <v>13</v>
      </c>
      <c r="C3220">
        <v>23</v>
      </c>
      <c r="D3220" s="100" t="s">
        <v>32</v>
      </c>
      <c r="E3220" t="s">
        <v>719</v>
      </c>
      <c r="F3220" t="s">
        <v>18</v>
      </c>
      <c r="G3220" t="s">
        <v>747</v>
      </c>
      <c r="H3220" s="128">
        <v>0.33129999999999998</v>
      </c>
      <c r="I3220" s="110">
        <v>0.17010000000000003</v>
      </c>
      <c r="J3220" s="110">
        <v>0.17010000000000003</v>
      </c>
      <c r="K3220" s="110">
        <v>0.17010000000000003</v>
      </c>
      <c r="L3220">
        <v>5000</v>
      </c>
      <c r="M3220">
        <v>500000</v>
      </c>
      <c r="N3220" s="105">
        <v>44378</v>
      </c>
      <c r="O3220" s="105">
        <v>44561</v>
      </c>
      <c r="P3220" t="s">
        <v>718</v>
      </c>
      <c r="R3220" s="154"/>
      <c r="S3220" s="154"/>
      <c r="T3220" s="154"/>
      <c r="U3220" s="154"/>
    </row>
    <row r="3221" spans="1:21" ht="15" customHeight="1" x14ac:dyDescent="0.3">
      <c r="A3221" t="str">
        <f t="shared" si="51"/>
        <v/>
      </c>
      <c r="B3221" t="s">
        <v>13</v>
      </c>
      <c r="C3221">
        <v>23</v>
      </c>
      <c r="D3221" s="100" t="s">
        <v>32</v>
      </c>
      <c r="E3221" t="s">
        <v>720</v>
      </c>
      <c r="F3221" t="s">
        <v>18</v>
      </c>
      <c r="G3221" t="s">
        <v>747</v>
      </c>
      <c r="H3221" s="128">
        <v>0.33129999999999998</v>
      </c>
      <c r="J3221" s="110">
        <v>0.17010000000000003</v>
      </c>
      <c r="L3221">
        <v>5000</v>
      </c>
      <c r="M3221">
        <v>500000</v>
      </c>
      <c r="N3221" s="105">
        <v>44378</v>
      </c>
      <c r="O3221" s="105">
        <v>44561</v>
      </c>
      <c r="P3221" t="s">
        <v>718</v>
      </c>
      <c r="R3221" s="154"/>
      <c r="S3221" s="154"/>
      <c r="T3221" s="154"/>
      <c r="U3221" s="154"/>
    </row>
    <row r="3222" spans="1:21" ht="15" customHeight="1" x14ac:dyDescent="0.3">
      <c r="A3222" t="str">
        <f t="shared" si="51"/>
        <v>10-3-U-SmartPAY24_Renewal (Level 2)</v>
      </c>
      <c r="B3222" t="s">
        <v>13</v>
      </c>
      <c r="C3222">
        <v>10</v>
      </c>
      <c r="D3222" s="100" t="s">
        <v>14</v>
      </c>
      <c r="E3222" t="s">
        <v>716</v>
      </c>
      <c r="F3222" t="s">
        <v>16</v>
      </c>
      <c r="G3222" t="s">
        <v>748</v>
      </c>
      <c r="H3222" s="128">
        <v>0.33560000000000001</v>
      </c>
      <c r="I3222" s="110">
        <v>0.17249999999999999</v>
      </c>
      <c r="L3222">
        <v>5000</v>
      </c>
      <c r="M3222">
        <v>500000</v>
      </c>
      <c r="N3222" s="105">
        <v>44378</v>
      </c>
      <c r="O3222" s="105">
        <v>44561</v>
      </c>
      <c r="P3222" t="s">
        <v>718</v>
      </c>
      <c r="R3222" s="154"/>
      <c r="S3222" s="154"/>
      <c r="T3222" s="154"/>
      <c r="U3222" s="154"/>
    </row>
    <row r="3223" spans="1:21" ht="15" customHeight="1" x14ac:dyDescent="0.3">
      <c r="A3223" t="str">
        <f t="shared" si="51"/>
        <v>10-4-E7-SmartPAY24_Renewal (Level 2)</v>
      </c>
      <c r="B3223" t="s">
        <v>13</v>
      </c>
      <c r="C3223">
        <v>10</v>
      </c>
      <c r="D3223" s="100" t="s">
        <v>14</v>
      </c>
      <c r="E3223" t="s">
        <v>17</v>
      </c>
      <c r="F3223" t="s">
        <v>18</v>
      </c>
      <c r="G3223" t="s">
        <v>748</v>
      </c>
      <c r="H3223" s="128">
        <v>0.33560000000000001</v>
      </c>
      <c r="I3223" s="110">
        <v>0.17249999999999999</v>
      </c>
      <c r="J3223" s="110">
        <v>0.17249999999999999</v>
      </c>
      <c r="L3223">
        <v>5000</v>
      </c>
      <c r="M3223">
        <v>500000</v>
      </c>
      <c r="N3223" s="105">
        <v>44378</v>
      </c>
      <c r="O3223" s="105">
        <v>44561</v>
      </c>
      <c r="P3223" t="s">
        <v>718</v>
      </c>
      <c r="R3223" s="154"/>
      <c r="S3223" s="154"/>
      <c r="T3223" s="154"/>
      <c r="U3223" s="154"/>
    </row>
    <row r="3224" spans="1:21" ht="15" customHeight="1" x14ac:dyDescent="0.3">
      <c r="A3224" t="str">
        <f t="shared" si="51"/>
        <v>10-3-EW-SmartPAY24_Renewal (Level 2)</v>
      </c>
      <c r="B3224" t="s">
        <v>13</v>
      </c>
      <c r="C3224">
        <v>10</v>
      </c>
      <c r="D3224" s="100" t="s">
        <v>14</v>
      </c>
      <c r="E3224" t="s">
        <v>19</v>
      </c>
      <c r="F3224" t="s">
        <v>16</v>
      </c>
      <c r="G3224" t="s">
        <v>748</v>
      </c>
      <c r="H3224" s="128">
        <v>0.33560000000000001</v>
      </c>
      <c r="I3224" s="110">
        <v>0.17249999999999999</v>
      </c>
      <c r="K3224" s="110">
        <v>0.17249999999999999</v>
      </c>
      <c r="L3224">
        <v>5000</v>
      </c>
      <c r="M3224">
        <v>500000</v>
      </c>
      <c r="N3224" s="105">
        <v>44378</v>
      </c>
      <c r="O3224" s="105">
        <v>44561</v>
      </c>
      <c r="P3224" t="s">
        <v>718</v>
      </c>
      <c r="R3224" s="154"/>
      <c r="S3224" s="154"/>
      <c r="T3224" s="154"/>
      <c r="U3224" s="154"/>
    </row>
    <row r="3225" spans="1:21" ht="15" customHeight="1" x14ac:dyDescent="0.3">
      <c r="A3225" t="str">
        <f t="shared" si="51"/>
        <v>10-4-3RATE-SmartPAY24_Renewal (Level 2)</v>
      </c>
      <c r="B3225" t="s">
        <v>13</v>
      </c>
      <c r="C3225">
        <v>10</v>
      </c>
      <c r="D3225" s="100" t="s">
        <v>14</v>
      </c>
      <c r="E3225" t="s">
        <v>719</v>
      </c>
      <c r="F3225" t="s">
        <v>18</v>
      </c>
      <c r="G3225" t="s">
        <v>748</v>
      </c>
      <c r="H3225" s="128">
        <v>0.33560000000000001</v>
      </c>
      <c r="I3225" s="110">
        <v>0.17249999999999999</v>
      </c>
      <c r="J3225" s="110">
        <v>0.17249999999999999</v>
      </c>
      <c r="K3225" s="110">
        <v>0.17249999999999999</v>
      </c>
      <c r="L3225">
        <v>5000</v>
      </c>
      <c r="M3225">
        <v>500000</v>
      </c>
      <c r="N3225" s="105">
        <v>44378</v>
      </c>
      <c r="O3225" s="105">
        <v>44561</v>
      </c>
      <c r="P3225" t="s">
        <v>718</v>
      </c>
      <c r="R3225" s="154"/>
      <c r="S3225" s="154"/>
      <c r="T3225" s="154"/>
      <c r="U3225" s="154"/>
    </row>
    <row r="3226" spans="1:21" ht="15" customHeight="1" x14ac:dyDescent="0.3">
      <c r="A3226" t="str">
        <f t="shared" si="51"/>
        <v/>
      </c>
      <c r="B3226" t="s">
        <v>13</v>
      </c>
      <c r="C3226">
        <v>10</v>
      </c>
      <c r="D3226" s="100" t="s">
        <v>14</v>
      </c>
      <c r="E3226" t="s">
        <v>720</v>
      </c>
      <c r="F3226" t="s">
        <v>18</v>
      </c>
      <c r="G3226" t="s">
        <v>748</v>
      </c>
      <c r="H3226" s="128">
        <v>0.33560000000000001</v>
      </c>
      <c r="J3226" s="110">
        <v>0.17249999999999999</v>
      </c>
      <c r="L3226">
        <v>5000</v>
      </c>
      <c r="M3226">
        <v>500000</v>
      </c>
      <c r="N3226" s="105">
        <v>44378</v>
      </c>
      <c r="O3226" s="105">
        <v>44561</v>
      </c>
      <c r="P3226" t="s">
        <v>718</v>
      </c>
      <c r="R3226" s="154"/>
      <c r="S3226" s="154"/>
      <c r="T3226" s="154"/>
      <c r="U3226" s="154"/>
    </row>
    <row r="3227" spans="1:21" ht="15" customHeight="1" x14ac:dyDescent="0.3">
      <c r="A3227" t="str">
        <f t="shared" si="51"/>
        <v>11-3-U-SmartPAY24_Renewal (Level 2)</v>
      </c>
      <c r="B3227" t="s">
        <v>13</v>
      </c>
      <c r="C3227">
        <v>11</v>
      </c>
      <c r="D3227" s="100" t="s">
        <v>20</v>
      </c>
      <c r="E3227" t="s">
        <v>716</v>
      </c>
      <c r="F3227" t="s">
        <v>16</v>
      </c>
      <c r="G3227" t="s">
        <v>748</v>
      </c>
      <c r="H3227" s="128">
        <v>0.3458</v>
      </c>
      <c r="I3227" s="110">
        <v>0.17280000000000001</v>
      </c>
      <c r="L3227">
        <v>5000</v>
      </c>
      <c r="M3227">
        <v>500000</v>
      </c>
      <c r="N3227" s="105">
        <v>44378</v>
      </c>
      <c r="O3227" s="105">
        <v>44561</v>
      </c>
      <c r="P3227" t="s">
        <v>718</v>
      </c>
      <c r="R3227" s="154"/>
      <c r="S3227" s="154"/>
      <c r="T3227" s="154"/>
      <c r="U3227" s="154"/>
    </row>
    <row r="3228" spans="1:21" ht="15" customHeight="1" x14ac:dyDescent="0.3">
      <c r="A3228" t="str">
        <f t="shared" si="51"/>
        <v>11-4-E7-SmartPAY24_Renewal (Level 2)</v>
      </c>
      <c r="B3228" t="s">
        <v>13</v>
      </c>
      <c r="C3228">
        <v>11</v>
      </c>
      <c r="D3228" s="100" t="s">
        <v>20</v>
      </c>
      <c r="E3228" t="s">
        <v>17</v>
      </c>
      <c r="F3228" t="s">
        <v>18</v>
      </c>
      <c r="G3228" t="s">
        <v>748</v>
      </c>
      <c r="H3228" s="128">
        <v>0.3458</v>
      </c>
      <c r="I3228" s="110">
        <v>0.17280000000000001</v>
      </c>
      <c r="J3228" s="110">
        <v>0.17280000000000001</v>
      </c>
      <c r="L3228">
        <v>5000</v>
      </c>
      <c r="M3228">
        <v>500000</v>
      </c>
      <c r="N3228" s="105">
        <v>44378</v>
      </c>
      <c r="O3228" s="105">
        <v>44561</v>
      </c>
      <c r="P3228" t="s">
        <v>718</v>
      </c>
      <c r="R3228" s="154"/>
      <c r="S3228" s="154"/>
      <c r="T3228" s="154"/>
      <c r="U3228" s="154"/>
    </row>
    <row r="3229" spans="1:21" ht="15" customHeight="1" x14ac:dyDescent="0.3">
      <c r="A3229" t="str">
        <f t="shared" si="51"/>
        <v>11-3-EW-SmartPAY24_Renewal (Level 2)</v>
      </c>
      <c r="B3229" t="s">
        <v>13</v>
      </c>
      <c r="C3229">
        <v>11</v>
      </c>
      <c r="D3229" s="100" t="s">
        <v>20</v>
      </c>
      <c r="E3229" t="s">
        <v>19</v>
      </c>
      <c r="F3229" t="s">
        <v>16</v>
      </c>
      <c r="G3229" t="s">
        <v>748</v>
      </c>
      <c r="H3229" s="128">
        <v>0.3458</v>
      </c>
      <c r="I3229" s="110">
        <v>0.17280000000000001</v>
      </c>
      <c r="K3229" s="110">
        <v>0.17280000000000001</v>
      </c>
      <c r="L3229">
        <v>5000</v>
      </c>
      <c r="M3229">
        <v>500000</v>
      </c>
      <c r="N3229" s="105">
        <v>44378</v>
      </c>
      <c r="O3229" s="105">
        <v>44561</v>
      </c>
      <c r="P3229" t="s">
        <v>718</v>
      </c>
      <c r="R3229" s="154"/>
      <c r="S3229" s="154"/>
      <c r="T3229" s="154"/>
      <c r="U3229" s="154"/>
    </row>
    <row r="3230" spans="1:21" ht="15" customHeight="1" x14ac:dyDescent="0.3">
      <c r="A3230" t="str">
        <f t="shared" si="51"/>
        <v>11-4-3RATE-SmartPAY24_Renewal (Level 2)</v>
      </c>
      <c r="B3230" t="s">
        <v>13</v>
      </c>
      <c r="C3230">
        <v>11</v>
      </c>
      <c r="D3230" s="100" t="s">
        <v>20</v>
      </c>
      <c r="E3230" t="s">
        <v>719</v>
      </c>
      <c r="F3230" t="s">
        <v>18</v>
      </c>
      <c r="G3230" t="s">
        <v>748</v>
      </c>
      <c r="H3230" s="128">
        <v>0.3458</v>
      </c>
      <c r="I3230" s="110">
        <v>0.17280000000000001</v>
      </c>
      <c r="J3230" s="110">
        <v>0.17280000000000001</v>
      </c>
      <c r="K3230" s="110">
        <v>0.17280000000000001</v>
      </c>
      <c r="L3230">
        <v>5000</v>
      </c>
      <c r="M3230">
        <v>500000</v>
      </c>
      <c r="N3230" s="105">
        <v>44378</v>
      </c>
      <c r="O3230" s="105">
        <v>44561</v>
      </c>
      <c r="P3230" t="s">
        <v>718</v>
      </c>
      <c r="R3230" s="154"/>
      <c r="S3230" s="154"/>
      <c r="T3230" s="154"/>
      <c r="U3230" s="154"/>
    </row>
    <row r="3231" spans="1:21" ht="15" customHeight="1" x14ac:dyDescent="0.3">
      <c r="A3231" t="str">
        <f t="shared" si="51"/>
        <v/>
      </c>
      <c r="B3231" t="s">
        <v>13</v>
      </c>
      <c r="C3231">
        <v>11</v>
      </c>
      <c r="D3231" s="100" t="s">
        <v>20</v>
      </c>
      <c r="E3231" t="s">
        <v>720</v>
      </c>
      <c r="F3231" t="s">
        <v>18</v>
      </c>
      <c r="G3231" t="s">
        <v>748</v>
      </c>
      <c r="H3231" s="128">
        <v>0.3458</v>
      </c>
      <c r="J3231" s="110">
        <v>0.17280000000000001</v>
      </c>
      <c r="L3231">
        <v>5000</v>
      </c>
      <c r="M3231">
        <v>500000</v>
      </c>
      <c r="N3231" s="105">
        <v>44378</v>
      </c>
      <c r="O3231" s="105">
        <v>44561</v>
      </c>
      <c r="P3231" t="s">
        <v>718</v>
      </c>
      <c r="R3231" s="154"/>
      <c r="S3231" s="154"/>
      <c r="T3231" s="154"/>
      <c r="U3231" s="154"/>
    </row>
    <row r="3232" spans="1:21" ht="15" customHeight="1" x14ac:dyDescent="0.3">
      <c r="A3232" t="str">
        <f t="shared" si="51"/>
        <v>12-3-U-SmartPAY24_Renewal (Level 2)</v>
      </c>
      <c r="B3232" t="s">
        <v>13</v>
      </c>
      <c r="C3232">
        <v>12</v>
      </c>
      <c r="D3232" s="100" t="s">
        <v>21</v>
      </c>
      <c r="E3232" t="s">
        <v>716</v>
      </c>
      <c r="F3232" t="s">
        <v>16</v>
      </c>
      <c r="G3232" t="s">
        <v>748</v>
      </c>
      <c r="H3232" s="128">
        <v>0.26090000000000002</v>
      </c>
      <c r="I3232" s="110">
        <v>0.16669999999999999</v>
      </c>
      <c r="L3232">
        <v>5000</v>
      </c>
      <c r="M3232">
        <v>500000</v>
      </c>
      <c r="N3232" s="105">
        <v>44378</v>
      </c>
      <c r="O3232" s="105">
        <v>44561</v>
      </c>
      <c r="P3232" t="s">
        <v>718</v>
      </c>
      <c r="R3232" s="154"/>
      <c r="S3232" s="154"/>
      <c r="T3232" s="154"/>
      <c r="U3232" s="154"/>
    </row>
    <row r="3233" spans="1:21" ht="15" customHeight="1" x14ac:dyDescent="0.3">
      <c r="A3233" t="str">
        <f t="shared" si="51"/>
        <v>12-4-E7-SmartPAY24_Renewal (Level 2)</v>
      </c>
      <c r="B3233" t="s">
        <v>13</v>
      </c>
      <c r="C3233">
        <v>12</v>
      </c>
      <c r="D3233" s="100" t="s">
        <v>21</v>
      </c>
      <c r="E3233" t="s">
        <v>17</v>
      </c>
      <c r="F3233" t="s">
        <v>18</v>
      </c>
      <c r="G3233" t="s">
        <v>748</v>
      </c>
      <c r="H3233" s="128">
        <v>0.26090000000000002</v>
      </c>
      <c r="I3233" s="110">
        <v>0.16669999999999999</v>
      </c>
      <c r="J3233" s="110">
        <v>0.16669999999999999</v>
      </c>
      <c r="L3233">
        <v>5000</v>
      </c>
      <c r="M3233">
        <v>500000</v>
      </c>
      <c r="N3233" s="105">
        <v>44378</v>
      </c>
      <c r="O3233" s="105">
        <v>44561</v>
      </c>
      <c r="P3233" t="s">
        <v>718</v>
      </c>
      <c r="R3233" s="154"/>
      <c r="S3233" s="154"/>
      <c r="T3233" s="154"/>
      <c r="U3233" s="154"/>
    </row>
    <row r="3234" spans="1:21" ht="15" customHeight="1" x14ac:dyDescent="0.3">
      <c r="A3234" t="str">
        <f t="shared" si="51"/>
        <v>12-3-EW-SmartPAY24_Renewal (Level 2)</v>
      </c>
      <c r="B3234" t="s">
        <v>13</v>
      </c>
      <c r="C3234">
        <v>12</v>
      </c>
      <c r="D3234" s="100" t="s">
        <v>21</v>
      </c>
      <c r="E3234" t="s">
        <v>19</v>
      </c>
      <c r="F3234" t="s">
        <v>16</v>
      </c>
      <c r="G3234" t="s">
        <v>748</v>
      </c>
      <c r="H3234" s="128">
        <v>0.26090000000000002</v>
      </c>
      <c r="I3234" s="110">
        <v>0.16669999999999999</v>
      </c>
      <c r="K3234" s="110">
        <v>0.16669999999999999</v>
      </c>
      <c r="L3234">
        <v>5000</v>
      </c>
      <c r="M3234">
        <v>500000</v>
      </c>
      <c r="N3234" s="105">
        <v>44378</v>
      </c>
      <c r="O3234" s="105">
        <v>44561</v>
      </c>
      <c r="P3234" t="s">
        <v>718</v>
      </c>
      <c r="R3234" s="154"/>
      <c r="S3234" s="154"/>
      <c r="T3234" s="154"/>
      <c r="U3234" s="154"/>
    </row>
    <row r="3235" spans="1:21" ht="15" customHeight="1" x14ac:dyDescent="0.3">
      <c r="A3235" t="str">
        <f t="shared" ref="A3235:A3298" si="52">IF(E3235="OP","",CONCATENATE(C3235,"-",RIGHT(F3235,1),"-",IF(OR(E3235="1 Rate MD",E3235="DAY"),"U",IF(OR(E3235="2 Rate MD",E3235="E7"),"E7",IF(OR(E3235="3 Rate MD (EW)",E3235="EW"),"EW",IF(OR(E3235="3 Rate MD",E3235="EWN"),"3RATE",IF(E3235="HH 2RATE (CT)","HH 2RATE (CT)",IF(E3235="HH 2RATE (WC)","HH 2RATE (WC)",IF(E3235="HH 1RATE (CT)","HH 1RATE (CT)",IF(E3235="HH 1RATE (WC)","HH 1RATE (WC)")))))))),"-",G3235))</f>
        <v>12-4-3RATE-SmartPAY24_Renewal (Level 2)</v>
      </c>
      <c r="B3235" t="s">
        <v>13</v>
      </c>
      <c r="C3235">
        <v>12</v>
      </c>
      <c r="D3235" s="100" t="s">
        <v>21</v>
      </c>
      <c r="E3235" t="s">
        <v>719</v>
      </c>
      <c r="F3235" t="s">
        <v>18</v>
      </c>
      <c r="G3235" t="s">
        <v>748</v>
      </c>
      <c r="H3235" s="128">
        <v>0.26090000000000002</v>
      </c>
      <c r="I3235" s="110">
        <v>0.16669999999999999</v>
      </c>
      <c r="J3235" s="110">
        <v>0.16669999999999999</v>
      </c>
      <c r="K3235" s="110">
        <v>0.16669999999999999</v>
      </c>
      <c r="L3235">
        <v>5000</v>
      </c>
      <c r="M3235">
        <v>500000</v>
      </c>
      <c r="N3235" s="105">
        <v>44378</v>
      </c>
      <c r="O3235" s="105">
        <v>44561</v>
      </c>
      <c r="P3235" t="s">
        <v>718</v>
      </c>
      <c r="R3235" s="154"/>
      <c r="S3235" s="154"/>
      <c r="T3235" s="154"/>
      <c r="U3235" s="154"/>
    </row>
    <row r="3236" spans="1:21" ht="15" customHeight="1" x14ac:dyDescent="0.3">
      <c r="A3236" t="str">
        <f t="shared" si="52"/>
        <v/>
      </c>
      <c r="B3236" t="s">
        <v>13</v>
      </c>
      <c r="C3236">
        <v>12</v>
      </c>
      <c r="D3236" s="100" t="s">
        <v>21</v>
      </c>
      <c r="E3236" t="s">
        <v>720</v>
      </c>
      <c r="F3236" t="s">
        <v>18</v>
      </c>
      <c r="G3236" t="s">
        <v>748</v>
      </c>
      <c r="H3236" s="128">
        <v>0.26090000000000002</v>
      </c>
      <c r="J3236" s="110">
        <v>0.16669999999999999</v>
      </c>
      <c r="L3236">
        <v>5000</v>
      </c>
      <c r="M3236">
        <v>500000</v>
      </c>
      <c r="N3236" s="105">
        <v>44378</v>
      </c>
      <c r="O3236" s="105">
        <v>44561</v>
      </c>
      <c r="P3236" t="s">
        <v>718</v>
      </c>
      <c r="R3236" s="154"/>
      <c r="S3236" s="154"/>
      <c r="T3236" s="154"/>
      <c r="U3236" s="154"/>
    </row>
    <row r="3237" spans="1:21" ht="15" customHeight="1" x14ac:dyDescent="0.3">
      <c r="A3237" t="str">
        <f t="shared" si="52"/>
        <v>13-3-U-SmartPAY24_Renewal (Level 2)</v>
      </c>
      <c r="B3237" t="s">
        <v>13</v>
      </c>
      <c r="C3237">
        <v>13</v>
      </c>
      <c r="D3237" s="100" t="s">
        <v>22</v>
      </c>
      <c r="E3237" t="s">
        <v>716</v>
      </c>
      <c r="F3237" t="s">
        <v>16</v>
      </c>
      <c r="G3237" t="s">
        <v>748</v>
      </c>
      <c r="H3237" s="128">
        <v>0.30709999999999998</v>
      </c>
      <c r="I3237" s="110">
        <v>0.1923</v>
      </c>
      <c r="L3237">
        <v>5000</v>
      </c>
      <c r="M3237">
        <v>500000</v>
      </c>
      <c r="N3237" s="105">
        <v>44378</v>
      </c>
      <c r="O3237" s="105">
        <v>44561</v>
      </c>
      <c r="P3237" t="s">
        <v>718</v>
      </c>
      <c r="R3237" s="154"/>
      <c r="S3237" s="154"/>
      <c r="T3237" s="154"/>
      <c r="U3237" s="154"/>
    </row>
    <row r="3238" spans="1:21" ht="15" customHeight="1" x14ac:dyDescent="0.3">
      <c r="A3238" t="str">
        <f t="shared" si="52"/>
        <v>13-4-E7-SmartPAY24_Renewal (Level 2)</v>
      </c>
      <c r="B3238" t="s">
        <v>13</v>
      </c>
      <c r="C3238">
        <v>13</v>
      </c>
      <c r="D3238" s="100" t="s">
        <v>22</v>
      </c>
      <c r="E3238" t="s">
        <v>17</v>
      </c>
      <c r="F3238" t="s">
        <v>18</v>
      </c>
      <c r="G3238" t="s">
        <v>748</v>
      </c>
      <c r="H3238" s="128">
        <v>0.30709999999999998</v>
      </c>
      <c r="I3238" s="110">
        <v>0.1923</v>
      </c>
      <c r="J3238" s="110">
        <v>0.1923</v>
      </c>
      <c r="L3238">
        <v>5000</v>
      </c>
      <c r="M3238">
        <v>500000</v>
      </c>
      <c r="N3238" s="105">
        <v>44378</v>
      </c>
      <c r="O3238" s="105">
        <v>44561</v>
      </c>
      <c r="P3238" t="s">
        <v>718</v>
      </c>
      <c r="R3238" s="154"/>
      <c r="S3238" s="154"/>
      <c r="T3238" s="154"/>
      <c r="U3238" s="154"/>
    </row>
    <row r="3239" spans="1:21" ht="15" customHeight="1" x14ac:dyDescent="0.3">
      <c r="A3239" t="str">
        <f t="shared" si="52"/>
        <v>13-3-EW-SmartPAY24_Renewal (Level 2)</v>
      </c>
      <c r="B3239" t="s">
        <v>13</v>
      </c>
      <c r="C3239">
        <v>13</v>
      </c>
      <c r="D3239" s="100" t="s">
        <v>22</v>
      </c>
      <c r="E3239" t="s">
        <v>19</v>
      </c>
      <c r="F3239" t="s">
        <v>16</v>
      </c>
      <c r="G3239" t="s">
        <v>748</v>
      </c>
      <c r="H3239" s="128">
        <v>0.30709999999999998</v>
      </c>
      <c r="I3239" s="110">
        <v>0.1923</v>
      </c>
      <c r="K3239" s="110">
        <v>0.1923</v>
      </c>
      <c r="L3239">
        <v>5000</v>
      </c>
      <c r="M3239">
        <v>500000</v>
      </c>
      <c r="N3239" s="105">
        <v>44378</v>
      </c>
      <c r="O3239" s="105">
        <v>44561</v>
      </c>
      <c r="P3239" t="s">
        <v>718</v>
      </c>
      <c r="R3239" s="154"/>
      <c r="S3239" s="154"/>
      <c r="T3239" s="154"/>
      <c r="U3239" s="154"/>
    </row>
    <row r="3240" spans="1:21" ht="15" customHeight="1" x14ac:dyDescent="0.3">
      <c r="A3240" t="str">
        <f t="shared" si="52"/>
        <v>13-4-3RATE-SmartPAY24_Renewal (Level 2)</v>
      </c>
      <c r="B3240" t="s">
        <v>13</v>
      </c>
      <c r="C3240">
        <v>13</v>
      </c>
      <c r="D3240" s="100" t="s">
        <v>22</v>
      </c>
      <c r="E3240" t="s">
        <v>719</v>
      </c>
      <c r="F3240" t="s">
        <v>18</v>
      </c>
      <c r="G3240" t="s">
        <v>748</v>
      </c>
      <c r="H3240" s="128">
        <v>0.30709999999999998</v>
      </c>
      <c r="I3240" s="110">
        <v>0.1923</v>
      </c>
      <c r="J3240" s="110">
        <v>0.1923</v>
      </c>
      <c r="K3240" s="110">
        <v>0.1923</v>
      </c>
      <c r="L3240">
        <v>5000</v>
      </c>
      <c r="M3240">
        <v>500000</v>
      </c>
      <c r="N3240" s="105">
        <v>44378</v>
      </c>
      <c r="O3240" s="105">
        <v>44561</v>
      </c>
      <c r="P3240" t="s">
        <v>718</v>
      </c>
      <c r="R3240" s="154"/>
      <c r="S3240" s="154"/>
      <c r="T3240" s="154"/>
      <c r="U3240" s="154"/>
    </row>
    <row r="3241" spans="1:21" ht="15" customHeight="1" x14ac:dyDescent="0.3">
      <c r="A3241" t="str">
        <f t="shared" si="52"/>
        <v/>
      </c>
      <c r="B3241" t="s">
        <v>13</v>
      </c>
      <c r="C3241">
        <v>13</v>
      </c>
      <c r="D3241" s="100" t="s">
        <v>22</v>
      </c>
      <c r="E3241" t="s">
        <v>720</v>
      </c>
      <c r="F3241" t="s">
        <v>18</v>
      </c>
      <c r="G3241" t="s">
        <v>748</v>
      </c>
      <c r="H3241" s="128">
        <v>0.30709999999999998</v>
      </c>
      <c r="J3241" s="110">
        <v>0.1923</v>
      </c>
      <c r="L3241">
        <v>5000</v>
      </c>
      <c r="M3241">
        <v>500000</v>
      </c>
      <c r="N3241" s="105">
        <v>44378</v>
      </c>
      <c r="O3241" s="105">
        <v>44561</v>
      </c>
      <c r="P3241" t="s">
        <v>718</v>
      </c>
      <c r="R3241" s="154"/>
      <c r="S3241" s="154"/>
      <c r="T3241" s="154"/>
      <c r="U3241" s="154"/>
    </row>
    <row r="3242" spans="1:21" ht="15" customHeight="1" x14ac:dyDescent="0.3">
      <c r="A3242" t="str">
        <f t="shared" si="52"/>
        <v>14-3-U-SmartPAY24_Renewal (Level 2)</v>
      </c>
      <c r="B3242" t="s">
        <v>13</v>
      </c>
      <c r="C3242">
        <v>14</v>
      </c>
      <c r="D3242" s="100" t="s">
        <v>23</v>
      </c>
      <c r="E3242" t="s">
        <v>716</v>
      </c>
      <c r="F3242" t="s">
        <v>16</v>
      </c>
      <c r="G3242" t="s">
        <v>748</v>
      </c>
      <c r="H3242" s="128">
        <v>0.379</v>
      </c>
      <c r="I3242" s="110">
        <v>0.17600000000000002</v>
      </c>
      <c r="L3242">
        <v>5000</v>
      </c>
      <c r="M3242">
        <v>500000</v>
      </c>
      <c r="N3242" s="105">
        <v>44378</v>
      </c>
      <c r="O3242" s="105">
        <v>44561</v>
      </c>
      <c r="P3242" t="s">
        <v>718</v>
      </c>
      <c r="R3242" s="154"/>
      <c r="S3242" s="154"/>
      <c r="T3242" s="154"/>
      <c r="U3242" s="154"/>
    </row>
    <row r="3243" spans="1:21" ht="15" customHeight="1" x14ac:dyDescent="0.3">
      <c r="A3243" t="str">
        <f t="shared" si="52"/>
        <v>14-4-E7-SmartPAY24_Renewal (Level 2)</v>
      </c>
      <c r="B3243" t="s">
        <v>13</v>
      </c>
      <c r="C3243">
        <v>14</v>
      </c>
      <c r="D3243" s="100" t="s">
        <v>23</v>
      </c>
      <c r="E3243" t="s">
        <v>17</v>
      </c>
      <c r="F3243" t="s">
        <v>18</v>
      </c>
      <c r="G3243" t="s">
        <v>748</v>
      </c>
      <c r="H3243" s="128">
        <v>0.379</v>
      </c>
      <c r="I3243" s="110">
        <v>0.17600000000000002</v>
      </c>
      <c r="J3243" s="110">
        <v>0.17600000000000002</v>
      </c>
      <c r="L3243">
        <v>5000</v>
      </c>
      <c r="M3243">
        <v>500000</v>
      </c>
      <c r="N3243" s="105">
        <v>44378</v>
      </c>
      <c r="O3243" s="105">
        <v>44561</v>
      </c>
      <c r="P3243" t="s">
        <v>718</v>
      </c>
      <c r="R3243" s="154"/>
      <c r="S3243" s="154"/>
      <c r="T3243" s="154"/>
      <c r="U3243" s="154"/>
    </row>
    <row r="3244" spans="1:21" ht="15" customHeight="1" x14ac:dyDescent="0.3">
      <c r="A3244" t="str">
        <f t="shared" si="52"/>
        <v>14-3-EW-SmartPAY24_Renewal (Level 2)</v>
      </c>
      <c r="B3244" t="s">
        <v>13</v>
      </c>
      <c r="C3244">
        <v>14</v>
      </c>
      <c r="D3244" s="100" t="s">
        <v>23</v>
      </c>
      <c r="E3244" t="s">
        <v>19</v>
      </c>
      <c r="F3244" t="s">
        <v>16</v>
      </c>
      <c r="G3244" t="s">
        <v>748</v>
      </c>
      <c r="H3244" s="128">
        <v>0.379</v>
      </c>
      <c r="I3244" s="110">
        <v>0.17600000000000002</v>
      </c>
      <c r="K3244" s="110">
        <v>0.17600000000000002</v>
      </c>
      <c r="L3244">
        <v>5000</v>
      </c>
      <c r="M3244">
        <v>500000</v>
      </c>
      <c r="N3244" s="105">
        <v>44378</v>
      </c>
      <c r="O3244" s="105">
        <v>44561</v>
      </c>
      <c r="P3244" t="s">
        <v>718</v>
      </c>
      <c r="R3244" s="154"/>
      <c r="S3244" s="154"/>
      <c r="T3244" s="154"/>
      <c r="U3244" s="154"/>
    </row>
    <row r="3245" spans="1:21" ht="15" customHeight="1" x14ac:dyDescent="0.3">
      <c r="A3245" t="str">
        <f t="shared" si="52"/>
        <v>14-4-3RATE-SmartPAY24_Renewal (Level 2)</v>
      </c>
      <c r="B3245" t="s">
        <v>13</v>
      </c>
      <c r="C3245">
        <v>14</v>
      </c>
      <c r="D3245" s="100" t="s">
        <v>23</v>
      </c>
      <c r="E3245" t="s">
        <v>719</v>
      </c>
      <c r="F3245" t="s">
        <v>18</v>
      </c>
      <c r="G3245" t="s">
        <v>748</v>
      </c>
      <c r="H3245" s="128">
        <v>0.379</v>
      </c>
      <c r="I3245" s="110">
        <v>0.17600000000000002</v>
      </c>
      <c r="J3245" s="110">
        <v>0.17600000000000002</v>
      </c>
      <c r="K3245" s="110">
        <v>0.17600000000000002</v>
      </c>
      <c r="L3245">
        <v>5000</v>
      </c>
      <c r="M3245">
        <v>500000</v>
      </c>
      <c r="N3245" s="105">
        <v>44378</v>
      </c>
      <c r="O3245" s="105">
        <v>44561</v>
      </c>
      <c r="P3245" t="s">
        <v>718</v>
      </c>
      <c r="R3245" s="154"/>
      <c r="S3245" s="154"/>
      <c r="T3245" s="154"/>
      <c r="U3245" s="154"/>
    </row>
    <row r="3246" spans="1:21" ht="15" customHeight="1" x14ac:dyDescent="0.3">
      <c r="A3246" t="str">
        <f t="shared" si="52"/>
        <v/>
      </c>
      <c r="B3246" t="s">
        <v>13</v>
      </c>
      <c r="C3246">
        <v>14</v>
      </c>
      <c r="D3246" s="100" t="s">
        <v>23</v>
      </c>
      <c r="E3246" t="s">
        <v>720</v>
      </c>
      <c r="F3246" t="s">
        <v>18</v>
      </c>
      <c r="G3246" t="s">
        <v>748</v>
      </c>
      <c r="H3246" s="128">
        <v>0.379</v>
      </c>
      <c r="J3246" s="110">
        <v>0.17600000000000002</v>
      </c>
      <c r="L3246">
        <v>5000</v>
      </c>
      <c r="M3246">
        <v>500000</v>
      </c>
      <c r="N3246" s="105">
        <v>44378</v>
      </c>
      <c r="O3246" s="105">
        <v>44561</v>
      </c>
      <c r="P3246" t="s">
        <v>718</v>
      </c>
      <c r="R3246" s="154"/>
      <c r="S3246" s="154"/>
      <c r="T3246" s="154"/>
      <c r="U3246" s="154"/>
    </row>
    <row r="3247" spans="1:21" ht="15" customHeight="1" x14ac:dyDescent="0.3">
      <c r="A3247" t="str">
        <f t="shared" si="52"/>
        <v>15-3-U-SmartPAY24_Renewal (Level 2)</v>
      </c>
      <c r="B3247" t="s">
        <v>13</v>
      </c>
      <c r="C3247">
        <v>15</v>
      </c>
      <c r="D3247" s="100" t="s">
        <v>24</v>
      </c>
      <c r="E3247" t="s">
        <v>716</v>
      </c>
      <c r="F3247" t="s">
        <v>16</v>
      </c>
      <c r="G3247" t="s">
        <v>748</v>
      </c>
      <c r="H3247" s="128">
        <v>0.3518</v>
      </c>
      <c r="I3247" s="110">
        <v>0.1757</v>
      </c>
      <c r="L3247">
        <v>5000</v>
      </c>
      <c r="M3247">
        <v>500000</v>
      </c>
      <c r="N3247" s="105">
        <v>44378</v>
      </c>
      <c r="O3247" s="105">
        <v>44561</v>
      </c>
      <c r="P3247" t="s">
        <v>718</v>
      </c>
      <c r="R3247" s="154"/>
      <c r="S3247" s="154"/>
      <c r="T3247" s="154"/>
      <c r="U3247" s="154"/>
    </row>
    <row r="3248" spans="1:21" ht="15" customHeight="1" x14ac:dyDescent="0.3">
      <c r="A3248" t="str">
        <f t="shared" si="52"/>
        <v>15-4-E7-SmartPAY24_Renewal (Level 2)</v>
      </c>
      <c r="B3248" t="s">
        <v>13</v>
      </c>
      <c r="C3248">
        <v>15</v>
      </c>
      <c r="D3248" s="100" t="s">
        <v>24</v>
      </c>
      <c r="E3248" t="s">
        <v>17</v>
      </c>
      <c r="F3248" t="s">
        <v>18</v>
      </c>
      <c r="G3248" t="s">
        <v>748</v>
      </c>
      <c r="H3248" s="128">
        <v>0.3518</v>
      </c>
      <c r="I3248" s="110">
        <v>0.1757</v>
      </c>
      <c r="J3248" s="110">
        <v>0.1757</v>
      </c>
      <c r="L3248">
        <v>5000</v>
      </c>
      <c r="M3248">
        <v>500000</v>
      </c>
      <c r="N3248" s="105">
        <v>44378</v>
      </c>
      <c r="O3248" s="105">
        <v>44561</v>
      </c>
      <c r="P3248" t="s">
        <v>718</v>
      </c>
      <c r="R3248" s="154"/>
      <c r="S3248" s="154"/>
      <c r="T3248" s="154"/>
      <c r="U3248" s="154"/>
    </row>
    <row r="3249" spans="1:21" ht="15" customHeight="1" x14ac:dyDescent="0.3">
      <c r="A3249" t="str">
        <f t="shared" si="52"/>
        <v>15-3-EW-SmartPAY24_Renewal (Level 2)</v>
      </c>
      <c r="B3249" t="s">
        <v>13</v>
      </c>
      <c r="C3249">
        <v>15</v>
      </c>
      <c r="D3249" s="100" t="s">
        <v>24</v>
      </c>
      <c r="E3249" t="s">
        <v>19</v>
      </c>
      <c r="F3249" t="s">
        <v>16</v>
      </c>
      <c r="G3249" t="s">
        <v>748</v>
      </c>
      <c r="H3249" s="128">
        <v>0.3518</v>
      </c>
      <c r="I3249" s="110">
        <v>0.1757</v>
      </c>
      <c r="K3249" s="110">
        <v>0.1757</v>
      </c>
      <c r="L3249">
        <v>5000</v>
      </c>
      <c r="M3249">
        <v>500000</v>
      </c>
      <c r="N3249" s="105">
        <v>44378</v>
      </c>
      <c r="O3249" s="105">
        <v>44561</v>
      </c>
      <c r="P3249" t="s">
        <v>718</v>
      </c>
      <c r="R3249" s="154"/>
      <c r="S3249" s="154"/>
      <c r="T3249" s="154"/>
      <c r="U3249" s="154"/>
    </row>
    <row r="3250" spans="1:21" ht="15" customHeight="1" x14ac:dyDescent="0.3">
      <c r="A3250" t="str">
        <f t="shared" si="52"/>
        <v>15-4-3RATE-SmartPAY24_Renewal (Level 2)</v>
      </c>
      <c r="B3250" t="s">
        <v>13</v>
      </c>
      <c r="C3250">
        <v>15</v>
      </c>
      <c r="D3250" s="100" t="s">
        <v>24</v>
      </c>
      <c r="E3250" t="s">
        <v>719</v>
      </c>
      <c r="F3250" t="s">
        <v>18</v>
      </c>
      <c r="G3250" t="s">
        <v>748</v>
      </c>
      <c r="H3250" s="128">
        <v>0.3518</v>
      </c>
      <c r="I3250" s="110">
        <v>0.1757</v>
      </c>
      <c r="J3250" s="110">
        <v>0.1757</v>
      </c>
      <c r="K3250" s="110">
        <v>0.1757</v>
      </c>
      <c r="L3250">
        <v>5000</v>
      </c>
      <c r="M3250">
        <v>500000</v>
      </c>
      <c r="N3250" s="105">
        <v>44378</v>
      </c>
      <c r="O3250" s="105">
        <v>44561</v>
      </c>
      <c r="P3250" t="s">
        <v>718</v>
      </c>
      <c r="R3250" s="154"/>
      <c r="S3250" s="154"/>
      <c r="T3250" s="154"/>
      <c r="U3250" s="154"/>
    </row>
    <row r="3251" spans="1:21" ht="15" customHeight="1" x14ac:dyDescent="0.3">
      <c r="A3251" t="str">
        <f t="shared" si="52"/>
        <v/>
      </c>
      <c r="B3251" t="s">
        <v>13</v>
      </c>
      <c r="C3251">
        <v>15</v>
      </c>
      <c r="D3251" s="100" t="s">
        <v>24</v>
      </c>
      <c r="E3251" t="s">
        <v>720</v>
      </c>
      <c r="F3251" t="s">
        <v>18</v>
      </c>
      <c r="G3251" t="s">
        <v>748</v>
      </c>
      <c r="H3251" s="128">
        <v>0.3518</v>
      </c>
      <c r="J3251" s="110">
        <v>0.1757</v>
      </c>
      <c r="L3251">
        <v>5000</v>
      </c>
      <c r="M3251">
        <v>500000</v>
      </c>
      <c r="N3251" s="105">
        <v>44378</v>
      </c>
      <c r="O3251" s="105">
        <v>44561</v>
      </c>
      <c r="P3251" t="s">
        <v>718</v>
      </c>
      <c r="R3251" s="154"/>
      <c r="S3251" s="154"/>
      <c r="T3251" s="154"/>
      <c r="U3251" s="154"/>
    </row>
    <row r="3252" spans="1:21" ht="15" customHeight="1" x14ac:dyDescent="0.3">
      <c r="A3252" t="str">
        <f t="shared" si="52"/>
        <v>16-3-U-SmartPAY24_Renewal (Level 2)</v>
      </c>
      <c r="B3252" t="s">
        <v>13</v>
      </c>
      <c r="C3252">
        <v>16</v>
      </c>
      <c r="D3252" s="100" t="s">
        <v>25</v>
      </c>
      <c r="E3252" t="s">
        <v>716</v>
      </c>
      <c r="F3252" t="s">
        <v>16</v>
      </c>
      <c r="G3252" t="s">
        <v>748</v>
      </c>
      <c r="H3252" s="128">
        <v>0.29780000000000001</v>
      </c>
      <c r="I3252" s="110">
        <v>0.1779</v>
      </c>
      <c r="L3252">
        <v>5000</v>
      </c>
      <c r="M3252">
        <v>500000</v>
      </c>
      <c r="N3252" s="105">
        <v>44378</v>
      </c>
      <c r="O3252" s="105">
        <v>44561</v>
      </c>
      <c r="P3252" t="s">
        <v>718</v>
      </c>
      <c r="R3252" s="154"/>
      <c r="S3252" s="154"/>
      <c r="T3252" s="154"/>
      <c r="U3252" s="154"/>
    </row>
    <row r="3253" spans="1:21" ht="15" customHeight="1" x14ac:dyDescent="0.3">
      <c r="A3253" t="str">
        <f t="shared" si="52"/>
        <v>16-4-E7-SmartPAY24_Renewal (Level 2)</v>
      </c>
      <c r="B3253" t="s">
        <v>13</v>
      </c>
      <c r="C3253">
        <v>16</v>
      </c>
      <c r="D3253" s="100" t="s">
        <v>25</v>
      </c>
      <c r="E3253" t="s">
        <v>17</v>
      </c>
      <c r="F3253" t="s">
        <v>18</v>
      </c>
      <c r="G3253" t="s">
        <v>748</v>
      </c>
      <c r="H3253" s="128">
        <v>0.29780000000000001</v>
      </c>
      <c r="I3253" s="110">
        <v>0.1779</v>
      </c>
      <c r="J3253" s="110">
        <v>0.1779</v>
      </c>
      <c r="L3253">
        <v>5000</v>
      </c>
      <c r="M3253">
        <v>500000</v>
      </c>
      <c r="N3253" s="105">
        <v>44378</v>
      </c>
      <c r="O3253" s="105">
        <v>44561</v>
      </c>
      <c r="P3253" t="s">
        <v>718</v>
      </c>
      <c r="R3253" s="154"/>
      <c r="S3253" s="154"/>
      <c r="T3253" s="154"/>
      <c r="U3253" s="154"/>
    </row>
    <row r="3254" spans="1:21" ht="15" customHeight="1" x14ac:dyDescent="0.3">
      <c r="A3254" t="str">
        <f t="shared" si="52"/>
        <v>16-3-EW-SmartPAY24_Renewal (Level 2)</v>
      </c>
      <c r="B3254" t="s">
        <v>13</v>
      </c>
      <c r="C3254">
        <v>16</v>
      </c>
      <c r="D3254" s="100" t="s">
        <v>25</v>
      </c>
      <c r="E3254" t="s">
        <v>19</v>
      </c>
      <c r="F3254" t="s">
        <v>16</v>
      </c>
      <c r="G3254" t="s">
        <v>748</v>
      </c>
      <c r="H3254" s="128">
        <v>0.29780000000000001</v>
      </c>
      <c r="I3254" s="110">
        <v>0.1779</v>
      </c>
      <c r="K3254" s="110">
        <v>0.1779</v>
      </c>
      <c r="L3254">
        <v>5000</v>
      </c>
      <c r="M3254">
        <v>500000</v>
      </c>
      <c r="N3254" s="105">
        <v>44378</v>
      </c>
      <c r="O3254" s="105">
        <v>44561</v>
      </c>
      <c r="P3254" t="s">
        <v>718</v>
      </c>
      <c r="R3254" s="154"/>
      <c r="S3254" s="154"/>
      <c r="T3254" s="154"/>
      <c r="U3254" s="154"/>
    </row>
    <row r="3255" spans="1:21" ht="15" customHeight="1" x14ac:dyDescent="0.3">
      <c r="A3255" t="str">
        <f t="shared" si="52"/>
        <v>16-4-3RATE-SmartPAY24_Renewal (Level 2)</v>
      </c>
      <c r="B3255" t="s">
        <v>13</v>
      </c>
      <c r="C3255">
        <v>16</v>
      </c>
      <c r="D3255" s="100" t="s">
        <v>25</v>
      </c>
      <c r="E3255" t="s">
        <v>719</v>
      </c>
      <c r="F3255" t="s">
        <v>18</v>
      </c>
      <c r="G3255" t="s">
        <v>748</v>
      </c>
      <c r="H3255" s="128">
        <v>0.29780000000000001</v>
      </c>
      <c r="I3255" s="110">
        <v>0.1779</v>
      </c>
      <c r="J3255" s="110">
        <v>0.1779</v>
      </c>
      <c r="K3255" s="110">
        <v>0.1779</v>
      </c>
      <c r="L3255">
        <v>5000</v>
      </c>
      <c r="M3255">
        <v>500000</v>
      </c>
      <c r="N3255" s="105">
        <v>44378</v>
      </c>
      <c r="O3255" s="105">
        <v>44561</v>
      </c>
      <c r="P3255" t="s">
        <v>718</v>
      </c>
      <c r="R3255" s="154"/>
      <c r="S3255" s="154"/>
      <c r="T3255" s="154"/>
      <c r="U3255" s="154"/>
    </row>
    <row r="3256" spans="1:21" ht="15" customHeight="1" x14ac:dyDescent="0.3">
      <c r="A3256" t="str">
        <f t="shared" si="52"/>
        <v/>
      </c>
      <c r="B3256" t="s">
        <v>13</v>
      </c>
      <c r="C3256">
        <v>16</v>
      </c>
      <c r="D3256" s="100" t="s">
        <v>25</v>
      </c>
      <c r="E3256" t="s">
        <v>720</v>
      </c>
      <c r="F3256" t="s">
        <v>18</v>
      </c>
      <c r="G3256" t="s">
        <v>748</v>
      </c>
      <c r="H3256" s="128">
        <v>0.29780000000000001</v>
      </c>
      <c r="J3256" s="110">
        <v>0.1779</v>
      </c>
      <c r="L3256">
        <v>5000</v>
      </c>
      <c r="M3256">
        <v>500000</v>
      </c>
      <c r="N3256" s="105">
        <v>44378</v>
      </c>
      <c r="O3256" s="105">
        <v>44561</v>
      </c>
      <c r="P3256" t="s">
        <v>718</v>
      </c>
      <c r="R3256" s="154"/>
      <c r="S3256" s="154"/>
      <c r="T3256" s="154"/>
      <c r="U3256" s="154"/>
    </row>
    <row r="3257" spans="1:21" ht="15" customHeight="1" x14ac:dyDescent="0.3">
      <c r="A3257" t="str">
        <f t="shared" si="52"/>
        <v>17-3-U-SmartPAY24_Renewal (Level 2)</v>
      </c>
      <c r="B3257" t="s">
        <v>13</v>
      </c>
      <c r="C3257">
        <v>17</v>
      </c>
      <c r="D3257" s="100" t="s">
        <v>26</v>
      </c>
      <c r="E3257" t="s">
        <v>716</v>
      </c>
      <c r="F3257" t="s">
        <v>16</v>
      </c>
      <c r="G3257" t="s">
        <v>748</v>
      </c>
      <c r="H3257" s="128">
        <v>0.39229999999999998</v>
      </c>
      <c r="I3257" s="110">
        <v>0.18080000000000002</v>
      </c>
      <c r="L3257">
        <v>5000</v>
      </c>
      <c r="M3257">
        <v>500000</v>
      </c>
      <c r="N3257" s="105">
        <v>44378</v>
      </c>
      <c r="O3257" s="105">
        <v>44561</v>
      </c>
      <c r="P3257" t="s">
        <v>718</v>
      </c>
      <c r="R3257" s="154"/>
      <c r="S3257" s="154"/>
      <c r="T3257" s="154"/>
      <c r="U3257" s="154"/>
    </row>
    <row r="3258" spans="1:21" ht="15" customHeight="1" x14ac:dyDescent="0.3">
      <c r="A3258" t="str">
        <f t="shared" si="52"/>
        <v>17-4-E7-SmartPAY24_Renewal (Level 2)</v>
      </c>
      <c r="B3258" t="s">
        <v>13</v>
      </c>
      <c r="C3258">
        <v>17</v>
      </c>
      <c r="D3258" s="100" t="s">
        <v>26</v>
      </c>
      <c r="E3258" t="s">
        <v>17</v>
      </c>
      <c r="F3258" t="s">
        <v>18</v>
      </c>
      <c r="G3258" t="s">
        <v>748</v>
      </c>
      <c r="H3258" s="128">
        <v>0.39229999999999998</v>
      </c>
      <c r="I3258" s="110">
        <v>0.18080000000000002</v>
      </c>
      <c r="J3258" s="110">
        <v>0.18080000000000002</v>
      </c>
      <c r="L3258">
        <v>5000</v>
      </c>
      <c r="M3258">
        <v>500000</v>
      </c>
      <c r="N3258" s="105">
        <v>44378</v>
      </c>
      <c r="O3258" s="105">
        <v>44561</v>
      </c>
      <c r="P3258" t="s">
        <v>718</v>
      </c>
      <c r="R3258" s="154"/>
      <c r="S3258" s="154"/>
      <c r="T3258" s="154"/>
      <c r="U3258" s="154"/>
    </row>
    <row r="3259" spans="1:21" ht="15" customHeight="1" x14ac:dyDescent="0.3">
      <c r="A3259" t="str">
        <f t="shared" si="52"/>
        <v>17-3-EW-SmartPAY24_Renewal (Level 2)</v>
      </c>
      <c r="B3259" t="s">
        <v>13</v>
      </c>
      <c r="C3259">
        <v>17</v>
      </c>
      <c r="D3259" s="100" t="s">
        <v>26</v>
      </c>
      <c r="E3259" t="s">
        <v>19</v>
      </c>
      <c r="F3259" t="s">
        <v>16</v>
      </c>
      <c r="G3259" t="s">
        <v>748</v>
      </c>
      <c r="H3259" s="128">
        <v>0.39229999999999998</v>
      </c>
      <c r="I3259" s="110">
        <v>0.18080000000000002</v>
      </c>
      <c r="K3259" s="110">
        <v>0.18080000000000002</v>
      </c>
      <c r="L3259">
        <v>5000</v>
      </c>
      <c r="M3259">
        <v>500000</v>
      </c>
      <c r="N3259" s="105">
        <v>44378</v>
      </c>
      <c r="O3259" s="105">
        <v>44561</v>
      </c>
      <c r="P3259" t="s">
        <v>718</v>
      </c>
      <c r="R3259" s="154"/>
      <c r="S3259" s="154"/>
      <c r="T3259" s="154"/>
      <c r="U3259" s="154"/>
    </row>
    <row r="3260" spans="1:21" ht="15" customHeight="1" x14ac:dyDescent="0.3">
      <c r="A3260" t="str">
        <f t="shared" si="52"/>
        <v>17-4-3RATE-SmartPAY24_Renewal (Level 2)</v>
      </c>
      <c r="B3260" t="s">
        <v>13</v>
      </c>
      <c r="C3260">
        <v>17</v>
      </c>
      <c r="D3260" s="100" t="s">
        <v>26</v>
      </c>
      <c r="E3260" t="s">
        <v>719</v>
      </c>
      <c r="F3260" t="s">
        <v>18</v>
      </c>
      <c r="G3260" t="s">
        <v>748</v>
      </c>
      <c r="H3260" s="128">
        <v>0.39229999999999998</v>
      </c>
      <c r="I3260" s="110">
        <v>0.18080000000000002</v>
      </c>
      <c r="J3260" s="110">
        <v>0.18080000000000002</v>
      </c>
      <c r="K3260" s="110">
        <v>0.18080000000000002</v>
      </c>
      <c r="L3260">
        <v>5000</v>
      </c>
      <c r="M3260">
        <v>500000</v>
      </c>
      <c r="N3260" s="105">
        <v>44378</v>
      </c>
      <c r="O3260" s="105">
        <v>44561</v>
      </c>
      <c r="P3260" t="s">
        <v>718</v>
      </c>
      <c r="R3260" s="154"/>
      <c r="S3260" s="154"/>
      <c r="T3260" s="154"/>
      <c r="U3260" s="154"/>
    </row>
    <row r="3261" spans="1:21" ht="15" customHeight="1" x14ac:dyDescent="0.3">
      <c r="A3261" t="str">
        <f t="shared" si="52"/>
        <v/>
      </c>
      <c r="B3261" t="s">
        <v>13</v>
      </c>
      <c r="C3261">
        <v>17</v>
      </c>
      <c r="D3261" s="100" t="s">
        <v>26</v>
      </c>
      <c r="E3261" t="s">
        <v>720</v>
      </c>
      <c r="F3261" t="s">
        <v>18</v>
      </c>
      <c r="G3261" t="s">
        <v>748</v>
      </c>
      <c r="H3261" s="128">
        <v>0.39229999999999998</v>
      </c>
      <c r="J3261" s="110">
        <v>0.18080000000000002</v>
      </c>
      <c r="L3261">
        <v>5000</v>
      </c>
      <c r="M3261">
        <v>500000</v>
      </c>
      <c r="N3261" s="105">
        <v>44378</v>
      </c>
      <c r="O3261" s="105">
        <v>44561</v>
      </c>
      <c r="P3261" t="s">
        <v>718</v>
      </c>
      <c r="R3261" s="154"/>
      <c r="S3261" s="154"/>
      <c r="T3261" s="154"/>
      <c r="U3261" s="154"/>
    </row>
    <row r="3262" spans="1:21" ht="15" customHeight="1" x14ac:dyDescent="0.3">
      <c r="A3262" t="str">
        <f t="shared" si="52"/>
        <v>18-3-U-SmartPAY24_Renewal (Level 2)</v>
      </c>
      <c r="B3262" t="s">
        <v>13</v>
      </c>
      <c r="C3262">
        <v>18</v>
      </c>
      <c r="D3262" s="100" t="s">
        <v>27</v>
      </c>
      <c r="E3262" t="s">
        <v>716</v>
      </c>
      <c r="F3262" t="s">
        <v>16</v>
      </c>
      <c r="G3262" t="s">
        <v>748</v>
      </c>
      <c r="H3262" s="128">
        <v>0.3422</v>
      </c>
      <c r="I3262" s="110">
        <v>0.17730000000000001</v>
      </c>
      <c r="L3262">
        <v>5000</v>
      </c>
      <c r="M3262">
        <v>500000</v>
      </c>
      <c r="N3262" s="105">
        <v>44378</v>
      </c>
      <c r="O3262" s="105">
        <v>44561</v>
      </c>
      <c r="P3262" t="s">
        <v>718</v>
      </c>
      <c r="R3262" s="154"/>
      <c r="S3262" s="154"/>
      <c r="T3262" s="154"/>
      <c r="U3262" s="154"/>
    </row>
    <row r="3263" spans="1:21" ht="15" customHeight="1" x14ac:dyDescent="0.3">
      <c r="A3263" t="str">
        <f t="shared" si="52"/>
        <v>18-4-E7-SmartPAY24_Renewal (Level 2)</v>
      </c>
      <c r="B3263" t="s">
        <v>13</v>
      </c>
      <c r="C3263">
        <v>18</v>
      </c>
      <c r="D3263" s="100" t="s">
        <v>27</v>
      </c>
      <c r="E3263" t="s">
        <v>17</v>
      </c>
      <c r="F3263" t="s">
        <v>18</v>
      </c>
      <c r="G3263" t="s">
        <v>748</v>
      </c>
      <c r="H3263" s="128">
        <v>0.3422</v>
      </c>
      <c r="I3263" s="110">
        <v>0.17730000000000001</v>
      </c>
      <c r="J3263" s="110">
        <v>0.17730000000000001</v>
      </c>
      <c r="L3263">
        <v>5000</v>
      </c>
      <c r="M3263">
        <v>500000</v>
      </c>
      <c r="N3263" s="105">
        <v>44378</v>
      </c>
      <c r="O3263" s="105">
        <v>44561</v>
      </c>
      <c r="P3263" t="s">
        <v>718</v>
      </c>
      <c r="R3263" s="154"/>
      <c r="S3263" s="154"/>
      <c r="T3263" s="154"/>
      <c r="U3263" s="154"/>
    </row>
    <row r="3264" spans="1:21" ht="15" customHeight="1" x14ac:dyDescent="0.3">
      <c r="A3264" t="str">
        <f t="shared" si="52"/>
        <v>18-3-EW-SmartPAY24_Renewal (Level 2)</v>
      </c>
      <c r="B3264" t="s">
        <v>13</v>
      </c>
      <c r="C3264">
        <v>18</v>
      </c>
      <c r="D3264" s="100" t="s">
        <v>27</v>
      </c>
      <c r="E3264" t="s">
        <v>19</v>
      </c>
      <c r="F3264" t="s">
        <v>16</v>
      </c>
      <c r="G3264" t="s">
        <v>748</v>
      </c>
      <c r="H3264" s="128">
        <v>0.3422</v>
      </c>
      <c r="I3264" s="110">
        <v>0.17730000000000001</v>
      </c>
      <c r="K3264" s="110">
        <v>0.17730000000000001</v>
      </c>
      <c r="L3264">
        <v>5000</v>
      </c>
      <c r="M3264">
        <v>500000</v>
      </c>
      <c r="N3264" s="105">
        <v>44378</v>
      </c>
      <c r="O3264" s="105">
        <v>44561</v>
      </c>
      <c r="P3264" t="s">
        <v>718</v>
      </c>
      <c r="R3264" s="154"/>
      <c r="S3264" s="154"/>
      <c r="T3264" s="154"/>
      <c r="U3264" s="154"/>
    </row>
    <row r="3265" spans="1:21" ht="15" customHeight="1" x14ac:dyDescent="0.3">
      <c r="A3265" t="str">
        <f t="shared" si="52"/>
        <v>18-4-3RATE-SmartPAY24_Renewal (Level 2)</v>
      </c>
      <c r="B3265" t="s">
        <v>13</v>
      </c>
      <c r="C3265">
        <v>18</v>
      </c>
      <c r="D3265" s="100" t="s">
        <v>27</v>
      </c>
      <c r="E3265" t="s">
        <v>719</v>
      </c>
      <c r="F3265" t="s">
        <v>18</v>
      </c>
      <c r="G3265" t="s">
        <v>748</v>
      </c>
      <c r="H3265" s="128">
        <v>0.3422</v>
      </c>
      <c r="I3265" s="110">
        <v>0.17730000000000001</v>
      </c>
      <c r="J3265" s="110">
        <v>0.17730000000000001</v>
      </c>
      <c r="K3265" s="110">
        <v>0.17730000000000001</v>
      </c>
      <c r="L3265">
        <v>5000</v>
      </c>
      <c r="M3265">
        <v>500000</v>
      </c>
      <c r="N3265" s="105">
        <v>44378</v>
      </c>
      <c r="O3265" s="105">
        <v>44561</v>
      </c>
      <c r="P3265" t="s">
        <v>718</v>
      </c>
      <c r="R3265" s="154"/>
      <c r="S3265" s="154"/>
      <c r="T3265" s="154"/>
      <c r="U3265" s="154"/>
    </row>
    <row r="3266" spans="1:21" ht="15" customHeight="1" x14ac:dyDescent="0.3">
      <c r="A3266" t="str">
        <f t="shared" si="52"/>
        <v/>
      </c>
      <c r="B3266" t="s">
        <v>13</v>
      </c>
      <c r="C3266">
        <v>18</v>
      </c>
      <c r="D3266" s="100" t="s">
        <v>27</v>
      </c>
      <c r="E3266" t="s">
        <v>720</v>
      </c>
      <c r="F3266" t="s">
        <v>18</v>
      </c>
      <c r="G3266" t="s">
        <v>748</v>
      </c>
      <c r="H3266" s="128">
        <v>0.3422</v>
      </c>
      <c r="J3266" s="110">
        <v>0.17730000000000001</v>
      </c>
      <c r="L3266">
        <v>5000</v>
      </c>
      <c r="M3266">
        <v>500000</v>
      </c>
      <c r="N3266" s="105">
        <v>44378</v>
      </c>
      <c r="O3266" s="105">
        <v>44561</v>
      </c>
      <c r="P3266" t="s">
        <v>718</v>
      </c>
      <c r="R3266" s="154"/>
      <c r="S3266" s="154"/>
      <c r="T3266" s="154"/>
      <c r="U3266" s="154"/>
    </row>
    <row r="3267" spans="1:21" ht="15" customHeight="1" x14ac:dyDescent="0.3">
      <c r="A3267" t="str">
        <f t="shared" si="52"/>
        <v>19-3-U-SmartPAY24_Renewal (Level 2)</v>
      </c>
      <c r="B3267" t="s">
        <v>13</v>
      </c>
      <c r="C3267">
        <v>19</v>
      </c>
      <c r="D3267" s="100" t="s">
        <v>28</v>
      </c>
      <c r="E3267" t="s">
        <v>716</v>
      </c>
      <c r="F3267" t="s">
        <v>16</v>
      </c>
      <c r="G3267" t="s">
        <v>748</v>
      </c>
      <c r="H3267" s="128">
        <v>0.32529999999999998</v>
      </c>
      <c r="I3267" s="110">
        <v>0.17510000000000001</v>
      </c>
      <c r="L3267">
        <v>5000</v>
      </c>
      <c r="M3267">
        <v>500000</v>
      </c>
      <c r="N3267" s="105">
        <v>44378</v>
      </c>
      <c r="O3267" s="105">
        <v>44561</v>
      </c>
      <c r="P3267" t="s">
        <v>718</v>
      </c>
      <c r="R3267" s="154"/>
      <c r="S3267" s="154"/>
      <c r="T3267" s="154"/>
      <c r="U3267" s="154"/>
    </row>
    <row r="3268" spans="1:21" ht="15" customHeight="1" x14ac:dyDescent="0.3">
      <c r="A3268" t="str">
        <f t="shared" si="52"/>
        <v>19-4-E7-SmartPAY24_Renewal (Level 2)</v>
      </c>
      <c r="B3268" t="s">
        <v>13</v>
      </c>
      <c r="C3268">
        <v>19</v>
      </c>
      <c r="D3268" s="100" t="s">
        <v>28</v>
      </c>
      <c r="E3268" t="s">
        <v>17</v>
      </c>
      <c r="F3268" t="s">
        <v>18</v>
      </c>
      <c r="G3268" t="s">
        <v>748</v>
      </c>
      <c r="H3268" s="128">
        <v>0.32529999999999998</v>
      </c>
      <c r="I3268" s="110">
        <v>0.17510000000000001</v>
      </c>
      <c r="J3268" s="110">
        <v>0.17510000000000001</v>
      </c>
      <c r="L3268">
        <v>5000</v>
      </c>
      <c r="M3268">
        <v>500000</v>
      </c>
      <c r="N3268" s="105">
        <v>44378</v>
      </c>
      <c r="O3268" s="105">
        <v>44561</v>
      </c>
      <c r="P3268" t="s">
        <v>718</v>
      </c>
      <c r="R3268" s="154"/>
      <c r="S3268" s="154"/>
      <c r="T3268" s="154"/>
      <c r="U3268" s="154"/>
    </row>
    <row r="3269" spans="1:21" ht="15" customHeight="1" x14ac:dyDescent="0.3">
      <c r="A3269" t="str">
        <f t="shared" si="52"/>
        <v>19-3-EW-SmartPAY24_Renewal (Level 2)</v>
      </c>
      <c r="B3269" t="s">
        <v>13</v>
      </c>
      <c r="C3269">
        <v>19</v>
      </c>
      <c r="D3269" s="100" t="s">
        <v>28</v>
      </c>
      <c r="E3269" t="s">
        <v>19</v>
      </c>
      <c r="F3269" t="s">
        <v>16</v>
      </c>
      <c r="G3269" t="s">
        <v>748</v>
      </c>
      <c r="H3269" s="128">
        <v>0.32529999999999998</v>
      </c>
      <c r="I3269" s="110">
        <v>0.17510000000000001</v>
      </c>
      <c r="K3269" s="110">
        <v>0.17510000000000001</v>
      </c>
      <c r="L3269">
        <v>5000</v>
      </c>
      <c r="M3269">
        <v>500000</v>
      </c>
      <c r="N3269" s="105">
        <v>44378</v>
      </c>
      <c r="O3269" s="105">
        <v>44561</v>
      </c>
      <c r="P3269" t="s">
        <v>718</v>
      </c>
      <c r="R3269" s="154"/>
      <c r="S3269" s="154"/>
      <c r="T3269" s="154"/>
      <c r="U3269" s="154"/>
    </row>
    <row r="3270" spans="1:21" ht="15" customHeight="1" x14ac:dyDescent="0.3">
      <c r="A3270" t="str">
        <f t="shared" si="52"/>
        <v>19-4-3RATE-SmartPAY24_Renewal (Level 2)</v>
      </c>
      <c r="B3270" t="s">
        <v>13</v>
      </c>
      <c r="C3270">
        <v>19</v>
      </c>
      <c r="D3270" s="100" t="s">
        <v>28</v>
      </c>
      <c r="E3270" t="s">
        <v>719</v>
      </c>
      <c r="F3270" t="s">
        <v>18</v>
      </c>
      <c r="G3270" t="s">
        <v>748</v>
      </c>
      <c r="H3270" s="128">
        <v>0.32529999999999998</v>
      </c>
      <c r="I3270" s="110">
        <v>0.17510000000000001</v>
      </c>
      <c r="J3270" s="110">
        <v>0.17510000000000001</v>
      </c>
      <c r="K3270" s="110">
        <v>0.17510000000000001</v>
      </c>
      <c r="L3270">
        <v>5000</v>
      </c>
      <c r="M3270">
        <v>500000</v>
      </c>
      <c r="N3270" s="105">
        <v>44378</v>
      </c>
      <c r="O3270" s="105">
        <v>44561</v>
      </c>
      <c r="P3270" t="s">
        <v>718</v>
      </c>
      <c r="R3270" s="154"/>
      <c r="S3270" s="154"/>
      <c r="T3270" s="154"/>
      <c r="U3270" s="154"/>
    </row>
    <row r="3271" spans="1:21" ht="15" customHeight="1" x14ac:dyDescent="0.3">
      <c r="A3271" t="str">
        <f t="shared" si="52"/>
        <v/>
      </c>
      <c r="B3271" t="s">
        <v>13</v>
      </c>
      <c r="C3271">
        <v>19</v>
      </c>
      <c r="D3271" s="100" t="s">
        <v>28</v>
      </c>
      <c r="E3271" t="s">
        <v>720</v>
      </c>
      <c r="F3271" t="s">
        <v>18</v>
      </c>
      <c r="G3271" t="s">
        <v>748</v>
      </c>
      <c r="H3271" s="128">
        <v>0.32529999999999998</v>
      </c>
      <c r="J3271" s="110">
        <v>0.17510000000000001</v>
      </c>
      <c r="L3271">
        <v>5000</v>
      </c>
      <c r="M3271">
        <v>500000</v>
      </c>
      <c r="N3271" s="105">
        <v>44378</v>
      </c>
      <c r="O3271" s="105">
        <v>44561</v>
      </c>
      <c r="P3271" t="s">
        <v>718</v>
      </c>
      <c r="R3271" s="154"/>
      <c r="S3271" s="154"/>
      <c r="T3271" s="154"/>
      <c r="U3271" s="154"/>
    </row>
    <row r="3272" spans="1:21" ht="15" customHeight="1" x14ac:dyDescent="0.3">
      <c r="A3272" t="str">
        <f t="shared" si="52"/>
        <v>20-3-U-SmartPAY24_Renewal (Level 2)</v>
      </c>
      <c r="B3272" t="s">
        <v>13</v>
      </c>
      <c r="C3272">
        <v>20</v>
      </c>
      <c r="D3272" s="100" t="s">
        <v>29</v>
      </c>
      <c r="E3272" t="s">
        <v>716</v>
      </c>
      <c r="F3272" t="s">
        <v>16</v>
      </c>
      <c r="G3272" t="s">
        <v>748</v>
      </c>
      <c r="H3272" s="128">
        <v>0.32229999999999998</v>
      </c>
      <c r="I3272" s="110">
        <v>0.17290000000000003</v>
      </c>
      <c r="L3272">
        <v>5000</v>
      </c>
      <c r="M3272">
        <v>500000</v>
      </c>
      <c r="N3272" s="105">
        <v>44378</v>
      </c>
      <c r="O3272" s="105">
        <v>44561</v>
      </c>
      <c r="P3272" t="s">
        <v>718</v>
      </c>
      <c r="R3272" s="154"/>
      <c r="S3272" s="154"/>
      <c r="T3272" s="154"/>
      <c r="U3272" s="154"/>
    </row>
    <row r="3273" spans="1:21" ht="15" customHeight="1" x14ac:dyDescent="0.3">
      <c r="A3273" t="str">
        <f t="shared" si="52"/>
        <v>20-4-E7-SmartPAY24_Renewal (Level 2)</v>
      </c>
      <c r="B3273" t="s">
        <v>13</v>
      </c>
      <c r="C3273">
        <v>20</v>
      </c>
      <c r="D3273" s="100" t="s">
        <v>29</v>
      </c>
      <c r="E3273" t="s">
        <v>17</v>
      </c>
      <c r="F3273" t="s">
        <v>18</v>
      </c>
      <c r="G3273" t="s">
        <v>748</v>
      </c>
      <c r="H3273" s="128">
        <v>0.32229999999999998</v>
      </c>
      <c r="I3273" s="110">
        <v>0.17290000000000003</v>
      </c>
      <c r="J3273" s="110">
        <v>0.17290000000000003</v>
      </c>
      <c r="L3273">
        <v>5000</v>
      </c>
      <c r="M3273">
        <v>500000</v>
      </c>
      <c r="N3273" s="105">
        <v>44378</v>
      </c>
      <c r="O3273" s="105">
        <v>44561</v>
      </c>
      <c r="P3273" t="s">
        <v>718</v>
      </c>
      <c r="R3273" s="154"/>
      <c r="S3273" s="154"/>
      <c r="T3273" s="154"/>
      <c r="U3273" s="154"/>
    </row>
    <row r="3274" spans="1:21" ht="15" customHeight="1" x14ac:dyDescent="0.3">
      <c r="A3274" t="str">
        <f t="shared" si="52"/>
        <v>20-3-EW-SmartPAY24_Renewal (Level 2)</v>
      </c>
      <c r="B3274" t="s">
        <v>13</v>
      </c>
      <c r="C3274">
        <v>20</v>
      </c>
      <c r="D3274" s="100" t="s">
        <v>29</v>
      </c>
      <c r="E3274" t="s">
        <v>19</v>
      </c>
      <c r="F3274" t="s">
        <v>16</v>
      </c>
      <c r="G3274" t="s">
        <v>748</v>
      </c>
      <c r="H3274" s="128">
        <v>0.32229999999999998</v>
      </c>
      <c r="I3274" s="110">
        <v>0.17290000000000003</v>
      </c>
      <c r="K3274" s="110">
        <v>0.17290000000000003</v>
      </c>
      <c r="L3274">
        <v>5000</v>
      </c>
      <c r="M3274">
        <v>500000</v>
      </c>
      <c r="N3274" s="105">
        <v>44378</v>
      </c>
      <c r="O3274" s="105">
        <v>44561</v>
      </c>
      <c r="P3274" t="s">
        <v>718</v>
      </c>
      <c r="R3274" s="154"/>
      <c r="S3274" s="154"/>
      <c r="T3274" s="154"/>
      <c r="U3274" s="154"/>
    </row>
    <row r="3275" spans="1:21" ht="15" customHeight="1" x14ac:dyDescent="0.3">
      <c r="A3275" t="str">
        <f t="shared" si="52"/>
        <v>20-4-3RATE-SmartPAY24_Renewal (Level 2)</v>
      </c>
      <c r="B3275" t="s">
        <v>13</v>
      </c>
      <c r="C3275">
        <v>20</v>
      </c>
      <c r="D3275" s="100" t="s">
        <v>29</v>
      </c>
      <c r="E3275" t="s">
        <v>719</v>
      </c>
      <c r="F3275" t="s">
        <v>18</v>
      </c>
      <c r="G3275" t="s">
        <v>748</v>
      </c>
      <c r="H3275" s="128">
        <v>0.32229999999999998</v>
      </c>
      <c r="I3275" s="110">
        <v>0.17290000000000003</v>
      </c>
      <c r="J3275" s="110">
        <v>0.17290000000000003</v>
      </c>
      <c r="K3275" s="110">
        <v>0.17290000000000003</v>
      </c>
      <c r="L3275">
        <v>5000</v>
      </c>
      <c r="M3275">
        <v>500000</v>
      </c>
      <c r="N3275" s="105">
        <v>44378</v>
      </c>
      <c r="O3275" s="105">
        <v>44561</v>
      </c>
      <c r="P3275" t="s">
        <v>718</v>
      </c>
      <c r="R3275" s="154"/>
      <c r="S3275" s="154"/>
      <c r="T3275" s="154"/>
      <c r="U3275" s="154"/>
    </row>
    <row r="3276" spans="1:21" ht="15" customHeight="1" x14ac:dyDescent="0.3">
      <c r="A3276" t="str">
        <f t="shared" si="52"/>
        <v/>
      </c>
      <c r="B3276" t="s">
        <v>13</v>
      </c>
      <c r="C3276">
        <v>20</v>
      </c>
      <c r="D3276" s="100" t="s">
        <v>29</v>
      </c>
      <c r="E3276" t="s">
        <v>720</v>
      </c>
      <c r="F3276" t="s">
        <v>18</v>
      </c>
      <c r="G3276" t="s">
        <v>748</v>
      </c>
      <c r="H3276" s="128">
        <v>0.32229999999999998</v>
      </c>
      <c r="J3276" s="110">
        <v>0.17290000000000003</v>
      </c>
      <c r="L3276">
        <v>5000</v>
      </c>
      <c r="M3276">
        <v>500000</v>
      </c>
      <c r="N3276" s="105">
        <v>44378</v>
      </c>
      <c r="O3276" s="105">
        <v>44561</v>
      </c>
      <c r="P3276" t="s">
        <v>718</v>
      </c>
      <c r="R3276" s="154"/>
      <c r="S3276" s="154"/>
      <c r="T3276" s="154"/>
      <c r="U3276" s="154"/>
    </row>
    <row r="3277" spans="1:21" ht="15" customHeight="1" x14ac:dyDescent="0.3">
      <c r="A3277" t="str">
        <f t="shared" si="52"/>
        <v>21-3-U-SmartPAY24_Renewal (Level 2)</v>
      </c>
      <c r="B3277" t="s">
        <v>13</v>
      </c>
      <c r="C3277">
        <v>21</v>
      </c>
      <c r="D3277" s="100" t="s">
        <v>30</v>
      </c>
      <c r="E3277" t="s">
        <v>716</v>
      </c>
      <c r="F3277" t="s">
        <v>16</v>
      </c>
      <c r="G3277" t="s">
        <v>748</v>
      </c>
      <c r="H3277" s="128">
        <v>0.4461</v>
      </c>
      <c r="I3277" s="110">
        <v>0.17499999999999999</v>
      </c>
      <c r="L3277">
        <v>5000</v>
      </c>
      <c r="M3277">
        <v>500000</v>
      </c>
      <c r="N3277" s="105">
        <v>44378</v>
      </c>
      <c r="O3277" s="105">
        <v>44561</v>
      </c>
      <c r="P3277" t="s">
        <v>718</v>
      </c>
      <c r="R3277" s="154"/>
      <c r="S3277" s="154"/>
      <c r="T3277" s="154"/>
      <c r="U3277" s="154"/>
    </row>
    <row r="3278" spans="1:21" ht="15" customHeight="1" x14ac:dyDescent="0.3">
      <c r="A3278" t="str">
        <f t="shared" si="52"/>
        <v>21-4-E7-SmartPAY24_Renewal (Level 2)</v>
      </c>
      <c r="B3278" t="s">
        <v>13</v>
      </c>
      <c r="C3278">
        <v>21</v>
      </c>
      <c r="D3278" s="100" t="s">
        <v>30</v>
      </c>
      <c r="E3278" t="s">
        <v>17</v>
      </c>
      <c r="F3278" t="s">
        <v>18</v>
      </c>
      <c r="G3278" t="s">
        <v>748</v>
      </c>
      <c r="H3278" s="128">
        <v>0.4461</v>
      </c>
      <c r="I3278" s="110">
        <v>0.17499999999999999</v>
      </c>
      <c r="J3278" s="110">
        <v>0.17499999999999999</v>
      </c>
      <c r="L3278">
        <v>5000</v>
      </c>
      <c r="M3278">
        <v>500000</v>
      </c>
      <c r="N3278" s="105">
        <v>44378</v>
      </c>
      <c r="O3278" s="105">
        <v>44561</v>
      </c>
      <c r="P3278" t="s">
        <v>718</v>
      </c>
      <c r="R3278" s="154"/>
      <c r="S3278" s="154"/>
      <c r="T3278" s="154"/>
      <c r="U3278" s="154"/>
    </row>
    <row r="3279" spans="1:21" ht="15" customHeight="1" x14ac:dyDescent="0.3">
      <c r="A3279" t="str">
        <f t="shared" si="52"/>
        <v>21-3-EW-SmartPAY24_Renewal (Level 2)</v>
      </c>
      <c r="B3279" t="s">
        <v>13</v>
      </c>
      <c r="C3279">
        <v>21</v>
      </c>
      <c r="D3279" s="100" t="s">
        <v>30</v>
      </c>
      <c r="E3279" t="s">
        <v>19</v>
      </c>
      <c r="F3279" t="s">
        <v>16</v>
      </c>
      <c r="G3279" t="s">
        <v>748</v>
      </c>
      <c r="H3279" s="128">
        <v>0.4461</v>
      </c>
      <c r="I3279" s="110">
        <v>0.17499999999999999</v>
      </c>
      <c r="K3279" s="110">
        <v>0.17499999999999999</v>
      </c>
      <c r="L3279">
        <v>5000</v>
      </c>
      <c r="M3279">
        <v>500000</v>
      </c>
      <c r="N3279" s="105">
        <v>44378</v>
      </c>
      <c r="O3279" s="105">
        <v>44561</v>
      </c>
      <c r="P3279" t="s">
        <v>718</v>
      </c>
      <c r="R3279" s="154"/>
      <c r="S3279" s="154"/>
      <c r="T3279" s="154"/>
      <c r="U3279" s="154"/>
    </row>
    <row r="3280" spans="1:21" ht="15" customHeight="1" x14ac:dyDescent="0.3">
      <c r="A3280" t="str">
        <f t="shared" si="52"/>
        <v>21-4-3RATE-SmartPAY24_Renewal (Level 2)</v>
      </c>
      <c r="B3280" t="s">
        <v>13</v>
      </c>
      <c r="C3280">
        <v>21</v>
      </c>
      <c r="D3280" s="100" t="s">
        <v>30</v>
      </c>
      <c r="E3280" t="s">
        <v>719</v>
      </c>
      <c r="F3280" t="s">
        <v>18</v>
      </c>
      <c r="G3280" t="s">
        <v>748</v>
      </c>
      <c r="H3280" s="128">
        <v>0.4461</v>
      </c>
      <c r="I3280" s="110">
        <v>0.17499999999999999</v>
      </c>
      <c r="J3280" s="110">
        <v>0.17499999999999999</v>
      </c>
      <c r="K3280" s="110">
        <v>0.17499999999999999</v>
      </c>
      <c r="L3280">
        <v>5000</v>
      </c>
      <c r="M3280">
        <v>500000</v>
      </c>
      <c r="N3280" s="105">
        <v>44378</v>
      </c>
      <c r="O3280" s="105">
        <v>44561</v>
      </c>
      <c r="P3280" t="s">
        <v>718</v>
      </c>
      <c r="R3280" s="154"/>
      <c r="S3280" s="154"/>
      <c r="T3280" s="154"/>
      <c r="U3280" s="154"/>
    </row>
    <row r="3281" spans="1:21" ht="15" customHeight="1" x14ac:dyDescent="0.3">
      <c r="A3281" t="str">
        <f t="shared" si="52"/>
        <v/>
      </c>
      <c r="B3281" t="s">
        <v>13</v>
      </c>
      <c r="C3281">
        <v>21</v>
      </c>
      <c r="D3281" s="100" t="s">
        <v>30</v>
      </c>
      <c r="E3281" t="s">
        <v>720</v>
      </c>
      <c r="F3281" t="s">
        <v>18</v>
      </c>
      <c r="G3281" t="s">
        <v>748</v>
      </c>
      <c r="H3281" s="128">
        <v>0.4461</v>
      </c>
      <c r="J3281" s="110">
        <v>0.17499999999999999</v>
      </c>
      <c r="L3281">
        <v>5000</v>
      </c>
      <c r="M3281">
        <v>500000</v>
      </c>
      <c r="N3281" s="105">
        <v>44378</v>
      </c>
      <c r="O3281" s="105">
        <v>44561</v>
      </c>
      <c r="P3281" t="s">
        <v>718</v>
      </c>
      <c r="R3281" s="154"/>
      <c r="S3281" s="154"/>
      <c r="T3281" s="154"/>
      <c r="U3281" s="154"/>
    </row>
    <row r="3282" spans="1:21" ht="15" customHeight="1" x14ac:dyDescent="0.3">
      <c r="A3282" t="str">
        <f t="shared" si="52"/>
        <v>22-3-U-SmartPAY24_Renewal (Level 2)</v>
      </c>
      <c r="B3282" t="s">
        <v>13</v>
      </c>
      <c r="C3282">
        <v>22</v>
      </c>
      <c r="D3282" s="100" t="s">
        <v>31</v>
      </c>
      <c r="E3282" t="s">
        <v>716</v>
      </c>
      <c r="F3282" t="s">
        <v>16</v>
      </c>
      <c r="G3282" t="s">
        <v>748</v>
      </c>
      <c r="H3282" s="128">
        <v>0.38469999999999999</v>
      </c>
      <c r="I3282" s="110">
        <v>0.17830000000000001</v>
      </c>
      <c r="L3282">
        <v>5000</v>
      </c>
      <c r="M3282">
        <v>500000</v>
      </c>
      <c r="N3282" s="105">
        <v>44378</v>
      </c>
      <c r="O3282" s="105">
        <v>44561</v>
      </c>
      <c r="P3282" t="s">
        <v>718</v>
      </c>
      <c r="R3282" s="154"/>
      <c r="S3282" s="154"/>
      <c r="T3282" s="154"/>
      <c r="U3282" s="154"/>
    </row>
    <row r="3283" spans="1:21" ht="15" customHeight="1" x14ac:dyDescent="0.3">
      <c r="A3283" t="str">
        <f t="shared" si="52"/>
        <v>22-4-E7-SmartPAY24_Renewal (Level 2)</v>
      </c>
      <c r="B3283" t="s">
        <v>13</v>
      </c>
      <c r="C3283">
        <v>22</v>
      </c>
      <c r="D3283" s="100" t="s">
        <v>31</v>
      </c>
      <c r="E3283" t="s">
        <v>17</v>
      </c>
      <c r="F3283" t="s">
        <v>18</v>
      </c>
      <c r="G3283" t="s">
        <v>748</v>
      </c>
      <c r="H3283" s="128">
        <v>0.38469999999999999</v>
      </c>
      <c r="I3283" s="110">
        <v>0.17830000000000001</v>
      </c>
      <c r="J3283" s="110">
        <v>0.17830000000000001</v>
      </c>
      <c r="L3283">
        <v>5000</v>
      </c>
      <c r="M3283">
        <v>500000</v>
      </c>
      <c r="N3283" s="105">
        <v>44378</v>
      </c>
      <c r="O3283" s="105">
        <v>44561</v>
      </c>
      <c r="P3283" t="s">
        <v>718</v>
      </c>
      <c r="R3283" s="154"/>
      <c r="S3283" s="154"/>
      <c r="T3283" s="154"/>
      <c r="U3283" s="154"/>
    </row>
    <row r="3284" spans="1:21" ht="15" customHeight="1" x14ac:dyDescent="0.3">
      <c r="A3284" t="str">
        <f t="shared" si="52"/>
        <v>22-3-EW-SmartPAY24_Renewal (Level 2)</v>
      </c>
      <c r="B3284" t="s">
        <v>13</v>
      </c>
      <c r="C3284">
        <v>22</v>
      </c>
      <c r="D3284" s="100" t="s">
        <v>31</v>
      </c>
      <c r="E3284" t="s">
        <v>19</v>
      </c>
      <c r="F3284" t="s">
        <v>16</v>
      </c>
      <c r="G3284" t="s">
        <v>748</v>
      </c>
      <c r="H3284" s="128">
        <v>0.38469999999999999</v>
      </c>
      <c r="I3284" s="110">
        <v>0.17830000000000001</v>
      </c>
      <c r="K3284" s="110">
        <v>0.17830000000000001</v>
      </c>
      <c r="L3284">
        <v>5000</v>
      </c>
      <c r="M3284">
        <v>500000</v>
      </c>
      <c r="N3284" s="105">
        <v>44378</v>
      </c>
      <c r="O3284" s="105">
        <v>44561</v>
      </c>
      <c r="P3284" t="s">
        <v>718</v>
      </c>
      <c r="R3284" s="154"/>
      <c r="S3284" s="154"/>
      <c r="T3284" s="154"/>
      <c r="U3284" s="154"/>
    </row>
    <row r="3285" spans="1:21" ht="15" customHeight="1" x14ac:dyDescent="0.3">
      <c r="A3285" t="str">
        <f t="shared" si="52"/>
        <v>22-4-3RATE-SmartPAY24_Renewal (Level 2)</v>
      </c>
      <c r="B3285" t="s">
        <v>13</v>
      </c>
      <c r="C3285">
        <v>22</v>
      </c>
      <c r="D3285" s="100" t="s">
        <v>31</v>
      </c>
      <c r="E3285" t="s">
        <v>719</v>
      </c>
      <c r="F3285" t="s">
        <v>18</v>
      </c>
      <c r="G3285" t="s">
        <v>748</v>
      </c>
      <c r="H3285" s="128">
        <v>0.38469999999999999</v>
      </c>
      <c r="I3285" s="110">
        <v>0.17830000000000001</v>
      </c>
      <c r="J3285" s="110">
        <v>0.17830000000000001</v>
      </c>
      <c r="K3285" s="110">
        <v>0.17830000000000001</v>
      </c>
      <c r="L3285">
        <v>5000</v>
      </c>
      <c r="M3285">
        <v>500000</v>
      </c>
      <c r="N3285" s="105">
        <v>44378</v>
      </c>
      <c r="O3285" s="105">
        <v>44561</v>
      </c>
      <c r="P3285" t="s">
        <v>718</v>
      </c>
      <c r="R3285" s="154"/>
      <c r="S3285" s="154"/>
      <c r="T3285" s="154"/>
      <c r="U3285" s="154"/>
    </row>
    <row r="3286" spans="1:21" ht="15" customHeight="1" x14ac:dyDescent="0.3">
      <c r="A3286" t="str">
        <f t="shared" si="52"/>
        <v/>
      </c>
      <c r="B3286" t="s">
        <v>13</v>
      </c>
      <c r="C3286">
        <v>22</v>
      </c>
      <c r="D3286" s="100" t="s">
        <v>31</v>
      </c>
      <c r="E3286" t="s">
        <v>720</v>
      </c>
      <c r="F3286" t="s">
        <v>18</v>
      </c>
      <c r="G3286" t="s">
        <v>748</v>
      </c>
      <c r="H3286" s="128">
        <v>0.38469999999999999</v>
      </c>
      <c r="J3286" s="110">
        <v>0.17830000000000001</v>
      </c>
      <c r="L3286">
        <v>5000</v>
      </c>
      <c r="M3286">
        <v>500000</v>
      </c>
      <c r="N3286" s="105">
        <v>44378</v>
      </c>
      <c r="O3286" s="105">
        <v>44561</v>
      </c>
      <c r="P3286" t="s">
        <v>718</v>
      </c>
      <c r="R3286" s="154"/>
      <c r="S3286" s="154"/>
      <c r="T3286" s="154"/>
      <c r="U3286" s="154"/>
    </row>
    <row r="3287" spans="1:21" ht="15" customHeight="1" x14ac:dyDescent="0.3">
      <c r="A3287" t="str">
        <f t="shared" si="52"/>
        <v>23-3-U-SmartPAY24_Renewal (Level 2)</v>
      </c>
      <c r="B3287" t="s">
        <v>13</v>
      </c>
      <c r="C3287">
        <v>23</v>
      </c>
      <c r="D3287" s="100" t="s">
        <v>32</v>
      </c>
      <c r="E3287" t="s">
        <v>716</v>
      </c>
      <c r="F3287" t="s">
        <v>16</v>
      </c>
      <c r="G3287" t="s">
        <v>748</v>
      </c>
      <c r="H3287" s="128">
        <v>0.33789999999999998</v>
      </c>
      <c r="I3287" s="110">
        <v>0.17379999999999998</v>
      </c>
      <c r="L3287">
        <v>5000</v>
      </c>
      <c r="M3287">
        <v>500000</v>
      </c>
      <c r="N3287" s="105">
        <v>44378</v>
      </c>
      <c r="O3287" s="105">
        <v>44561</v>
      </c>
      <c r="P3287" t="s">
        <v>718</v>
      </c>
      <c r="R3287" s="154"/>
      <c r="S3287" s="154"/>
      <c r="T3287" s="154"/>
      <c r="U3287" s="154"/>
    </row>
    <row r="3288" spans="1:21" ht="15" customHeight="1" x14ac:dyDescent="0.3">
      <c r="A3288" t="str">
        <f t="shared" si="52"/>
        <v>23-4-E7-SmartPAY24_Renewal (Level 2)</v>
      </c>
      <c r="B3288" t="s">
        <v>13</v>
      </c>
      <c r="C3288">
        <v>23</v>
      </c>
      <c r="D3288" s="100" t="s">
        <v>32</v>
      </c>
      <c r="E3288" t="s">
        <v>17</v>
      </c>
      <c r="F3288" t="s">
        <v>18</v>
      </c>
      <c r="G3288" t="s">
        <v>748</v>
      </c>
      <c r="H3288" s="128">
        <v>0.33789999999999998</v>
      </c>
      <c r="I3288" s="110">
        <v>0.17379999999999998</v>
      </c>
      <c r="J3288" s="110">
        <v>0.17379999999999998</v>
      </c>
      <c r="L3288">
        <v>5000</v>
      </c>
      <c r="M3288">
        <v>500000</v>
      </c>
      <c r="N3288" s="105">
        <v>44378</v>
      </c>
      <c r="O3288" s="105">
        <v>44561</v>
      </c>
      <c r="P3288" t="s">
        <v>718</v>
      </c>
      <c r="R3288" s="154"/>
      <c r="S3288" s="154"/>
      <c r="T3288" s="154"/>
      <c r="U3288" s="154"/>
    </row>
    <row r="3289" spans="1:21" ht="15" customHeight="1" x14ac:dyDescent="0.3">
      <c r="A3289" t="str">
        <f t="shared" si="52"/>
        <v>23-3-EW-SmartPAY24_Renewal (Level 2)</v>
      </c>
      <c r="B3289" t="s">
        <v>13</v>
      </c>
      <c r="C3289">
        <v>23</v>
      </c>
      <c r="D3289" s="100" t="s">
        <v>32</v>
      </c>
      <c r="E3289" t="s">
        <v>19</v>
      </c>
      <c r="F3289" t="s">
        <v>16</v>
      </c>
      <c r="G3289" t="s">
        <v>748</v>
      </c>
      <c r="H3289" s="128">
        <v>0.33789999999999998</v>
      </c>
      <c r="I3289" s="110">
        <v>0.17379999999999998</v>
      </c>
      <c r="K3289" s="110">
        <v>0.17379999999999998</v>
      </c>
      <c r="L3289">
        <v>5000</v>
      </c>
      <c r="M3289">
        <v>500000</v>
      </c>
      <c r="N3289" s="105">
        <v>44378</v>
      </c>
      <c r="O3289" s="105">
        <v>44561</v>
      </c>
      <c r="P3289" t="s">
        <v>718</v>
      </c>
      <c r="R3289" s="154"/>
      <c r="S3289" s="154"/>
      <c r="T3289" s="154"/>
      <c r="U3289" s="154"/>
    </row>
    <row r="3290" spans="1:21" ht="15" customHeight="1" x14ac:dyDescent="0.3">
      <c r="A3290" t="str">
        <f t="shared" si="52"/>
        <v>23-4-3RATE-SmartPAY24_Renewal (Level 2)</v>
      </c>
      <c r="B3290" t="s">
        <v>13</v>
      </c>
      <c r="C3290">
        <v>23</v>
      </c>
      <c r="D3290" s="100" t="s">
        <v>32</v>
      </c>
      <c r="E3290" t="s">
        <v>719</v>
      </c>
      <c r="F3290" t="s">
        <v>18</v>
      </c>
      <c r="G3290" t="s">
        <v>748</v>
      </c>
      <c r="H3290" s="128">
        <v>0.33789999999999998</v>
      </c>
      <c r="I3290" s="110">
        <v>0.17379999999999998</v>
      </c>
      <c r="J3290" s="110">
        <v>0.17379999999999998</v>
      </c>
      <c r="K3290" s="110">
        <v>0.17379999999999998</v>
      </c>
      <c r="L3290">
        <v>5000</v>
      </c>
      <c r="M3290">
        <v>500000</v>
      </c>
      <c r="N3290" s="105">
        <v>44378</v>
      </c>
      <c r="O3290" s="105">
        <v>44561</v>
      </c>
      <c r="P3290" t="s">
        <v>718</v>
      </c>
      <c r="R3290" s="154"/>
      <c r="S3290" s="154"/>
      <c r="T3290" s="154"/>
      <c r="U3290" s="154"/>
    </row>
    <row r="3291" spans="1:21" ht="15" customHeight="1" x14ac:dyDescent="0.3">
      <c r="A3291" t="str">
        <f t="shared" si="52"/>
        <v/>
      </c>
      <c r="B3291" t="s">
        <v>13</v>
      </c>
      <c r="C3291">
        <v>23</v>
      </c>
      <c r="D3291" s="100" t="s">
        <v>32</v>
      </c>
      <c r="E3291" t="s">
        <v>720</v>
      </c>
      <c r="F3291" t="s">
        <v>18</v>
      </c>
      <c r="G3291" t="s">
        <v>748</v>
      </c>
      <c r="H3291" s="128">
        <v>0.33789999999999998</v>
      </c>
      <c r="J3291" s="110">
        <v>0.17379999999999998</v>
      </c>
      <c r="L3291">
        <v>5000</v>
      </c>
      <c r="M3291">
        <v>500000</v>
      </c>
      <c r="N3291" s="105">
        <v>44378</v>
      </c>
      <c r="O3291" s="105">
        <v>44561</v>
      </c>
      <c r="P3291" t="s">
        <v>718</v>
      </c>
      <c r="R3291" s="154"/>
      <c r="S3291" s="154"/>
      <c r="T3291" s="154"/>
      <c r="U3291" s="154"/>
    </row>
    <row r="3292" spans="1:21" ht="15" customHeight="1" x14ac:dyDescent="0.3">
      <c r="A3292" t="str">
        <f t="shared" si="52"/>
        <v>10-3-U-SmartPAY36_Renewal (Level 2)</v>
      </c>
      <c r="B3292" t="s">
        <v>13</v>
      </c>
      <c r="C3292">
        <v>10</v>
      </c>
      <c r="D3292" s="100" t="s">
        <v>14</v>
      </c>
      <c r="E3292" t="s">
        <v>716</v>
      </c>
      <c r="F3292" t="s">
        <v>16</v>
      </c>
      <c r="G3292" t="s">
        <v>749</v>
      </c>
      <c r="H3292" s="128">
        <v>0.34229999999999999</v>
      </c>
      <c r="I3292" s="110">
        <v>0.17800000000000002</v>
      </c>
      <c r="L3292">
        <v>5000</v>
      </c>
      <c r="M3292">
        <v>500000</v>
      </c>
      <c r="N3292" s="105">
        <v>44378</v>
      </c>
      <c r="O3292" s="105">
        <v>44561</v>
      </c>
      <c r="P3292" t="s">
        <v>718</v>
      </c>
      <c r="R3292" s="154"/>
      <c r="S3292" s="154"/>
      <c r="T3292" s="154"/>
      <c r="U3292" s="154"/>
    </row>
    <row r="3293" spans="1:21" ht="15" customHeight="1" x14ac:dyDescent="0.3">
      <c r="A3293" t="str">
        <f t="shared" si="52"/>
        <v>10-4-E7-SmartPAY36_Renewal (Level 2)</v>
      </c>
      <c r="B3293" t="s">
        <v>13</v>
      </c>
      <c r="C3293">
        <v>10</v>
      </c>
      <c r="D3293" s="100" t="s">
        <v>14</v>
      </c>
      <c r="E3293" t="s">
        <v>17</v>
      </c>
      <c r="F3293" t="s">
        <v>18</v>
      </c>
      <c r="G3293" t="s">
        <v>749</v>
      </c>
      <c r="H3293" s="128">
        <v>0.34229999999999999</v>
      </c>
      <c r="I3293" s="110">
        <v>0.17800000000000002</v>
      </c>
      <c r="J3293" s="110">
        <v>0.17800000000000002</v>
      </c>
      <c r="L3293">
        <v>5000</v>
      </c>
      <c r="M3293">
        <v>500000</v>
      </c>
      <c r="N3293" s="105">
        <v>44378</v>
      </c>
      <c r="O3293" s="105">
        <v>44561</v>
      </c>
      <c r="P3293" t="s">
        <v>718</v>
      </c>
      <c r="R3293" s="154"/>
      <c r="S3293" s="154"/>
      <c r="T3293" s="154"/>
      <c r="U3293" s="154"/>
    </row>
    <row r="3294" spans="1:21" ht="15" customHeight="1" x14ac:dyDescent="0.3">
      <c r="A3294" t="str">
        <f t="shared" si="52"/>
        <v>10-3-EW-SmartPAY36_Renewal (Level 2)</v>
      </c>
      <c r="B3294" t="s">
        <v>13</v>
      </c>
      <c r="C3294">
        <v>10</v>
      </c>
      <c r="D3294" s="100" t="s">
        <v>14</v>
      </c>
      <c r="E3294" t="s">
        <v>19</v>
      </c>
      <c r="F3294" t="s">
        <v>16</v>
      </c>
      <c r="G3294" t="s">
        <v>749</v>
      </c>
      <c r="H3294" s="128">
        <v>0.34229999999999999</v>
      </c>
      <c r="I3294" s="110">
        <v>0.17800000000000002</v>
      </c>
      <c r="K3294" s="110">
        <v>0.17800000000000002</v>
      </c>
      <c r="L3294">
        <v>5000</v>
      </c>
      <c r="M3294">
        <v>500000</v>
      </c>
      <c r="N3294" s="105">
        <v>44378</v>
      </c>
      <c r="O3294" s="105">
        <v>44561</v>
      </c>
      <c r="P3294" t="s">
        <v>718</v>
      </c>
      <c r="R3294" s="154"/>
      <c r="S3294" s="154"/>
      <c r="T3294" s="154"/>
      <c r="U3294" s="154"/>
    </row>
    <row r="3295" spans="1:21" ht="15" customHeight="1" x14ac:dyDescent="0.3">
      <c r="A3295" t="str">
        <f t="shared" si="52"/>
        <v>10-4-3RATE-SmartPAY36_Renewal (Level 2)</v>
      </c>
      <c r="B3295" t="s">
        <v>13</v>
      </c>
      <c r="C3295">
        <v>10</v>
      </c>
      <c r="D3295" s="100" t="s">
        <v>14</v>
      </c>
      <c r="E3295" t="s">
        <v>719</v>
      </c>
      <c r="F3295" t="s">
        <v>18</v>
      </c>
      <c r="G3295" t="s">
        <v>749</v>
      </c>
      <c r="H3295" s="128">
        <v>0.34229999999999999</v>
      </c>
      <c r="I3295" s="110">
        <v>0.17800000000000002</v>
      </c>
      <c r="J3295" s="110">
        <v>0.17800000000000002</v>
      </c>
      <c r="K3295" s="110">
        <v>0.17800000000000002</v>
      </c>
      <c r="L3295">
        <v>5000</v>
      </c>
      <c r="M3295">
        <v>500000</v>
      </c>
      <c r="N3295" s="105">
        <v>44378</v>
      </c>
      <c r="O3295" s="105">
        <v>44561</v>
      </c>
      <c r="P3295" t="s">
        <v>718</v>
      </c>
      <c r="R3295" s="154"/>
      <c r="S3295" s="154"/>
      <c r="T3295" s="154"/>
      <c r="U3295" s="154"/>
    </row>
    <row r="3296" spans="1:21" ht="15" customHeight="1" x14ac:dyDescent="0.3">
      <c r="A3296" t="str">
        <f t="shared" si="52"/>
        <v/>
      </c>
      <c r="B3296" t="s">
        <v>13</v>
      </c>
      <c r="C3296">
        <v>10</v>
      </c>
      <c r="D3296" s="100" t="s">
        <v>14</v>
      </c>
      <c r="E3296" t="s">
        <v>720</v>
      </c>
      <c r="F3296" t="s">
        <v>18</v>
      </c>
      <c r="G3296" t="s">
        <v>749</v>
      </c>
      <c r="H3296" s="128">
        <v>0.34229999999999999</v>
      </c>
      <c r="J3296" s="110">
        <v>0.17800000000000002</v>
      </c>
      <c r="L3296">
        <v>5000</v>
      </c>
      <c r="M3296">
        <v>500000</v>
      </c>
      <c r="N3296" s="105">
        <v>44378</v>
      </c>
      <c r="O3296" s="105">
        <v>44561</v>
      </c>
      <c r="P3296" t="s">
        <v>718</v>
      </c>
      <c r="R3296" s="154"/>
      <c r="S3296" s="154"/>
      <c r="T3296" s="154"/>
      <c r="U3296" s="154"/>
    </row>
    <row r="3297" spans="1:21" ht="15" customHeight="1" x14ac:dyDescent="0.3">
      <c r="A3297" t="str">
        <f t="shared" si="52"/>
        <v>11-3-U-SmartPAY36_Renewal (Level 2)</v>
      </c>
      <c r="B3297" t="s">
        <v>13</v>
      </c>
      <c r="C3297">
        <v>11</v>
      </c>
      <c r="D3297" s="100" t="s">
        <v>20</v>
      </c>
      <c r="E3297" t="s">
        <v>716</v>
      </c>
      <c r="F3297" t="s">
        <v>16</v>
      </c>
      <c r="G3297" t="s">
        <v>749</v>
      </c>
      <c r="H3297" s="128">
        <v>0.3528</v>
      </c>
      <c r="I3297" s="110">
        <v>0.17830000000000001</v>
      </c>
      <c r="L3297">
        <v>5000</v>
      </c>
      <c r="M3297">
        <v>500000</v>
      </c>
      <c r="N3297" s="105">
        <v>44378</v>
      </c>
      <c r="O3297" s="105">
        <v>44561</v>
      </c>
      <c r="P3297" t="s">
        <v>718</v>
      </c>
      <c r="R3297" s="154"/>
      <c r="S3297" s="154"/>
      <c r="T3297" s="154"/>
      <c r="U3297" s="154"/>
    </row>
    <row r="3298" spans="1:21" ht="15" customHeight="1" x14ac:dyDescent="0.3">
      <c r="A3298" t="str">
        <f t="shared" si="52"/>
        <v>11-4-E7-SmartPAY36_Renewal (Level 2)</v>
      </c>
      <c r="B3298" t="s">
        <v>13</v>
      </c>
      <c r="C3298">
        <v>11</v>
      </c>
      <c r="D3298" s="100" t="s">
        <v>20</v>
      </c>
      <c r="E3298" t="s">
        <v>17</v>
      </c>
      <c r="F3298" t="s">
        <v>18</v>
      </c>
      <c r="G3298" t="s">
        <v>749</v>
      </c>
      <c r="H3298" s="128">
        <v>0.3528</v>
      </c>
      <c r="I3298" s="110">
        <v>0.17830000000000001</v>
      </c>
      <c r="J3298" s="110">
        <v>0.17830000000000001</v>
      </c>
      <c r="L3298">
        <v>5000</v>
      </c>
      <c r="M3298">
        <v>500000</v>
      </c>
      <c r="N3298" s="105">
        <v>44378</v>
      </c>
      <c r="O3298" s="105">
        <v>44561</v>
      </c>
      <c r="P3298" t="s">
        <v>718</v>
      </c>
      <c r="R3298" s="154"/>
      <c r="S3298" s="154"/>
      <c r="T3298" s="154"/>
      <c r="U3298" s="154"/>
    </row>
    <row r="3299" spans="1:21" ht="15" customHeight="1" x14ac:dyDescent="0.3">
      <c r="A3299" t="str">
        <f t="shared" ref="A3299:A3362" si="53">IF(E3299="OP","",CONCATENATE(C3299,"-",RIGHT(F3299,1),"-",IF(OR(E3299="1 Rate MD",E3299="DAY"),"U",IF(OR(E3299="2 Rate MD",E3299="E7"),"E7",IF(OR(E3299="3 Rate MD (EW)",E3299="EW"),"EW",IF(OR(E3299="3 Rate MD",E3299="EWN"),"3RATE",IF(E3299="HH 2RATE (CT)","HH 2RATE (CT)",IF(E3299="HH 2RATE (WC)","HH 2RATE (WC)",IF(E3299="HH 1RATE (CT)","HH 1RATE (CT)",IF(E3299="HH 1RATE (WC)","HH 1RATE (WC)")))))))),"-",G3299))</f>
        <v>11-3-EW-SmartPAY36_Renewal (Level 2)</v>
      </c>
      <c r="B3299" t="s">
        <v>13</v>
      </c>
      <c r="C3299">
        <v>11</v>
      </c>
      <c r="D3299" s="100" t="s">
        <v>20</v>
      </c>
      <c r="E3299" t="s">
        <v>19</v>
      </c>
      <c r="F3299" t="s">
        <v>16</v>
      </c>
      <c r="G3299" t="s">
        <v>749</v>
      </c>
      <c r="H3299" s="128">
        <v>0.3528</v>
      </c>
      <c r="I3299" s="110">
        <v>0.17830000000000001</v>
      </c>
      <c r="K3299" s="110">
        <v>0.17830000000000001</v>
      </c>
      <c r="L3299">
        <v>5000</v>
      </c>
      <c r="M3299">
        <v>500000</v>
      </c>
      <c r="N3299" s="105">
        <v>44378</v>
      </c>
      <c r="O3299" s="105">
        <v>44561</v>
      </c>
      <c r="P3299" t="s">
        <v>718</v>
      </c>
      <c r="R3299" s="154"/>
      <c r="S3299" s="154"/>
      <c r="T3299" s="154"/>
      <c r="U3299" s="154"/>
    </row>
    <row r="3300" spans="1:21" ht="15" customHeight="1" x14ac:dyDescent="0.3">
      <c r="A3300" t="str">
        <f t="shared" si="53"/>
        <v>11-4-3RATE-SmartPAY36_Renewal (Level 2)</v>
      </c>
      <c r="B3300" t="s">
        <v>13</v>
      </c>
      <c r="C3300">
        <v>11</v>
      </c>
      <c r="D3300" s="100" t="s">
        <v>20</v>
      </c>
      <c r="E3300" t="s">
        <v>719</v>
      </c>
      <c r="F3300" t="s">
        <v>18</v>
      </c>
      <c r="G3300" t="s">
        <v>749</v>
      </c>
      <c r="H3300" s="128">
        <v>0.3528</v>
      </c>
      <c r="I3300" s="110">
        <v>0.17830000000000001</v>
      </c>
      <c r="J3300" s="110">
        <v>0.17830000000000001</v>
      </c>
      <c r="K3300" s="110">
        <v>0.17830000000000001</v>
      </c>
      <c r="L3300">
        <v>5000</v>
      </c>
      <c r="M3300">
        <v>500000</v>
      </c>
      <c r="N3300" s="105">
        <v>44378</v>
      </c>
      <c r="O3300" s="105">
        <v>44561</v>
      </c>
      <c r="P3300" t="s">
        <v>718</v>
      </c>
      <c r="R3300" s="154"/>
      <c r="S3300" s="154"/>
      <c r="T3300" s="154"/>
      <c r="U3300" s="154"/>
    </row>
    <row r="3301" spans="1:21" ht="15" customHeight="1" x14ac:dyDescent="0.3">
      <c r="A3301" t="str">
        <f t="shared" si="53"/>
        <v/>
      </c>
      <c r="B3301" t="s">
        <v>13</v>
      </c>
      <c r="C3301">
        <v>11</v>
      </c>
      <c r="D3301" s="100" t="s">
        <v>20</v>
      </c>
      <c r="E3301" t="s">
        <v>720</v>
      </c>
      <c r="F3301" t="s">
        <v>18</v>
      </c>
      <c r="G3301" t="s">
        <v>749</v>
      </c>
      <c r="H3301" s="128">
        <v>0.3528</v>
      </c>
      <c r="J3301" s="110">
        <v>0.17830000000000001</v>
      </c>
      <c r="L3301">
        <v>5000</v>
      </c>
      <c r="M3301">
        <v>500000</v>
      </c>
      <c r="N3301" s="105">
        <v>44378</v>
      </c>
      <c r="O3301" s="105">
        <v>44561</v>
      </c>
      <c r="P3301" t="s">
        <v>718</v>
      </c>
      <c r="R3301" s="154"/>
      <c r="S3301" s="154"/>
      <c r="T3301" s="154"/>
      <c r="U3301" s="154"/>
    </row>
    <row r="3302" spans="1:21" ht="15" customHeight="1" x14ac:dyDescent="0.3">
      <c r="A3302" t="str">
        <f t="shared" si="53"/>
        <v>12-3-U-SmartPAY36_Renewal (Level 2)</v>
      </c>
      <c r="B3302" t="s">
        <v>13</v>
      </c>
      <c r="C3302">
        <v>12</v>
      </c>
      <c r="D3302" s="100" t="s">
        <v>21</v>
      </c>
      <c r="E3302" t="s">
        <v>716</v>
      </c>
      <c r="F3302" t="s">
        <v>16</v>
      </c>
      <c r="G3302" t="s">
        <v>749</v>
      </c>
      <c r="H3302" s="128">
        <v>0.26619999999999999</v>
      </c>
      <c r="I3302" s="110">
        <v>0.17220000000000002</v>
      </c>
      <c r="L3302">
        <v>5000</v>
      </c>
      <c r="M3302">
        <v>500000</v>
      </c>
      <c r="N3302" s="105">
        <v>44378</v>
      </c>
      <c r="O3302" s="105">
        <v>44561</v>
      </c>
      <c r="P3302" t="s">
        <v>718</v>
      </c>
      <c r="R3302" s="154"/>
      <c r="S3302" s="154"/>
      <c r="T3302" s="154"/>
      <c r="U3302" s="154"/>
    </row>
    <row r="3303" spans="1:21" ht="15" customHeight="1" x14ac:dyDescent="0.3">
      <c r="A3303" t="str">
        <f t="shared" si="53"/>
        <v>12-4-E7-SmartPAY36_Renewal (Level 2)</v>
      </c>
      <c r="B3303" t="s">
        <v>13</v>
      </c>
      <c r="C3303">
        <v>12</v>
      </c>
      <c r="D3303" s="100" t="s">
        <v>21</v>
      </c>
      <c r="E3303" t="s">
        <v>17</v>
      </c>
      <c r="F3303" t="s">
        <v>18</v>
      </c>
      <c r="G3303" t="s">
        <v>749</v>
      </c>
      <c r="H3303" s="128">
        <v>0.26619999999999999</v>
      </c>
      <c r="I3303" s="110">
        <v>0.17220000000000002</v>
      </c>
      <c r="J3303" s="110">
        <v>0.17220000000000002</v>
      </c>
      <c r="L3303">
        <v>5000</v>
      </c>
      <c r="M3303">
        <v>500000</v>
      </c>
      <c r="N3303" s="105">
        <v>44378</v>
      </c>
      <c r="O3303" s="105">
        <v>44561</v>
      </c>
      <c r="P3303" t="s">
        <v>718</v>
      </c>
      <c r="R3303" s="154"/>
      <c r="S3303" s="154"/>
      <c r="T3303" s="154"/>
      <c r="U3303" s="154"/>
    </row>
    <row r="3304" spans="1:21" ht="15" customHeight="1" x14ac:dyDescent="0.3">
      <c r="A3304" t="str">
        <f t="shared" si="53"/>
        <v>12-3-EW-SmartPAY36_Renewal (Level 2)</v>
      </c>
      <c r="B3304" t="s">
        <v>13</v>
      </c>
      <c r="C3304">
        <v>12</v>
      </c>
      <c r="D3304" s="100" t="s">
        <v>21</v>
      </c>
      <c r="E3304" t="s">
        <v>19</v>
      </c>
      <c r="F3304" t="s">
        <v>16</v>
      </c>
      <c r="G3304" t="s">
        <v>749</v>
      </c>
      <c r="H3304" s="128">
        <v>0.26619999999999999</v>
      </c>
      <c r="I3304" s="110">
        <v>0.17220000000000002</v>
      </c>
      <c r="K3304" s="110">
        <v>0.17220000000000002</v>
      </c>
      <c r="L3304">
        <v>5000</v>
      </c>
      <c r="M3304">
        <v>500000</v>
      </c>
      <c r="N3304" s="105">
        <v>44378</v>
      </c>
      <c r="O3304" s="105">
        <v>44561</v>
      </c>
      <c r="P3304" t="s">
        <v>718</v>
      </c>
      <c r="R3304" s="154"/>
      <c r="S3304" s="154"/>
      <c r="T3304" s="154"/>
      <c r="U3304" s="154"/>
    </row>
    <row r="3305" spans="1:21" ht="15" customHeight="1" x14ac:dyDescent="0.3">
      <c r="A3305" t="str">
        <f t="shared" si="53"/>
        <v>12-4-3RATE-SmartPAY36_Renewal (Level 2)</v>
      </c>
      <c r="B3305" t="s">
        <v>13</v>
      </c>
      <c r="C3305">
        <v>12</v>
      </c>
      <c r="D3305" s="100" t="s">
        <v>21</v>
      </c>
      <c r="E3305" t="s">
        <v>719</v>
      </c>
      <c r="F3305" t="s">
        <v>18</v>
      </c>
      <c r="G3305" t="s">
        <v>749</v>
      </c>
      <c r="H3305" s="128">
        <v>0.26619999999999999</v>
      </c>
      <c r="I3305" s="110">
        <v>0.17220000000000002</v>
      </c>
      <c r="J3305" s="110">
        <v>0.17220000000000002</v>
      </c>
      <c r="K3305" s="110">
        <v>0.17220000000000002</v>
      </c>
      <c r="L3305">
        <v>5000</v>
      </c>
      <c r="M3305">
        <v>500000</v>
      </c>
      <c r="N3305" s="105">
        <v>44378</v>
      </c>
      <c r="O3305" s="105">
        <v>44561</v>
      </c>
      <c r="P3305" t="s">
        <v>718</v>
      </c>
      <c r="R3305" s="154"/>
      <c r="S3305" s="154"/>
      <c r="T3305" s="154"/>
      <c r="U3305" s="154"/>
    </row>
    <row r="3306" spans="1:21" ht="15" customHeight="1" x14ac:dyDescent="0.3">
      <c r="A3306" t="str">
        <f t="shared" si="53"/>
        <v/>
      </c>
      <c r="B3306" t="s">
        <v>13</v>
      </c>
      <c r="C3306">
        <v>12</v>
      </c>
      <c r="D3306" s="100" t="s">
        <v>21</v>
      </c>
      <c r="E3306" t="s">
        <v>720</v>
      </c>
      <c r="F3306" t="s">
        <v>18</v>
      </c>
      <c r="G3306" t="s">
        <v>749</v>
      </c>
      <c r="H3306" s="128">
        <v>0.26619999999999999</v>
      </c>
      <c r="J3306" s="110">
        <v>0.17220000000000002</v>
      </c>
      <c r="L3306">
        <v>5000</v>
      </c>
      <c r="M3306">
        <v>500000</v>
      </c>
      <c r="N3306" s="105">
        <v>44378</v>
      </c>
      <c r="O3306" s="105">
        <v>44561</v>
      </c>
      <c r="P3306" t="s">
        <v>718</v>
      </c>
      <c r="R3306" s="154"/>
      <c r="S3306" s="154"/>
      <c r="T3306" s="154"/>
      <c r="U3306" s="154"/>
    </row>
    <row r="3307" spans="1:21" ht="15" customHeight="1" x14ac:dyDescent="0.3">
      <c r="A3307" t="str">
        <f t="shared" si="53"/>
        <v>13-3-U-SmartPAY36_Renewal (Level 2)</v>
      </c>
      <c r="B3307" t="s">
        <v>13</v>
      </c>
      <c r="C3307">
        <v>13</v>
      </c>
      <c r="D3307" s="100" t="s">
        <v>22</v>
      </c>
      <c r="E3307" t="s">
        <v>716</v>
      </c>
      <c r="F3307" t="s">
        <v>16</v>
      </c>
      <c r="G3307" t="s">
        <v>749</v>
      </c>
      <c r="H3307" s="128">
        <v>0.31340000000000001</v>
      </c>
      <c r="I3307" s="110">
        <v>0.19750000000000001</v>
      </c>
      <c r="L3307">
        <v>5000</v>
      </c>
      <c r="M3307">
        <v>500000</v>
      </c>
      <c r="N3307" s="105">
        <v>44378</v>
      </c>
      <c r="O3307" s="105">
        <v>44561</v>
      </c>
      <c r="P3307" t="s">
        <v>718</v>
      </c>
      <c r="R3307" s="154"/>
      <c r="S3307" s="154"/>
      <c r="T3307" s="154"/>
      <c r="U3307" s="154"/>
    </row>
    <row r="3308" spans="1:21" ht="15" customHeight="1" x14ac:dyDescent="0.3">
      <c r="A3308" t="str">
        <f t="shared" si="53"/>
        <v>13-4-E7-SmartPAY36_Renewal (Level 2)</v>
      </c>
      <c r="B3308" t="s">
        <v>13</v>
      </c>
      <c r="C3308">
        <v>13</v>
      </c>
      <c r="D3308" s="100" t="s">
        <v>22</v>
      </c>
      <c r="E3308" t="s">
        <v>17</v>
      </c>
      <c r="F3308" t="s">
        <v>18</v>
      </c>
      <c r="G3308" t="s">
        <v>749</v>
      </c>
      <c r="H3308" s="128">
        <v>0.31340000000000001</v>
      </c>
      <c r="I3308" s="110">
        <v>0.19750000000000001</v>
      </c>
      <c r="J3308" s="110">
        <v>0.19750000000000001</v>
      </c>
      <c r="L3308">
        <v>5000</v>
      </c>
      <c r="M3308">
        <v>500000</v>
      </c>
      <c r="N3308" s="105">
        <v>44378</v>
      </c>
      <c r="O3308" s="105">
        <v>44561</v>
      </c>
      <c r="P3308" t="s">
        <v>718</v>
      </c>
      <c r="R3308" s="154"/>
      <c r="S3308" s="154"/>
      <c r="T3308" s="154"/>
      <c r="U3308" s="154"/>
    </row>
    <row r="3309" spans="1:21" ht="15" customHeight="1" x14ac:dyDescent="0.3">
      <c r="A3309" t="str">
        <f t="shared" si="53"/>
        <v>13-3-EW-SmartPAY36_Renewal (Level 2)</v>
      </c>
      <c r="B3309" t="s">
        <v>13</v>
      </c>
      <c r="C3309">
        <v>13</v>
      </c>
      <c r="D3309" s="100" t="s">
        <v>22</v>
      </c>
      <c r="E3309" t="s">
        <v>19</v>
      </c>
      <c r="F3309" t="s">
        <v>16</v>
      </c>
      <c r="G3309" t="s">
        <v>749</v>
      </c>
      <c r="H3309" s="128">
        <v>0.31340000000000001</v>
      </c>
      <c r="I3309" s="110">
        <v>0.19750000000000001</v>
      </c>
      <c r="K3309" s="110">
        <v>0.19750000000000001</v>
      </c>
      <c r="L3309">
        <v>5000</v>
      </c>
      <c r="M3309">
        <v>500000</v>
      </c>
      <c r="N3309" s="105">
        <v>44378</v>
      </c>
      <c r="O3309" s="105">
        <v>44561</v>
      </c>
      <c r="P3309" t="s">
        <v>718</v>
      </c>
      <c r="R3309" s="154"/>
      <c r="S3309" s="154"/>
      <c r="T3309" s="154"/>
      <c r="U3309" s="154"/>
    </row>
    <row r="3310" spans="1:21" ht="15" customHeight="1" x14ac:dyDescent="0.3">
      <c r="A3310" t="str">
        <f t="shared" si="53"/>
        <v>13-4-3RATE-SmartPAY36_Renewal (Level 2)</v>
      </c>
      <c r="B3310" t="s">
        <v>13</v>
      </c>
      <c r="C3310">
        <v>13</v>
      </c>
      <c r="D3310" s="100" t="s">
        <v>22</v>
      </c>
      <c r="E3310" t="s">
        <v>719</v>
      </c>
      <c r="F3310" t="s">
        <v>18</v>
      </c>
      <c r="G3310" t="s">
        <v>749</v>
      </c>
      <c r="H3310" s="128">
        <v>0.31340000000000001</v>
      </c>
      <c r="I3310" s="110">
        <v>0.19750000000000001</v>
      </c>
      <c r="J3310" s="110">
        <v>0.19750000000000001</v>
      </c>
      <c r="K3310" s="110">
        <v>0.19750000000000001</v>
      </c>
      <c r="L3310">
        <v>5000</v>
      </c>
      <c r="M3310">
        <v>500000</v>
      </c>
      <c r="N3310" s="105">
        <v>44378</v>
      </c>
      <c r="O3310" s="105">
        <v>44561</v>
      </c>
      <c r="P3310" t="s">
        <v>718</v>
      </c>
      <c r="R3310" s="154"/>
      <c r="S3310" s="154"/>
      <c r="T3310" s="154"/>
      <c r="U3310" s="154"/>
    </row>
    <row r="3311" spans="1:21" ht="15" customHeight="1" x14ac:dyDescent="0.3">
      <c r="A3311" t="str">
        <f t="shared" si="53"/>
        <v/>
      </c>
      <c r="B3311" t="s">
        <v>13</v>
      </c>
      <c r="C3311">
        <v>13</v>
      </c>
      <c r="D3311" s="100" t="s">
        <v>22</v>
      </c>
      <c r="E3311" t="s">
        <v>720</v>
      </c>
      <c r="F3311" t="s">
        <v>18</v>
      </c>
      <c r="G3311" t="s">
        <v>749</v>
      </c>
      <c r="H3311" s="128">
        <v>0.31340000000000001</v>
      </c>
      <c r="J3311" s="110">
        <v>0.19750000000000001</v>
      </c>
      <c r="L3311">
        <v>5000</v>
      </c>
      <c r="M3311">
        <v>500000</v>
      </c>
      <c r="N3311" s="105">
        <v>44378</v>
      </c>
      <c r="O3311" s="105">
        <v>44561</v>
      </c>
      <c r="P3311" t="s">
        <v>718</v>
      </c>
      <c r="R3311" s="154"/>
      <c r="S3311" s="154"/>
      <c r="T3311" s="154"/>
      <c r="U3311" s="154"/>
    </row>
    <row r="3312" spans="1:21" ht="15" customHeight="1" x14ac:dyDescent="0.3">
      <c r="A3312" t="str">
        <f t="shared" si="53"/>
        <v>14-3-U-SmartPAY36_Renewal (Level 2)</v>
      </c>
      <c r="B3312" t="s">
        <v>13</v>
      </c>
      <c r="C3312">
        <v>14</v>
      </c>
      <c r="D3312" s="100" t="s">
        <v>23</v>
      </c>
      <c r="E3312" t="s">
        <v>716</v>
      </c>
      <c r="F3312" t="s">
        <v>16</v>
      </c>
      <c r="G3312" t="s">
        <v>749</v>
      </c>
      <c r="H3312" s="128">
        <v>0.38650000000000001</v>
      </c>
      <c r="I3312" s="110">
        <v>0.18220000000000003</v>
      </c>
      <c r="L3312">
        <v>5000</v>
      </c>
      <c r="M3312">
        <v>500000</v>
      </c>
      <c r="N3312" s="105">
        <v>44378</v>
      </c>
      <c r="O3312" s="105">
        <v>44561</v>
      </c>
      <c r="P3312" t="s">
        <v>718</v>
      </c>
      <c r="R3312" s="154"/>
      <c r="S3312" s="154"/>
      <c r="T3312" s="154"/>
      <c r="U3312" s="154"/>
    </row>
    <row r="3313" spans="1:21" ht="15" customHeight="1" x14ac:dyDescent="0.3">
      <c r="A3313" t="str">
        <f t="shared" si="53"/>
        <v>14-4-E7-SmartPAY36_Renewal (Level 2)</v>
      </c>
      <c r="B3313" t="s">
        <v>13</v>
      </c>
      <c r="C3313">
        <v>14</v>
      </c>
      <c r="D3313" s="100" t="s">
        <v>23</v>
      </c>
      <c r="E3313" t="s">
        <v>17</v>
      </c>
      <c r="F3313" t="s">
        <v>18</v>
      </c>
      <c r="G3313" t="s">
        <v>749</v>
      </c>
      <c r="H3313" s="128">
        <v>0.38650000000000001</v>
      </c>
      <c r="I3313" s="110">
        <v>0.18220000000000003</v>
      </c>
      <c r="J3313" s="110">
        <v>0.18220000000000003</v>
      </c>
      <c r="L3313">
        <v>5000</v>
      </c>
      <c r="M3313">
        <v>500000</v>
      </c>
      <c r="N3313" s="105">
        <v>44378</v>
      </c>
      <c r="O3313" s="105">
        <v>44561</v>
      </c>
      <c r="P3313" t="s">
        <v>718</v>
      </c>
      <c r="R3313" s="154"/>
      <c r="S3313" s="154"/>
      <c r="T3313" s="154"/>
      <c r="U3313" s="154"/>
    </row>
    <row r="3314" spans="1:21" ht="15" customHeight="1" x14ac:dyDescent="0.3">
      <c r="A3314" t="str">
        <f t="shared" si="53"/>
        <v>14-3-EW-SmartPAY36_Renewal (Level 2)</v>
      </c>
      <c r="B3314" t="s">
        <v>13</v>
      </c>
      <c r="C3314">
        <v>14</v>
      </c>
      <c r="D3314" s="100" t="s">
        <v>23</v>
      </c>
      <c r="E3314" t="s">
        <v>19</v>
      </c>
      <c r="F3314" t="s">
        <v>16</v>
      </c>
      <c r="G3314" t="s">
        <v>749</v>
      </c>
      <c r="H3314" s="128">
        <v>0.38650000000000001</v>
      </c>
      <c r="I3314" s="110">
        <v>0.18220000000000003</v>
      </c>
      <c r="K3314" s="110">
        <v>0.18220000000000003</v>
      </c>
      <c r="L3314">
        <v>5000</v>
      </c>
      <c r="M3314">
        <v>500000</v>
      </c>
      <c r="N3314" s="105">
        <v>44378</v>
      </c>
      <c r="O3314" s="105">
        <v>44561</v>
      </c>
      <c r="P3314" t="s">
        <v>718</v>
      </c>
      <c r="R3314" s="154"/>
      <c r="S3314" s="154"/>
      <c r="T3314" s="154"/>
      <c r="U3314" s="154"/>
    </row>
    <row r="3315" spans="1:21" ht="15" customHeight="1" x14ac:dyDescent="0.3">
      <c r="A3315" t="str">
        <f t="shared" si="53"/>
        <v>14-4-3RATE-SmartPAY36_Renewal (Level 2)</v>
      </c>
      <c r="B3315" t="s">
        <v>13</v>
      </c>
      <c r="C3315">
        <v>14</v>
      </c>
      <c r="D3315" s="100" t="s">
        <v>23</v>
      </c>
      <c r="E3315" t="s">
        <v>719</v>
      </c>
      <c r="F3315" t="s">
        <v>18</v>
      </c>
      <c r="G3315" t="s">
        <v>749</v>
      </c>
      <c r="H3315" s="128">
        <v>0.38650000000000001</v>
      </c>
      <c r="I3315" s="110">
        <v>0.18220000000000003</v>
      </c>
      <c r="J3315" s="110">
        <v>0.18220000000000003</v>
      </c>
      <c r="K3315" s="110">
        <v>0.18220000000000003</v>
      </c>
      <c r="L3315">
        <v>5000</v>
      </c>
      <c r="M3315">
        <v>500000</v>
      </c>
      <c r="N3315" s="105">
        <v>44378</v>
      </c>
      <c r="O3315" s="105">
        <v>44561</v>
      </c>
      <c r="P3315" t="s">
        <v>718</v>
      </c>
      <c r="R3315" s="154"/>
      <c r="S3315" s="154"/>
      <c r="T3315" s="154"/>
      <c r="U3315" s="154"/>
    </row>
    <row r="3316" spans="1:21" ht="15" customHeight="1" x14ac:dyDescent="0.3">
      <c r="A3316" t="str">
        <f t="shared" si="53"/>
        <v/>
      </c>
      <c r="B3316" t="s">
        <v>13</v>
      </c>
      <c r="C3316">
        <v>14</v>
      </c>
      <c r="D3316" s="100" t="s">
        <v>23</v>
      </c>
      <c r="E3316" t="s">
        <v>720</v>
      </c>
      <c r="F3316" t="s">
        <v>18</v>
      </c>
      <c r="G3316" t="s">
        <v>749</v>
      </c>
      <c r="H3316" s="128">
        <v>0.38650000000000001</v>
      </c>
      <c r="J3316" s="110">
        <v>0.18220000000000003</v>
      </c>
      <c r="L3316">
        <v>5000</v>
      </c>
      <c r="M3316">
        <v>500000</v>
      </c>
      <c r="N3316" s="105">
        <v>44378</v>
      </c>
      <c r="O3316" s="105">
        <v>44561</v>
      </c>
      <c r="P3316" t="s">
        <v>718</v>
      </c>
      <c r="R3316" s="154"/>
      <c r="S3316" s="154"/>
      <c r="T3316" s="154"/>
      <c r="U3316" s="154"/>
    </row>
    <row r="3317" spans="1:21" ht="15" customHeight="1" x14ac:dyDescent="0.3">
      <c r="A3317" t="str">
        <f t="shared" si="53"/>
        <v>15-3-U-SmartPAY36_Renewal (Level 2)</v>
      </c>
      <c r="B3317" t="s">
        <v>13</v>
      </c>
      <c r="C3317">
        <v>15</v>
      </c>
      <c r="D3317" s="100" t="s">
        <v>24</v>
      </c>
      <c r="E3317" t="s">
        <v>716</v>
      </c>
      <c r="F3317" t="s">
        <v>16</v>
      </c>
      <c r="G3317" t="s">
        <v>749</v>
      </c>
      <c r="H3317" s="128">
        <v>0.3589</v>
      </c>
      <c r="I3317" s="110">
        <v>0.18080000000000002</v>
      </c>
      <c r="L3317">
        <v>5000</v>
      </c>
      <c r="M3317">
        <v>500000</v>
      </c>
      <c r="N3317" s="105">
        <v>44378</v>
      </c>
      <c r="O3317" s="105">
        <v>44561</v>
      </c>
      <c r="P3317" t="s">
        <v>718</v>
      </c>
      <c r="R3317" s="154"/>
      <c r="S3317" s="154"/>
      <c r="T3317" s="154"/>
      <c r="U3317" s="154"/>
    </row>
    <row r="3318" spans="1:21" ht="15" customHeight="1" x14ac:dyDescent="0.3">
      <c r="A3318" t="str">
        <f t="shared" si="53"/>
        <v>15-4-E7-SmartPAY36_Renewal (Level 2)</v>
      </c>
      <c r="B3318" t="s">
        <v>13</v>
      </c>
      <c r="C3318">
        <v>15</v>
      </c>
      <c r="D3318" s="100" t="s">
        <v>24</v>
      </c>
      <c r="E3318" t="s">
        <v>17</v>
      </c>
      <c r="F3318" t="s">
        <v>18</v>
      </c>
      <c r="G3318" t="s">
        <v>749</v>
      </c>
      <c r="H3318" s="128">
        <v>0.3589</v>
      </c>
      <c r="I3318" s="110">
        <v>0.18080000000000002</v>
      </c>
      <c r="J3318" s="110">
        <v>0.18080000000000002</v>
      </c>
      <c r="L3318">
        <v>5000</v>
      </c>
      <c r="M3318">
        <v>500000</v>
      </c>
      <c r="N3318" s="105">
        <v>44378</v>
      </c>
      <c r="O3318" s="105">
        <v>44561</v>
      </c>
      <c r="P3318" t="s">
        <v>718</v>
      </c>
      <c r="R3318" s="154"/>
      <c r="S3318" s="154"/>
      <c r="T3318" s="154"/>
      <c r="U3318" s="154"/>
    </row>
    <row r="3319" spans="1:21" ht="15" customHeight="1" x14ac:dyDescent="0.3">
      <c r="A3319" t="str">
        <f t="shared" si="53"/>
        <v>15-3-EW-SmartPAY36_Renewal (Level 2)</v>
      </c>
      <c r="B3319" t="s">
        <v>13</v>
      </c>
      <c r="C3319">
        <v>15</v>
      </c>
      <c r="D3319" s="100" t="s">
        <v>24</v>
      </c>
      <c r="E3319" t="s">
        <v>19</v>
      </c>
      <c r="F3319" t="s">
        <v>16</v>
      </c>
      <c r="G3319" t="s">
        <v>749</v>
      </c>
      <c r="H3319" s="128">
        <v>0.3589</v>
      </c>
      <c r="I3319" s="110">
        <v>0.18080000000000002</v>
      </c>
      <c r="K3319" s="110">
        <v>0.18080000000000002</v>
      </c>
      <c r="L3319">
        <v>5000</v>
      </c>
      <c r="M3319">
        <v>500000</v>
      </c>
      <c r="N3319" s="105">
        <v>44378</v>
      </c>
      <c r="O3319" s="105">
        <v>44561</v>
      </c>
      <c r="P3319" t="s">
        <v>718</v>
      </c>
      <c r="R3319" s="154"/>
      <c r="S3319" s="154"/>
      <c r="T3319" s="154"/>
      <c r="U3319" s="154"/>
    </row>
    <row r="3320" spans="1:21" ht="15" customHeight="1" x14ac:dyDescent="0.3">
      <c r="A3320" t="str">
        <f t="shared" si="53"/>
        <v>15-4-3RATE-SmartPAY36_Renewal (Level 2)</v>
      </c>
      <c r="B3320" t="s">
        <v>13</v>
      </c>
      <c r="C3320">
        <v>15</v>
      </c>
      <c r="D3320" s="100" t="s">
        <v>24</v>
      </c>
      <c r="E3320" t="s">
        <v>719</v>
      </c>
      <c r="F3320" t="s">
        <v>18</v>
      </c>
      <c r="G3320" t="s">
        <v>749</v>
      </c>
      <c r="H3320" s="128">
        <v>0.3589</v>
      </c>
      <c r="I3320" s="110">
        <v>0.18080000000000002</v>
      </c>
      <c r="J3320" s="110">
        <v>0.18080000000000002</v>
      </c>
      <c r="K3320" s="110">
        <v>0.18080000000000002</v>
      </c>
      <c r="L3320">
        <v>5000</v>
      </c>
      <c r="M3320">
        <v>500000</v>
      </c>
      <c r="N3320" s="105">
        <v>44378</v>
      </c>
      <c r="O3320" s="105">
        <v>44561</v>
      </c>
      <c r="P3320" t="s">
        <v>718</v>
      </c>
      <c r="R3320" s="154"/>
      <c r="S3320" s="154"/>
      <c r="T3320" s="154"/>
      <c r="U3320" s="154"/>
    </row>
    <row r="3321" spans="1:21" ht="15" customHeight="1" x14ac:dyDescent="0.3">
      <c r="A3321" t="str">
        <f t="shared" si="53"/>
        <v/>
      </c>
      <c r="B3321" t="s">
        <v>13</v>
      </c>
      <c r="C3321">
        <v>15</v>
      </c>
      <c r="D3321" s="100" t="s">
        <v>24</v>
      </c>
      <c r="E3321" t="s">
        <v>720</v>
      </c>
      <c r="F3321" t="s">
        <v>18</v>
      </c>
      <c r="G3321" t="s">
        <v>749</v>
      </c>
      <c r="H3321" s="128">
        <v>0.3589</v>
      </c>
      <c r="J3321" s="110">
        <v>0.18080000000000002</v>
      </c>
      <c r="L3321">
        <v>5000</v>
      </c>
      <c r="M3321">
        <v>500000</v>
      </c>
      <c r="N3321" s="105">
        <v>44378</v>
      </c>
      <c r="O3321" s="105">
        <v>44561</v>
      </c>
      <c r="P3321" t="s">
        <v>718</v>
      </c>
      <c r="R3321" s="154"/>
      <c r="S3321" s="154"/>
      <c r="T3321" s="154"/>
      <c r="U3321" s="154"/>
    </row>
    <row r="3322" spans="1:21" ht="15" customHeight="1" x14ac:dyDescent="0.3">
      <c r="A3322" t="str">
        <f t="shared" si="53"/>
        <v>16-3-U-SmartPAY36_Renewal (Level 2)</v>
      </c>
      <c r="B3322" t="s">
        <v>13</v>
      </c>
      <c r="C3322">
        <v>16</v>
      </c>
      <c r="D3322" s="100" t="s">
        <v>25</v>
      </c>
      <c r="E3322" t="s">
        <v>716</v>
      </c>
      <c r="F3322" t="s">
        <v>16</v>
      </c>
      <c r="G3322" t="s">
        <v>749</v>
      </c>
      <c r="H3322" s="128">
        <v>0.30370000000000003</v>
      </c>
      <c r="I3322" s="110">
        <v>0.18220000000000003</v>
      </c>
      <c r="L3322">
        <v>5000</v>
      </c>
      <c r="M3322">
        <v>500000</v>
      </c>
      <c r="N3322" s="105">
        <v>44378</v>
      </c>
      <c r="O3322" s="105">
        <v>44561</v>
      </c>
      <c r="P3322" t="s">
        <v>718</v>
      </c>
      <c r="R3322" s="154"/>
      <c r="S3322" s="154"/>
      <c r="T3322" s="154"/>
      <c r="U3322" s="154"/>
    </row>
    <row r="3323" spans="1:21" ht="15" customHeight="1" x14ac:dyDescent="0.3">
      <c r="A3323" t="str">
        <f t="shared" si="53"/>
        <v>16-4-E7-SmartPAY36_Renewal (Level 2)</v>
      </c>
      <c r="B3323" t="s">
        <v>13</v>
      </c>
      <c r="C3323">
        <v>16</v>
      </c>
      <c r="D3323" s="100" t="s">
        <v>25</v>
      </c>
      <c r="E3323" t="s">
        <v>17</v>
      </c>
      <c r="F3323" t="s">
        <v>18</v>
      </c>
      <c r="G3323" t="s">
        <v>749</v>
      </c>
      <c r="H3323" s="128">
        <v>0.30370000000000003</v>
      </c>
      <c r="I3323" s="110">
        <v>0.18220000000000003</v>
      </c>
      <c r="J3323" s="110">
        <v>0.18220000000000003</v>
      </c>
      <c r="L3323">
        <v>5000</v>
      </c>
      <c r="M3323">
        <v>500000</v>
      </c>
      <c r="N3323" s="105">
        <v>44378</v>
      </c>
      <c r="O3323" s="105">
        <v>44561</v>
      </c>
      <c r="P3323" t="s">
        <v>718</v>
      </c>
      <c r="R3323" s="154"/>
      <c r="S3323" s="154"/>
      <c r="T3323" s="154"/>
      <c r="U3323" s="154"/>
    </row>
    <row r="3324" spans="1:21" ht="15" customHeight="1" x14ac:dyDescent="0.3">
      <c r="A3324" t="str">
        <f t="shared" si="53"/>
        <v>16-3-EW-SmartPAY36_Renewal (Level 2)</v>
      </c>
      <c r="B3324" t="s">
        <v>13</v>
      </c>
      <c r="C3324">
        <v>16</v>
      </c>
      <c r="D3324" s="100" t="s">
        <v>25</v>
      </c>
      <c r="E3324" t="s">
        <v>19</v>
      </c>
      <c r="F3324" t="s">
        <v>16</v>
      </c>
      <c r="G3324" t="s">
        <v>749</v>
      </c>
      <c r="H3324" s="128">
        <v>0.30370000000000003</v>
      </c>
      <c r="I3324" s="110">
        <v>0.18220000000000003</v>
      </c>
      <c r="K3324" s="110">
        <v>0.18220000000000003</v>
      </c>
      <c r="L3324">
        <v>5000</v>
      </c>
      <c r="M3324">
        <v>500000</v>
      </c>
      <c r="N3324" s="105">
        <v>44378</v>
      </c>
      <c r="O3324" s="105">
        <v>44561</v>
      </c>
      <c r="P3324" t="s">
        <v>718</v>
      </c>
      <c r="R3324" s="154"/>
      <c r="S3324" s="154"/>
      <c r="T3324" s="154"/>
      <c r="U3324" s="154"/>
    </row>
    <row r="3325" spans="1:21" ht="15" customHeight="1" x14ac:dyDescent="0.3">
      <c r="A3325" t="str">
        <f t="shared" si="53"/>
        <v>16-4-3RATE-SmartPAY36_Renewal (Level 2)</v>
      </c>
      <c r="B3325" t="s">
        <v>13</v>
      </c>
      <c r="C3325">
        <v>16</v>
      </c>
      <c r="D3325" s="100" t="s">
        <v>25</v>
      </c>
      <c r="E3325" t="s">
        <v>719</v>
      </c>
      <c r="F3325" t="s">
        <v>18</v>
      </c>
      <c r="G3325" t="s">
        <v>749</v>
      </c>
      <c r="H3325" s="128">
        <v>0.30370000000000003</v>
      </c>
      <c r="I3325" s="110">
        <v>0.18220000000000003</v>
      </c>
      <c r="J3325" s="110">
        <v>0.18220000000000003</v>
      </c>
      <c r="K3325" s="110">
        <v>0.18220000000000003</v>
      </c>
      <c r="L3325">
        <v>5000</v>
      </c>
      <c r="M3325">
        <v>500000</v>
      </c>
      <c r="N3325" s="105">
        <v>44378</v>
      </c>
      <c r="O3325" s="105">
        <v>44561</v>
      </c>
      <c r="P3325" t="s">
        <v>718</v>
      </c>
      <c r="R3325" s="154"/>
      <c r="S3325" s="154"/>
      <c r="T3325" s="154"/>
      <c r="U3325" s="154"/>
    </row>
    <row r="3326" spans="1:21" ht="15" customHeight="1" x14ac:dyDescent="0.3">
      <c r="A3326" t="str">
        <f t="shared" si="53"/>
        <v/>
      </c>
      <c r="B3326" t="s">
        <v>13</v>
      </c>
      <c r="C3326">
        <v>16</v>
      </c>
      <c r="D3326" s="100" t="s">
        <v>25</v>
      </c>
      <c r="E3326" t="s">
        <v>720</v>
      </c>
      <c r="F3326" t="s">
        <v>18</v>
      </c>
      <c r="G3326" t="s">
        <v>749</v>
      </c>
      <c r="H3326" s="128">
        <v>0.30370000000000003</v>
      </c>
      <c r="J3326" s="110">
        <v>0.18220000000000003</v>
      </c>
      <c r="L3326">
        <v>5000</v>
      </c>
      <c r="M3326">
        <v>500000</v>
      </c>
      <c r="N3326" s="105">
        <v>44378</v>
      </c>
      <c r="O3326" s="105">
        <v>44561</v>
      </c>
      <c r="P3326" t="s">
        <v>718</v>
      </c>
      <c r="R3326" s="154"/>
      <c r="S3326" s="154"/>
      <c r="T3326" s="154"/>
      <c r="U3326" s="154"/>
    </row>
    <row r="3327" spans="1:21" ht="15" customHeight="1" x14ac:dyDescent="0.3">
      <c r="A3327" t="str">
        <f t="shared" si="53"/>
        <v>17-3-U-SmartPAY36_Renewal (Level 2)</v>
      </c>
      <c r="B3327" t="s">
        <v>13</v>
      </c>
      <c r="C3327">
        <v>17</v>
      </c>
      <c r="D3327" s="100" t="s">
        <v>26</v>
      </c>
      <c r="E3327" t="s">
        <v>716</v>
      </c>
      <c r="F3327" t="s">
        <v>16</v>
      </c>
      <c r="G3327" t="s">
        <v>749</v>
      </c>
      <c r="H3327" s="128">
        <v>0.40010000000000001</v>
      </c>
      <c r="I3327" s="110">
        <v>0.18890000000000001</v>
      </c>
      <c r="L3327">
        <v>5000</v>
      </c>
      <c r="M3327">
        <v>500000</v>
      </c>
      <c r="N3327" s="105">
        <v>44378</v>
      </c>
      <c r="O3327" s="105">
        <v>44561</v>
      </c>
      <c r="P3327" t="s">
        <v>718</v>
      </c>
      <c r="R3327" s="154"/>
      <c r="S3327" s="154"/>
      <c r="T3327" s="154"/>
      <c r="U3327" s="154"/>
    </row>
    <row r="3328" spans="1:21" ht="15" customHeight="1" x14ac:dyDescent="0.3">
      <c r="A3328" t="str">
        <f t="shared" si="53"/>
        <v>17-4-E7-SmartPAY36_Renewal (Level 2)</v>
      </c>
      <c r="B3328" t="s">
        <v>13</v>
      </c>
      <c r="C3328">
        <v>17</v>
      </c>
      <c r="D3328" s="100" t="s">
        <v>26</v>
      </c>
      <c r="E3328" t="s">
        <v>17</v>
      </c>
      <c r="F3328" t="s">
        <v>18</v>
      </c>
      <c r="G3328" t="s">
        <v>749</v>
      </c>
      <c r="H3328" s="128">
        <v>0.40010000000000001</v>
      </c>
      <c r="I3328" s="110">
        <v>0.18890000000000001</v>
      </c>
      <c r="J3328" s="110">
        <v>0.18890000000000001</v>
      </c>
      <c r="L3328">
        <v>5000</v>
      </c>
      <c r="M3328">
        <v>500000</v>
      </c>
      <c r="N3328" s="105">
        <v>44378</v>
      </c>
      <c r="O3328" s="105">
        <v>44561</v>
      </c>
      <c r="P3328" t="s">
        <v>718</v>
      </c>
      <c r="R3328" s="154"/>
      <c r="S3328" s="154"/>
      <c r="T3328" s="154"/>
      <c r="U3328" s="154"/>
    </row>
    <row r="3329" spans="1:21" ht="15" customHeight="1" x14ac:dyDescent="0.3">
      <c r="A3329" t="str">
        <f t="shared" si="53"/>
        <v>17-3-EW-SmartPAY36_Renewal (Level 2)</v>
      </c>
      <c r="B3329" t="s">
        <v>13</v>
      </c>
      <c r="C3329">
        <v>17</v>
      </c>
      <c r="D3329" s="100" t="s">
        <v>26</v>
      </c>
      <c r="E3329" t="s">
        <v>19</v>
      </c>
      <c r="F3329" t="s">
        <v>16</v>
      </c>
      <c r="G3329" t="s">
        <v>749</v>
      </c>
      <c r="H3329" s="128">
        <v>0.40010000000000001</v>
      </c>
      <c r="I3329" s="110">
        <v>0.18890000000000001</v>
      </c>
      <c r="K3329" s="110">
        <v>0.18890000000000001</v>
      </c>
      <c r="L3329">
        <v>5000</v>
      </c>
      <c r="M3329">
        <v>500000</v>
      </c>
      <c r="N3329" s="105">
        <v>44378</v>
      </c>
      <c r="O3329" s="105">
        <v>44561</v>
      </c>
      <c r="P3329" t="s">
        <v>718</v>
      </c>
      <c r="R3329" s="154"/>
      <c r="S3329" s="154"/>
      <c r="T3329" s="154"/>
      <c r="U3329" s="154"/>
    </row>
    <row r="3330" spans="1:21" ht="15" customHeight="1" x14ac:dyDescent="0.3">
      <c r="A3330" t="str">
        <f t="shared" si="53"/>
        <v>17-4-3RATE-SmartPAY36_Renewal (Level 2)</v>
      </c>
      <c r="B3330" t="s">
        <v>13</v>
      </c>
      <c r="C3330">
        <v>17</v>
      </c>
      <c r="D3330" s="100" t="s">
        <v>26</v>
      </c>
      <c r="E3330" t="s">
        <v>719</v>
      </c>
      <c r="F3330" t="s">
        <v>18</v>
      </c>
      <c r="G3330" t="s">
        <v>749</v>
      </c>
      <c r="H3330" s="128">
        <v>0.40010000000000001</v>
      </c>
      <c r="I3330" s="110">
        <v>0.18890000000000001</v>
      </c>
      <c r="J3330" s="110">
        <v>0.18890000000000001</v>
      </c>
      <c r="K3330" s="110">
        <v>0.18890000000000001</v>
      </c>
      <c r="L3330">
        <v>5000</v>
      </c>
      <c r="M3330">
        <v>500000</v>
      </c>
      <c r="N3330" s="105">
        <v>44378</v>
      </c>
      <c r="O3330" s="105">
        <v>44561</v>
      </c>
      <c r="P3330" t="s">
        <v>718</v>
      </c>
      <c r="R3330" s="154"/>
      <c r="S3330" s="154"/>
      <c r="T3330" s="154"/>
      <c r="U3330" s="154"/>
    </row>
    <row r="3331" spans="1:21" ht="15" customHeight="1" x14ac:dyDescent="0.3">
      <c r="A3331" t="str">
        <f t="shared" si="53"/>
        <v/>
      </c>
      <c r="B3331" t="s">
        <v>13</v>
      </c>
      <c r="C3331">
        <v>17</v>
      </c>
      <c r="D3331" s="100" t="s">
        <v>26</v>
      </c>
      <c r="E3331" t="s">
        <v>720</v>
      </c>
      <c r="F3331" t="s">
        <v>18</v>
      </c>
      <c r="G3331" t="s">
        <v>749</v>
      </c>
      <c r="H3331" s="128">
        <v>0.40010000000000001</v>
      </c>
      <c r="J3331" s="110">
        <v>0.18890000000000001</v>
      </c>
      <c r="L3331">
        <v>5000</v>
      </c>
      <c r="M3331">
        <v>500000</v>
      </c>
      <c r="N3331" s="105">
        <v>44378</v>
      </c>
      <c r="O3331" s="105">
        <v>44561</v>
      </c>
      <c r="P3331" t="s">
        <v>718</v>
      </c>
      <c r="R3331" s="154"/>
      <c r="S3331" s="154"/>
      <c r="T3331" s="154"/>
      <c r="U3331" s="154"/>
    </row>
    <row r="3332" spans="1:21" ht="15" customHeight="1" x14ac:dyDescent="0.3">
      <c r="A3332" t="str">
        <f t="shared" si="53"/>
        <v>18-3-U-SmartPAY36_Renewal (Level 2)</v>
      </c>
      <c r="B3332" t="s">
        <v>13</v>
      </c>
      <c r="C3332">
        <v>18</v>
      </c>
      <c r="D3332" s="100" t="s">
        <v>27</v>
      </c>
      <c r="E3332" t="s">
        <v>716</v>
      </c>
      <c r="F3332" t="s">
        <v>16</v>
      </c>
      <c r="G3332" t="s">
        <v>749</v>
      </c>
      <c r="H3332" s="128">
        <v>0.34899999999999998</v>
      </c>
      <c r="I3332" s="110">
        <v>0.18179999999999999</v>
      </c>
      <c r="L3332">
        <v>5000</v>
      </c>
      <c r="M3332">
        <v>500000</v>
      </c>
      <c r="N3332" s="105">
        <v>44378</v>
      </c>
      <c r="O3332" s="105">
        <v>44561</v>
      </c>
      <c r="P3332" t="s">
        <v>718</v>
      </c>
      <c r="R3332" s="154"/>
      <c r="S3332" s="154"/>
      <c r="T3332" s="154"/>
      <c r="U3332" s="154"/>
    </row>
    <row r="3333" spans="1:21" ht="15" customHeight="1" x14ac:dyDescent="0.3">
      <c r="A3333" t="str">
        <f t="shared" si="53"/>
        <v>18-4-E7-SmartPAY36_Renewal (Level 2)</v>
      </c>
      <c r="B3333" t="s">
        <v>13</v>
      </c>
      <c r="C3333">
        <v>18</v>
      </c>
      <c r="D3333" s="100" t="s">
        <v>27</v>
      </c>
      <c r="E3333" t="s">
        <v>17</v>
      </c>
      <c r="F3333" t="s">
        <v>18</v>
      </c>
      <c r="G3333" t="s">
        <v>749</v>
      </c>
      <c r="H3333" s="128">
        <v>0.34899999999999998</v>
      </c>
      <c r="I3333" s="110">
        <v>0.18179999999999999</v>
      </c>
      <c r="J3333" s="110">
        <v>0.18179999999999999</v>
      </c>
      <c r="L3333">
        <v>5000</v>
      </c>
      <c r="M3333">
        <v>500000</v>
      </c>
      <c r="N3333" s="105">
        <v>44378</v>
      </c>
      <c r="O3333" s="105">
        <v>44561</v>
      </c>
      <c r="P3333" t="s">
        <v>718</v>
      </c>
      <c r="R3333" s="154"/>
      <c r="S3333" s="154"/>
      <c r="T3333" s="154"/>
      <c r="U3333" s="154"/>
    </row>
    <row r="3334" spans="1:21" ht="15" customHeight="1" x14ac:dyDescent="0.3">
      <c r="A3334" t="str">
        <f t="shared" si="53"/>
        <v>18-3-EW-SmartPAY36_Renewal (Level 2)</v>
      </c>
      <c r="B3334" t="s">
        <v>13</v>
      </c>
      <c r="C3334">
        <v>18</v>
      </c>
      <c r="D3334" s="100" t="s">
        <v>27</v>
      </c>
      <c r="E3334" t="s">
        <v>19</v>
      </c>
      <c r="F3334" t="s">
        <v>16</v>
      </c>
      <c r="G3334" t="s">
        <v>749</v>
      </c>
      <c r="H3334" s="128">
        <v>0.34899999999999998</v>
      </c>
      <c r="I3334" s="110">
        <v>0.18179999999999999</v>
      </c>
      <c r="K3334" s="110">
        <v>0.18179999999999999</v>
      </c>
      <c r="L3334">
        <v>5000</v>
      </c>
      <c r="M3334">
        <v>500000</v>
      </c>
      <c r="N3334" s="105">
        <v>44378</v>
      </c>
      <c r="O3334" s="105">
        <v>44561</v>
      </c>
      <c r="P3334" t="s">
        <v>718</v>
      </c>
      <c r="R3334" s="154"/>
      <c r="S3334" s="154"/>
      <c r="T3334" s="154"/>
      <c r="U3334" s="154"/>
    </row>
    <row r="3335" spans="1:21" ht="15" customHeight="1" x14ac:dyDescent="0.3">
      <c r="A3335" t="str">
        <f t="shared" si="53"/>
        <v>18-4-3RATE-SmartPAY36_Renewal (Level 2)</v>
      </c>
      <c r="B3335" t="s">
        <v>13</v>
      </c>
      <c r="C3335">
        <v>18</v>
      </c>
      <c r="D3335" s="100" t="s">
        <v>27</v>
      </c>
      <c r="E3335" t="s">
        <v>719</v>
      </c>
      <c r="F3335" t="s">
        <v>18</v>
      </c>
      <c r="G3335" t="s">
        <v>749</v>
      </c>
      <c r="H3335" s="128">
        <v>0.34899999999999998</v>
      </c>
      <c r="I3335" s="110">
        <v>0.18179999999999999</v>
      </c>
      <c r="J3335" s="110">
        <v>0.18179999999999999</v>
      </c>
      <c r="K3335" s="110">
        <v>0.18179999999999999</v>
      </c>
      <c r="L3335">
        <v>5000</v>
      </c>
      <c r="M3335">
        <v>500000</v>
      </c>
      <c r="N3335" s="105">
        <v>44378</v>
      </c>
      <c r="O3335" s="105">
        <v>44561</v>
      </c>
      <c r="P3335" t="s">
        <v>718</v>
      </c>
      <c r="R3335" s="154"/>
      <c r="S3335" s="154"/>
      <c r="T3335" s="154"/>
      <c r="U3335" s="154"/>
    </row>
    <row r="3336" spans="1:21" ht="15" customHeight="1" x14ac:dyDescent="0.3">
      <c r="A3336" t="str">
        <f t="shared" si="53"/>
        <v/>
      </c>
      <c r="B3336" t="s">
        <v>13</v>
      </c>
      <c r="C3336">
        <v>18</v>
      </c>
      <c r="D3336" s="100" t="s">
        <v>27</v>
      </c>
      <c r="E3336" t="s">
        <v>720</v>
      </c>
      <c r="F3336" t="s">
        <v>18</v>
      </c>
      <c r="G3336" t="s">
        <v>749</v>
      </c>
      <c r="H3336" s="128">
        <v>0.34899999999999998</v>
      </c>
      <c r="J3336" s="110">
        <v>0.18179999999999999</v>
      </c>
      <c r="L3336">
        <v>5000</v>
      </c>
      <c r="M3336">
        <v>500000</v>
      </c>
      <c r="N3336" s="105">
        <v>44378</v>
      </c>
      <c r="O3336" s="105">
        <v>44561</v>
      </c>
      <c r="P3336" t="s">
        <v>718</v>
      </c>
      <c r="R3336" s="154"/>
      <c r="S3336" s="154"/>
      <c r="T3336" s="154"/>
      <c r="U3336" s="154"/>
    </row>
    <row r="3337" spans="1:21" ht="15" customHeight="1" x14ac:dyDescent="0.3">
      <c r="A3337" t="str">
        <f t="shared" si="53"/>
        <v>19-3-U-SmartPAY36_Renewal (Level 2)</v>
      </c>
      <c r="B3337" t="s">
        <v>13</v>
      </c>
      <c r="C3337">
        <v>19</v>
      </c>
      <c r="D3337" s="100" t="s">
        <v>28</v>
      </c>
      <c r="E3337" t="s">
        <v>716</v>
      </c>
      <c r="F3337" t="s">
        <v>16</v>
      </c>
      <c r="G3337" t="s">
        <v>749</v>
      </c>
      <c r="H3337" s="128">
        <v>0.33169999999999999</v>
      </c>
      <c r="I3337" s="110">
        <v>0.17920000000000003</v>
      </c>
      <c r="L3337">
        <v>5000</v>
      </c>
      <c r="M3337">
        <v>500000</v>
      </c>
      <c r="N3337" s="105">
        <v>44378</v>
      </c>
      <c r="O3337" s="105">
        <v>44561</v>
      </c>
      <c r="P3337" t="s">
        <v>718</v>
      </c>
      <c r="R3337" s="154"/>
      <c r="S3337" s="154"/>
      <c r="T3337" s="154"/>
      <c r="U3337" s="154"/>
    </row>
    <row r="3338" spans="1:21" ht="15" customHeight="1" x14ac:dyDescent="0.3">
      <c r="A3338" t="str">
        <f t="shared" si="53"/>
        <v>19-4-E7-SmartPAY36_Renewal (Level 2)</v>
      </c>
      <c r="B3338" t="s">
        <v>13</v>
      </c>
      <c r="C3338">
        <v>19</v>
      </c>
      <c r="D3338" s="100" t="s">
        <v>28</v>
      </c>
      <c r="E3338" t="s">
        <v>17</v>
      </c>
      <c r="F3338" t="s">
        <v>18</v>
      </c>
      <c r="G3338" t="s">
        <v>749</v>
      </c>
      <c r="H3338" s="128">
        <v>0.33169999999999999</v>
      </c>
      <c r="I3338" s="110">
        <v>0.17920000000000003</v>
      </c>
      <c r="J3338" s="110">
        <v>0.17920000000000003</v>
      </c>
      <c r="L3338">
        <v>5000</v>
      </c>
      <c r="M3338">
        <v>500000</v>
      </c>
      <c r="N3338" s="105">
        <v>44378</v>
      </c>
      <c r="O3338" s="105">
        <v>44561</v>
      </c>
      <c r="P3338" t="s">
        <v>718</v>
      </c>
      <c r="R3338" s="154"/>
      <c r="S3338" s="154"/>
      <c r="T3338" s="154"/>
      <c r="U3338" s="154"/>
    </row>
    <row r="3339" spans="1:21" ht="15" customHeight="1" x14ac:dyDescent="0.3">
      <c r="A3339" t="str">
        <f t="shared" si="53"/>
        <v>19-3-EW-SmartPAY36_Renewal (Level 2)</v>
      </c>
      <c r="B3339" t="s">
        <v>13</v>
      </c>
      <c r="C3339">
        <v>19</v>
      </c>
      <c r="D3339" s="100" t="s">
        <v>28</v>
      </c>
      <c r="E3339" t="s">
        <v>19</v>
      </c>
      <c r="F3339" t="s">
        <v>16</v>
      </c>
      <c r="G3339" t="s">
        <v>749</v>
      </c>
      <c r="H3339" s="128">
        <v>0.33169999999999999</v>
      </c>
      <c r="I3339" s="110">
        <v>0.17920000000000003</v>
      </c>
      <c r="K3339" s="110">
        <v>0.17920000000000003</v>
      </c>
      <c r="L3339">
        <v>5000</v>
      </c>
      <c r="M3339">
        <v>500000</v>
      </c>
      <c r="N3339" s="105">
        <v>44378</v>
      </c>
      <c r="O3339" s="105">
        <v>44561</v>
      </c>
      <c r="P3339" t="s">
        <v>718</v>
      </c>
      <c r="R3339" s="154"/>
      <c r="S3339" s="154"/>
      <c r="T3339" s="154"/>
      <c r="U3339" s="154"/>
    </row>
    <row r="3340" spans="1:21" ht="15" customHeight="1" x14ac:dyDescent="0.3">
      <c r="A3340" t="str">
        <f t="shared" si="53"/>
        <v>19-4-3RATE-SmartPAY36_Renewal (Level 2)</v>
      </c>
      <c r="B3340" t="s">
        <v>13</v>
      </c>
      <c r="C3340">
        <v>19</v>
      </c>
      <c r="D3340" s="100" t="s">
        <v>28</v>
      </c>
      <c r="E3340" t="s">
        <v>719</v>
      </c>
      <c r="F3340" t="s">
        <v>18</v>
      </c>
      <c r="G3340" t="s">
        <v>749</v>
      </c>
      <c r="H3340" s="128">
        <v>0.33169999999999999</v>
      </c>
      <c r="I3340" s="110">
        <v>0.17920000000000003</v>
      </c>
      <c r="J3340" s="110">
        <v>0.17920000000000003</v>
      </c>
      <c r="K3340" s="110">
        <v>0.17920000000000003</v>
      </c>
      <c r="L3340">
        <v>5000</v>
      </c>
      <c r="M3340">
        <v>500000</v>
      </c>
      <c r="N3340" s="105">
        <v>44378</v>
      </c>
      <c r="O3340" s="105">
        <v>44561</v>
      </c>
      <c r="P3340" t="s">
        <v>718</v>
      </c>
      <c r="R3340" s="154"/>
      <c r="S3340" s="154"/>
      <c r="T3340" s="154"/>
      <c r="U3340" s="154"/>
    </row>
    <row r="3341" spans="1:21" ht="15" customHeight="1" x14ac:dyDescent="0.3">
      <c r="A3341" t="str">
        <f t="shared" si="53"/>
        <v/>
      </c>
      <c r="B3341" t="s">
        <v>13</v>
      </c>
      <c r="C3341">
        <v>19</v>
      </c>
      <c r="D3341" s="100" t="s">
        <v>28</v>
      </c>
      <c r="E3341" t="s">
        <v>720</v>
      </c>
      <c r="F3341" t="s">
        <v>18</v>
      </c>
      <c r="G3341" t="s">
        <v>749</v>
      </c>
      <c r="H3341" s="128">
        <v>0.33169999999999999</v>
      </c>
      <c r="J3341" s="110">
        <v>0.17920000000000003</v>
      </c>
      <c r="L3341">
        <v>5000</v>
      </c>
      <c r="M3341">
        <v>500000</v>
      </c>
      <c r="N3341" s="105">
        <v>44378</v>
      </c>
      <c r="O3341" s="105">
        <v>44561</v>
      </c>
      <c r="P3341" t="s">
        <v>718</v>
      </c>
      <c r="R3341" s="154"/>
      <c r="S3341" s="154"/>
      <c r="T3341" s="154"/>
      <c r="U3341" s="154"/>
    </row>
    <row r="3342" spans="1:21" ht="15" customHeight="1" x14ac:dyDescent="0.3">
      <c r="A3342" t="str">
        <f t="shared" si="53"/>
        <v>20-3-U-SmartPAY36_Renewal (Level 2)</v>
      </c>
      <c r="B3342" t="s">
        <v>13</v>
      </c>
      <c r="C3342">
        <v>20</v>
      </c>
      <c r="D3342" s="100" t="s">
        <v>29</v>
      </c>
      <c r="E3342" t="s">
        <v>716</v>
      </c>
      <c r="F3342" t="s">
        <v>16</v>
      </c>
      <c r="G3342" t="s">
        <v>749</v>
      </c>
      <c r="H3342" s="128">
        <v>0.32879999999999998</v>
      </c>
      <c r="I3342" s="110">
        <v>0.17830000000000001</v>
      </c>
      <c r="L3342">
        <v>5000</v>
      </c>
      <c r="M3342">
        <v>500000</v>
      </c>
      <c r="N3342" s="105">
        <v>44378</v>
      </c>
      <c r="O3342" s="105">
        <v>44561</v>
      </c>
      <c r="P3342" t="s">
        <v>718</v>
      </c>
      <c r="R3342" s="154"/>
      <c r="S3342" s="154"/>
      <c r="T3342" s="154"/>
      <c r="U3342" s="154"/>
    </row>
    <row r="3343" spans="1:21" ht="15" customHeight="1" x14ac:dyDescent="0.3">
      <c r="A3343" t="str">
        <f t="shared" si="53"/>
        <v>20-4-E7-SmartPAY36_Renewal (Level 2)</v>
      </c>
      <c r="B3343" t="s">
        <v>13</v>
      </c>
      <c r="C3343">
        <v>20</v>
      </c>
      <c r="D3343" s="100" t="s">
        <v>29</v>
      </c>
      <c r="E3343" t="s">
        <v>17</v>
      </c>
      <c r="F3343" t="s">
        <v>18</v>
      </c>
      <c r="G3343" t="s">
        <v>749</v>
      </c>
      <c r="H3343" s="128">
        <v>0.32879999999999998</v>
      </c>
      <c r="I3343" s="110">
        <v>0.17830000000000001</v>
      </c>
      <c r="J3343" s="110">
        <v>0.17830000000000001</v>
      </c>
      <c r="L3343">
        <v>5000</v>
      </c>
      <c r="M3343">
        <v>500000</v>
      </c>
      <c r="N3343" s="105">
        <v>44378</v>
      </c>
      <c r="O3343" s="105">
        <v>44561</v>
      </c>
      <c r="P3343" t="s">
        <v>718</v>
      </c>
      <c r="R3343" s="154"/>
      <c r="S3343" s="154"/>
      <c r="T3343" s="154"/>
      <c r="U3343" s="154"/>
    </row>
    <row r="3344" spans="1:21" ht="15" customHeight="1" x14ac:dyDescent="0.3">
      <c r="A3344" t="str">
        <f t="shared" si="53"/>
        <v>20-3-EW-SmartPAY36_Renewal (Level 2)</v>
      </c>
      <c r="B3344" t="s">
        <v>13</v>
      </c>
      <c r="C3344">
        <v>20</v>
      </c>
      <c r="D3344" s="100" t="s">
        <v>29</v>
      </c>
      <c r="E3344" t="s">
        <v>19</v>
      </c>
      <c r="F3344" t="s">
        <v>16</v>
      </c>
      <c r="G3344" t="s">
        <v>749</v>
      </c>
      <c r="H3344" s="128">
        <v>0.32879999999999998</v>
      </c>
      <c r="I3344" s="110">
        <v>0.17830000000000001</v>
      </c>
      <c r="K3344" s="110">
        <v>0.17830000000000001</v>
      </c>
      <c r="L3344">
        <v>5000</v>
      </c>
      <c r="M3344">
        <v>500000</v>
      </c>
      <c r="N3344" s="105">
        <v>44378</v>
      </c>
      <c r="O3344" s="105">
        <v>44561</v>
      </c>
      <c r="P3344" t="s">
        <v>718</v>
      </c>
      <c r="R3344" s="154"/>
      <c r="S3344" s="154"/>
      <c r="T3344" s="154"/>
      <c r="U3344" s="154"/>
    </row>
    <row r="3345" spans="1:21" ht="15" customHeight="1" x14ac:dyDescent="0.3">
      <c r="A3345" t="str">
        <f t="shared" si="53"/>
        <v>20-4-3RATE-SmartPAY36_Renewal (Level 2)</v>
      </c>
      <c r="B3345" t="s">
        <v>13</v>
      </c>
      <c r="C3345">
        <v>20</v>
      </c>
      <c r="D3345" s="100" t="s">
        <v>29</v>
      </c>
      <c r="E3345" t="s">
        <v>719</v>
      </c>
      <c r="F3345" t="s">
        <v>18</v>
      </c>
      <c r="G3345" t="s">
        <v>749</v>
      </c>
      <c r="H3345" s="128">
        <v>0.32879999999999998</v>
      </c>
      <c r="I3345" s="110">
        <v>0.17830000000000001</v>
      </c>
      <c r="J3345" s="110">
        <v>0.17830000000000001</v>
      </c>
      <c r="K3345" s="110">
        <v>0.17830000000000001</v>
      </c>
      <c r="L3345">
        <v>5000</v>
      </c>
      <c r="M3345">
        <v>500000</v>
      </c>
      <c r="N3345" s="105">
        <v>44378</v>
      </c>
      <c r="O3345" s="105">
        <v>44561</v>
      </c>
      <c r="P3345" t="s">
        <v>718</v>
      </c>
      <c r="R3345" s="154"/>
      <c r="S3345" s="154"/>
      <c r="T3345" s="154"/>
      <c r="U3345" s="154"/>
    </row>
    <row r="3346" spans="1:21" ht="15" customHeight="1" x14ac:dyDescent="0.3">
      <c r="A3346" t="str">
        <f t="shared" si="53"/>
        <v/>
      </c>
      <c r="B3346" t="s">
        <v>13</v>
      </c>
      <c r="C3346">
        <v>20</v>
      </c>
      <c r="D3346" s="100" t="s">
        <v>29</v>
      </c>
      <c r="E3346" t="s">
        <v>720</v>
      </c>
      <c r="F3346" t="s">
        <v>18</v>
      </c>
      <c r="G3346" t="s">
        <v>749</v>
      </c>
      <c r="H3346" s="128">
        <v>0.32879999999999998</v>
      </c>
      <c r="J3346" s="110">
        <v>0.17830000000000001</v>
      </c>
      <c r="L3346">
        <v>5000</v>
      </c>
      <c r="M3346">
        <v>500000</v>
      </c>
      <c r="N3346" s="105">
        <v>44378</v>
      </c>
      <c r="O3346" s="105">
        <v>44561</v>
      </c>
      <c r="P3346" t="s">
        <v>718</v>
      </c>
      <c r="R3346" s="154"/>
      <c r="S3346" s="154"/>
      <c r="T3346" s="154"/>
      <c r="U3346" s="154"/>
    </row>
    <row r="3347" spans="1:21" ht="15" customHeight="1" x14ac:dyDescent="0.3">
      <c r="A3347" t="str">
        <f t="shared" si="53"/>
        <v>21-3-U-SmartPAY36_Renewal (Level 2)</v>
      </c>
      <c r="B3347" t="s">
        <v>13</v>
      </c>
      <c r="C3347">
        <v>21</v>
      </c>
      <c r="D3347" s="100" t="s">
        <v>30</v>
      </c>
      <c r="E3347" t="s">
        <v>716</v>
      </c>
      <c r="F3347" t="s">
        <v>16</v>
      </c>
      <c r="G3347" t="s">
        <v>749</v>
      </c>
      <c r="H3347" s="128">
        <v>0.4551</v>
      </c>
      <c r="I3347" s="110">
        <v>0.17929999999999999</v>
      </c>
      <c r="L3347">
        <v>5000</v>
      </c>
      <c r="M3347">
        <v>500000</v>
      </c>
      <c r="N3347" s="105">
        <v>44378</v>
      </c>
      <c r="O3347" s="105">
        <v>44561</v>
      </c>
      <c r="P3347" t="s">
        <v>718</v>
      </c>
      <c r="R3347" s="154"/>
      <c r="S3347" s="154"/>
      <c r="T3347" s="154"/>
      <c r="U3347" s="154"/>
    </row>
    <row r="3348" spans="1:21" ht="15" customHeight="1" x14ac:dyDescent="0.3">
      <c r="A3348" t="str">
        <f t="shared" si="53"/>
        <v>21-4-E7-SmartPAY36_Renewal (Level 2)</v>
      </c>
      <c r="B3348" t="s">
        <v>13</v>
      </c>
      <c r="C3348">
        <v>21</v>
      </c>
      <c r="D3348" s="100" t="s">
        <v>30</v>
      </c>
      <c r="E3348" t="s">
        <v>17</v>
      </c>
      <c r="F3348" t="s">
        <v>18</v>
      </c>
      <c r="G3348" t="s">
        <v>749</v>
      </c>
      <c r="H3348" s="128">
        <v>0.4551</v>
      </c>
      <c r="I3348" s="110">
        <v>0.17929999999999999</v>
      </c>
      <c r="J3348" s="110">
        <v>0.17929999999999999</v>
      </c>
      <c r="L3348">
        <v>5000</v>
      </c>
      <c r="M3348">
        <v>500000</v>
      </c>
      <c r="N3348" s="105">
        <v>44378</v>
      </c>
      <c r="O3348" s="105">
        <v>44561</v>
      </c>
      <c r="P3348" t="s">
        <v>718</v>
      </c>
      <c r="R3348" s="154"/>
      <c r="S3348" s="154"/>
      <c r="T3348" s="154"/>
      <c r="U3348" s="154"/>
    </row>
    <row r="3349" spans="1:21" ht="15" customHeight="1" x14ac:dyDescent="0.3">
      <c r="A3349" t="str">
        <f t="shared" si="53"/>
        <v>21-3-EW-SmartPAY36_Renewal (Level 2)</v>
      </c>
      <c r="B3349" t="s">
        <v>13</v>
      </c>
      <c r="C3349">
        <v>21</v>
      </c>
      <c r="D3349" s="100" t="s">
        <v>30</v>
      </c>
      <c r="E3349" t="s">
        <v>19</v>
      </c>
      <c r="F3349" t="s">
        <v>16</v>
      </c>
      <c r="G3349" t="s">
        <v>749</v>
      </c>
      <c r="H3349" s="128">
        <v>0.4551</v>
      </c>
      <c r="I3349" s="110">
        <v>0.17929999999999999</v>
      </c>
      <c r="K3349" s="110">
        <v>0.17929999999999999</v>
      </c>
      <c r="L3349">
        <v>5000</v>
      </c>
      <c r="M3349">
        <v>500000</v>
      </c>
      <c r="N3349" s="105">
        <v>44378</v>
      </c>
      <c r="O3349" s="105">
        <v>44561</v>
      </c>
      <c r="P3349" t="s">
        <v>718</v>
      </c>
      <c r="R3349" s="154"/>
      <c r="S3349" s="154"/>
      <c r="T3349" s="154"/>
      <c r="U3349" s="154"/>
    </row>
    <row r="3350" spans="1:21" ht="15" customHeight="1" x14ac:dyDescent="0.3">
      <c r="A3350" t="str">
        <f t="shared" si="53"/>
        <v>21-4-3RATE-SmartPAY36_Renewal (Level 2)</v>
      </c>
      <c r="B3350" t="s">
        <v>13</v>
      </c>
      <c r="C3350">
        <v>21</v>
      </c>
      <c r="D3350" s="100" t="s">
        <v>30</v>
      </c>
      <c r="E3350" t="s">
        <v>719</v>
      </c>
      <c r="F3350" t="s">
        <v>18</v>
      </c>
      <c r="G3350" t="s">
        <v>749</v>
      </c>
      <c r="H3350" s="128">
        <v>0.4551</v>
      </c>
      <c r="I3350" s="110">
        <v>0.17929999999999999</v>
      </c>
      <c r="J3350" s="110">
        <v>0.17929999999999999</v>
      </c>
      <c r="K3350" s="110">
        <v>0.17929999999999999</v>
      </c>
      <c r="L3350">
        <v>5000</v>
      </c>
      <c r="M3350">
        <v>500000</v>
      </c>
      <c r="N3350" s="105">
        <v>44378</v>
      </c>
      <c r="O3350" s="105">
        <v>44561</v>
      </c>
      <c r="P3350" t="s">
        <v>718</v>
      </c>
      <c r="R3350" s="154"/>
      <c r="S3350" s="154"/>
      <c r="T3350" s="154"/>
      <c r="U3350" s="154"/>
    </row>
    <row r="3351" spans="1:21" ht="15" customHeight="1" x14ac:dyDescent="0.3">
      <c r="A3351" t="str">
        <f t="shared" si="53"/>
        <v/>
      </c>
      <c r="B3351" t="s">
        <v>13</v>
      </c>
      <c r="C3351">
        <v>21</v>
      </c>
      <c r="D3351" s="100" t="s">
        <v>30</v>
      </c>
      <c r="E3351" t="s">
        <v>720</v>
      </c>
      <c r="F3351" t="s">
        <v>18</v>
      </c>
      <c r="G3351" t="s">
        <v>749</v>
      </c>
      <c r="H3351" s="128">
        <v>0.4551</v>
      </c>
      <c r="J3351" s="110">
        <v>0.17929999999999999</v>
      </c>
      <c r="L3351">
        <v>5000</v>
      </c>
      <c r="M3351">
        <v>500000</v>
      </c>
      <c r="N3351" s="105">
        <v>44378</v>
      </c>
      <c r="O3351" s="105">
        <v>44561</v>
      </c>
      <c r="P3351" t="s">
        <v>718</v>
      </c>
      <c r="R3351" s="154"/>
      <c r="S3351" s="154"/>
      <c r="T3351" s="154"/>
      <c r="U3351" s="154"/>
    </row>
    <row r="3352" spans="1:21" ht="15" customHeight="1" x14ac:dyDescent="0.3">
      <c r="A3352" t="str">
        <f t="shared" si="53"/>
        <v>22-3-U-SmartPAY36_Renewal (Level 2)</v>
      </c>
      <c r="B3352" t="s">
        <v>13</v>
      </c>
      <c r="C3352">
        <v>22</v>
      </c>
      <c r="D3352" s="100" t="s">
        <v>31</v>
      </c>
      <c r="E3352" t="s">
        <v>716</v>
      </c>
      <c r="F3352" t="s">
        <v>16</v>
      </c>
      <c r="G3352" t="s">
        <v>749</v>
      </c>
      <c r="H3352" s="128">
        <v>0.39240000000000003</v>
      </c>
      <c r="I3352" s="110">
        <v>0.18490000000000001</v>
      </c>
      <c r="L3352">
        <v>5000</v>
      </c>
      <c r="M3352">
        <v>500000</v>
      </c>
      <c r="N3352" s="105">
        <v>44378</v>
      </c>
      <c r="O3352" s="105">
        <v>44561</v>
      </c>
      <c r="P3352" t="s">
        <v>718</v>
      </c>
      <c r="R3352" s="154"/>
      <c r="S3352" s="154"/>
      <c r="T3352" s="154"/>
      <c r="U3352" s="154"/>
    </row>
    <row r="3353" spans="1:21" ht="15" customHeight="1" x14ac:dyDescent="0.3">
      <c r="A3353" t="str">
        <f t="shared" si="53"/>
        <v>22-4-E7-SmartPAY36_Renewal (Level 2)</v>
      </c>
      <c r="B3353" t="s">
        <v>13</v>
      </c>
      <c r="C3353">
        <v>22</v>
      </c>
      <c r="D3353" s="100" t="s">
        <v>31</v>
      </c>
      <c r="E3353" t="s">
        <v>17</v>
      </c>
      <c r="F3353" t="s">
        <v>18</v>
      </c>
      <c r="G3353" t="s">
        <v>749</v>
      </c>
      <c r="H3353" s="128">
        <v>0.39240000000000003</v>
      </c>
      <c r="I3353" s="110">
        <v>0.18490000000000001</v>
      </c>
      <c r="J3353" s="110">
        <v>0.18490000000000001</v>
      </c>
      <c r="L3353">
        <v>5000</v>
      </c>
      <c r="M3353">
        <v>500000</v>
      </c>
      <c r="N3353" s="105">
        <v>44378</v>
      </c>
      <c r="O3353" s="105">
        <v>44561</v>
      </c>
      <c r="P3353" t="s">
        <v>718</v>
      </c>
      <c r="R3353" s="154"/>
      <c r="S3353" s="154"/>
      <c r="T3353" s="154"/>
      <c r="U3353" s="154"/>
    </row>
    <row r="3354" spans="1:21" ht="15" customHeight="1" x14ac:dyDescent="0.3">
      <c r="A3354" t="str">
        <f t="shared" si="53"/>
        <v>22-3-EW-SmartPAY36_Renewal (Level 2)</v>
      </c>
      <c r="B3354" t="s">
        <v>13</v>
      </c>
      <c r="C3354">
        <v>22</v>
      </c>
      <c r="D3354" s="100" t="s">
        <v>31</v>
      </c>
      <c r="E3354" t="s">
        <v>19</v>
      </c>
      <c r="F3354" t="s">
        <v>16</v>
      </c>
      <c r="G3354" t="s">
        <v>749</v>
      </c>
      <c r="H3354" s="128">
        <v>0.39240000000000003</v>
      </c>
      <c r="I3354" s="110">
        <v>0.18490000000000001</v>
      </c>
      <c r="K3354" s="110">
        <v>0.18490000000000001</v>
      </c>
      <c r="L3354">
        <v>5000</v>
      </c>
      <c r="M3354">
        <v>500000</v>
      </c>
      <c r="N3354" s="105">
        <v>44378</v>
      </c>
      <c r="O3354" s="105">
        <v>44561</v>
      </c>
      <c r="P3354" t="s">
        <v>718</v>
      </c>
      <c r="R3354" s="154"/>
      <c r="S3354" s="154"/>
      <c r="T3354" s="154"/>
      <c r="U3354" s="154"/>
    </row>
    <row r="3355" spans="1:21" ht="15" customHeight="1" x14ac:dyDescent="0.3">
      <c r="A3355" t="str">
        <f t="shared" si="53"/>
        <v>22-4-3RATE-SmartPAY36_Renewal (Level 2)</v>
      </c>
      <c r="B3355" t="s">
        <v>13</v>
      </c>
      <c r="C3355">
        <v>22</v>
      </c>
      <c r="D3355" s="100" t="s">
        <v>31</v>
      </c>
      <c r="E3355" t="s">
        <v>719</v>
      </c>
      <c r="F3355" t="s">
        <v>18</v>
      </c>
      <c r="G3355" t="s">
        <v>749</v>
      </c>
      <c r="H3355" s="128">
        <v>0.39240000000000003</v>
      </c>
      <c r="I3355" s="110">
        <v>0.18490000000000001</v>
      </c>
      <c r="J3355" s="110">
        <v>0.18490000000000001</v>
      </c>
      <c r="K3355" s="110">
        <v>0.18490000000000001</v>
      </c>
      <c r="L3355">
        <v>5000</v>
      </c>
      <c r="M3355">
        <v>500000</v>
      </c>
      <c r="N3355" s="105">
        <v>44378</v>
      </c>
      <c r="O3355" s="105">
        <v>44561</v>
      </c>
      <c r="P3355" t="s">
        <v>718</v>
      </c>
      <c r="R3355" s="154"/>
      <c r="S3355" s="154"/>
      <c r="T3355" s="154"/>
      <c r="U3355" s="154"/>
    </row>
    <row r="3356" spans="1:21" ht="15" customHeight="1" x14ac:dyDescent="0.3">
      <c r="A3356" t="str">
        <f t="shared" si="53"/>
        <v/>
      </c>
      <c r="B3356" t="s">
        <v>13</v>
      </c>
      <c r="C3356">
        <v>22</v>
      </c>
      <c r="D3356" s="100" t="s">
        <v>31</v>
      </c>
      <c r="E3356" t="s">
        <v>720</v>
      </c>
      <c r="F3356" t="s">
        <v>18</v>
      </c>
      <c r="G3356" t="s">
        <v>749</v>
      </c>
      <c r="H3356" s="128">
        <v>0.39240000000000003</v>
      </c>
      <c r="J3356" s="110">
        <v>0.18490000000000001</v>
      </c>
      <c r="L3356">
        <v>5000</v>
      </c>
      <c r="M3356">
        <v>500000</v>
      </c>
      <c r="N3356" s="105">
        <v>44378</v>
      </c>
      <c r="O3356" s="105">
        <v>44561</v>
      </c>
      <c r="P3356" t="s">
        <v>718</v>
      </c>
      <c r="R3356" s="154"/>
      <c r="S3356" s="154"/>
      <c r="T3356" s="154"/>
      <c r="U3356" s="154"/>
    </row>
    <row r="3357" spans="1:21" ht="15" customHeight="1" x14ac:dyDescent="0.3">
      <c r="A3357" t="str">
        <f t="shared" si="53"/>
        <v>23-3-U-SmartPAY36_Renewal (Level 2)</v>
      </c>
      <c r="B3357" t="s">
        <v>13</v>
      </c>
      <c r="C3357">
        <v>23</v>
      </c>
      <c r="D3357" s="100" t="s">
        <v>32</v>
      </c>
      <c r="E3357" t="s">
        <v>716</v>
      </c>
      <c r="F3357" t="s">
        <v>16</v>
      </c>
      <c r="G3357" t="s">
        <v>749</v>
      </c>
      <c r="H3357" s="128">
        <v>0.34460000000000002</v>
      </c>
      <c r="I3357" s="110">
        <v>0.17929999999999999</v>
      </c>
      <c r="L3357">
        <v>5000</v>
      </c>
      <c r="M3357">
        <v>500000</v>
      </c>
      <c r="N3357" s="105">
        <v>44378</v>
      </c>
      <c r="O3357" s="105">
        <v>44561</v>
      </c>
      <c r="P3357" t="s">
        <v>718</v>
      </c>
      <c r="R3357" s="154"/>
      <c r="S3357" s="154"/>
      <c r="T3357" s="154"/>
      <c r="U3357" s="154"/>
    </row>
    <row r="3358" spans="1:21" ht="15" customHeight="1" x14ac:dyDescent="0.3">
      <c r="A3358" t="str">
        <f t="shared" si="53"/>
        <v>23-4-E7-SmartPAY36_Renewal (Level 2)</v>
      </c>
      <c r="B3358" t="s">
        <v>13</v>
      </c>
      <c r="C3358">
        <v>23</v>
      </c>
      <c r="D3358" s="100" t="s">
        <v>32</v>
      </c>
      <c r="E3358" t="s">
        <v>17</v>
      </c>
      <c r="F3358" t="s">
        <v>18</v>
      </c>
      <c r="G3358" t="s">
        <v>749</v>
      </c>
      <c r="H3358" s="128">
        <v>0.34460000000000002</v>
      </c>
      <c r="I3358" s="110">
        <v>0.17929999999999999</v>
      </c>
      <c r="J3358" s="110">
        <v>0.17929999999999999</v>
      </c>
      <c r="L3358">
        <v>5000</v>
      </c>
      <c r="M3358">
        <v>500000</v>
      </c>
      <c r="N3358" s="105">
        <v>44378</v>
      </c>
      <c r="O3358" s="105">
        <v>44561</v>
      </c>
      <c r="P3358" t="s">
        <v>718</v>
      </c>
      <c r="R3358" s="154"/>
      <c r="S3358" s="154"/>
      <c r="T3358" s="154"/>
      <c r="U3358" s="154"/>
    </row>
    <row r="3359" spans="1:21" ht="15" customHeight="1" x14ac:dyDescent="0.3">
      <c r="A3359" t="str">
        <f t="shared" si="53"/>
        <v>23-3-EW-SmartPAY36_Renewal (Level 2)</v>
      </c>
      <c r="B3359" t="s">
        <v>13</v>
      </c>
      <c r="C3359">
        <v>23</v>
      </c>
      <c r="D3359" s="100" t="s">
        <v>32</v>
      </c>
      <c r="E3359" t="s">
        <v>19</v>
      </c>
      <c r="F3359" t="s">
        <v>16</v>
      </c>
      <c r="G3359" t="s">
        <v>749</v>
      </c>
      <c r="H3359" s="128">
        <v>0.34460000000000002</v>
      </c>
      <c r="I3359" s="110">
        <v>0.17929999999999999</v>
      </c>
      <c r="K3359" s="110">
        <v>0.17929999999999999</v>
      </c>
      <c r="L3359">
        <v>5000</v>
      </c>
      <c r="M3359">
        <v>500000</v>
      </c>
      <c r="N3359" s="105">
        <v>44378</v>
      </c>
      <c r="O3359" s="105">
        <v>44561</v>
      </c>
      <c r="P3359" t="s">
        <v>718</v>
      </c>
      <c r="R3359" s="154"/>
      <c r="S3359" s="154"/>
      <c r="T3359" s="154"/>
      <c r="U3359" s="154"/>
    </row>
    <row r="3360" spans="1:21" ht="15" customHeight="1" x14ac:dyDescent="0.3">
      <c r="A3360" t="str">
        <f t="shared" si="53"/>
        <v>23-4-3RATE-SmartPAY36_Renewal (Level 2)</v>
      </c>
      <c r="B3360" t="s">
        <v>13</v>
      </c>
      <c r="C3360">
        <v>23</v>
      </c>
      <c r="D3360" s="100" t="s">
        <v>32</v>
      </c>
      <c r="E3360" t="s">
        <v>719</v>
      </c>
      <c r="F3360" t="s">
        <v>18</v>
      </c>
      <c r="G3360" t="s">
        <v>749</v>
      </c>
      <c r="H3360" s="128">
        <v>0.34460000000000002</v>
      </c>
      <c r="I3360" s="110">
        <v>0.17929999999999999</v>
      </c>
      <c r="J3360" s="110">
        <v>0.17929999999999999</v>
      </c>
      <c r="K3360" s="110">
        <v>0.17929999999999999</v>
      </c>
      <c r="L3360">
        <v>5000</v>
      </c>
      <c r="M3360">
        <v>500000</v>
      </c>
      <c r="N3360" s="105">
        <v>44378</v>
      </c>
      <c r="O3360" s="105">
        <v>44561</v>
      </c>
      <c r="P3360" t="s">
        <v>718</v>
      </c>
      <c r="R3360" s="154"/>
      <c r="S3360" s="154"/>
      <c r="T3360" s="154"/>
      <c r="U3360" s="154"/>
    </row>
    <row r="3361" spans="1:21" ht="15" customHeight="1" x14ac:dyDescent="0.3">
      <c r="A3361" t="str">
        <f t="shared" si="53"/>
        <v/>
      </c>
      <c r="B3361" t="s">
        <v>13</v>
      </c>
      <c r="C3361">
        <v>23</v>
      </c>
      <c r="D3361" s="100" t="s">
        <v>32</v>
      </c>
      <c r="E3361" t="s">
        <v>720</v>
      </c>
      <c r="F3361" t="s">
        <v>18</v>
      </c>
      <c r="G3361" t="s">
        <v>749</v>
      </c>
      <c r="H3361" s="128">
        <v>0.34460000000000002</v>
      </c>
      <c r="J3361" s="110">
        <v>0.17929999999999999</v>
      </c>
      <c r="L3361">
        <v>5000</v>
      </c>
      <c r="M3361">
        <v>500000</v>
      </c>
      <c r="N3361" s="105">
        <v>44378</v>
      </c>
      <c r="O3361" s="105">
        <v>44561</v>
      </c>
      <c r="P3361" t="s">
        <v>718</v>
      </c>
      <c r="R3361" s="154"/>
      <c r="S3361" s="154"/>
      <c r="T3361" s="154"/>
      <c r="U3361" s="154"/>
    </row>
    <row r="3362" spans="1:21" ht="15" customHeight="1" x14ac:dyDescent="0.3">
      <c r="A3362" t="str">
        <f t="shared" si="53"/>
        <v>--FALSE-</v>
      </c>
      <c r="R3362" s="154"/>
      <c r="S3362" s="154"/>
      <c r="T3362" s="154"/>
      <c r="U3362" s="154"/>
    </row>
    <row r="3363" spans="1:21" ht="15" customHeight="1" x14ac:dyDescent="0.3">
      <c r="A3363" t="str">
        <f t="shared" ref="A3363:A3422" si="54">IF(E3363="OP","",CONCATENATE(C3363,"-",RIGHT(F3363,1),"-",IF(OR(E3363="1 Rate MD",E3363="DAY"),"U",IF(OR(E3363="2 Rate MD",E3363="E7"),"E7",IF(OR(E3363="3 Rate MD (EW)",E3363="EW"),"EW",IF(OR(E3363="3 Rate MD",E3363="EWN"),"3RATE",IF(E3363="HH 2RATE (CT)","HH 2RATE (CT)",IF(E3363="HH 2RATE (WC)","HH 2RATE (WC)",IF(E3363="HH 1RATE (CT)","HH 1RATE (CT)",IF(E3363="HH 1RATE (WC)","HH 1RATE (WC)")))))))),"-",G3363))</f>
        <v>--FALSE-</v>
      </c>
      <c r="R3363" s="154"/>
      <c r="S3363" s="154"/>
      <c r="T3363" s="154"/>
      <c r="U3363" s="154"/>
    </row>
    <row r="3364" spans="1:21" ht="15" customHeight="1" x14ac:dyDescent="0.3">
      <c r="A3364" t="str">
        <f t="shared" si="54"/>
        <v>--FALSE-</v>
      </c>
      <c r="R3364" s="154"/>
      <c r="S3364" s="154"/>
      <c r="T3364" s="154"/>
      <c r="U3364" s="154"/>
    </row>
    <row r="3365" spans="1:21" ht="15" customHeight="1" x14ac:dyDescent="0.3">
      <c r="A3365" t="str">
        <f t="shared" si="54"/>
        <v>--FALSE-</v>
      </c>
      <c r="R3365" s="154"/>
      <c r="S3365" s="154"/>
      <c r="T3365" s="154"/>
      <c r="U3365" s="154"/>
    </row>
    <row r="3366" spans="1:21" ht="15" customHeight="1" x14ac:dyDescent="0.3">
      <c r="A3366" t="str">
        <f t="shared" si="54"/>
        <v>--FALSE-</v>
      </c>
      <c r="R3366" s="154"/>
      <c r="S3366" s="154"/>
      <c r="T3366" s="154"/>
      <c r="U3366" s="154"/>
    </row>
    <row r="3367" spans="1:21" ht="15" customHeight="1" x14ac:dyDescent="0.3">
      <c r="A3367" t="str">
        <f t="shared" si="54"/>
        <v>--FALSE-</v>
      </c>
      <c r="R3367" s="154"/>
      <c r="S3367" s="154"/>
      <c r="T3367" s="154"/>
      <c r="U3367" s="154"/>
    </row>
    <row r="3368" spans="1:21" ht="15" customHeight="1" x14ac:dyDescent="0.3">
      <c r="A3368" t="str">
        <f t="shared" si="54"/>
        <v>--FALSE-</v>
      </c>
      <c r="R3368" s="154"/>
      <c r="S3368" s="154"/>
      <c r="T3368" s="154"/>
      <c r="U3368" s="154"/>
    </row>
    <row r="3369" spans="1:21" ht="15" customHeight="1" x14ac:dyDescent="0.3">
      <c r="A3369" t="str">
        <f t="shared" si="54"/>
        <v>--FALSE-</v>
      </c>
      <c r="R3369" s="154"/>
      <c r="S3369" s="154"/>
      <c r="T3369" s="154"/>
      <c r="U3369" s="154"/>
    </row>
    <row r="3370" spans="1:21" ht="15" customHeight="1" x14ac:dyDescent="0.3">
      <c r="A3370" t="str">
        <f t="shared" si="54"/>
        <v>--FALSE-</v>
      </c>
      <c r="R3370" s="154"/>
      <c r="S3370" s="154"/>
      <c r="T3370" s="154"/>
      <c r="U3370" s="154"/>
    </row>
    <row r="3371" spans="1:21" ht="15" customHeight="1" x14ac:dyDescent="0.3">
      <c r="A3371" t="str">
        <f t="shared" si="54"/>
        <v>--FALSE-</v>
      </c>
      <c r="R3371" s="154"/>
      <c r="S3371" s="154"/>
      <c r="T3371" s="154"/>
      <c r="U3371" s="154"/>
    </row>
    <row r="3372" spans="1:21" ht="15" customHeight="1" x14ac:dyDescent="0.3">
      <c r="A3372" t="str">
        <f t="shared" si="54"/>
        <v>--FALSE-</v>
      </c>
      <c r="R3372" s="154"/>
      <c r="S3372" s="154"/>
      <c r="T3372" s="154"/>
      <c r="U3372" s="154"/>
    </row>
    <row r="3373" spans="1:21" ht="15" customHeight="1" x14ac:dyDescent="0.3">
      <c r="A3373" t="str">
        <f t="shared" si="54"/>
        <v>--FALSE-</v>
      </c>
      <c r="R3373" s="154"/>
      <c r="S3373" s="154"/>
      <c r="T3373" s="154"/>
      <c r="U3373" s="154"/>
    </row>
    <row r="3374" spans="1:21" ht="15" customHeight="1" x14ac:dyDescent="0.3">
      <c r="A3374" t="str">
        <f t="shared" si="54"/>
        <v>--FALSE-</v>
      </c>
      <c r="R3374" s="154"/>
      <c r="S3374" s="154"/>
      <c r="T3374" s="154"/>
      <c r="U3374" s="154"/>
    </row>
    <row r="3375" spans="1:21" ht="15" customHeight="1" x14ac:dyDescent="0.3">
      <c r="A3375" t="str">
        <f t="shared" si="54"/>
        <v>--FALSE-</v>
      </c>
      <c r="R3375" s="154"/>
      <c r="S3375" s="154"/>
      <c r="T3375" s="154"/>
      <c r="U3375" s="154"/>
    </row>
    <row r="3376" spans="1:21" ht="15" customHeight="1" x14ac:dyDescent="0.3">
      <c r="A3376" t="str">
        <f t="shared" si="54"/>
        <v>--FALSE-</v>
      </c>
      <c r="R3376" s="154"/>
      <c r="S3376" s="154"/>
      <c r="T3376" s="154"/>
      <c r="U3376" s="154"/>
    </row>
    <row r="3377" spans="1:21" ht="15" customHeight="1" x14ac:dyDescent="0.3">
      <c r="A3377" t="str">
        <f t="shared" si="54"/>
        <v>--FALSE-</v>
      </c>
      <c r="R3377" s="154"/>
      <c r="S3377" s="154"/>
      <c r="T3377" s="154"/>
      <c r="U3377" s="154"/>
    </row>
    <row r="3378" spans="1:21" ht="15" customHeight="1" x14ac:dyDescent="0.3">
      <c r="A3378" t="str">
        <f t="shared" si="54"/>
        <v>--FALSE-</v>
      </c>
      <c r="R3378" s="154"/>
      <c r="S3378" s="154"/>
      <c r="T3378" s="154"/>
      <c r="U3378" s="154"/>
    </row>
    <row r="3379" spans="1:21" ht="15" customHeight="1" x14ac:dyDescent="0.3">
      <c r="A3379" t="str">
        <f t="shared" si="54"/>
        <v>--FALSE-</v>
      </c>
      <c r="R3379" s="154"/>
      <c r="S3379" s="154"/>
      <c r="T3379" s="154"/>
      <c r="U3379" s="154"/>
    </row>
    <row r="3380" spans="1:21" ht="15" customHeight="1" x14ac:dyDescent="0.3">
      <c r="A3380" t="str">
        <f t="shared" si="54"/>
        <v>--FALSE-</v>
      </c>
      <c r="R3380" s="154"/>
      <c r="S3380" s="154"/>
      <c r="T3380" s="154"/>
      <c r="U3380" s="154"/>
    </row>
    <row r="3381" spans="1:21" ht="15" customHeight="1" x14ac:dyDescent="0.3">
      <c r="A3381" t="str">
        <f t="shared" si="54"/>
        <v>--FALSE-</v>
      </c>
      <c r="R3381" s="154"/>
      <c r="S3381" s="154"/>
      <c r="T3381" s="154"/>
      <c r="U3381" s="154"/>
    </row>
    <row r="3382" spans="1:21" ht="15" customHeight="1" x14ac:dyDescent="0.3">
      <c r="A3382" t="str">
        <f t="shared" si="54"/>
        <v>--FALSE-</v>
      </c>
      <c r="R3382" s="154"/>
      <c r="S3382" s="154"/>
      <c r="T3382" s="154"/>
      <c r="U3382" s="154"/>
    </row>
    <row r="3383" spans="1:21" ht="15" customHeight="1" x14ac:dyDescent="0.3">
      <c r="A3383" t="str">
        <f t="shared" si="54"/>
        <v>--FALSE-</v>
      </c>
      <c r="R3383" s="154"/>
      <c r="S3383" s="154"/>
      <c r="T3383" s="154"/>
      <c r="U3383" s="154"/>
    </row>
    <row r="3384" spans="1:21" ht="15" customHeight="1" x14ac:dyDescent="0.3">
      <c r="A3384" t="str">
        <f t="shared" si="54"/>
        <v>--FALSE-</v>
      </c>
      <c r="R3384" s="154"/>
      <c r="S3384" s="154"/>
      <c r="T3384" s="154"/>
      <c r="U3384" s="154"/>
    </row>
    <row r="3385" spans="1:21" ht="15" customHeight="1" x14ac:dyDescent="0.3">
      <c r="A3385" t="str">
        <f t="shared" si="54"/>
        <v>--FALSE-</v>
      </c>
      <c r="R3385" s="154"/>
      <c r="S3385" s="154"/>
      <c r="T3385" s="154"/>
      <c r="U3385" s="154"/>
    </row>
    <row r="3386" spans="1:21" ht="15" customHeight="1" x14ac:dyDescent="0.3">
      <c r="A3386" t="str">
        <f t="shared" si="54"/>
        <v>--FALSE-</v>
      </c>
      <c r="R3386" s="154"/>
      <c r="S3386" s="154"/>
      <c r="T3386" s="154"/>
      <c r="U3386" s="154"/>
    </row>
    <row r="3387" spans="1:21" ht="15" customHeight="1" x14ac:dyDescent="0.3">
      <c r="A3387" t="str">
        <f t="shared" si="54"/>
        <v>--FALSE-</v>
      </c>
      <c r="R3387" s="154"/>
      <c r="S3387" s="154"/>
      <c r="T3387" s="154"/>
      <c r="U3387" s="154"/>
    </row>
    <row r="3388" spans="1:21" ht="15" customHeight="1" x14ac:dyDescent="0.3">
      <c r="A3388" t="str">
        <f t="shared" si="54"/>
        <v>--FALSE-</v>
      </c>
      <c r="R3388" s="154"/>
      <c r="S3388" s="154"/>
      <c r="T3388" s="154"/>
      <c r="U3388" s="154"/>
    </row>
    <row r="3389" spans="1:21" ht="15" customHeight="1" x14ac:dyDescent="0.3">
      <c r="A3389" t="str">
        <f t="shared" si="54"/>
        <v>--FALSE-</v>
      </c>
      <c r="R3389" s="154"/>
      <c r="S3389" s="154"/>
      <c r="T3389" s="154"/>
      <c r="U3389" s="154"/>
    </row>
    <row r="3390" spans="1:21" ht="15" customHeight="1" x14ac:dyDescent="0.3">
      <c r="A3390" t="str">
        <f t="shared" si="54"/>
        <v>--FALSE-</v>
      </c>
      <c r="R3390" s="154"/>
      <c r="S3390" s="154"/>
      <c r="T3390" s="154"/>
      <c r="U3390" s="154"/>
    </row>
    <row r="3391" spans="1:21" ht="15" customHeight="1" x14ac:dyDescent="0.3">
      <c r="A3391" t="str">
        <f t="shared" si="54"/>
        <v>--FALSE-</v>
      </c>
      <c r="R3391" s="154"/>
      <c r="S3391" s="154"/>
      <c r="T3391" s="154"/>
      <c r="U3391" s="154"/>
    </row>
    <row r="3392" spans="1:21" ht="15" customHeight="1" x14ac:dyDescent="0.3">
      <c r="A3392" t="str">
        <f t="shared" si="54"/>
        <v>--FALSE-</v>
      </c>
      <c r="R3392" s="154"/>
      <c r="S3392" s="154"/>
      <c r="T3392" s="154"/>
      <c r="U3392" s="154"/>
    </row>
    <row r="3393" spans="1:21" ht="15" customHeight="1" x14ac:dyDescent="0.3">
      <c r="A3393" t="str">
        <f t="shared" si="54"/>
        <v>--FALSE-</v>
      </c>
      <c r="R3393" s="154"/>
      <c r="S3393" s="154"/>
      <c r="T3393" s="154"/>
      <c r="U3393" s="154"/>
    </row>
    <row r="3394" spans="1:21" ht="15" customHeight="1" x14ac:dyDescent="0.3">
      <c r="A3394" t="str">
        <f t="shared" si="54"/>
        <v>--FALSE-</v>
      </c>
      <c r="R3394" s="154"/>
      <c r="S3394" s="154"/>
      <c r="T3394" s="154"/>
      <c r="U3394" s="154"/>
    </row>
    <row r="3395" spans="1:21" ht="15" customHeight="1" x14ac:dyDescent="0.3">
      <c r="A3395" t="str">
        <f t="shared" si="54"/>
        <v>--FALSE-</v>
      </c>
      <c r="R3395" s="154"/>
      <c r="S3395" s="154"/>
      <c r="T3395" s="154"/>
      <c r="U3395" s="154"/>
    </row>
    <row r="3396" spans="1:21" ht="15" customHeight="1" x14ac:dyDescent="0.3">
      <c r="A3396" t="str">
        <f t="shared" si="54"/>
        <v>--FALSE-</v>
      </c>
      <c r="R3396" s="154"/>
      <c r="S3396" s="154"/>
      <c r="T3396" s="154"/>
      <c r="U3396" s="154"/>
    </row>
    <row r="3397" spans="1:21" ht="15" customHeight="1" x14ac:dyDescent="0.3">
      <c r="A3397" t="str">
        <f t="shared" si="54"/>
        <v>--FALSE-</v>
      </c>
      <c r="R3397" s="154"/>
      <c r="S3397" s="154"/>
      <c r="T3397" s="154"/>
      <c r="U3397" s="154"/>
    </row>
    <row r="3398" spans="1:21" ht="15" customHeight="1" x14ac:dyDescent="0.3">
      <c r="A3398" t="str">
        <f t="shared" si="54"/>
        <v>--FALSE-</v>
      </c>
      <c r="R3398" s="154"/>
      <c r="S3398" s="154"/>
      <c r="T3398" s="154"/>
      <c r="U3398" s="154"/>
    </row>
    <row r="3399" spans="1:21" ht="15" customHeight="1" x14ac:dyDescent="0.3">
      <c r="A3399" t="str">
        <f t="shared" si="54"/>
        <v>--FALSE-</v>
      </c>
      <c r="R3399" s="154"/>
      <c r="S3399" s="154"/>
      <c r="T3399" s="154"/>
      <c r="U3399" s="154"/>
    </row>
    <row r="3400" spans="1:21" ht="15" customHeight="1" x14ac:dyDescent="0.3">
      <c r="A3400" t="str">
        <f t="shared" si="54"/>
        <v>--FALSE-</v>
      </c>
      <c r="R3400" s="154"/>
      <c r="S3400" s="154"/>
      <c r="T3400" s="154"/>
      <c r="U3400" s="154"/>
    </row>
    <row r="3401" spans="1:21" ht="15" customHeight="1" x14ac:dyDescent="0.3">
      <c r="A3401" t="str">
        <f t="shared" si="54"/>
        <v>--FALSE-</v>
      </c>
      <c r="R3401" s="154"/>
      <c r="S3401" s="154"/>
      <c r="T3401" s="154"/>
      <c r="U3401" s="154"/>
    </row>
    <row r="3402" spans="1:21" ht="15" customHeight="1" x14ac:dyDescent="0.3">
      <c r="A3402" t="str">
        <f t="shared" si="54"/>
        <v>--FALSE-</v>
      </c>
      <c r="R3402" s="154"/>
      <c r="S3402" s="154"/>
      <c r="T3402" s="154"/>
      <c r="U3402" s="154"/>
    </row>
    <row r="3403" spans="1:21" ht="15" customHeight="1" x14ac:dyDescent="0.3">
      <c r="A3403" t="str">
        <f t="shared" si="54"/>
        <v>--FALSE-</v>
      </c>
      <c r="R3403" s="154"/>
      <c r="S3403" s="154"/>
      <c r="T3403" s="154"/>
      <c r="U3403" s="154"/>
    </row>
    <row r="3404" spans="1:21" ht="15" customHeight="1" x14ac:dyDescent="0.3">
      <c r="A3404" t="str">
        <f t="shared" si="54"/>
        <v>--FALSE-</v>
      </c>
      <c r="R3404" s="154"/>
      <c r="S3404" s="154"/>
      <c r="T3404" s="154"/>
      <c r="U3404" s="154"/>
    </row>
    <row r="3405" spans="1:21" ht="15" customHeight="1" x14ac:dyDescent="0.3">
      <c r="A3405" t="str">
        <f t="shared" si="54"/>
        <v>--FALSE-</v>
      </c>
      <c r="R3405" s="154"/>
      <c r="S3405" s="154"/>
      <c r="T3405" s="154"/>
      <c r="U3405" s="154"/>
    </row>
    <row r="3406" spans="1:21" ht="15" customHeight="1" x14ac:dyDescent="0.3">
      <c r="A3406" t="str">
        <f t="shared" si="54"/>
        <v>--FALSE-</v>
      </c>
      <c r="R3406" s="154"/>
      <c r="S3406" s="154"/>
      <c r="T3406" s="154"/>
      <c r="U3406" s="154"/>
    </row>
    <row r="3407" spans="1:21" ht="15" customHeight="1" x14ac:dyDescent="0.3">
      <c r="A3407" t="str">
        <f t="shared" si="54"/>
        <v>--FALSE-</v>
      </c>
      <c r="R3407" s="154"/>
      <c r="S3407" s="154"/>
      <c r="T3407" s="154"/>
      <c r="U3407" s="154"/>
    </row>
    <row r="3408" spans="1:21" ht="15" customHeight="1" x14ac:dyDescent="0.3">
      <c r="A3408" t="str">
        <f t="shared" si="54"/>
        <v>--FALSE-</v>
      </c>
      <c r="R3408" s="154"/>
      <c r="S3408" s="154"/>
      <c r="T3408" s="154"/>
      <c r="U3408" s="154"/>
    </row>
    <row r="3409" spans="1:21" ht="15" customHeight="1" x14ac:dyDescent="0.3">
      <c r="A3409" t="str">
        <f t="shared" si="54"/>
        <v>--FALSE-</v>
      </c>
      <c r="R3409" s="154"/>
      <c r="S3409" s="154"/>
      <c r="T3409" s="154"/>
      <c r="U3409" s="154"/>
    </row>
    <row r="3410" spans="1:21" ht="15" customHeight="1" x14ac:dyDescent="0.3">
      <c r="A3410" t="str">
        <f t="shared" si="54"/>
        <v>--FALSE-</v>
      </c>
      <c r="R3410" s="154"/>
      <c r="S3410" s="154"/>
      <c r="T3410" s="154"/>
      <c r="U3410" s="154"/>
    </row>
    <row r="3411" spans="1:21" ht="15" customHeight="1" x14ac:dyDescent="0.3">
      <c r="A3411" t="str">
        <f t="shared" si="54"/>
        <v>--FALSE-</v>
      </c>
      <c r="R3411" s="154"/>
      <c r="S3411" s="154"/>
      <c r="T3411" s="154"/>
      <c r="U3411" s="154"/>
    </row>
    <row r="3412" spans="1:21" ht="15" customHeight="1" x14ac:dyDescent="0.3">
      <c r="A3412" t="str">
        <f t="shared" si="54"/>
        <v>--FALSE-</v>
      </c>
      <c r="R3412" s="154"/>
      <c r="S3412" s="154"/>
      <c r="T3412" s="154"/>
      <c r="U3412" s="154"/>
    </row>
    <row r="3413" spans="1:21" ht="15" customHeight="1" x14ac:dyDescent="0.3">
      <c r="A3413" t="str">
        <f t="shared" si="54"/>
        <v>--FALSE-</v>
      </c>
      <c r="R3413" s="154"/>
      <c r="S3413" s="154"/>
      <c r="T3413" s="154"/>
      <c r="U3413" s="154"/>
    </row>
    <row r="3414" spans="1:21" ht="15" customHeight="1" x14ac:dyDescent="0.3">
      <c r="A3414" t="str">
        <f t="shared" si="54"/>
        <v>--FALSE-</v>
      </c>
      <c r="R3414" s="154"/>
      <c r="S3414" s="154"/>
      <c r="T3414" s="154"/>
      <c r="U3414" s="154"/>
    </row>
    <row r="3415" spans="1:21" ht="15" customHeight="1" x14ac:dyDescent="0.3">
      <c r="A3415" t="str">
        <f t="shared" si="54"/>
        <v>--FALSE-</v>
      </c>
      <c r="R3415" s="154"/>
      <c r="S3415" s="154"/>
      <c r="T3415" s="154"/>
      <c r="U3415" s="154"/>
    </row>
    <row r="3416" spans="1:21" ht="15" customHeight="1" x14ac:dyDescent="0.3">
      <c r="A3416" t="str">
        <f t="shared" si="54"/>
        <v>--FALSE-</v>
      </c>
      <c r="R3416" s="154"/>
      <c r="S3416" s="154"/>
      <c r="T3416" s="154"/>
      <c r="U3416" s="154"/>
    </row>
    <row r="3417" spans="1:21" ht="15" customHeight="1" x14ac:dyDescent="0.3">
      <c r="A3417" t="str">
        <f t="shared" si="54"/>
        <v>--FALSE-</v>
      </c>
      <c r="R3417" s="154"/>
      <c r="S3417" s="154"/>
      <c r="T3417" s="154"/>
      <c r="U3417" s="154"/>
    </row>
    <row r="3418" spans="1:21" ht="15" customHeight="1" x14ac:dyDescent="0.3">
      <c r="A3418" t="str">
        <f t="shared" si="54"/>
        <v>--FALSE-</v>
      </c>
      <c r="R3418" s="154"/>
      <c r="S3418" s="154"/>
      <c r="T3418" s="154"/>
      <c r="U3418" s="154"/>
    </row>
    <row r="3419" spans="1:21" ht="15" customHeight="1" x14ac:dyDescent="0.3">
      <c r="A3419" t="str">
        <f t="shared" si="54"/>
        <v>--FALSE-</v>
      </c>
      <c r="R3419" s="154"/>
      <c r="S3419" s="154"/>
      <c r="T3419" s="154"/>
      <c r="U3419" s="154"/>
    </row>
    <row r="3420" spans="1:21" ht="15" customHeight="1" x14ac:dyDescent="0.3">
      <c r="A3420" t="str">
        <f t="shared" si="54"/>
        <v>--FALSE-</v>
      </c>
      <c r="R3420" s="154"/>
      <c r="S3420" s="154"/>
      <c r="T3420" s="154"/>
      <c r="U3420" s="154"/>
    </row>
    <row r="3421" spans="1:21" ht="15" customHeight="1" x14ac:dyDescent="0.3">
      <c r="A3421" t="str">
        <f t="shared" si="54"/>
        <v>--FALSE-</v>
      </c>
      <c r="R3421" s="154"/>
      <c r="S3421" s="154"/>
      <c r="T3421" s="154"/>
      <c r="U3421" s="154"/>
    </row>
    <row r="3422" spans="1:21" ht="15" customHeight="1" x14ac:dyDescent="0.3">
      <c r="A3422" t="str">
        <f t="shared" si="54"/>
        <v>--FALSE-</v>
      </c>
      <c r="R3422" s="154"/>
      <c r="S3422" s="154"/>
      <c r="T3422" s="154"/>
      <c r="U3422" s="154"/>
    </row>
  </sheetData>
  <autoFilter ref="A1:M3422" xr:uid="{00000000-0009-0000-0000-000008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Multisite</vt:lpstr>
      <vt:lpstr>Tool</vt:lpstr>
      <vt:lpstr>New HHTOU Flat Rates</vt:lpstr>
      <vt:lpstr>Acquisition</vt:lpstr>
      <vt:lpstr>Renewal</vt:lpstr>
      <vt:lpstr>SmartPay</vt:lpstr>
      <vt:lpstr>SmartPay_Renewal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 Crowley</dc:creator>
  <cp:lastModifiedBy>Pete MacSorley</cp:lastModifiedBy>
  <cp:lastPrinted>2017-04-27T13:22:52Z</cp:lastPrinted>
  <dcterms:created xsi:type="dcterms:W3CDTF">2017-03-22T15:13:57Z</dcterms:created>
  <dcterms:modified xsi:type="dcterms:W3CDTF">2021-01-07T13:54:29Z</dcterms:modified>
</cp:coreProperties>
</file>